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nks" sheetId="1" r:id="rId4"/>
    <sheet state="hidden" name="Testing_Area" sheetId="2" r:id="rId5"/>
    <sheet state="hidden" name="7.IT.Workspace" sheetId="3" r:id="rId6"/>
    <sheet state="hidden" name="8.IT.Workspace" sheetId="4" r:id="rId7"/>
    <sheet state="hidden" name="7th Sync Tracker" sheetId="5" r:id="rId8"/>
    <sheet state="hidden" name="8th Sync Tracker" sheetId="6" r:id="rId9"/>
    <sheet state="visible" name="7th Assignment Mapping" sheetId="7" r:id="rId10"/>
    <sheet state="visible" name="7th Live Dashboard" sheetId="8" r:id="rId11"/>
    <sheet state="visible" name="8th Live Dashboard" sheetId="9" r:id="rId12"/>
    <sheet state="visible" name="Sync Log" sheetId="10" r:id="rId13"/>
    <sheet state="hidden" name="8Export.117" sheetId="11" r:id="rId14"/>
    <sheet state="visible" name="8th Assignment Mapping" sheetId="12" r:id="rId15"/>
    <sheet state="visible" name="Sheet43" sheetId="13" r:id="rId16"/>
    <sheet state="hidden" name="Contents" sheetId="14" r:id="rId17"/>
    <sheet state="visible" name="CanvasGrades.8Import" sheetId="15" r:id="rId18"/>
    <sheet state="hidden" name="Scope&amp;Sequence.Attempt1" sheetId="16" r:id="rId19"/>
    <sheet state="visible" name="Standard_Deconstruction" sheetId="17" r:id="rId20"/>
    <sheet state="visible" name="NGSS_Lookup" sheetId="18" r:id="rId21"/>
    <sheet state="hidden" name="OSE_Vocabulary" sheetId="19" r:id="rId22"/>
    <sheet state="hidden" name="Form.&quot;CER Knowledge Check&quot;" sheetId="20" r:id="rId23"/>
    <sheet state="hidden" name="Form.&quot;CER Practice Form&quot;" sheetId="21" r:id="rId24"/>
    <sheet state="hidden" name="Form.&quot;Newtons Third Law Form 1&quot;" sheetId="22" r:id="rId25"/>
    <sheet state="hidden" name="Form.&quot;Science Community Builder" sheetId="23" r:id="rId26"/>
    <sheet state="hidden" name="Form.&quot;8th Science Idea Inventor" sheetId="24" r:id="rId27"/>
    <sheet state="hidden" name="Form.&quot;7th Science Idea Inventor" sheetId="25" r:id="rId28"/>
    <sheet state="hidden" name="7.1_Materials" sheetId="26" r:id="rId29"/>
    <sheet state="hidden" name="8.1_Materials" sheetId="27" r:id="rId30"/>
    <sheet state="hidden" name="SD_OOD1" sheetId="28" r:id="rId31"/>
    <sheet state="hidden" name="Task_Analysis_WIP" sheetId="29" r:id="rId32"/>
    <sheet state="hidden" name="Student_Profile_WIP" sheetId="30" r:id="rId3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@nick.guadiana@kairosacademies.org I mean sure, completion rates right now are meh - hoping that's part of growing pains, but this is some *sick* tech. in play here!
So, A2:A auto-syncs from canvas course email rosters, the formulas in B2:* pull from form sheets, which syncs to canvas grades every 15 min., which helps the "how do students know how well they are doing in your class" question you posed to me previously (and judiciously). yapyapyap ;3
Intervention/remediation and extension/application plan for next week comin' up! Check out the "Contents.Pasted" tab for some neato details, too! &lt;3
	-Louis Rosche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9 days goneish? double check attendance
	-Louis Rosche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updating from docs to github because docs stupidly tries to parse pasted code, breaking itself in the process T_T
	-Louis Rosche</t>
      </text>
    </comment>
    <comment authorId="0" ref="D4">
      <text>
        <t xml:space="preserve">Fill gaps. @louis.rosche@kairosacademies.org
_Assigned to you_
	-Louis Rosche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
      <text>
        <t xml:space="preserve">@louis.rosche@kairosacademies.org Provide printed visuals.
_Assigned to you_
	-Louis Rosche</t>
      </text>
    </comment>
    <comment authorId="0" ref="AL1">
      <text>
        <t xml:space="preserve">@jason.kennedy@kairosacademies.org Advice.
	-Louis Rosche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Note this sheet only contains 6-8 standards.
Suggestion: integrate 5 and 9 for transitions.
	-Louis Rosche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@nick.guadiana@kairosacademies.org This and the following tab (8.1_Materials) are all of the materials needed, as provided by OSE.
@jason.kennedy@kairosacademies.org, Do you know if any of these were in the boxes you shared? They're 7.3, 7.4, and 7.6.
_Assigned to Nick Guadiana_
	-Louis Rosche</t>
      </text>
    </comment>
  </commentList>
</comments>
</file>

<file path=xl/sharedStrings.xml><?xml version="1.0" encoding="utf-8"?>
<sst xmlns="http://schemas.openxmlformats.org/spreadsheetml/2006/main" count="20397" uniqueCount="4860">
  <si>
    <t xml:space="preserve">Find your Subject --&gt; </t>
  </si>
  <si>
    <t>ELA</t>
  </si>
  <si>
    <t>Math</t>
  </si>
  <si>
    <t>Science</t>
  </si>
  <si>
    <t>History</t>
  </si>
  <si>
    <t>Electives</t>
  </si>
  <si>
    <t>Others:</t>
  </si>
  <si>
    <t>8.1 video playlist</t>
  </si>
  <si>
    <t>7.1 video playlist</t>
  </si>
  <si>
    <t>Exams</t>
  </si>
  <si>
    <t>ELA 5</t>
  </si>
  <si>
    <t>Math 5</t>
  </si>
  <si>
    <t>Science 5</t>
  </si>
  <si>
    <r>
      <rPr/>
      <t xml:space="preserve">Please use this form to craft an </t>
    </r>
    <r>
      <rPr>
        <color rgb="FF1155CC"/>
        <u/>
      </rPr>
      <t>end assessment</t>
    </r>
    <r>
      <rPr/>
      <t xml:space="preserve"> for your staff </t>
    </r>
  </si>
  <si>
    <r>
      <rPr/>
      <t xml:space="preserve">Please use </t>
    </r>
    <r>
      <rPr>
        <color rgb="FF1155CC"/>
        <u/>
      </rPr>
      <t>this form</t>
    </r>
    <r>
      <rPr/>
      <t xml:space="preserve"> (hyperlinked) to craft a</t>
    </r>
    <r>
      <rPr>
        <b/>
      </rPr>
      <t xml:space="preserve"> performance task with a clear, standard aligned rubric and roll out plan</t>
    </r>
  </si>
  <si>
    <t>ELA 6</t>
  </si>
  <si>
    <t>Math 6</t>
  </si>
  <si>
    <t xml:space="preserve">ELA 7 </t>
  </si>
  <si>
    <t xml:space="preserve">Math 7 </t>
  </si>
  <si>
    <t>Science 8</t>
  </si>
  <si>
    <t xml:space="preserve">ELA 8 </t>
  </si>
  <si>
    <t xml:space="preserve">Math 8 </t>
  </si>
  <si>
    <t xml:space="preserve">Performance Level Descriptors </t>
  </si>
  <si>
    <t xml:space="preserve">Math 6 </t>
  </si>
  <si>
    <t>ELA 7</t>
  </si>
  <si>
    <t>ELA 8</t>
  </si>
  <si>
    <t>Item Specifications</t>
  </si>
  <si>
    <t>History 5</t>
  </si>
  <si>
    <t>MS - Earth Science</t>
  </si>
  <si>
    <t xml:space="preserve">MS History: American History </t>
  </si>
  <si>
    <t>Math 7</t>
  </si>
  <si>
    <t xml:space="preserve">MS - Life Science </t>
  </si>
  <si>
    <t xml:space="preserve">MS History: World History </t>
  </si>
  <si>
    <t>Math 8</t>
  </si>
  <si>
    <t>MS - Physical Science</t>
  </si>
  <si>
    <t>MS History: Geography</t>
  </si>
  <si>
    <t>Taught?</t>
  </si>
  <si>
    <t>Changelog</t>
  </si>
  <si>
    <t>Facilitation Links</t>
  </si>
  <si>
    <t>Grade</t>
  </si>
  <si>
    <t>Unit</t>
  </si>
  <si>
    <t>Sequence</t>
  </si>
  <si>
    <t>Weekly Key Concept &amp; Connection to Previous Learning</t>
  </si>
  <si>
    <t>Learning Target(s)</t>
  </si>
  <si>
    <t>Core Activity &amp; Description</t>
  </si>
  <si>
    <t>Exit Ticket</t>
  </si>
  <si>
    <t>Standards (MLS &amp; NGSS)</t>
  </si>
  <si>
    <t>Planned Scaffolds</t>
  </si>
  <si>
    <t>KEPT Rubric Alignment</t>
  </si>
  <si>
    <t>Supports</t>
  </si>
  <si>
    <t>&amp; Accommodations (IEPs)</t>
  </si>
  <si>
    <t>Arm 1: Content</t>
  </si>
  <si>
    <t>Arm 2: Culture</t>
  </si>
  <si>
    <t>Arm 3: Facilitation of Learning</t>
  </si>
  <si>
    <t>Arm 4: Ownership</t>
  </si>
  <si>
    <t>Arm 5: Data Driven</t>
  </si>
  <si>
    <t>Arm 6: Beyond the Lesson</t>
  </si>
  <si>
    <t>Chemical Reactions</t>
  </si>
  <si>
    <t>Atoms rearrange but never disappear. Builds on conservation of mass from previous lesson, directly addressing misconception that atoms "disappear" or "go into air"</t>
  </si>
  <si>
    <t>1) Track individual atoms through chemical reactions using models 2) Demonstrate that atom count remains constant 3) Explain where atoms go during reactions</t>
  </si>
  <si>
    <t>PhET Reactants/Products/Leftovers simulation - Students systematically count and document atoms before/after reactions, creating visual atom tracking sheets in Google Slides with color-coded atoms</t>
  </si>
  <si>
    <t>Where did the atoms go in the cake baking example? Draw and label all atoms before and after with explanation</t>
  </si>
  <si>
    <t>MS-PS1-5 (Conservation of mass in chemical reactions)</t>
  </si>
  <si>
    <t>Sentence frames for explanations, Visual atom counters, Partner support for counting, Reduced reaction complexity for IEP students, Text-to-speech enabled</t>
  </si>
  <si>
    <t>Content mastery through visual models; Student ownership via self-paced simulation; Data-driven from BOY assessment responses</t>
  </si>
  <si>
    <t>Pattern recognition in reactions. Connects atom conservation to identifying reaction types through repeated observation</t>
  </si>
  <si>
    <t>1) Identify patterns in how atoms rearrange 2) Categorize reactions based on observed patterns 3) Predict products using patterns</t>
  </si>
  <si>
    <t>Interactive Google Slides with moveable atom pieces - Students manipulate digital atoms to discover synthesis/decomposition patterns, document in observation journal</t>
  </si>
  <si>
    <t>Given this pattern of reactions, predict what will happen when [simple reaction shown]. Explain your reasoning</t>
  </si>
  <si>
    <t>MS-PS1-2 (Analyze substances before/after interactions)</t>
  </si>
  <si>
    <t>Pre-made atom templates, Graphic organizers for patterns, Chunked instructions, Visual pattern cards, Peer collaboration options</t>
  </si>
  <si>
    <t>Facilitation through guided discovery; Cultural relevance via student-chosen examples; Ownership in pattern discovery</t>
  </si>
  <si>
    <t>Energy flow in reactions. Addresses assessment gap about tracing energy backwards from rider to original source</t>
  </si>
  <si>
    <t>1) Create energy flow diagrams 2) Trace energy transformations step-by-step 3) Connect chemical energy to everyday activities</t>
  </si>
  <si>
    <t>Google Drawings energy story creation - Students build backwards energy chains from familiar activities (riding bike) to sun, creating detailed flow charts with explanations</t>
  </si>
  <si>
    <t>Trace the energy in your breakfast back to its original source. Include at least 5 steps with explanations</t>
  </si>
  <si>
    <t>MS-PS1-6 (Endothermic/exothermic reactions) &amp; MS-LS1-7 (Food energy)</t>
  </si>
  <si>
    <t>Energy flow templates, Word banks for transitions, Visual energy symbols, Scaffolded steps chart, Choice in starting examples</t>
  </si>
  <si>
    <t>Cultural connections to students' daily experiences; Data-driven from specific assessment responses; Content depth in energy concepts</t>
  </si>
  <si>
    <t>Living systems basics. Addresses fundamental confusion about cells/DNA before connecting to chemical reactions in organisms</t>
  </si>
  <si>
    <t>1) Identify basic cell structures 2) Locate where chemical reactions occur in cells 3) Connect reactions to life processes</t>
  </si>
  <si>
    <t>BioMan Biology free games + guided notes - Students explore cell basics, then connect to simple reactions like cellular respiration using interactive animations</t>
  </si>
  <si>
    <t>Draw a cell and label where 3 different chemical reactions happen. Name one reaction and explain why it's important</t>
  </si>
  <si>
    <t>MS-LS1-2 (Cell function) &amp; MS-PS1-5 (Conservation in living systems)</t>
  </si>
  <si>
    <t>Simplified cell diagrams, Vocabulary picture cards, Step-by-step navigation guides, Partner reading support, Extended time for games</t>
  </si>
  <si>
    <t>Addressing foundational gaps from assessment; Building conceptual understanding before complexity; Student ownership in exploration</t>
  </si>
  <si>
    <t>Application and synthesis. Students demonstrate understanding by creating products that address specific misconceptions from BOY assessment</t>
  </si>
  <si>
    <t>1) Apply conservation of mass to new scenarios 2) Communicate scientific concepts accurately 3) Self-assess understanding growth</t>
  </si>
  <si>
    <t>Student choice project menu using Google tools - Options: comic about atoms, energy flow infographic, children's book on conservation, or digital reaction model. All must address specific misconceptions</t>
  </si>
  <si>
    <t>Self-reflection: Compare your current understanding to your BOY assessment response. What has changed? What evidence supports your new understanding?</t>
  </si>
  <si>
    <t>MS-PS1-5 &amp; MS-ETS1-3 (Design solutions)</t>
  </si>
  <si>
    <t>Project menu with examples, Rubric with clear criteria, Sentence starters, Tech tutorials linked, Flexible deadlines for IEPs, Peer feedback protocol</t>
  </si>
  <si>
    <t>Maximum ownership through choice; Cultural expression in creative formats; Beyond lesson via student teaching others</t>
  </si>
  <si>
    <t>Force &amp; Motion</t>
  </si>
  <si>
    <t>Conservation principles in physics. Connects Newton's laws to real forces students identified in BOY assessment (friction, air resistance) while addressing energy transfer gaps</t>
  </si>
  <si>
    <t>1) Apply Newton's laws to analyze real-world motion scenarios 2) Identify and calculate net forces 3) Connect force diagrams to motion predictions</t>
  </si>
  <si>
    <t>PhET Forces and Motion Basics - Students systematically explore balanced/unbalanced forces, create force diagrams in Google Drawings, document patterns between net force and motion changes</t>
  </si>
  <si>
    <t>Analyze the bike slowing down scenario from BOY assessment: Draw a force diagram showing all forces and explain which force is greater and why using Newton's laws</t>
  </si>
  <si>
    <t>MS-PS2-2 (Force and motion investigation)</t>
  </si>
  <si>
    <t>Visual force arrows with color coding, Sentence frames for explanations, Pre-made diagram templates, Partner support for calculations, Reduced scenarios for IEP students</t>
  </si>
  <si>
    <t>Direct connection to assessment misconceptions; Student ownership through inquiry; Data-driven from BOY responses</t>
  </si>
  <si>
    <t>F=ma relationships and variable control. Addresses assessment gap about controlling variables while deepening Newton's 2nd Law understanding</t>
  </si>
  <si>
    <t>1) Design controlled experiments to test F=ma 2) Identify and control variables systematically 3) Graph relationships between force, mass, and acceleration</t>
  </si>
  <si>
    <t>Virtual F=ma Lab using PhET simulation - Students design experiments changing ONE variable at a time, collect data in Google Sheets, create graphs showing relationships</t>
  </si>
  <si>
    <t>Design an experiment to test how mass affects acceleration. List: independent variable, dependent variable, 3 controlled variables, and explain your controls</t>
  </si>
  <si>
    <t>MS-PS2-2 &amp; MS-ETS1-3 (Design investigations)</t>
  </si>
  <si>
    <t>Experimental design templates, Variable identification charts, Pre-formatted data tables, Step-by-step procedure cards, Extended time for data collection</t>
  </si>
  <si>
    <t>Facilitation through guided inquiry; Addressing variable control gaps; Building experimental design skills</t>
  </si>
  <si>
    <t>Energy and momentum connections. Directly addresses energy transfer gaps from BOY while introducing momentum conservation</t>
  </si>
  <si>
    <t>1) Trace energy transformations in collisions 2) Apply conservation of momentum 3) Connect energy changes to force interactions</t>
  </si>
  <si>
    <t>PhET Collision Lab - Students explore elastic/inelastic collisions, track energy before/during/after, create energy flow diagrams showing transformations</t>
  </si>
  <si>
    <t>A moving skateboard hits a wall and stops. Trace where the kinetic energy went (name at least 3 energy transformations) and explain using physics terms</t>
  </si>
  <si>
    <t>MS-PS3-1 (Kinetic energy) &amp; MS-PS2-2</t>
  </si>
  <si>
    <t>Energy transformation word banks, Collision scenario cards, Visual energy bar charts, Peer explanation protocols, Choice in collision scenarios</t>
  </si>
  <si>
    <t>Connecting physics to chemistry conservation concepts; Cultural relevance through student examples; Deep conceptual understanding</t>
  </si>
  <si>
    <t>Real-world applications and problem-solving. Synthesizes Newton's laws with practical scenarios students can relate to</t>
  </si>
  <si>
    <t>1) Calculate forces in multi-step problems 2) Predict motion outcomes using physics principles 3) Explain safety devices using Newton's laws</t>
  </si>
  <si>
    <t>Interactive Problem-Solving with Desmos Graphing Calculator - Students solve real scenarios (car crashes, sports, space), visualize force vectors, explain safety features using physics</t>
  </si>
  <si>
    <t>Your friend says seatbelts are unnecessary. Use all 3 of Newton's laws to explain why seatbelts save lives. Include calculations with realistic numbers</t>
  </si>
  <si>
    <t>MS-PS2-1 (Newton's 3rd Law) &amp; MS-PS2-2</t>
  </si>
  <si>
    <t>Problem-solving flowcharts, Formula reference sheets, Worked example videos, Collaborative breakout rooms, Calculator tutorials linked</t>
  </si>
  <si>
    <t>Cultural connections to student safety; Real-world application; Mathematical reasoning integration</t>
  </si>
  <si>
    <t>Engineering design challenge. Students apply all concepts to solve problems, addressing both physics understanding and experimental design skills</t>
  </si>
  <si>
    <t>1) Apply physics concepts to design solutions 2) Optimize designs through iterative testing 3) Communicate scientific reasoning with evidence</t>
  </si>
  <si>
    <t>Digital Egg Drop Challenge using Algodoo physics simulator - Design protective system, test systematically, modify based on data, present optimal solution with physics explanations</t>
  </si>
  <si>
    <t>Compare your first and final designs. Explain 3 specific changes you made and the physics principle behind each improvement. Include force calculations</t>
  </si>
  <si>
    <t>MS-PS2-2 &amp; MS-ETS1-3 &amp; MS-ETS1-4</t>
  </si>
  <si>
    <t>Design constraint cards, Physics principle checklist, Presentation templates, Peer feedback forms, Multiple submission attempts, Success criteria rubric</t>
  </si>
  <si>
    <t>Maximum ownership through design choices; Data-driven iteration; Beyond lesson via peer teaching</t>
  </si>
  <si>
    <t>Dates</t>
  </si>
  <si>
    <t>Cycle 2</t>
  </si>
  <si>
    <t>Period 2</t>
  </si>
  <si>
    <t>MONDAY</t>
  </si>
  <si>
    <t>WEDNESDAY</t>
  </si>
  <si>
    <t>THURSDAY</t>
  </si>
  <si>
    <t>Period 7</t>
  </si>
  <si>
    <t>Total Average</t>
  </si>
  <si>
    <t>Exit Ticket Exemplar (or Link)</t>
  </si>
  <si>
    <t>Standard(s)</t>
  </si>
  <si>
    <t>MS-PS1-1 (DOK 2)</t>
  </si>
  <si>
    <t>NGSS SEP: Argument from Evidence</t>
  </si>
  <si>
    <t>MS-PS1-2 (DOK 2)</t>
  </si>
  <si>
    <t>MS-PS1-2 (Properties focus)</t>
  </si>
  <si>
    <t>MS-PS1-5 (Conservation intro)</t>
  </si>
  <si>
    <t>Objective</t>
  </si>
  <si>
    <t>You're gonna figure out why water, salt, and sugar are ALL made of atoms but look and act completely different.</t>
  </si>
  <si>
    <t>You're gonna become an evidence detective who can spot lies, build strong arguments, and win debates.</t>
  </si>
  <si>
    <t>You're gonna figure out how to tell when a chemical reaction actually happened (vs. just mixing or temperature change).</t>
  </si>
  <si>
    <t>You're gonna explore properties of substances and predict behavior based on molecular structure.</t>
  </si>
  <si>
    <t>You're gonna discover that atoms don't disappear in reactions—they just rearrange.</t>
  </si>
  <si>
    <t>Anticipated Misconceptions</t>
  </si>
  <si>
    <t>1. Molecules = mixtures (not bonded) 2. Atom order doesn't matter 3. Same atoms = same properties</t>
  </si>
  <si>
    <t>1. Any online info = good evidence 2. More evidence = better 3. Personal opinion = evidence</t>
  </si>
  <si>
    <t>1. Physical changes = chemical reactions 2. Color change ALWAYS = reaction 3. Old substances just look different</t>
  </si>
  <si>
    <t>1. Physical and chemical properties are the same 2. Properties change randomly 3. Can't predict behavior from structure</t>
  </si>
  <si>
    <t>1. Matter is created/destroyed in reactions 2. Mass changes during reactions 3. Atoms can disappear</t>
  </si>
  <si>
    <t>Plan to Address</t>
  </si>
  <si>
    <t>Digital molecular builders (PhET); Compare H₂O vs H₂O₂ in simulation; Explicit teaching via interactive slides</t>
  </si>
  <si>
    <t>Model SIFT with whole class; Online source evaluation practice; Digital fact-checking activities</t>
  </si>
  <si>
    <t>Video demos of reactions; Digital before/after comparison activities; Interactive sorting: physical vs chemical</t>
  </si>
  <si>
    <t>Property database analysis on Chromebooks; Pattern recognition via digital images; Structure-property matching activities</t>
  </si>
  <si>
    <t>PhET simulation showing particle rearrangement; Digital mass calculator activities; Video evidence of conservation</t>
  </si>
  <si>
    <t>Student-facing materials (linked here)</t>
  </si>
  <si>
    <t>Google Slides station activities, PhET Molecule Shapes simulation, digital CER templates, printable molecular reference sheet</t>
  </si>
  <si>
    <t>Google Doc article packets, digital source evaluation worksheet, SIFT checklist (printable), team score tracker</t>
  </si>
  <si>
    <t>Video playlist of chemical reactions, digital observation log, Google Slides sorting activity, printable evidence criteria chart</t>
  </si>
  <si>
    <t>Google Sheets property database, digital structure gallery, printable prediction worksheets, pattern analysis slides</t>
  </si>
  <si>
    <t>PhET Reactants Products and Leftovers simulation, digital mass tracking worksheet, printable conservation practice problems</t>
  </si>
  <si>
    <t>Student Heat Map</t>
  </si>
  <si>
    <t>Green = 2+ molecules built correctly + structure→property connection; Yellow = Partial understanding; Red = Misconceptions OR no submission</t>
  </si>
  <si>
    <t>Green = Strong SIFT (2+ criteria); Yellow = Partial; Red = Gaps OR no submission</t>
  </si>
  <si>
    <t>Green = 4 evidence types identified; Yellow = 2-3 types; Red = 0-1 type OR confusion</t>
  </si>
  <si>
    <t>Green = Correctly distinguishes properties AND predicts behavior; Yellow = One skill present; Red = Confuses property types</t>
  </si>
  <si>
    <t>Green = Understands conservation with evidence; Yellow = Partial understanding; Red = Thinks matter created/destroyed</t>
  </si>
  <si>
    <t>Period 3</t>
  </si>
  <si>
    <t>TUESDAY</t>
  </si>
  <si>
    <t>FRIDAY</t>
  </si>
  <si>
    <t>Period 5</t>
  </si>
  <si>
    <t>MS-PS2-1 (DOK 2)</t>
  </si>
  <si>
    <t>MS-PS2-1 (DOK 2) + PS2-2 bridge</t>
  </si>
  <si>
    <t>MS-PS2-2 (DOK 3)</t>
  </si>
  <si>
    <t>You're gonna learn how to find and diagram EVERY force acting on an object—even the hidden ones.</t>
  </si>
  <si>
    <t>You're solving a physics puzzle: Two ice skaters push off each other. Who moves faster? Why?</t>
  </si>
  <si>
    <t>You're gonna plan an investigation to test how force and mass affect an object's motion.</t>
  </si>
  <si>
    <t>You're gonna become an evidence detective who can spot lies and build strong arguments.</t>
  </si>
  <si>
    <t>You're gonna use data from investigations to predict motion outcomes in new scenarios.</t>
  </si>
  <si>
    <t>1. Reaction happens AFTER action 2. Bigger objects = more force 3. Balanced forces = N3L pairs 4. Forces need contact</t>
  </si>
  <si>
    <t>1. Equal forces = equal motion 2. Heavier always slower (but WHY?) 3. Force causes motion (vs acceleration)</t>
  </si>
  <si>
    <t>1. Can't control variables in experiments 2. One trial is enough data 3. Heavier objects always accelerate slower</t>
  </si>
  <si>
    <t>1. Motion predictions don't need data 2. Can ignore friction/air resistance 3. Net force = total force</t>
  </si>
  <si>
    <t>Video collision analysis; PhET Forces and Motion simulation; Digital force diagram practice; Explicit contrast: balanced vs N3L</t>
  </si>
  <si>
    <t>PhET collision simulation with mass adjustment; Digital data collection from simulations; F=ma calculator practice</t>
  </si>
  <si>
    <t>Model experimental design digitally; Multiple trial data collection via simulation; Variable control practice in PhET</t>
  </si>
  <si>
    <t>Digital motion scenarios; Data analysis from simulation; Net force vector practice via interactive tools</t>
  </si>
  <si>
    <t>Collision video playlist, PhET Forces and Motion: Basics, digital force diagram templates, printable N3L reference sheet</t>
  </si>
  <si>
    <t>PhET Collision Lab simulation, digital data collection worksheet, printable F=ma reference sheet, Google Sheets for calculations</t>
  </si>
  <si>
    <t>PhET simulation access, digital experimental design template, printable variable identification guide, Google Sheets data tracker</t>
  </si>
  <si>
    <t>PhET Forces and Motion simulation, digital prediction scenarios, printable net force practice, Google Sheets motion calculator</t>
  </si>
  <si>
    <t>Green = 4/4 force pairs + accurate diagrams; Yellow = 2-3/4 correct; Red = 0-1/4 OR N3L confusion</t>
  </si>
  <si>
    <t>Green = N3L + F=ma integrated correctly; Yellow = One concept clear; Red = Neither concept clear</t>
  </si>
  <si>
    <t>Green = Complete experimental design with controlled variables; Yellow = Partial design OR missing controls; Red = Cannot identify variables</t>
  </si>
  <si>
    <t>Green = Accurate predictions using data + correct net force; Yellow = One skill present; Red = Incorrect calculations OR cannot predict</t>
  </si>
  <si>
    <t>Email</t>
  </si>
  <si>
    <t>Assignment ID</t>
  </si>
  <si>
    <t>Last Score</t>
  </si>
  <si>
    <t>Sync Time</t>
  </si>
  <si>
    <t>damorrion.alexander@kairosacademies.org</t>
  </si>
  <si>
    <t>dareyel.alexander@kairosacademies.org</t>
  </si>
  <si>
    <t>charles.anderson@kairosacademies.org</t>
  </si>
  <si>
    <t>king.bell@kairosacademies.org</t>
  </si>
  <si>
    <t>maxx.blassingame@kairosacademies.org</t>
  </si>
  <si>
    <t>myka.blassingame@kairosacademies.org</t>
  </si>
  <si>
    <t>kyra.burchett@kairosacademies.org</t>
  </si>
  <si>
    <t>austin.cosey@kairosacademies.org</t>
  </si>
  <si>
    <t>kimirah.crump@kairosacademies.org</t>
  </si>
  <si>
    <t>demetrice.dailey@kairosacademies.org</t>
  </si>
  <si>
    <t>lyrik.dean@kairosacademies.org</t>
  </si>
  <si>
    <t>harlem.dickerson@kairosacademies.org</t>
  </si>
  <si>
    <t>cherish.durham@kairosacademies.org</t>
  </si>
  <si>
    <t>jayairra.evans@kairosacademies.org</t>
  </si>
  <si>
    <t>willie.gill@kairosacademies.org</t>
  </si>
  <si>
    <t>keithron.graffread@kairosacademies.org</t>
  </si>
  <si>
    <t>ziy'la.griffin@kairosacademies.org</t>
  </si>
  <si>
    <t>juwan.harden@kairosacademies.org</t>
  </si>
  <si>
    <t>jacob.hardy@kairosacademies.org</t>
  </si>
  <si>
    <t>johan.harris@kairosacademies.org</t>
  </si>
  <si>
    <t>khori.harris@kairosacademies.org</t>
  </si>
  <si>
    <t>zu'rell.harris@kairosacademies.org</t>
  </si>
  <si>
    <t>david.heartfield@kairosacademies.org</t>
  </si>
  <si>
    <t>iyhanna.henderson@kairosacademies.org</t>
  </si>
  <si>
    <t>mckenzie.holt@kairosacademies.org</t>
  </si>
  <si>
    <t>isaiah.irving@kairosacademies.org</t>
  </si>
  <si>
    <t>amyira.jones@kairosacademies.org</t>
  </si>
  <si>
    <t>maya.monroy@kairosacademies.org</t>
  </si>
  <si>
    <t>jayceon.lakes@kairosacademies.org</t>
  </si>
  <si>
    <t>peyton.luster@kairosacademies.org</t>
  </si>
  <si>
    <t>chloe.mcalpin@kairosacademies.org</t>
  </si>
  <si>
    <t>aleecia.mccelleary@kairosacademies.org</t>
  </si>
  <si>
    <t>enu.mensah-fisher@kairosacademies.org</t>
  </si>
  <si>
    <t>iyanna.parott@kairosacademies.org</t>
  </si>
  <si>
    <t>soren.poe@kairosacademies.org</t>
  </si>
  <si>
    <t>major.ross@kairosacademies.org</t>
  </si>
  <si>
    <t>karizma.smith@kairosacademies.org</t>
  </si>
  <si>
    <t>london.smith@kairosacademies.org</t>
  </si>
  <si>
    <t>deandrick.snipes@kairosacademies.org</t>
  </si>
  <si>
    <t>damani.steward@kairosacademies.org</t>
  </si>
  <si>
    <t>damari.steward@kairosacademies.org</t>
  </si>
  <si>
    <t>kaiden.strong-noble@kairosacademies.org</t>
  </si>
  <si>
    <t>railyn.turner@kairosacademies.org</t>
  </si>
  <si>
    <t>haylee.wadley@kairosacademies.org</t>
  </si>
  <si>
    <t>austin.williams@kairosacademies.org</t>
  </si>
  <si>
    <t>miles.williams@kairosacademies.org</t>
  </si>
  <si>
    <t>justice.worthy@kairosacademies.org</t>
  </si>
  <si>
    <t>kyren.young@kairosacademies.org</t>
  </si>
  <si>
    <t>deshaun.andrews@kairosacademies.org</t>
  </si>
  <si>
    <t>jordynn.banks@kairosacademies.org</t>
  </si>
  <si>
    <t>juan.barnes@kairosacademies.org</t>
  </si>
  <si>
    <t>elijah.bell@kairosacademies.org</t>
  </si>
  <si>
    <t>marshawn.blair@kairosacademies.org</t>
  </si>
  <si>
    <t>jackeydon.boykin@kairosacademies.org</t>
  </si>
  <si>
    <t>sollal.punch@kairosacademies.org</t>
  </si>
  <si>
    <t>cameron.brown@kairosacademies.org</t>
  </si>
  <si>
    <t>caylin.brown@kairosacademies.org</t>
  </si>
  <si>
    <t>sophia.cole@kairosacademies.org</t>
  </si>
  <si>
    <t>aaliyah.combs@kairosacademies.org</t>
  </si>
  <si>
    <t>courtland.conner@kairosacademies.org</t>
  </si>
  <si>
    <t>nevaeh.cox@kairosacademies.org</t>
  </si>
  <si>
    <t>jakiyyah.draper@kairosacademies.org</t>
  </si>
  <si>
    <t>terrion.dunn@kairosacademies.org</t>
  </si>
  <si>
    <t>anya'noel.erhart@kairosacademies.org</t>
  </si>
  <si>
    <t>jesus.vanegas@kairosacademies.org</t>
  </si>
  <si>
    <t>mikhail.foster@kairosacademies.org</t>
  </si>
  <si>
    <t>michael.frazier@kairosacademies.org</t>
  </si>
  <si>
    <t>mya.frazier@kairosacademies.org</t>
  </si>
  <si>
    <t>tayveona.frost@kairosacademies.org</t>
  </si>
  <si>
    <t>tamell.gholson@kairosacademies.org</t>
  </si>
  <si>
    <t>jermondez.gilcrease@kairosacademies.org</t>
  </si>
  <si>
    <t>kyle.goodman@kairosacademies.org</t>
  </si>
  <si>
    <t>raysean.gordon-williams@kairosacademies.org</t>
  </si>
  <si>
    <t>de'asia.griffin@kairosacademies.org</t>
  </si>
  <si>
    <t>conrad.guebert@kairosacademies.org</t>
  </si>
  <si>
    <t>kayden.harden@kairosacademies.org</t>
  </si>
  <si>
    <t>amani.hardin@kairosacademies.org</t>
  </si>
  <si>
    <t>henry.hardy@kairosacademies.org</t>
  </si>
  <si>
    <t>tyler.harlan@kairosacademies.org</t>
  </si>
  <si>
    <t>taylor.horton@kairosacademies.org</t>
  </si>
  <si>
    <t>jade.howard@kairosacademies.org</t>
  </si>
  <si>
    <t>peydan.hunt@kairosacademies.org</t>
  </si>
  <si>
    <t>estrella.hurtado-garcia@kairosacademies.org</t>
  </si>
  <si>
    <t>marnice.jefferson@kairosacademies.org</t>
  </si>
  <si>
    <t>ayden.justice@kairosacademies.org</t>
  </si>
  <si>
    <t>adrian.king@kairosacademies.org</t>
  </si>
  <si>
    <t>jelon.knox@kairosacademies.org</t>
  </si>
  <si>
    <t>king.mckee@kairosacademies.org</t>
  </si>
  <si>
    <t>alejandro.mendieta@kairosacademies.org</t>
  </si>
  <si>
    <t>miriam.morales@kairosacademies.org</t>
  </si>
  <si>
    <t>cyle.morris@kairosacademies.org</t>
  </si>
  <si>
    <t>khaleel.muhammad@kairosacademies.org</t>
  </si>
  <si>
    <t>kelis.nelson@kairosacademies.org</t>
  </si>
  <si>
    <t>jacobi.parker@kairosacademies.org</t>
  </si>
  <si>
    <t>sariah.petty@kairosacademies.org</t>
  </si>
  <si>
    <t>quantrell.redden@kairosacademies.org</t>
  </si>
  <si>
    <t>cali.reinhardt@kairosacademies.org</t>
  </si>
  <si>
    <t>tommie.reno@kairosacademies.org</t>
  </si>
  <si>
    <t>brandon.reynolds@kairosacademies.org</t>
  </si>
  <si>
    <t>sariah.sanders@kairosacademies.org</t>
  </si>
  <si>
    <t>zariah.scales@kairosacademies.org</t>
  </si>
  <si>
    <t>matthias.schlemmer@kairosacademies.org</t>
  </si>
  <si>
    <t>samuel.sims@kairosacademies.org</t>
  </si>
  <si>
    <t>monika.stewart@kairosacademies.org</t>
  </si>
  <si>
    <t>jalivia.stokes@kairosacademies.org</t>
  </si>
  <si>
    <t>terrence.toran@kairosacademies.org</t>
  </si>
  <si>
    <t>chyna.turner@kairosacademies.org</t>
  </si>
  <si>
    <t>kingston.tyler@kairosacademies.org</t>
  </si>
  <si>
    <t>jhariya.ward@kairosacademies.org</t>
  </si>
  <si>
    <t>alina.watkins@kairosacademies.org</t>
  </si>
  <si>
    <t>eli.wilcox@kairosacademies.org</t>
  </si>
  <si>
    <t>charlotte.williams@kairosacademies.org</t>
  </si>
  <si>
    <t>kaegan.zimbelmann@kairosacademies.org</t>
  </si>
  <si>
    <t>Column Letter</t>
  </si>
  <si>
    <t>Assignment Name</t>
  </si>
  <si>
    <t>Canvas Assignment ID</t>
  </si>
  <si>
    <t>SS</t>
  </si>
  <si>
    <t>B</t>
  </si>
  <si>
    <t>Hook Hypothesis - Grade 7 Monday Oct 21</t>
  </si>
  <si>
    <t>C</t>
  </si>
  <si>
    <t>Station 1 - Molecule Builder - Grade 7 Monday Oct 21</t>
  </si>
  <si>
    <t>D</t>
  </si>
  <si>
    <t>Station 2 - Matching Challenge - Grade 7 Monday Oct 21</t>
  </si>
  <si>
    <t>E</t>
  </si>
  <si>
    <t>Station 3 - Property Detective - Grade 7 Monday Oct 21</t>
  </si>
  <si>
    <t>F</t>
  </si>
  <si>
    <t>Exit Ticket - Grade 7 Monday Oct 21</t>
  </si>
  <si>
    <t>G</t>
  </si>
  <si>
    <t>Do Now: Atoms &amp; Elements</t>
  </si>
  <si>
    <t>H</t>
  </si>
  <si>
    <t>Station 1: Ionic Bonding</t>
  </si>
  <si>
    <t>I</t>
  </si>
  <si>
    <t>Station 2: Covalent Bonding</t>
  </si>
  <si>
    <t>J</t>
  </si>
  <si>
    <t>Station 3: Ionic vs Covalent</t>
  </si>
  <si>
    <t>K</t>
  </si>
  <si>
    <t>Exit Ticket: Chemical Bonding</t>
  </si>
  <si>
    <t>L</t>
  </si>
  <si>
    <t>Hook - The Burning Question</t>
  </si>
  <si>
    <t>M</t>
  </si>
  <si>
    <t>Station 1: Evidence Lab</t>
  </si>
  <si>
    <t>N</t>
  </si>
  <si>
    <t>Station 2: Conservation of Mass</t>
  </si>
  <si>
    <t>O</t>
  </si>
  <si>
    <t>Station 3: Reaction Rates &amp; Energy</t>
  </si>
  <si>
    <t>G7.C3.W2: Hook - The Melting Ice Mystery</t>
  </si>
  <si>
    <t>G7.C3.W2: Station 1 - Albedo Effect Investigation</t>
  </si>
  <si>
    <t>G7.C3.W2: Station 2 - Carbon Sink Analysis</t>
  </si>
  <si>
    <t>G7.C3.W2: Station 3 - Engineering Carbon Capture</t>
  </si>
  <si>
    <t>G7.C3.W2: Exit Ticket - Feedback Loop Integration</t>
  </si>
  <si>
    <t>P</t>
  </si>
  <si>
    <t>Exit Ticket - Chemical Reactions Mastery</t>
  </si>
  <si>
    <t>Q</t>
  </si>
  <si>
    <t>G7.C2.W4: Hook - The Hurricane Relief Challenge</t>
  </si>
  <si>
    <t>R</t>
  </si>
  <si>
    <t>G7.C2.W4: Station 1 - Investigate &amp; Analyze Reactions</t>
  </si>
  <si>
    <t>S</t>
  </si>
  <si>
    <t>G7.C2.W4: Station 2 - Design &amp; Build Your Prototype</t>
  </si>
  <si>
    <t>T</t>
  </si>
  <si>
    <t>G7.C2.W4: Station 3 - Iterate &amp; Optimize</t>
  </si>
  <si>
    <t>U</t>
  </si>
  <si>
    <t>G7.C2.W4: Exit Ticket - Comprehensive Design Assessment</t>
  </si>
  <si>
    <t>V</t>
  </si>
  <si>
    <t>G7.C2.W5: Summative Assessment</t>
  </si>
  <si>
    <t>W</t>
  </si>
  <si>
    <t>G7.C3.W1: Hook - The Hot Car Mystery</t>
  </si>
  <si>
    <t>X</t>
  </si>
  <si>
    <t>G7.C3.W1: Station 1 - Molecular Vibration &amp; IR</t>
  </si>
  <si>
    <t>Y</t>
  </si>
  <si>
    <t>G7.C3.W1: Station 2 - Carbon Cycle Conservation</t>
  </si>
  <si>
    <t>Z</t>
  </si>
  <si>
    <t>G7.C3.W1: Station 3 - Design a Thermal Trap</t>
  </si>
  <si>
    <t>AA</t>
  </si>
  <si>
    <t>G7.C3.W1: Exit Ticket - Chemistry &amp; Climate</t>
  </si>
  <si>
    <t>AB</t>
  </si>
  <si>
    <t>https://docs.google.com/spreadsheets/d/1oPrvVT6QDWEUmx87GoqLd1CXTtfLo6WfrreUocg_I08/edit?resourcekey=&amp;gid=2042381355#gid=2042381355</t>
  </si>
  <si>
    <t>AC</t>
  </si>
  <si>
    <t>https://docs.google.com/spreadsheets/d/1WKNusCM8GAvNDFdV2AjY5sTwyti4BFZk9I1rFa74mxo/edit?resourcekey=&amp;gid=1193135507#gid=1193135507</t>
  </si>
  <si>
    <t>AD</t>
  </si>
  <si>
    <t>https://docs.google.com/spreadsheets/d/1ezPhPfgGBlZIzMnymbnrUr2FhcM_6Sv_nk0hxcbuzTQ/edit?resourcekey=&amp;gid=1960095997#gid=1960095997</t>
  </si>
  <si>
    <t>AE</t>
  </si>
  <si>
    <t>https://docs.google.com/spreadsheets/d/1nCvx2881PQ64OQinwpUfP8HphDEhFD0vPRxp_AAAdlM/edit?resourcekey=&amp;gid=1759088364#gid=1759088364</t>
  </si>
  <si>
    <t>AF</t>
  </si>
  <si>
    <t>https://docs.google.com/spreadsheets/d/1cImVBctl3mh_jlEmJoy6CEEFe_DDCxRGkjB_Jp-qsU8/edit?resourcekey=&amp;gid=1242186389#gid=1242186389</t>
  </si>
  <si>
    <t>AG</t>
  </si>
  <si>
    <t>AH</t>
  </si>
  <si>
    <t>AI</t>
  </si>
  <si>
    <t>AJ</t>
  </si>
  <si>
    <t>AK</t>
  </si>
  <si>
    <t>AL</t>
  </si>
  <si>
    <t>AM</t>
  </si>
  <si>
    <t>AN</t>
  </si>
  <si>
    <t>AO</t>
  </si>
  <si>
    <t>AP</t>
  </si>
  <si>
    <t>Student Email</t>
  </si>
  <si>
    <t>G7.C2.W1: Hook Hypothesis: Why Do They Act Different?</t>
  </si>
  <si>
    <t>G7.C2.W1: Station 1 - Molecule Builder</t>
  </si>
  <si>
    <t>G8.C2.W1: Station 2 - Force Pair Analysis - Real-World Scenarios</t>
  </si>
  <si>
    <t>G8.C2.W1: Station 3 - Transfer Application - NEW Situations</t>
  </si>
  <si>
    <t>G7.C2.W1: Exit Ticket: Show What You Learned</t>
  </si>
  <si>
    <t>G7.C2.W2: Do Now: Atoms &amp; Elements</t>
  </si>
  <si>
    <t>G7.C2.W2: Station 1: Ionic Bonding</t>
  </si>
  <si>
    <t>G7.C2.W2: Station 2: Covalent Bonding</t>
  </si>
  <si>
    <t>G7.C2.W2: Station 3: Ionic vs Covalent</t>
  </si>
  <si>
    <t>G7.C2.W2: Exit Ticket: Chemical Bonding</t>
  </si>
  <si>
    <t>G7.C2.W3: Hook - The Burning Question</t>
  </si>
  <si>
    <t>G7.C2.W3: Station 1 - Evidence Lab</t>
  </si>
  <si>
    <t>G7.C2.W3: Station 2 - Conservation of Mass</t>
  </si>
  <si>
    <t>G7.C2.W3: Station 3 - Reaction Rates &amp; Energy</t>
  </si>
  <si>
    <t>G7.C2.W3: Exit Ticket - Chemical Reactions Mastery</t>
  </si>
  <si>
    <t>SUM HOLD</t>
  </si>
  <si>
    <t>traci'ana.lewis@kairosacademies.org</t>
  </si>
  <si>
    <t>maleek.newland@kairosacademies.org</t>
  </si>
  <si>
    <t>G8.C2.W1: Initial Hypothesis - Newton's Third Law</t>
  </si>
  <si>
    <t>G8.C2.W1: Station 1 - Collision Forces - PhET Investigation</t>
  </si>
  <si>
    <t>G8.C2.W1: Exit Ticket - Newton's Third Law</t>
  </si>
  <si>
    <t>G8.C2.W2: Do Now: Initial Thinking - Energy in Collisions</t>
  </si>
  <si>
    <t>G8.C2.W2: Station 1: Energy Simulation Investigation</t>
  </si>
  <si>
    <t>G8.C2.W2: Station 2: Real-World Analysis</t>
  </si>
  <si>
    <t>G8.C2.W2: Station 3: Design Challenge</t>
  </si>
  <si>
    <t>G8.C2.W2: Exit Ticket: Show What You Learned</t>
  </si>
  <si>
    <t>G8.C2.W3: Hook - The F=ma Investigation Question</t>
  </si>
  <si>
    <t>G8.C2.W3: Station 1 - Plan Force Investigation</t>
  </si>
  <si>
    <t>G8.C2.W3: Station 2 - Plan Mass Investigation</t>
  </si>
  <si>
    <t>G8.C2.W3: Station 3 - Analyze Investigation Data</t>
  </si>
  <si>
    <t>G8.C2.W3: Exit Ticket - Design Your Investigation</t>
  </si>
  <si>
    <t>G8.C2.W4: Hook - Simulation Setup &amp; Predictions</t>
  </si>
  <si>
    <t>G8.C2.W4: Station 1 - Force Investigation</t>
  </si>
  <si>
    <t>G8.C2.W4: Station 2 - Mass Investigation</t>
  </si>
  <si>
    <t>G8.C2.W4: Station 3 - Engineering Design Challenge</t>
  </si>
  <si>
    <t>G8.C2.W4: Exit Ticket - Complete Mastery</t>
  </si>
  <si>
    <t>G8.C3.W1: Hook - The Cheetah-Gazelle Mystery</t>
  </si>
  <si>
    <t>G8.C3.W1: Station 1 - Predator-Prey Force Analysis</t>
  </si>
  <si>
    <t>G8.C3.W1: Station 2 - Trait Variation Simulation</t>
  </si>
  <si>
    <t>G8.C3.W1: Station 3 - Design a Survivor</t>
  </si>
  <si>
    <t>G8.C3.W1: Exit Ticket - Forces &amp; Evolution</t>
  </si>
  <si>
    <t>G8.C3.W2: Hook - The Whale Finger Mystery</t>
  </si>
  <si>
    <t>G8.C3.W2: Station 1 - Comparative Anatomy Analysis</t>
  </si>
  <si>
    <t>G8.C3.W2: Station 2 - Fossil Record Investigation</t>
  </si>
  <si>
    <t>G8.C3.W2: Station 3 - Design a Transitional Form</t>
  </si>
  <si>
    <t>G8.C3.W2: Exit Ticket - Evidence Integration</t>
  </si>
  <si>
    <t>summer.adams-jones@kairosacademies.org</t>
  </si>
  <si>
    <t>camia.lindsey@kairosacademies.org</t>
  </si>
  <si>
    <t>Grade 7</t>
  </si>
  <si>
    <t>N/A</t>
  </si>
  <si>
    <t>ERROR</t>
  </si>
  <si>
    <t>Student not found in Canvas</t>
  </si>
  <si>
    <t>SYNCED</t>
  </si>
  <si>
    <t>Past due</t>
  </si>
  <si>
    <t>API call failed after retries</t>
  </si>
  <si>
    <t>SUMMARY</t>
  </si>
  <si>
    <t>All</t>
  </si>
  <si>
    <t>COMPLETE</t>
  </si>
  <si>
    <t>Grade 7: ✓ 47 synced | 0️⃣ 0 zeros | ✔️ 1244 unchanged | ⏭ 186 skipped | ✗ 13 errors | 1490 items in 42.5s</t>
  </si>
  <si>
    <t>Grade 8</t>
  </si>
  <si>
    <t>Before due</t>
  </si>
  <si>
    <t>none</t>
  </si>
  <si>
    <t>Grade 8: ✓ 218 synced | 0️⃣ 0 zeros | ✔️ 1596 unchanged | ⏭ 232 skipped | ✗ 2 errors | 2048 items in 147.2s</t>
  </si>
  <si>
    <t>Student</t>
  </si>
  <si>
    <t>ID</t>
  </si>
  <si>
    <t>SIS User ID</t>
  </si>
  <si>
    <t>SIS Login ID</t>
  </si>
  <si>
    <t>Integration ID</t>
  </si>
  <si>
    <t>Section</t>
  </si>
  <si>
    <t>Grade 8 Science: Initial Hypothesis - Newton's Third Law (1871498)</t>
  </si>
  <si>
    <t>Grade 8 Science: Station 1 Quiz - Collision Forces (1871500)</t>
  </si>
  <si>
    <t>Grade 8 Science: Station 2 Quiz - Force Pair Analysis (1871501)</t>
  </si>
  <si>
    <t>Grade 8 Science: Station 3 Quiz - Transfer Application (1871522)</t>
  </si>
  <si>
    <t>Grade 8 Science: Exit Ticket - Newton's Third Law (1871525)</t>
  </si>
  <si>
    <t>Do Now: Initial Thinking - Energy in Collisions (1873080)</t>
  </si>
  <si>
    <t>Station 1: Energy Simulation Investigation (1873081)</t>
  </si>
  <si>
    <t>Station 2: Real-World Analysis (1873082)</t>
  </si>
  <si>
    <t>Station 3: Design Challenge (1873083)</t>
  </si>
  <si>
    <t>Exit Ticket: Show What You Learned (1873084)</t>
  </si>
  <si>
    <t>Hook - The F=ma Investigation Question (1880186)</t>
  </si>
  <si>
    <t>Station 1 - Plan Force Investigation (1880188)</t>
  </si>
  <si>
    <t>Station 2 - Plan Mass Investigation (1880189)</t>
  </si>
  <si>
    <t>Station 3 - Analyze Investigation Data (1880191)</t>
  </si>
  <si>
    <t>Exit Ticket - Design Your Investigation (1880677)</t>
  </si>
  <si>
    <t>Science Community Builder 1 (1765229)</t>
  </si>
  <si>
    <t>Forces and Motion: Basics - Simulation and Worksheet (1838251)</t>
  </si>
  <si>
    <t>Points Possible</t>
  </si>
  <si>
    <t>Adams-Jones, Summer</t>
  </si>
  <si>
    <t>63dc1d61da419803444d0b8e</t>
  </si>
  <si>
    <t>5d393d351269ea0001a76677-63dc1d61da419803444d0b8e-2251</t>
  </si>
  <si>
    <t>Science 8 - Rosche - 2(B)</t>
  </si>
  <si>
    <t>Andrews II, DeShaun</t>
  </si>
  <si>
    <t>66b8132d228fb928125aef20</t>
  </si>
  <si>
    <t>5d393d351269ea0001a76677-66b8132d228fb928125aef20-5637</t>
  </si>
  <si>
    <t>Banks, Jordynn</t>
  </si>
  <si>
    <t>6529d07684938713bac1e9b6</t>
  </si>
  <si>
    <t>5d393d351269ea0001a76677-6529d07684938713bac1e9b6-3801</t>
  </si>
  <si>
    <t>Barnes III, Juan</t>
  </si>
  <si>
    <t>66c3659adc1ce328875d318e</t>
  </si>
  <si>
    <t>5d393d351269ea0001a76677-66c3659adc1ce328875d318e-6151</t>
  </si>
  <si>
    <t>Science 8 - Rosche - 7(B)</t>
  </si>
  <si>
    <t>Bell, Elijah</t>
  </si>
  <si>
    <t>689f8d16e31a1471573fb362</t>
  </si>
  <si>
    <t>5d393d351269ea0001a76677-689f8d16e31a1471573fb362-7752</t>
  </si>
  <si>
    <t>Science 8 - Rosche - 6(B)</t>
  </si>
  <si>
    <t>Blair, MarShawn</t>
  </si>
  <si>
    <t>64dffe77ba498a00b54d2f59</t>
  </si>
  <si>
    <t>5d393d351269ea0001a76677-64dffe77ba498a00b54d2f59-2531</t>
  </si>
  <si>
    <t>Boykin, Jackeydon</t>
  </si>
  <si>
    <t>66ba611d06963327935b2eab</t>
  </si>
  <si>
    <t>5d393d351269ea0001a76677-66ba611d06963327935b2eab-5759</t>
  </si>
  <si>
    <t>Braxton Punch, Sollal</t>
  </si>
  <si>
    <t>64dffe77ba498a00b54d2f5f</t>
  </si>
  <si>
    <t>5d393d351269ea0001a76677-64dffe77ba498a00b54d2f5f-2535</t>
  </si>
  <si>
    <t>Brown, Cameron</t>
  </si>
  <si>
    <t>62e2eaaaafde395dadf17f28</t>
  </si>
  <si>
    <t>5d393d351269ea0001a76677-62e2eaaaafde395dadf17f28-1167</t>
  </si>
  <si>
    <t>Brown, Caylin</t>
  </si>
  <si>
    <t>64e3c3ad8f93100f7a30d041</t>
  </si>
  <si>
    <t>5d393d351269ea0001a76677-64e3c3ad8f93100f7a30d041-2670</t>
  </si>
  <si>
    <t>Cole, Sophia</t>
  </si>
  <si>
    <t>62e2eaaaafde395dadf17f2d</t>
  </si>
  <si>
    <t>5d393d351269ea0001a76677-62e2eaaaafde395dadf17f2d-1237</t>
  </si>
  <si>
    <t>Combs, Aaliyah</t>
  </si>
  <si>
    <t>62e2eaaaafde395dadf17f2f</t>
  </si>
  <si>
    <t>5d393d351269ea0001a76677-62e2eaaaafde395dadf17f2f-1151</t>
  </si>
  <si>
    <t>Conner, Courtland</t>
  </si>
  <si>
    <t>64dffe77ba498a00b54d2f67</t>
  </si>
  <si>
    <t>5d393d351269ea0001a76677-64dffe77ba498a00b54d2f67-2578</t>
  </si>
  <si>
    <t>Cox, Nevaeh</t>
  </si>
  <si>
    <t>64dffe77ba498a00b54d2f69</t>
  </si>
  <si>
    <t>5d393d351269ea0001a76677-64dffe77ba498a00b54d2f69-2552</t>
  </si>
  <si>
    <t>Draper, Jakiyyah</t>
  </si>
  <si>
    <t>64dffe77ba498a00b54d2f6e</t>
  </si>
  <si>
    <t>5d393d351269ea0001a76677-64dffe77ba498a00b54d2f6e-2577</t>
  </si>
  <si>
    <t>Dunn, Terrion</t>
  </si>
  <si>
    <t>689f8d16e31a1471573fb37c</t>
  </si>
  <si>
    <t>5d393d351269ea0001a76677-689f8d16e31a1471573fb37c-7906</t>
  </si>
  <si>
    <t>Erhart, Anya'Noel</t>
  </si>
  <si>
    <t>68a3d49bba480b84727a2d9f</t>
  </si>
  <si>
    <t>5d393d351269ea0001a76677-68a3d49bba480b84727a2d9f-368</t>
  </si>
  <si>
    <t>Flores Vanegas, Jesus</t>
  </si>
  <si>
    <t>64dffe77ba498a00b54d2f6f</t>
  </si>
  <si>
    <t>5d393d351269ea0001a76677-64dffe77ba498a00b54d2f6f-2519</t>
  </si>
  <si>
    <t>Foster Jr, Mikhail</t>
  </si>
  <si>
    <t>689f8d16e31a1471573fb379</t>
  </si>
  <si>
    <t>5d393d351269ea0001a76677-689f8d16e31a1471573fb379-7903</t>
  </si>
  <si>
    <t>Frazier III, Michael</t>
  </si>
  <si>
    <t>66b8132d228fb928125aef23</t>
  </si>
  <si>
    <t>5d393d351269ea0001a76677-66b8132d228fb928125aef23-5640</t>
  </si>
  <si>
    <t>Frazier, Mya</t>
  </si>
  <si>
    <t>66b8132d228fb928125aef22</t>
  </si>
  <si>
    <t>5d393d351269ea0001a76677-66b8132d228fb928125aef22-5639</t>
  </si>
  <si>
    <t>Frost, Taytay</t>
  </si>
  <si>
    <t>64f9e6327768a4180a104dbb</t>
  </si>
  <si>
    <t>5d393d351269ea0001a76677-64f9e6327768a4180a104dbb-3102</t>
  </si>
  <si>
    <t>Gholson, Tamell</t>
  </si>
  <si>
    <t>6500ba5714fbea0107cc0be8</t>
  </si>
  <si>
    <t>5d393d351269ea0001a76677-6500ba5714fbea0107cc0be8-3205</t>
  </si>
  <si>
    <t>Gilcrease, Jermondez</t>
  </si>
  <si>
    <t>689f8d16e31a1471573fb374</t>
  </si>
  <si>
    <t>5d393d351269ea0001a76677-689f8d16e31a1471573fb374-7784</t>
  </si>
  <si>
    <t>Goodman, Kyle</t>
  </si>
  <si>
    <t>62e2eaaaafde395dadf17f43</t>
  </si>
  <si>
    <t>5d393d351269ea0001a76677-62e2eaaaafde395dadf17f43-1208</t>
  </si>
  <si>
    <t>Gordon'Williams, Raysean</t>
  </si>
  <si>
    <t>68a602819663c3542476700b</t>
  </si>
  <si>
    <t>5d393d351269ea0001a76677-68a602819663c3542476700b-8357</t>
  </si>
  <si>
    <t>Griffin, De'Asia</t>
  </si>
  <si>
    <t>679a880502981b68206dacee</t>
  </si>
  <si>
    <t>5d393d351269ea0001a76677-679a880502981b68206dacee-7401</t>
  </si>
  <si>
    <t>Guebert, Conrad</t>
  </si>
  <si>
    <t>610ee75bb0656c01f1b24b8d</t>
  </si>
  <si>
    <t>5d393d351269ea0001a76677-610ee75bb0656c01f1b24b8d-394</t>
  </si>
  <si>
    <t>Harden, Kayden</t>
  </si>
  <si>
    <t>66cde36e43ebff0dd4c0b915</t>
  </si>
  <si>
    <t>5d393d351269ea0001a76677-66cde36e43ebff0dd4c0b915-6554</t>
  </si>
  <si>
    <t>Hardin, Amani</t>
  </si>
  <si>
    <t>66da1b68df5d3a21ec7165c0</t>
  </si>
  <si>
    <t>5d393d351269ea0001a76677-66da1b68df5d3a21ec7165c0-7002</t>
  </si>
  <si>
    <t>Hardy, Henry</t>
  </si>
  <si>
    <t>66e36d906736160be29833eb</t>
  </si>
  <si>
    <t>5d393d351269ea0001a76677-66e36d906736160be29833eb-7102</t>
  </si>
  <si>
    <t>Harlan, Tyler</t>
  </si>
  <si>
    <t>68a3d49bba480b84727a2dac</t>
  </si>
  <si>
    <t>5d393d351269ea0001a76677-68a3d49bba480b84727a2dac-8168</t>
  </si>
  <si>
    <t>Horton, Taylor</t>
  </si>
  <si>
    <t>64dffe77ba498a00b54d2f75</t>
  </si>
  <si>
    <t>5d393d351269ea0001a76677-64dffe77ba498a00b54d2f75-2542</t>
  </si>
  <si>
    <t>Howard, Jade</t>
  </si>
  <si>
    <t>64dffe77ba498a00b54d2f76</t>
  </si>
  <si>
    <t>5d393d351269ea0001a76677-64dffe77ba498a00b54d2f76-2544</t>
  </si>
  <si>
    <t>Hunt, Peydan</t>
  </si>
  <si>
    <t>68a3d49bba480b84727a2daf</t>
  </si>
  <si>
    <t>5d393d351269ea0001a76677-68a3d49bba480b84727a2daf-8173</t>
  </si>
  <si>
    <t>Hurtado-Garcia, Estrella</t>
  </si>
  <si>
    <t>654ab69f7fdd4a121ca98d56</t>
  </si>
  <si>
    <t>5d393d351269ea0001a76677-654ab69f7fdd4a121ca98d56-4101</t>
  </si>
  <si>
    <t>Irving, Torrian</t>
  </si>
  <si>
    <t>68ffc7777a07fd3148f3b2ce</t>
  </si>
  <si>
    <t>torrian.irving@kairosacademies.org</t>
  </si>
  <si>
    <t>5d393d351269ea0001a76677-68ffc7777a07fd3148f3b2ce-8901</t>
  </si>
  <si>
    <t>Jefferson, Marnice</t>
  </si>
  <si>
    <t>66da1b68df5d3a21ec7165c1</t>
  </si>
  <si>
    <t>5d393d351269ea0001a76677-66da1b68df5d3a21ec7165c1-7003</t>
  </si>
  <si>
    <t>Justice, Ayden</t>
  </si>
  <si>
    <t>66b3084d049412169067c099</t>
  </si>
  <si>
    <t>5d393d351269ea0001a76677-66b3084d049412169067c099-5583</t>
  </si>
  <si>
    <t>Kincade, Aubrie</t>
  </si>
  <si>
    <t>62e2eaaaafde395dadf17f54</t>
  </si>
  <si>
    <t>aubrie.kincade@kairosacademies.org</t>
  </si>
  <si>
    <t>5d393d351269ea0001a76677-62e2eaaaafde395dadf17f54-1163</t>
  </si>
  <si>
    <t>King, Adrian</t>
  </si>
  <si>
    <t>68a559f249dcee7d9ad5fae6</t>
  </si>
  <si>
    <t>5d393d351269ea0001a76677-68a559f249dcee7d9ad5fae6-8301</t>
  </si>
  <si>
    <t>Knox, Jelon</t>
  </si>
  <si>
    <t>64dffe77ba498a00b54d2f80</t>
  </si>
  <si>
    <t>5d393d351269ea0001a76677-64dffe77ba498a00b54d2f80-2580</t>
  </si>
  <si>
    <t>McKee, King</t>
  </si>
  <si>
    <t>64e3fc33185dbc09d4675b3b</t>
  </si>
  <si>
    <t>5d393d351269ea0001a76677-64e3fc33185dbc09d4675b3b-2701</t>
  </si>
  <si>
    <t>Mendieta, Alex</t>
  </si>
  <si>
    <t>64e3fc33185dbc09d4675b3c</t>
  </si>
  <si>
    <t>5d393d351269ea0001a76677-64e3fc33185dbc09d4675b3c-2700</t>
  </si>
  <si>
    <t>Morales, Mimi</t>
  </si>
  <si>
    <t>6393716f92aded018a9a1b3e</t>
  </si>
  <si>
    <t>5d393d351269ea0001a76677-6393716f92aded018a9a1b3e-2101</t>
  </si>
  <si>
    <t>Morris, Cyle</t>
  </si>
  <si>
    <t>68ac4013d652ec8f1edc607e</t>
  </si>
  <si>
    <t>5d393d351269ea0001a76677-68ac4013d652ec8f1edc607e-8455</t>
  </si>
  <si>
    <t>Muhammad, Khaleel</t>
  </si>
  <si>
    <t>66cc1a5d75e8bc05f053b88d</t>
  </si>
  <si>
    <t>5d393d351269ea0001a76677-66cc1a5d75e8bc05f053b88d-6402</t>
  </si>
  <si>
    <t>Nelson, Kelis</t>
  </si>
  <si>
    <t>66b8132d228fb928125aef38</t>
  </si>
  <si>
    <t>5d393d351269ea0001a76677-66b8132d228fb928125aef38-5676</t>
  </si>
  <si>
    <t>Parker, Jacobi</t>
  </si>
  <si>
    <t>64f231a076d24e032ac665bc</t>
  </si>
  <si>
    <t>5d393d351269ea0001a76677-64f231a076d24e032ac665bc-2906</t>
  </si>
  <si>
    <t>Petty, Sariah</t>
  </si>
  <si>
    <t>66ba611d06963327935b2ea4</t>
  </si>
  <si>
    <t>5d393d351269ea0001a76677-66ba611d06963327935b2ea4-5763</t>
  </si>
  <si>
    <t>Redden, Quantrell</t>
  </si>
  <si>
    <t>66b8132d228fb928125aef39</t>
  </si>
  <si>
    <t>5d393d351269ea0001a76677-66b8132d228fb928125aef39-5678</t>
  </si>
  <si>
    <t>Reinhardt, Cali</t>
  </si>
  <si>
    <t>66b8132d228fb928125aef18</t>
  </si>
  <si>
    <t>5d393d351269ea0001a76677-66b8132d228fb928125aef18-5692</t>
  </si>
  <si>
    <t>Reno IV, Tommie</t>
  </si>
  <si>
    <t>68a3d49bba480b84727a2db2</t>
  </si>
  <si>
    <t>5d393d351269ea0001a76677-68a3d49bba480b84727a2db2-8181</t>
  </si>
  <si>
    <t>Reynolds, Brandon</t>
  </si>
  <si>
    <t>64dffe77ba498a00b54d2f90</t>
  </si>
  <si>
    <t>5d393d351269ea0001a76677-64dffe77ba498a00b54d2f90-2632</t>
  </si>
  <si>
    <t>Sanders, Sariah</t>
  </si>
  <si>
    <t>64e3fc33185dbc09d4675b41</t>
  </si>
  <si>
    <t>5d393d351269ea0001a76677-64e3fc33185dbc09d4675b41-2712</t>
  </si>
  <si>
    <t>Scales, Zariah</t>
  </si>
  <si>
    <t>652d7daff071e8098e2be81e</t>
  </si>
  <si>
    <t>5d393d351269ea0001a76677-652d7daff071e8098e2be81e-3901</t>
  </si>
  <si>
    <t>Schlemmer, Matthias</t>
  </si>
  <si>
    <t>689f8d16e31a1471573fb376</t>
  </si>
  <si>
    <t>5d393d351269ea0001a76677-689f8d16e31a1471573fb376-7851</t>
  </si>
  <si>
    <t>Sims, Sam</t>
  </si>
  <si>
    <t>64dffe77ba498a00b54d2f99</t>
  </si>
  <si>
    <t>5d393d351269ea0001a76677-64dffe77ba498a00b54d2f99-2597</t>
  </si>
  <si>
    <t>Stewart, Monika</t>
  </si>
  <si>
    <t>64dffe77ba498a00b54d2f9e</t>
  </si>
  <si>
    <t>5d393d351269ea0001a76677-64dffe77ba498a00b54d2f9e-2601</t>
  </si>
  <si>
    <t>Stokes, Ja'Livia</t>
  </si>
  <si>
    <t>64ed5988a550b30dd5453a44</t>
  </si>
  <si>
    <t>5d393d351269ea0001a76677-64ed5988a550b30dd5453a44-2853</t>
  </si>
  <si>
    <t>Toran jr., Terrence</t>
  </si>
  <si>
    <t>65d4be1bdfb97e142e31df6e</t>
  </si>
  <si>
    <t>5d393d351269ea0001a76677-65d4be1bdfb97e142e31df6e-4751</t>
  </si>
  <si>
    <t>Turner, Chyna</t>
  </si>
  <si>
    <t>68a3d49bba480b84727a2db4</t>
  </si>
  <si>
    <t>5d393d351269ea0001a76677-68a3d49bba480b84727a2db4-8201</t>
  </si>
  <si>
    <t>Tyler, Kingston</t>
  </si>
  <si>
    <t>6393716f92aded018a9a1b3f</t>
  </si>
  <si>
    <t>5d393d351269ea0001a76677-6393716f92aded018a9a1b3f-2102</t>
  </si>
  <si>
    <t>Ward, Jhariya</t>
  </si>
  <si>
    <t>64e674913cac0802c3af1940</t>
  </si>
  <si>
    <t>5d393d351269ea0001a76677-64e674913cac0802c3af1940-2754</t>
  </si>
  <si>
    <t>Watkins, Alina</t>
  </si>
  <si>
    <t>66b3084d049412169067c09c</t>
  </si>
  <si>
    <t>5d393d351269ea0001a76677-66b3084d049412169067c09c-5586</t>
  </si>
  <si>
    <t>Wilcox, Eli</t>
  </si>
  <si>
    <t>689f8d16e31a1471573fb37a</t>
  </si>
  <si>
    <t>5d393d351269ea0001a76677-689f8d16e31a1471573fb37a-7904</t>
  </si>
  <si>
    <t>Williams, Charlotte</t>
  </si>
  <si>
    <t>66f6358867dd9f0f4ee51b4c</t>
  </si>
  <si>
    <t>5d393d351269ea0001a76677-66f6358867dd9f0f4ee51b4c-7252</t>
  </si>
  <si>
    <t>Zimbelmann, Kaegan</t>
  </si>
  <si>
    <t>610ee75cb0656c01f1b24c11</t>
  </si>
  <si>
    <t>5d393d351269ea0001a76677-610ee75cb0656c01f1b24c11-346</t>
  </si>
  <si>
    <t>Student, Test</t>
  </si>
  <si>
    <t>af45db9fb46b3f0e926d6040f34a69803aa0bb47</t>
  </si>
  <si>
    <t>OpenSciEd Grade 8 - Rosche 25-26, Science 8 - Rosche - 2(B), Science 8 - Rosche - 6(B), and Science 8 - Rosche - 7(B)</t>
  </si>
  <si>
    <t>embed (900?)</t>
  </si>
  <si>
    <t>G8.C2.W1: Station 1 Quiz - Collision Forces</t>
  </si>
  <si>
    <t>G8.C2.W1: Station 2 Quiz - Force Pair Analysis</t>
  </si>
  <si>
    <t>G8.C2.W1: Station 3 Quiz - Transfer Application</t>
  </si>
  <si>
    <t>G8.C2.W5: Summative Assessment</t>
  </si>
  <si>
    <t>https://docs.google.com/spreadsheets/d/1FaC9t0SXGA0xGhnTamyoRZlu8hmcW1MWsCo2C4VvzXU/edit?resourcekey=&amp;gid=147070124#gid=147070124</t>
  </si>
  <si>
    <t>&lt;iframe src="https://docs.google.com/forms/d/e/1FAIpQLSe6UtSiG0pv-YCUyYlgmKx5CkPTni8KkBGYTVkt716thy78cQ/viewform?embedded=true" width="640" height="900" frameborder="0" marginheight="0" marginwidth="0"&gt;Loading…&lt;/iframe&gt;</t>
  </si>
  <si>
    <t>https://docs.google.com/spreadsheets/d/1vDW96D0jhLp3dqfF_NhyisR2fEMt7If5PNR9LhOzyOw/edit?resourcekey=&amp;gid=84976851#gid=84976851</t>
  </si>
  <si>
    <t>&lt;iframe src="https://docs.google.com/forms/d/e/1FAIpQLSdlaWnqVqWl8l246vWC5FzjkHx380G-2ml11sR1QnRzt6EAFQ/viewform?embedded=true" width="640" height="900" frameborder="0" marginheight="0" marginwidth="0"&gt;Loading…&lt;/iframe&gt;</t>
  </si>
  <si>
    <t>https://docs.google.com/spreadsheets/d/1zsjzVNqPw5C8UZwN1FSxr5wlhFdttH7QD016qQYC5yM/edit?resourcekey=&amp;gid=647143208#gid=647143208</t>
  </si>
  <si>
    <t>&lt;iframe src="https://docs.google.com/forms/d/e/1FAIpQLSf1wjOCTCUc9eNJ3B1LqWJX_60qiVBZ-xNidcW2J-7Htv37fQ/viewform?embedded=true" width="640" height="900" frameborder="0" marginheight="0" marginwidth="0"&gt;Loading…&lt;/iframe&gt;</t>
  </si>
  <si>
    <t>https://docs.google.com/spreadsheets/d/1Ews3nhY1U6WJEWM6wEnULZ7KkCQjH3B_JWwPaiO50V0/edit?resourcekey=&amp;gid=906553254#gid=906553254</t>
  </si>
  <si>
    <t>&lt;iframe src="https://docs.google.com/forms/d/e/1FAIpQLSfphmgHh3d0YtHgPYtF10hIHsbIueU7e39dwQxqsOYlTBEZ_Q/viewform?embedded=true" width="640" height="900" frameborder="0" marginheight="0" marginwidth="0"&gt;Loading…&lt;/iframe&gt;</t>
  </si>
  <si>
    <t>https://docs.google.com/spreadsheets/d/1gEfsymJ36JBfQSLSHCdx6IG9likdyNdW5r4IPUTgAbo/edit?resourcekey=&amp;gid=1181658117#gid=1181658117</t>
  </si>
  <si>
    <t>&lt;iframe src="https://docs.google.com/forms/d/e/1FAIpQLScYoY8Vla4B_m0pQYt1CNjADYT73YhB4ASRTXqkBfoHl7YaIA/viewform?embedded=true" width="640" height="900" frameborder="0" marginheight="0" marginwidth="0"&gt;Loading…&lt;/iframe&gt;</t>
  </si>
  <si>
    <t>School</t>
  </si>
  <si>
    <t>Std Num</t>
  </si>
  <si>
    <t>Student Name</t>
  </si>
  <si>
    <t>Grade Level</t>
  </si>
  <si>
    <t>Homeroom</t>
  </si>
  <si>
    <t>Contact ID</t>
  </si>
  <si>
    <t>Contact Name</t>
  </si>
  <si>
    <t>Priority Order</t>
  </si>
  <si>
    <t>Relationship</t>
  </si>
  <si>
    <t>Original Contact Type</t>
  </si>
  <si>
    <t>Status</t>
  </si>
  <si>
    <t>Contact Phone Number 1</t>
  </si>
  <si>
    <t>Contact Phone Type 1</t>
  </si>
  <si>
    <t>Contact Phone Number 2</t>
  </si>
  <si>
    <t>Contact Phone Type 2</t>
  </si>
  <si>
    <t>Contact Phone Number 3</t>
  </si>
  <si>
    <t>Contact Phone Type 3</t>
  </si>
  <si>
    <t>Email Addresses</t>
  </si>
  <si>
    <t>Has Data Access</t>
  </si>
  <si>
    <t>Has Custody</t>
  </si>
  <si>
    <t>Lives With</t>
  </si>
  <si>
    <t>Receives Mail</t>
  </si>
  <si>
    <t>Emerg Contact</t>
  </si>
  <si>
    <t>School Pickup</t>
  </si>
  <si>
    <t>KAMS</t>
  </si>
  <si>
    <t>Alexander, Damorrion</t>
  </si>
  <si>
    <t>Antionette Alexander</t>
  </si>
  <si>
    <t>Mother</t>
  </si>
  <si>
    <t>mother</t>
  </si>
  <si>
    <t>Active</t>
  </si>
  <si>
    <t>314-305-2655</t>
  </si>
  <si>
    <t>Mobile</t>
  </si>
  <si>
    <t>314-494-7368</t>
  </si>
  <si>
    <t>Home</t>
  </si>
  <si>
    <t>antionettealexander632@gmail.com</t>
  </si>
  <si>
    <t>No</t>
  </si>
  <si>
    <t>Yes</t>
  </si>
  <si>
    <t>Derrell Alexander</t>
  </si>
  <si>
    <t>Father</t>
  </si>
  <si>
    <t>father</t>
  </si>
  <si>
    <t>-</t>
  </si>
  <si>
    <t>Not Set</t>
  </si>
  <si>
    <t>Lanell Alexander</t>
  </si>
  <si>
    <t>Grandfather</t>
  </si>
  <si>
    <t>Guan Simmons</t>
  </si>
  <si>
    <t>Uncle</t>
  </si>
  <si>
    <t>Alexander, Dareyel</t>
  </si>
  <si>
    <t>Alfred, Giovanni</t>
  </si>
  <si>
    <t>Keshia Anthony</t>
  </si>
  <si>
    <t>314-857-2488</t>
  </si>
  <si>
    <t>keshiar67@gmail.com</t>
  </si>
  <si>
    <t>Darell Bailey</t>
  </si>
  <si>
    <t>Brother</t>
  </si>
  <si>
    <t>emergency1</t>
  </si>
  <si>
    <t>314-461-7347</t>
  </si>
  <si>
    <t>James Anthony</t>
  </si>
  <si>
    <t>emergency2</t>
  </si>
  <si>
    <t>314-323-6586</t>
  </si>
  <si>
    <t>Anderson, Charles Sanchez</t>
  </si>
  <si>
    <t>Paris Mosely</t>
  </si>
  <si>
    <t>Grandmother</t>
  </si>
  <si>
    <t>314-267-5814</t>
  </si>
  <si>
    <t>CAPRIMOSELY@YAHOO.COM</t>
  </si>
  <si>
    <t>Charles Anderson</t>
  </si>
  <si>
    <t>Elizabeth Turner</t>
  </si>
  <si>
    <t>bethturner846@yahoo.com</t>
  </si>
  <si>
    <t>Victoria Grady</t>
  </si>
  <si>
    <t>314-410-8768</t>
  </si>
  <si>
    <t>vgrady2007@gmail.com</t>
  </si>
  <si>
    <t>Mary Hayden</t>
  </si>
  <si>
    <t>314-818-8947</t>
  </si>
  <si>
    <t>Mhayden69@gmail.com</t>
  </si>
  <si>
    <t>Antonious Burse</t>
  </si>
  <si>
    <t>Other</t>
  </si>
  <si>
    <t>314-396-1058</t>
  </si>
  <si>
    <t>Cynthia Hayden-Brown</t>
  </si>
  <si>
    <t>Aunt</t>
  </si>
  <si>
    <t>314-482-2783</t>
  </si>
  <si>
    <t>Banks, Jordynn M</t>
  </si>
  <si>
    <t>Diane Johnson</t>
  </si>
  <si>
    <t>314-791-5711</t>
  </si>
  <si>
    <t>314-337-7893</t>
  </si>
  <si>
    <t>jdiane453@gmail.com</t>
  </si>
  <si>
    <t>Ethel Rowell</t>
  </si>
  <si>
    <t>ethelrowell21@gmail.com</t>
  </si>
  <si>
    <t>Charles Banks</t>
  </si>
  <si>
    <t>Barnes III, Juan O</t>
  </si>
  <si>
    <t>Joann Powell</t>
  </si>
  <si>
    <t>guardian</t>
  </si>
  <si>
    <t>314-922-9539</t>
  </si>
  <si>
    <t>Daytime</t>
  </si>
  <si>
    <t>314-966-9666</t>
  </si>
  <si>
    <t>Work</t>
  </si>
  <si>
    <t>Joannaatkins02@yahoo.com</t>
  </si>
  <si>
    <t>Andrenos Powell</t>
  </si>
  <si>
    <t>314-562-8626</t>
  </si>
  <si>
    <t>Beckley, Lamori Airyana</t>
  </si>
  <si>
    <t>Daira Prete</t>
  </si>
  <si>
    <t>314-910-2661</t>
  </si>
  <si>
    <t>dairaalexxis@outlook.com</t>
  </si>
  <si>
    <t>Hazel Prete</t>
  </si>
  <si>
    <t>314-732-3902</t>
  </si>
  <si>
    <t>Bell, Elijah H</t>
  </si>
  <si>
    <t>Sierra Smith</t>
  </si>
  <si>
    <t>314-481-9107</t>
  </si>
  <si>
    <t>sbell133@icloud.com</t>
  </si>
  <si>
    <t>Mary Bell</t>
  </si>
  <si>
    <t>314-557-6178</t>
  </si>
  <si>
    <t>Bell, King</t>
  </si>
  <si>
    <t>Latosha Welch</t>
  </si>
  <si>
    <t>314-919-5512</t>
  </si>
  <si>
    <t>latoshawelch@gmail.com</t>
  </si>
  <si>
    <t>Tatyana Cody</t>
  </si>
  <si>
    <t>314-769-8665</t>
  </si>
  <si>
    <t>Nehemiah Jones</t>
  </si>
  <si>
    <t>314-480-0343</t>
  </si>
  <si>
    <t>Nicholas Bell</t>
  </si>
  <si>
    <t>Davion RAYFORD</t>
  </si>
  <si>
    <t>Blair, Fredric Anthony</t>
  </si>
  <si>
    <t>Shawn Johnson</t>
  </si>
  <si>
    <t>314-369-0172</t>
  </si>
  <si>
    <t>314-524-4148</t>
  </si>
  <si>
    <t>shawnjohnson48@gmail.com</t>
  </si>
  <si>
    <t>Alberta Knox</t>
  </si>
  <si>
    <t>Christopher Blair</t>
  </si>
  <si>
    <t>314-305-5988</t>
  </si>
  <si>
    <t>christopherblair88@gmail.com</t>
  </si>
  <si>
    <t>Shawn Johnson Johnson</t>
  </si>
  <si>
    <t>Blassingame, Maxx Gabriel</t>
  </si>
  <si>
    <t>Rose Blassingame</t>
  </si>
  <si>
    <t>314-873-9303</t>
  </si>
  <si>
    <t>ourbighappyfamily14@gmail.com</t>
  </si>
  <si>
    <t>Terri Brokaw</t>
  </si>
  <si>
    <t>314-915-3059</t>
  </si>
  <si>
    <t>ireshpixie@yahoo.com | jtnx3081118@gmail.com</t>
  </si>
  <si>
    <t>Robyn Blocker</t>
  </si>
  <si>
    <t>636-543-5056</t>
  </si>
  <si>
    <t>Blockerrobyn@gmail.com</t>
  </si>
  <si>
    <t>Emily Blassingame</t>
  </si>
  <si>
    <t>Sister</t>
  </si>
  <si>
    <t>Emilyrosesemails@gmail.com</t>
  </si>
  <si>
    <t>Blassingame, Myka Gale</t>
  </si>
  <si>
    <t>Blevins, Alexandria D'm</t>
  </si>
  <si>
    <t>Crystala Salone</t>
  </si>
  <si>
    <t>314-736-2556</t>
  </si>
  <si>
    <t>314-484-2247</t>
  </si>
  <si>
    <t>cdsalone0915@gmail.com</t>
  </si>
  <si>
    <t>Tyrone Blevins</t>
  </si>
  <si>
    <t>314-800-9114</t>
  </si>
  <si>
    <t>314-342-1296</t>
  </si>
  <si>
    <t>blevinsfamily05@gmail.com</t>
  </si>
  <si>
    <t>Bourrage, Kayden Crishon</t>
  </si>
  <si>
    <t>Crishunna Moore</t>
  </si>
  <si>
    <t>314-398-2506</t>
  </si>
  <si>
    <t>crishunnam@gmail.com</t>
  </si>
  <si>
    <t>Quincy Allen</t>
  </si>
  <si>
    <t>314-398-2558</t>
  </si>
  <si>
    <t>Tenille Brown</t>
  </si>
  <si>
    <t>314-243-5330</t>
  </si>
  <si>
    <t>Chasity Boykin</t>
  </si>
  <si>
    <t>Whitedarryle3@gmail.com</t>
  </si>
  <si>
    <t>Susan Boykin</t>
  </si>
  <si>
    <t>Susanboykin47@gmail.com</t>
  </si>
  <si>
    <t>Lj Punch</t>
  </si>
  <si>
    <t>314-306-4378</t>
  </si>
  <si>
    <t>punchalicious@gmail.com</t>
  </si>
  <si>
    <t>Stephanie Reynolds</t>
  </si>
  <si>
    <t>860-305-6908</t>
  </si>
  <si>
    <t>stephaniemreynolds77@gmail.com</t>
  </si>
  <si>
    <t>Julia Punch</t>
  </si>
  <si>
    <t>443-824-0925</t>
  </si>
  <si>
    <t>Leslie Braxton</t>
  </si>
  <si>
    <t>314-749-9547</t>
  </si>
  <si>
    <t>sistahmoonzo@yahoo.com</t>
  </si>
  <si>
    <t>-No Name-</t>
  </si>
  <si>
    <t>Brock, Jassiah</t>
  </si>
  <si>
    <t>Genethia Parson</t>
  </si>
  <si>
    <t>314-484-6492</t>
  </si>
  <si>
    <t>Precias Miller</t>
  </si>
  <si>
    <t>314-828-0374</t>
  </si>
  <si>
    <t>preciasp33@gmail.com</t>
  </si>
  <si>
    <t>Ryan Palmer</t>
  </si>
  <si>
    <t>314-465-2952</t>
  </si>
  <si>
    <t>Brown, Cameron Jelani</t>
  </si>
  <si>
    <t>Victoria Davis Brown</t>
  </si>
  <si>
    <t>314-230-3675</t>
  </si>
  <si>
    <t>Victoryismine73@gmail.com</t>
  </si>
  <si>
    <t>Marlon Brown</t>
  </si>
  <si>
    <t>314-320-1473</t>
  </si>
  <si>
    <t>mbdb@gmail.com</t>
  </si>
  <si>
    <t>Brown, Caylin Nicole</t>
  </si>
  <si>
    <t>Jasmine Wicks</t>
  </si>
  <si>
    <t>557-233-0626</t>
  </si>
  <si>
    <t>314-449-0994</t>
  </si>
  <si>
    <t>Jnwicks2890@yahoo.com</t>
  </si>
  <si>
    <t>Corey Brown</t>
  </si>
  <si>
    <t>314-449-0449</t>
  </si>
  <si>
    <t>314-393-9934</t>
  </si>
  <si>
    <t>Cbrown0323@yahoo.com</t>
  </si>
  <si>
    <t>Erinn Wicks</t>
  </si>
  <si>
    <t>Wicksfamilymama5@yahoo.com</t>
  </si>
  <si>
    <t>Christopher Alexander</t>
  </si>
  <si>
    <t>Delance Moore</t>
  </si>
  <si>
    <t>Brown, Marielle Jeliah</t>
  </si>
  <si>
    <t>Bryant, Brielle</t>
  </si>
  <si>
    <t>Brittney Starks</t>
  </si>
  <si>
    <t>314-312-7253</t>
  </si>
  <si>
    <t>Stlbarbie12@gmail.com</t>
  </si>
  <si>
    <t>Farrah Starks</t>
  </si>
  <si>
    <t>314-358-2628</t>
  </si>
  <si>
    <t>noemail@email.com</t>
  </si>
  <si>
    <t>Derricka Lawrence</t>
  </si>
  <si>
    <t>217-963-0020</t>
  </si>
  <si>
    <t>Burchett, Kyra Martinquie</t>
  </si>
  <si>
    <t>Frederick Burchett</t>
  </si>
  <si>
    <t>314-857-0236</t>
  </si>
  <si>
    <t>314-435-0427</t>
  </si>
  <si>
    <t>burchettfrederick9@gmail.com</t>
  </si>
  <si>
    <t>Cherish Burchett</t>
  </si>
  <si>
    <t>Cole, Sophia Marie</t>
  </si>
  <si>
    <t>Tina Cole</t>
  </si>
  <si>
    <t>314-305-5509</t>
  </si>
  <si>
    <t>314-664-7141</t>
  </si>
  <si>
    <t>314-577-8042</t>
  </si>
  <si>
    <t>tinamcole67@gmail.com</t>
  </si>
  <si>
    <t>Collins`, Marc Anthony</t>
  </si>
  <si>
    <t>Brittany Scott</t>
  </si>
  <si>
    <t>314-817-6395</t>
  </si>
  <si>
    <t>314-289-6872</t>
  </si>
  <si>
    <t>blyn.thepainter@gmail.com</t>
  </si>
  <si>
    <t>Angie Culberson</t>
  </si>
  <si>
    <t>314-556-7850</t>
  </si>
  <si>
    <t>angieshaw72@aol.com</t>
  </si>
  <si>
    <t>Colyer, Ayden</t>
  </si>
  <si>
    <t>Connie Colyer</t>
  </si>
  <si>
    <t>636-541-2314</t>
  </si>
  <si>
    <t>ccolyer77@gmail.com</t>
  </si>
  <si>
    <t>Dwan Colyer</t>
  </si>
  <si>
    <t>314-249-7846</t>
  </si>
  <si>
    <t>dwancolyer@gmail.com</t>
  </si>
  <si>
    <t>Tonia Coleman</t>
  </si>
  <si>
    <t>314-497-0522</t>
  </si>
  <si>
    <t>Kelly Simmons</t>
  </si>
  <si>
    <t>emergency3</t>
  </si>
  <si>
    <t>314-532-8578</t>
  </si>
  <si>
    <t>ksimmons@factmo.org</t>
  </si>
  <si>
    <t>Diane King</t>
  </si>
  <si>
    <t>314-556-2649</t>
  </si>
  <si>
    <t>dianeking2315@yahoo.com</t>
  </si>
  <si>
    <t>Conner, Courtland Theodore</t>
  </si>
  <si>
    <t>Thea Conner</t>
  </si>
  <si>
    <t>314-450-6112</t>
  </si>
  <si>
    <t>theaconner@ymail.com</t>
  </si>
  <si>
    <t>Michael Conner</t>
  </si>
  <si>
    <t>314-366-0000</t>
  </si>
  <si>
    <t>Ashley Morales</t>
  </si>
  <si>
    <t>Friend</t>
  </si>
  <si>
    <t>314-363-7793</t>
  </si>
  <si>
    <t>314-333-9165</t>
  </si>
  <si>
    <t>polloschica87@gmail.com</t>
  </si>
  <si>
    <t>Versele Shaw</t>
  </si>
  <si>
    <t>Cosey, Austin Jamar</t>
  </si>
  <si>
    <t>Austin Cosey</t>
  </si>
  <si>
    <t>314-489-9813</t>
  </si>
  <si>
    <t>austincosey@yahoo.com</t>
  </si>
  <si>
    <t>dianeking2135@yahoo.com</t>
  </si>
  <si>
    <t>Angel Ruiz</t>
  </si>
  <si>
    <t>314-406-1190</t>
  </si>
  <si>
    <t>babygirl62890@gmail.com</t>
  </si>
  <si>
    <t>Crump, Ki'Mirah Erica</t>
  </si>
  <si>
    <t>Kiara Crump</t>
  </si>
  <si>
    <t>314-601-2599</t>
  </si>
  <si>
    <t>kiaracrump911@gmail.com</t>
  </si>
  <si>
    <t>Wanda Spencer</t>
  </si>
  <si>
    <t>314-456-4865</t>
  </si>
  <si>
    <t>Aaron Moore</t>
  </si>
  <si>
    <t>314-600-4865</t>
  </si>
  <si>
    <t>Bobbytoreal4@gmail.com</t>
  </si>
  <si>
    <t>Kanesha Marshall</t>
  </si>
  <si>
    <t>314-562-2203</t>
  </si>
  <si>
    <t>Curry, Dorian A</t>
  </si>
  <si>
    <t>Darionne Keys</t>
  </si>
  <si>
    <t>314-319-8549</t>
  </si>
  <si>
    <t>314-305-6348</t>
  </si>
  <si>
    <t>darimarie1@yahoo.com</t>
  </si>
  <si>
    <t>Kandice Smith</t>
  </si>
  <si>
    <t>314-699-1456</t>
  </si>
  <si>
    <t>Dailey, Demetrice Rondell</t>
  </si>
  <si>
    <t>Demetrice Dailey</t>
  </si>
  <si>
    <t>314-827-7499</t>
  </si>
  <si>
    <t>michelleriggins987@yahoo.com</t>
  </si>
  <si>
    <t>Tarell Morris</t>
  </si>
  <si>
    <t>314-891-5662</t>
  </si>
  <si>
    <t>morristarell@yahoo.com</t>
  </si>
  <si>
    <t>Davis, Alexandria Lauren</t>
  </si>
  <si>
    <t>Torian Brackett</t>
  </si>
  <si>
    <t>314-267-2400</t>
  </si>
  <si>
    <t>torianb35@gmail.com</t>
  </si>
  <si>
    <t>Jason Davis</t>
  </si>
  <si>
    <t>314-315-1163</t>
  </si>
  <si>
    <t>Brandon Brackett</t>
  </si>
  <si>
    <t>636-219-1324</t>
  </si>
  <si>
    <t>Stella Davis</t>
  </si>
  <si>
    <t>314-389-5089</t>
  </si>
  <si>
    <t>Davis, Briyah</t>
  </si>
  <si>
    <t>Brianna Nailor</t>
  </si>
  <si>
    <t>314-327-4317</t>
  </si>
  <si>
    <t>briannanailor@yahoo.com</t>
  </si>
  <si>
    <t>Natalie Nailor</t>
  </si>
  <si>
    <t>314-393-9535</t>
  </si>
  <si>
    <t>De Mateo, Alvaro Oswaldo</t>
  </si>
  <si>
    <t>Irma Zuniga</t>
  </si>
  <si>
    <t>314-449-2687</t>
  </si>
  <si>
    <t>abigailvargas54@gmail.com</t>
  </si>
  <si>
    <t>Abigail Vargas</t>
  </si>
  <si>
    <t>314-776-4223</t>
  </si>
  <si>
    <t>Dean, Lyrik</t>
  </si>
  <si>
    <t>Karlona Dean</t>
  </si>
  <si>
    <t>314-857-4166</t>
  </si>
  <si>
    <t>karlona.dean@gmail.com</t>
  </si>
  <si>
    <t>Debora Webb</t>
  </si>
  <si>
    <t>314-250-1697</t>
  </si>
  <si>
    <t>Dickerson, Harlem</t>
  </si>
  <si>
    <t>Zhanesha Dickerson</t>
  </si>
  <si>
    <t>314-243-1481</t>
  </si>
  <si>
    <t>314-397-3845</t>
  </si>
  <si>
    <t>patriciastringer31@yahoo.com</t>
  </si>
  <si>
    <t>Kenneth Dickerson</t>
  </si>
  <si>
    <t>314-450-0134</t>
  </si>
  <si>
    <t>Jamie Pate</t>
  </si>
  <si>
    <t>314-280-2785</t>
  </si>
  <si>
    <t>jamieand6bbies@gmail.com</t>
  </si>
  <si>
    <t>Durham, Cherish Janiyah</t>
  </si>
  <si>
    <t>Janesha Hopkins</t>
  </si>
  <si>
    <t>314-780-6425</t>
  </si>
  <si>
    <t>hopkinslatrice9@gmail.com</t>
  </si>
  <si>
    <t>Edmunds, Harper</t>
  </si>
  <si>
    <t>Miata Armstrong</t>
  </si>
  <si>
    <t>314-704-4198</t>
  </si>
  <si>
    <t>miata.a.armstrong@aol.com</t>
  </si>
  <si>
    <t>Theodore Green</t>
  </si>
  <si>
    <t>314-797-3944</t>
  </si>
  <si>
    <t>Mioko Pankins</t>
  </si>
  <si>
    <t>314-327-9412</t>
  </si>
  <si>
    <t>Ephriam, Astashia'Nae</t>
  </si>
  <si>
    <t>Anastashia Smith</t>
  </si>
  <si>
    <t>314-688-4800</t>
  </si>
  <si>
    <t>314-650-3576</t>
  </si>
  <si>
    <t>314-940-4640</t>
  </si>
  <si>
    <t>anastashiasmith@yahoo.com</t>
  </si>
  <si>
    <t>Tammie Smith</t>
  </si>
  <si>
    <t>314-327-4468</t>
  </si>
  <si>
    <t>314-345-3456</t>
  </si>
  <si>
    <t>475-554-5454</t>
  </si>
  <si>
    <t>Tsmith318@gmail.com</t>
  </si>
  <si>
    <t>Mark Ruhl</t>
  </si>
  <si>
    <t>markruhl1986@gmail.com</t>
  </si>
  <si>
    <t>Erhart, Anya'Noel Katara</t>
  </si>
  <si>
    <t>Andrea Erhart</t>
  </si>
  <si>
    <t>314-760-2922</t>
  </si>
  <si>
    <t>gambinohunny@yahoo.com | hunnygambino@icloud.com</t>
  </si>
  <si>
    <t>Tina Wampler</t>
  </si>
  <si>
    <t>314-356-4351</t>
  </si>
  <si>
    <t>Daniel Wampler</t>
  </si>
  <si>
    <t>314-636-6689</t>
  </si>
  <si>
    <t>Evans, Jayairra Shayionna</t>
  </si>
  <si>
    <t>Ashley Bing</t>
  </si>
  <si>
    <t>314-585-7466</t>
  </si>
  <si>
    <t>ashleebing91@gmail.com</t>
  </si>
  <si>
    <t>Taneta Brown</t>
  </si>
  <si>
    <t>314-261-6640</t>
  </si>
  <si>
    <t>Finch, Ryan Lamont</t>
  </si>
  <si>
    <t>Shanon Taylor</t>
  </si>
  <si>
    <t>314-345-0019</t>
  </si>
  <si>
    <t>tshanon3@gmail.com</t>
  </si>
  <si>
    <t>Patricia Vanegas-Sanchez</t>
  </si>
  <si>
    <t>314-477-5355</t>
  </si>
  <si>
    <t>patriciavanegas122@gmail.com | patti.sanchez5782@gmail.com</t>
  </si>
  <si>
    <t>Maurino Flores</t>
  </si>
  <si>
    <t>314-922-5720</t>
  </si>
  <si>
    <t>Maurino Hernandez</t>
  </si>
  <si>
    <t>fmaurino76@gmail.com</t>
  </si>
  <si>
    <t>Foster Jr, Mikhail Dnell</t>
  </si>
  <si>
    <t>April Watson</t>
  </si>
  <si>
    <t>314-986-5446</t>
  </si>
  <si>
    <t>314-806-5430</t>
  </si>
  <si>
    <t>carefour459@gmail.com</t>
  </si>
  <si>
    <t>Erma Watson</t>
  </si>
  <si>
    <t>314-757-6128</t>
  </si>
  <si>
    <t>ermawatson30@gmail.com</t>
  </si>
  <si>
    <t>Cornelius Watson</t>
  </si>
  <si>
    <t>314-971-6463</t>
  </si>
  <si>
    <t>Tomeika Gaddy</t>
  </si>
  <si>
    <t>314-449-0430</t>
  </si>
  <si>
    <t>tomeika.gaddy@yahoo.com</t>
  </si>
  <si>
    <t>Frazier III, Michael Laroy</t>
  </si>
  <si>
    <t>Caitlyn Chaney</t>
  </si>
  <si>
    <t>314-707-2290</t>
  </si>
  <si>
    <t>caitlyn.chaney26811@gmail.com</t>
  </si>
  <si>
    <t>Delonjay Ward</t>
  </si>
  <si>
    <t>314-794-0647</t>
  </si>
  <si>
    <t>Ashley Elliott</t>
  </si>
  <si>
    <t>314-202-2048</t>
  </si>
  <si>
    <t>Ashleyeliot202@gmail.com</t>
  </si>
  <si>
    <t>Tikishiea Chaney</t>
  </si>
  <si>
    <t>314-406-4863</t>
  </si>
  <si>
    <t>Frazier, Mya Lanice</t>
  </si>
  <si>
    <t>Lakeisha Blanchard</t>
  </si>
  <si>
    <t>314-885-9200</t>
  </si>
  <si>
    <t>314-700-0000</t>
  </si>
  <si>
    <t>123-456-8977</t>
  </si>
  <si>
    <t>keisha38hotgirl@gmail.com</t>
  </si>
  <si>
    <t>Eric Smith</t>
  </si>
  <si>
    <t>314-885-2688</t>
  </si>
  <si>
    <t>Demetrius Anderson</t>
  </si>
  <si>
    <t>Verna Williams</t>
  </si>
  <si>
    <t>Galloway, Leelah'jai</t>
  </si>
  <si>
    <t>Dawn Spencer</t>
  </si>
  <si>
    <t>840-837-6355</t>
  </si>
  <si>
    <t>Msdlspencer@yahoo.com</t>
  </si>
  <si>
    <t>Taniza Crawford</t>
  </si>
  <si>
    <t>657-452-8651</t>
  </si>
  <si>
    <t>Tanizacrawford@icloud.com</t>
  </si>
  <si>
    <t>Gholson, Tamell L</t>
  </si>
  <si>
    <t>Najwa Wakil</t>
  </si>
  <si>
    <t>314-500-8276</t>
  </si>
  <si>
    <t>Najwawakil1@gmail.com</t>
  </si>
  <si>
    <t>Lanay Jones</t>
  </si>
  <si>
    <t>314-680-5389</t>
  </si>
  <si>
    <t>Ms. Jones</t>
  </si>
  <si>
    <t>Gilcrease, Jermondez Alexander</t>
  </si>
  <si>
    <t>Melodee Gilcrease</t>
  </si>
  <si>
    <t>314-337-5401</t>
  </si>
  <si>
    <t>314-324-6590</t>
  </si>
  <si>
    <t>melodeegilcrease5@gmail.com</t>
  </si>
  <si>
    <t>Gill, Willie William</t>
  </si>
  <si>
    <t>Tonya Ellison</t>
  </si>
  <si>
    <t>314-688-0278</t>
  </si>
  <si>
    <t>ellisontonya508@gmail.com</t>
  </si>
  <si>
    <t>Sam Gill</t>
  </si>
  <si>
    <t>314-745-5547</t>
  </si>
  <si>
    <t>Charlicia Goodman</t>
  </si>
  <si>
    <t>314-299-0259</t>
  </si>
  <si>
    <t>314-000-0008</t>
  </si>
  <si>
    <t>charliciag5@gmail.com</t>
  </si>
  <si>
    <t>Laurie Goodman</t>
  </si>
  <si>
    <t>314-412-8861</t>
  </si>
  <si>
    <t>314-000-0987</t>
  </si>
  <si>
    <t>314-000-0000</t>
  </si>
  <si>
    <t>Deonta Williams</t>
  </si>
  <si>
    <t>Gordon'Williams, Raysean Dwayne</t>
  </si>
  <si>
    <t>Leanora Washington</t>
  </si>
  <si>
    <t>314-696-7377</t>
  </si>
  <si>
    <t>lwashington988@gmail.com</t>
  </si>
  <si>
    <t>Ray Williams</t>
  </si>
  <si>
    <t>Lesherelle Phillips</t>
  </si>
  <si>
    <t>314-705-6462</t>
  </si>
  <si>
    <t>Graffread, Keithron B</t>
  </si>
  <si>
    <t>Douglas Williams</t>
  </si>
  <si>
    <t>314-688-6814</t>
  </si>
  <si>
    <t>Douglaswilliams43@yahoo.com</t>
  </si>
  <si>
    <t>Eylove Boyd</t>
  </si>
  <si>
    <t>314-683-6118</t>
  </si>
  <si>
    <t>Dana Moss</t>
  </si>
  <si>
    <t>314-335-9420</t>
  </si>
  <si>
    <t>danamoss093@gmail.co | danamoss093@gmail.com</t>
  </si>
  <si>
    <t>Griffin, De'Asia Danae</t>
  </si>
  <si>
    <t>Tamieka Mack-Griffin</t>
  </si>
  <si>
    <t>702-906-4506</t>
  </si>
  <si>
    <t>tamieka_mack@yahoo.com</t>
  </si>
  <si>
    <t>Damoine Griffin</t>
  </si>
  <si>
    <t>314-425-9894</t>
  </si>
  <si>
    <t>gibsonwhite43@gmail.com</t>
  </si>
  <si>
    <t>Paris Clarck</t>
  </si>
  <si>
    <t>316-399-7985</t>
  </si>
  <si>
    <t>Saundra Paden</t>
  </si>
  <si>
    <t>314-939-4360</t>
  </si>
  <si>
    <t>Michael Mack</t>
  </si>
  <si>
    <t>816-259-8198</t>
  </si>
  <si>
    <t>Griffin, Ziy'La</t>
  </si>
  <si>
    <t>Carla Griffin</t>
  </si>
  <si>
    <t>314-709-9527</t>
  </si>
  <si>
    <t>Cgriffin8905@gmail.com</t>
  </si>
  <si>
    <t>Guebert, Cable Christopher</t>
  </si>
  <si>
    <t>Christopher Guebert</t>
  </si>
  <si>
    <t>314-359-4781</t>
  </si>
  <si>
    <t>sumoburner79@gmail.com</t>
  </si>
  <si>
    <t>Clare Guebert</t>
  </si>
  <si>
    <t>314-583-8526</t>
  </si>
  <si>
    <t>ckrumusic@gmail.com</t>
  </si>
  <si>
    <t>Guebert, Conrad Matthew</t>
  </si>
  <si>
    <t>chrisguebert7980@gmail.com</t>
  </si>
  <si>
    <t>Guebert, Corbin Christopher</t>
  </si>
  <si>
    <t>Harden, Juwan</t>
  </si>
  <si>
    <t>Lateefah Kitab</t>
  </si>
  <si>
    <t>314-366-1553</t>
  </si>
  <si>
    <t>314-379-4892</t>
  </si>
  <si>
    <t>ccmf850@gmail.com</t>
  </si>
  <si>
    <t>Percy Harden</t>
  </si>
  <si>
    <t>Pharden1976@icloud.com</t>
  </si>
  <si>
    <t>Amiya Pickens</t>
  </si>
  <si>
    <t>314-333-2849</t>
  </si>
  <si>
    <t>Amiyapickens@yahoo.com</t>
  </si>
  <si>
    <t>Jamya Johnson</t>
  </si>
  <si>
    <t>557-215-5899</t>
  </si>
  <si>
    <t>mrzjohnson1118@icloud.com</t>
  </si>
  <si>
    <t>Jamya  Johnson</t>
  </si>
  <si>
    <t>Henry Hardy</t>
  </si>
  <si>
    <t>314-793-4685</t>
  </si>
  <si>
    <t>314-230-3083</t>
  </si>
  <si>
    <t>henryhardy.hh@gmail.com</t>
  </si>
  <si>
    <t>Denise Hardy</t>
  </si>
  <si>
    <t>314-376-7759</t>
  </si>
  <si>
    <t>314-615-7188</t>
  </si>
  <si>
    <t>denise.hardy.db@gmail.com</t>
  </si>
  <si>
    <t>Hardy, Jacob Alexander</t>
  </si>
  <si>
    <t>Floyd Irving</t>
  </si>
  <si>
    <t>618-709-1321</t>
  </si>
  <si>
    <t>floyd.irving91@gmail.com</t>
  </si>
  <si>
    <t>Gainell Robinson</t>
  </si>
  <si>
    <t>314-782-5619</t>
  </si>
  <si>
    <t>980-362-9264</t>
  </si>
  <si>
    <t>robinsongainell@gmail.com</t>
  </si>
  <si>
    <t>Harris, Harrison Ethan</t>
  </si>
  <si>
    <t>Dr. Kennisha Harris</t>
  </si>
  <si>
    <t>314-688-7941</t>
  </si>
  <si>
    <t>314-399-9170</t>
  </si>
  <si>
    <t>doctorkennisha.harris@gmail.com</t>
  </si>
  <si>
    <t>Corey Harris</t>
  </si>
  <si>
    <t>314-477-2764</t>
  </si>
  <si>
    <t>cdharris_05@yahoo.com</t>
  </si>
  <si>
    <t>Cheryle Robinson</t>
  </si>
  <si>
    <t>314-361-9927</t>
  </si>
  <si>
    <t>Harris, Johan</t>
  </si>
  <si>
    <t>Shaniece Harris</t>
  </si>
  <si>
    <t>314-482-4785</t>
  </si>
  <si>
    <t>shanieceharris387@gmail.com</t>
  </si>
  <si>
    <t>Damon Epps</t>
  </si>
  <si>
    <t>314-504-7567</t>
  </si>
  <si>
    <t>Harris, Khori Kai</t>
  </si>
  <si>
    <t>Harris, Zu'rell Steven</t>
  </si>
  <si>
    <t>Dana Beasley</t>
  </si>
  <si>
    <t>557-213-0977</t>
  </si>
  <si>
    <t>314-728-6926</t>
  </si>
  <si>
    <t>beasleydana71@gmail.com</t>
  </si>
  <si>
    <t>Crystal Beasley</t>
  </si>
  <si>
    <t>314-489-7183</t>
  </si>
  <si>
    <t>Shenyra Harris</t>
  </si>
  <si>
    <t>314-449-4296</t>
  </si>
  <si>
    <t>Hartfield, David Lee</t>
  </si>
  <si>
    <t>Lashanda Johnson</t>
  </si>
  <si>
    <t>314-326-3195</t>
  </si>
  <si>
    <t>lashandam.johnson32@gmail.com</t>
  </si>
  <si>
    <t>Henderson, Iyhanna</t>
  </si>
  <si>
    <t>Selena Henderson</t>
  </si>
  <si>
    <t>314-574-4981</t>
  </si>
  <si>
    <t>selena.henderson@ssmhealth.com</t>
  </si>
  <si>
    <t>Carlos Henderson</t>
  </si>
  <si>
    <t>314-809-6804</t>
  </si>
  <si>
    <t>Hill, Yemaya Zenede</t>
  </si>
  <si>
    <t>Alexis Mccoy</t>
  </si>
  <si>
    <t>314-954-1427</t>
  </si>
  <si>
    <t>314-800-3090</t>
  </si>
  <si>
    <t>314-454-0554</t>
  </si>
  <si>
    <t>mccoy.alexis92@gmail.com</t>
  </si>
  <si>
    <t>Zentoria Mccoy</t>
  </si>
  <si>
    <t>314-546-6134</t>
  </si>
  <si>
    <t>Holt, McKenzie</t>
  </si>
  <si>
    <t>Keishawna Bradley</t>
  </si>
  <si>
    <t>314-319-7765</t>
  </si>
  <si>
    <t>shawnalashay.kb@gmail.com</t>
  </si>
  <si>
    <t>Horton, Taylor Amori</t>
  </si>
  <si>
    <t>Celia Jackson</t>
  </si>
  <si>
    <t>314-895-1399</t>
  </si>
  <si>
    <t>cjteach@gmail.com</t>
  </si>
  <si>
    <t>Howard, Jade N</t>
  </si>
  <si>
    <t>Travia Howard</t>
  </si>
  <si>
    <t>314-791-7766</t>
  </si>
  <si>
    <t>Traviahoward25@gmail.com</t>
  </si>
  <si>
    <t>Chonsherie Guthrie</t>
  </si>
  <si>
    <t>314-901-3349</t>
  </si>
  <si>
    <t>chonsherieguthrie@aol.com</t>
  </si>
  <si>
    <t>Raquel Vanhook</t>
  </si>
  <si>
    <t>314-226-5521</t>
  </si>
  <si>
    <t>raquel.vanhook23@gmail.com</t>
  </si>
  <si>
    <t>Maria Garcia</t>
  </si>
  <si>
    <t>314-450-0448</t>
  </si>
  <si>
    <t>314-445-7063</t>
  </si>
  <si>
    <t>Mariacastaneda2789@gmail.com</t>
  </si>
  <si>
    <t>Angelina Garcia</t>
  </si>
  <si>
    <t>314-766-3260</t>
  </si>
  <si>
    <t>314-732-3040</t>
  </si>
  <si>
    <t>Irving, Isaiah</t>
  </si>
  <si>
    <t>Irving, Torrian Jarquis</t>
  </si>
  <si>
    <t>Ember Williams</t>
  </si>
  <si>
    <t>314-517-1281</t>
  </si>
  <si>
    <t>embernicole2025@gmail.com</t>
  </si>
  <si>
    <t>Shaun Williams</t>
  </si>
  <si>
    <t>Ganiell Robinson Irving</t>
  </si>
  <si>
    <t>Israel, Shemuel</t>
  </si>
  <si>
    <t>Shoshana Israel</t>
  </si>
  <si>
    <t>314-412-4593</t>
  </si>
  <si>
    <t>shoshana7israel@gmail.com</t>
  </si>
  <si>
    <t>Robert Stewart</t>
  </si>
  <si>
    <t>314-356-0931</t>
  </si>
  <si>
    <t>robstayfit526@gmail.com</t>
  </si>
  <si>
    <t>Ivy, Paris</t>
  </si>
  <si>
    <t>Janel Ivy</t>
  </si>
  <si>
    <t>314-399-2207</t>
  </si>
  <si>
    <t>jmi.77@icloud.com</t>
  </si>
  <si>
    <t>James, Faith</t>
  </si>
  <si>
    <t>Wanda Clayton</t>
  </si>
  <si>
    <t>314-255-8966</t>
  </si>
  <si>
    <t>claytonwanda45@gmail.com</t>
  </si>
  <si>
    <t>Falaci Davis</t>
  </si>
  <si>
    <t>314-591-4526</t>
  </si>
  <si>
    <t>marnicejefferson990@gmail.com</t>
  </si>
  <si>
    <t>Daidria Wheeler</t>
  </si>
  <si>
    <t>314-914-7178</t>
  </si>
  <si>
    <t>Charles Lewis</t>
  </si>
  <si>
    <t>314-489-7870</t>
  </si>
  <si>
    <t>3149147178@schoolmint.net</t>
  </si>
  <si>
    <t>Jenkins, Heaven</t>
  </si>
  <si>
    <t>Carrinda Dunlap</t>
  </si>
  <si>
    <t>314-709-5662</t>
  </si>
  <si>
    <t>carrinda.md@gmail.com</t>
  </si>
  <si>
    <t>Howard Jenkins</t>
  </si>
  <si>
    <t>314-386-9240</t>
  </si>
  <si>
    <t>Monica Arnold</t>
  </si>
  <si>
    <t>314-387-1371</t>
  </si>
  <si>
    <t>msmonniedee@gmail.com</t>
  </si>
  <si>
    <t>Anteinea Peebles</t>
  </si>
  <si>
    <t>314-610-3025</t>
  </si>
  <si>
    <t>apeebles123@gmail.com</t>
  </si>
  <si>
    <t>Jessica Anderson</t>
  </si>
  <si>
    <t>314-637-2996</t>
  </si>
  <si>
    <t>JessicaN.Anderson@yahoo.com</t>
  </si>
  <si>
    <t>Jenkins, Nevaeh</t>
  </si>
  <si>
    <t>Jenkins, Zah'Lyla</t>
  </si>
  <si>
    <t>Johnson, Madalynn</t>
  </si>
  <si>
    <t>Marquita Johnson</t>
  </si>
  <si>
    <t>314-330-1019</t>
  </si>
  <si>
    <t>marquitamjohnson4@myyahoo.com</t>
  </si>
  <si>
    <t>Angela Lucas</t>
  </si>
  <si>
    <t>314-489-0046</t>
  </si>
  <si>
    <t>Darryl Johnson</t>
  </si>
  <si>
    <t>720-902-0797</t>
  </si>
  <si>
    <t>johnsondarryl999@gmail.com</t>
  </si>
  <si>
    <t>Jones, Amyira V</t>
  </si>
  <si>
    <t>Leone Shurn</t>
  </si>
  <si>
    <t>314-498-1704</t>
  </si>
  <si>
    <t>314-498-2806</t>
  </si>
  <si>
    <t>leoneshurn@gmail.com</t>
  </si>
  <si>
    <t>Myeisha Shurn</t>
  </si>
  <si>
    <t>314-498-1743</t>
  </si>
  <si>
    <t>Jones, Christofer</t>
  </si>
  <si>
    <t>Crystal Mccelleary</t>
  </si>
  <si>
    <t>557-204-4449</t>
  </si>
  <si>
    <t>cjmccelleary@gmail.com</t>
  </si>
  <si>
    <t>Arlanda Mccelleary</t>
  </si>
  <si>
    <t>314-797-0406</t>
  </si>
  <si>
    <t>amccelleary@yahoo.com</t>
  </si>
  <si>
    <t>Justice, Ayden Rahsaan</t>
  </si>
  <si>
    <t>Nativia Justice</t>
  </si>
  <si>
    <t>314-546-5035</t>
  </si>
  <si>
    <t>njustice09@gmail.com</t>
  </si>
  <si>
    <t>Tamara Thomas</t>
  </si>
  <si>
    <t>314-371-9504</t>
  </si>
  <si>
    <t>Kelley-Monroy, Maya Louise</t>
  </si>
  <si>
    <t>Tina Kelley</t>
  </si>
  <si>
    <t>314-696-7994</t>
  </si>
  <si>
    <t>babyleiland@gmail.com</t>
  </si>
  <si>
    <t>Lamandris Kincade</t>
  </si>
  <si>
    <t>557-203-9629</t>
  </si>
  <si>
    <t>111-111-1111</t>
  </si>
  <si>
    <t>lamandriskincade03@gmail.com</t>
  </si>
  <si>
    <t>Desiree Williams</t>
  </si>
  <si>
    <t>314-817-6277</t>
  </si>
  <si>
    <t>Alissa Kincade</t>
  </si>
  <si>
    <t>Lamandriskincade46@gmail.com</t>
  </si>
  <si>
    <t>King, Adrian M</t>
  </si>
  <si>
    <t>Benjamin King</t>
  </si>
  <si>
    <t>314-203-3021</t>
  </si>
  <si>
    <t>314-583-2333</t>
  </si>
  <si>
    <t>314-583-2334</t>
  </si>
  <si>
    <t>brking0202@gmail.com</t>
  </si>
  <si>
    <t>Bettie King</t>
  </si>
  <si>
    <t>bettieboop1052@sbcglobal.net</t>
  </si>
  <si>
    <t>Knox, Jelon Dontay</t>
  </si>
  <si>
    <t>Jasmine Griffin</t>
  </si>
  <si>
    <t>314-546-3356</t>
  </si>
  <si>
    <t>jariyahg91@icloud.com</t>
  </si>
  <si>
    <t>Russial Griffin</t>
  </si>
  <si>
    <t>314-262-5233</t>
  </si>
  <si>
    <t>Shonna Griffin</t>
  </si>
  <si>
    <t>shadiamondjones15@gmail.com</t>
  </si>
  <si>
    <t>Lakes, Jayceon</t>
  </si>
  <si>
    <t>Lisa Willis</t>
  </si>
  <si>
    <t>636-288-4369</t>
  </si>
  <si>
    <t>jayceon2113@gmail.com</t>
  </si>
  <si>
    <t>Cumara Willis</t>
  </si>
  <si>
    <t>314-740-6628</t>
  </si>
  <si>
    <t>6362884369@schoolmint.net</t>
  </si>
  <si>
    <t>Lawrence, Marley Jai</t>
  </si>
  <si>
    <t>Ashley Harper- Lawrence</t>
  </si>
  <si>
    <t>620-308-8950</t>
  </si>
  <si>
    <t>twentynine1987@yahoo.com</t>
  </si>
  <si>
    <t>Martez Lawrence</t>
  </si>
  <si>
    <t>314-368-4677</t>
  </si>
  <si>
    <t>314-712-2501</t>
  </si>
  <si>
    <t>Lewis, Ja'rya</t>
  </si>
  <si>
    <t>Williemae Kennedy</t>
  </si>
  <si>
    <t>314-885-5131</t>
  </si>
  <si>
    <t>wkennedy10@my.stlcc.edu</t>
  </si>
  <si>
    <t>Nakita Jackson</t>
  </si>
  <si>
    <t>314-657-7830</t>
  </si>
  <si>
    <t>nakita.s.jackson@dss.mo.gov</t>
  </si>
  <si>
    <t>jbhoney029@gmail.com</t>
  </si>
  <si>
    <t>Ciera CaseWorker</t>
  </si>
  <si>
    <t>314-906-2966</t>
  </si>
  <si>
    <t>Loyd, Kennedi Monet’</t>
  </si>
  <si>
    <t>Jamika Loyd</t>
  </si>
  <si>
    <t>314-409-5644</t>
  </si>
  <si>
    <t>travelbossbabe26@gmail.com</t>
  </si>
  <si>
    <t>Johnnie Loyd</t>
  </si>
  <si>
    <t>636-485-2291</t>
  </si>
  <si>
    <t>Jessica Lee</t>
  </si>
  <si>
    <t>314-283-8913</t>
  </si>
  <si>
    <t>jesslee4819@gmail.com</t>
  </si>
  <si>
    <t>Luster, Peyton Janay</t>
  </si>
  <si>
    <t>Jatanya Waters</t>
  </si>
  <si>
    <t>314-229-3761</t>
  </si>
  <si>
    <t>wieshia980@gmail.com</t>
  </si>
  <si>
    <t>Dwight Mckinney</t>
  </si>
  <si>
    <t>314-354-6122</t>
  </si>
  <si>
    <t>dmckinney299@gmail.com</t>
  </si>
  <si>
    <t>Mays, Kyu Lamont</t>
  </si>
  <si>
    <t>Orlando Mays</t>
  </si>
  <si>
    <t>314-712-7116</t>
  </si>
  <si>
    <t>314-474-3906</t>
  </si>
  <si>
    <t>wellsfargoh1zill@gmail.com</t>
  </si>
  <si>
    <t>Nicola Kea</t>
  </si>
  <si>
    <t>314-282-1468</t>
  </si>
  <si>
    <t>McAlpin, Chloe</t>
  </si>
  <si>
    <t>Danielle Langston</t>
  </si>
  <si>
    <t>314-914-0169</t>
  </si>
  <si>
    <t>dlangston8992@gmail.com</t>
  </si>
  <si>
    <t>Derelle Gaines</t>
  </si>
  <si>
    <t>314-320-5635</t>
  </si>
  <si>
    <t>Bertha Mcalpin</t>
  </si>
  <si>
    <t>314-688-9872</t>
  </si>
  <si>
    <t>Mccelleary, Aleecia</t>
  </si>
  <si>
    <t>McCurry, Jerome</t>
  </si>
  <si>
    <t>Clanice Baker</t>
  </si>
  <si>
    <t>314-358-4394</t>
  </si>
  <si>
    <t>Clanicebaker@gmail.com</t>
  </si>
  <si>
    <t>Paulette Baker</t>
  </si>
  <si>
    <t>314-303-1277</t>
  </si>
  <si>
    <t>McDuffie, Mariyah Elizabeth</t>
  </si>
  <si>
    <t>Nicole Davis</t>
  </si>
  <si>
    <t>314-202-9224</t>
  </si>
  <si>
    <t>314-437-8209</t>
  </si>
  <si>
    <t>n.davis86@yahoo.com</t>
  </si>
  <si>
    <t>McFadden-Bey, Brooklynn</t>
  </si>
  <si>
    <t>Crystal Ellison</t>
  </si>
  <si>
    <t>crystalellison72@gmail.com</t>
  </si>
  <si>
    <t>Delores Ellison</t>
  </si>
  <si>
    <t>Deloresellison17@gmail.com</t>
  </si>
  <si>
    <t>Latasha Robinson</t>
  </si>
  <si>
    <t>Tonya Bell</t>
  </si>
  <si>
    <t>McKee, King Tahir Jerome</t>
  </si>
  <si>
    <t>Travis Mckee</t>
  </si>
  <si>
    <t>314-400-1748</t>
  </si>
  <si>
    <t>314-305-7719</t>
  </si>
  <si>
    <t>bfly303@gmail.com</t>
  </si>
  <si>
    <t>Nathan Danfort</t>
  </si>
  <si>
    <t>McKinney, Chloe L</t>
  </si>
  <si>
    <t>Christy Harper</t>
  </si>
  <si>
    <t>314-536-6947</t>
  </si>
  <si>
    <t>christyharper473@yahoo.com</t>
  </si>
  <si>
    <t>Ryan Mcnary</t>
  </si>
  <si>
    <t>314-728-0390</t>
  </si>
  <si>
    <t>tpole91@gmail.com</t>
  </si>
  <si>
    <t>Mary Mcnary</t>
  </si>
  <si>
    <t>314-282-1053</t>
  </si>
  <si>
    <t>Diatra Sykes</t>
  </si>
  <si>
    <t>314-845-4331</t>
  </si>
  <si>
    <t>3145366947@schoolmint.net</t>
  </si>
  <si>
    <t>Kathyann Hoover</t>
  </si>
  <si>
    <t>314-461-8249</t>
  </si>
  <si>
    <t>mookk83@gmail.com</t>
  </si>
  <si>
    <t>Mendieta, Gabriel</t>
  </si>
  <si>
    <t>Juan Valdez</t>
  </si>
  <si>
    <t>314-934-5920</t>
  </si>
  <si>
    <t>Mendieta, Nevada</t>
  </si>
  <si>
    <t>Juan Cortez-Perez</t>
  </si>
  <si>
    <t>Peggy Hoover</t>
  </si>
  <si>
    <t>coldbones83@gmail.com</t>
  </si>
  <si>
    <t>3144618249@schoolmint.net</t>
  </si>
  <si>
    <t>Mensah-Fisher, Enu</t>
  </si>
  <si>
    <t>Esi Mensah</t>
  </si>
  <si>
    <t>618-4770910</t>
  </si>
  <si>
    <t>6queenscllc@gmail.com</t>
  </si>
  <si>
    <t>Dawn Phifer</t>
  </si>
  <si>
    <t>314-629-7707</t>
  </si>
  <si>
    <t>Millett, Raegan</t>
  </si>
  <si>
    <t>Erica Millett</t>
  </si>
  <si>
    <t>601-983-6091</t>
  </si>
  <si>
    <t>erica.m.millett@gmail.com</t>
  </si>
  <si>
    <t>Esarae Millett</t>
  </si>
  <si>
    <t>314-761-0313</t>
  </si>
  <si>
    <t>esarae.millett@gmail.com</t>
  </si>
  <si>
    <t>Stephanie Crusoe</t>
  </si>
  <si>
    <t>todoso@live.com</t>
  </si>
  <si>
    <t>Anthony Arnold</t>
  </si>
  <si>
    <t>Morales, Israel Ian</t>
  </si>
  <si>
    <t>Gustavo Morales</t>
  </si>
  <si>
    <t>Morales, Mimi E</t>
  </si>
  <si>
    <t>Suzanne Hektor</t>
  </si>
  <si>
    <t>Morgan, Damien Lee</t>
  </si>
  <si>
    <t>Ashlee Feldman</t>
  </si>
  <si>
    <t>314-267-6620</t>
  </si>
  <si>
    <t>ashleenichole314@yahoo.com</t>
  </si>
  <si>
    <t>Tijuan Morgan</t>
  </si>
  <si>
    <t>314-203-3113</t>
  </si>
  <si>
    <t>Joy Edwards</t>
  </si>
  <si>
    <t>314-359-4768</t>
  </si>
  <si>
    <t>joyjoyjoyjoy4444@gmail.com</t>
  </si>
  <si>
    <t>Chatzetta Edwards</t>
  </si>
  <si>
    <t>Angela Alexander</t>
  </si>
  <si>
    <t>314-285-5017</t>
  </si>
  <si>
    <t>angelaalexanderllc@gmail.com</t>
  </si>
  <si>
    <t>Robert Miner</t>
  </si>
  <si>
    <t>314-745-9557</t>
  </si>
  <si>
    <t>Sharon Alexander</t>
  </si>
  <si>
    <t>314-437-6306</t>
  </si>
  <si>
    <t>butterflyproductions314@gmail.com</t>
  </si>
  <si>
    <t>Courtney Sutton</t>
  </si>
  <si>
    <t>314-396-0137</t>
  </si>
  <si>
    <t>Cameron Sutton</t>
  </si>
  <si>
    <t>Murray, Anaiyah Justice</t>
  </si>
  <si>
    <t>Joe Murray</t>
  </si>
  <si>
    <t>314-465-1926</t>
  </si>
  <si>
    <t>Tatiana Murray</t>
  </si>
  <si>
    <t>314-465-3004</t>
  </si>
  <si>
    <t>tatiana.murray22@gmail.com</t>
  </si>
  <si>
    <t>Brenda Nelson</t>
  </si>
  <si>
    <t>314-885-9901</t>
  </si>
  <si>
    <t>lakietranelson92@gmail.com</t>
  </si>
  <si>
    <t>DMarkeez Bradford</t>
  </si>
  <si>
    <t>Ogunrinde, Oluwatise James</t>
  </si>
  <si>
    <t>Geraldine Scott-Ogunrinde</t>
  </si>
  <si>
    <t>314-578-2483</t>
  </si>
  <si>
    <t>gscott2581@aol.com</t>
  </si>
  <si>
    <t>Celia Daniel</t>
  </si>
  <si>
    <t>314-603-3993</t>
  </si>
  <si>
    <t>Lamarria Parker</t>
  </si>
  <si>
    <t>314-857-9397</t>
  </si>
  <si>
    <t>314-857-9398</t>
  </si>
  <si>
    <t>parkerlamarria@gmail.com</t>
  </si>
  <si>
    <t>Parnell, Anderson</t>
  </si>
  <si>
    <t>Ashley Parnell</t>
  </si>
  <si>
    <t>314-536-6130</t>
  </si>
  <si>
    <t>657-307-5400</t>
  </si>
  <si>
    <t>parnell.bibbs8@gmail.com</t>
  </si>
  <si>
    <t>Demetrius Luckett</t>
  </si>
  <si>
    <t>314-498-5820</t>
  </si>
  <si>
    <t>Parott, Iyanna Jonay Faith</t>
  </si>
  <si>
    <t>Roquanda Bryant</t>
  </si>
  <si>
    <t>314-706-3802</t>
  </si>
  <si>
    <t>quandabryant8@gmail.com</t>
  </si>
  <si>
    <t>Demetrius Parott</t>
  </si>
  <si>
    <t>314-365-4922</t>
  </si>
  <si>
    <t>Khonsuebey Parrott</t>
  </si>
  <si>
    <t>314-704-8423</t>
  </si>
  <si>
    <t>Petty, Sariah Unique</t>
  </si>
  <si>
    <t>Gilesa Robins</t>
  </si>
  <si>
    <t>314-337-6416</t>
  </si>
  <si>
    <t>renaerobins33@yahoo.com</t>
  </si>
  <si>
    <t>Maurice Whitt</t>
  </si>
  <si>
    <t>314-398-9760</t>
  </si>
  <si>
    <t>whittmaurice@gmail.com</t>
  </si>
  <si>
    <t>Verlencia Robins</t>
  </si>
  <si>
    <t>314-488-0513</t>
  </si>
  <si>
    <t>Phillips, Jourden</t>
  </si>
  <si>
    <t>Dominique Phillips</t>
  </si>
  <si>
    <t>314-797-3839</t>
  </si>
  <si>
    <t>dphillips071716@gmail.com</t>
  </si>
  <si>
    <t>Joshua Phillips</t>
  </si>
  <si>
    <t>314-797-3838</t>
  </si>
  <si>
    <t>Phillips, Journi Marie</t>
  </si>
  <si>
    <t>Poe, Soren</t>
  </si>
  <si>
    <t>Elisabeth Poe</t>
  </si>
  <si>
    <t>314-435-8560</t>
  </si>
  <si>
    <t>elisapoe@hotmail.com</t>
  </si>
  <si>
    <t>Aaron Poe</t>
  </si>
  <si>
    <t>314-303-0424</t>
  </si>
  <si>
    <t>poeaaron@gmail.com</t>
  </si>
  <si>
    <t>Rebecca Johnson</t>
  </si>
  <si>
    <t>314-680-1977</t>
  </si>
  <si>
    <t>rebecca__johnson@hotmail.com</t>
  </si>
  <si>
    <t>Traci Braggs</t>
  </si>
  <si>
    <t>314-267-7401</t>
  </si>
  <si>
    <t>traci.braggs@icloud.com</t>
  </si>
  <si>
    <t>Quantrell Redden</t>
  </si>
  <si>
    <t>Reed, Mekhi Eli</t>
  </si>
  <si>
    <t>Iris Fitzpatrick</t>
  </si>
  <si>
    <t>314-330-9218</t>
  </si>
  <si>
    <t>iris.taneal@gmail.com</t>
  </si>
  <si>
    <t>Bridgette Taylor</t>
  </si>
  <si>
    <t>314-680-0828</t>
  </si>
  <si>
    <t>314-583-7433</t>
  </si>
  <si>
    <t>Carlise Barton</t>
  </si>
  <si>
    <t>Gary Reinhardt</t>
  </si>
  <si>
    <t>314-760-4117</t>
  </si>
  <si>
    <t>heimtime3@gmail.com</t>
  </si>
  <si>
    <t>Susie Stern</t>
  </si>
  <si>
    <t>314-323-7234</t>
  </si>
  <si>
    <t>Melodie Reinhardt</t>
  </si>
  <si>
    <t>618-977-5555</t>
  </si>
  <si>
    <t>Reno IV, Tommie Derrell</t>
  </si>
  <si>
    <t>Nicole Marble</t>
  </si>
  <si>
    <t>314-717-2769</t>
  </si>
  <si>
    <t>314-737-7805</t>
  </si>
  <si>
    <t>nicolesisbigbone@aol.com</t>
  </si>
  <si>
    <t>Reynolds, Brandon Marcel</t>
  </si>
  <si>
    <t>Tawan Reynolds</t>
  </si>
  <si>
    <t>314-504-2469</t>
  </si>
  <si>
    <t>314-552-2108</t>
  </si>
  <si>
    <t>tawan_reynolds@yahoo.com</t>
  </si>
  <si>
    <t>Brandon Reynolds</t>
  </si>
  <si>
    <t>314-283-7096</t>
  </si>
  <si>
    <t>Karen Boyd</t>
  </si>
  <si>
    <t>314-761-4515</t>
  </si>
  <si>
    <t>misskb78641@yahoo.com</t>
  </si>
  <si>
    <t>Joyce Guidry</t>
  </si>
  <si>
    <t>314-679-0656</t>
  </si>
  <si>
    <t>joyceguidry5@yahoo.com</t>
  </si>
  <si>
    <t>Roberts, Ronald Cornell</t>
  </si>
  <si>
    <t>Michelle Morgan</t>
  </si>
  <si>
    <t>217-725-7127</t>
  </si>
  <si>
    <t>michelle_morgan35@yahoo.com</t>
  </si>
  <si>
    <t>Tramond Roberts</t>
  </si>
  <si>
    <t>314-845-4395</t>
  </si>
  <si>
    <t>Terri Foster</t>
  </si>
  <si>
    <t>314-580-3036</t>
  </si>
  <si>
    <t>Ross, Major Justice</t>
  </si>
  <si>
    <t>Monica Brooks</t>
  </si>
  <si>
    <t>314-940-4076</t>
  </si>
  <si>
    <t>mb22441980@gmail.com</t>
  </si>
  <si>
    <t>Moneasha Stubblefield</t>
  </si>
  <si>
    <t>202-699-3648</t>
  </si>
  <si>
    <t>Sanders, Sariah Aaliyah</t>
  </si>
  <si>
    <t>Shanice Guidry</t>
  </si>
  <si>
    <t>314-662-7786</t>
  </si>
  <si>
    <t>314-768-8000</t>
  </si>
  <si>
    <t>shanice.guidry@yahoo.com</t>
  </si>
  <si>
    <t>shancie.guidry@yahoo.com</t>
  </si>
  <si>
    <t>Jamia Scales</t>
  </si>
  <si>
    <t>314-280-2290</t>
  </si>
  <si>
    <t>314-593-0938</t>
  </si>
  <si>
    <t>jamiascales24@gmail.com</t>
  </si>
  <si>
    <t>Terrica Riley</t>
  </si>
  <si>
    <t>314-372-7806</t>
  </si>
  <si>
    <t>Geraldine Riley</t>
  </si>
  <si>
    <t>314-939-3481</t>
  </si>
  <si>
    <t>Tanedra Dobbs</t>
  </si>
  <si>
    <t>Schlemmer, Matthias Charles</t>
  </si>
  <si>
    <t>Solah Skye</t>
  </si>
  <si>
    <t>636-551-3603</t>
  </si>
  <si>
    <t>618-477-4844</t>
  </si>
  <si>
    <t>solah.kyle.skye@gmail.com</t>
  </si>
  <si>
    <t>Luke Schlemmer</t>
  </si>
  <si>
    <t>636-253-6672</t>
  </si>
  <si>
    <t>lukeschlemmer@gmail.com</t>
  </si>
  <si>
    <t>Scott, J'Myra Alise Nicole</t>
  </si>
  <si>
    <t>Jakeisha Williams</t>
  </si>
  <si>
    <t>930-333-0077</t>
  </si>
  <si>
    <t>jaye_scutt@icloud.com</t>
  </si>
  <si>
    <t>Keisha Scott</t>
  </si>
  <si>
    <t>314-696-9246</t>
  </si>
  <si>
    <t>Seddens, Chaze Donald</t>
  </si>
  <si>
    <t>Shaina Crutchfield</t>
  </si>
  <si>
    <t>314-323-7775</t>
  </si>
  <si>
    <t>crutchfieldshaina@outlook.com</t>
  </si>
  <si>
    <t>Damon White</t>
  </si>
  <si>
    <t>314-226-3537</t>
  </si>
  <si>
    <t>Smith, Karishma Renee</t>
  </si>
  <si>
    <t>Cherlyn Cox</t>
  </si>
  <si>
    <t>702-763-0383</t>
  </si>
  <si>
    <t>618-250-1672</t>
  </si>
  <si>
    <t>314-458-2886</t>
  </si>
  <si>
    <t>cherlyn949@gmail.com</t>
  </si>
  <si>
    <t>Courtney Cox</t>
  </si>
  <si>
    <t>Smith, Karizma Jaslene</t>
  </si>
  <si>
    <t>Smith, Khalil King</t>
  </si>
  <si>
    <t>Smith, London Milan</t>
  </si>
  <si>
    <t>Jacqueline Smith</t>
  </si>
  <si>
    <t>314-267-1693</t>
  </si>
  <si>
    <t>314-388-9609</t>
  </si>
  <si>
    <t>jacquelinesmith2kids@gmail.com</t>
  </si>
  <si>
    <t>Markus Galmore</t>
  </si>
  <si>
    <t>314-326-8510</t>
  </si>
  <si>
    <t>Markusgalmore@gmail.com</t>
  </si>
  <si>
    <t>Ykeisha Sheggog</t>
  </si>
  <si>
    <t>314-701-0622</t>
  </si>
  <si>
    <t>Michelle White</t>
  </si>
  <si>
    <t>Snipes, Deandrick</t>
  </si>
  <si>
    <t>Doris Hopgood</t>
  </si>
  <si>
    <t>314-477-4442</t>
  </si>
  <si>
    <t>dhopgood.dh@gmail.com</t>
  </si>
  <si>
    <t>Alphonso Hopgood</t>
  </si>
  <si>
    <t>314-702-0000</t>
  </si>
  <si>
    <t>Steward, Damani John</t>
  </si>
  <si>
    <t>Brandee Wyatt</t>
  </si>
  <si>
    <t>314-393-4219</t>
  </si>
  <si>
    <t>Audra Summlim</t>
  </si>
  <si>
    <t>314-873-5285</t>
  </si>
  <si>
    <t>dynamictrio234@gmail.com</t>
  </si>
  <si>
    <t>Donte Steward</t>
  </si>
  <si>
    <t>Lisa Bowen</t>
  </si>
  <si>
    <t>Steve Young</t>
  </si>
  <si>
    <t>Steward, Damari</t>
  </si>
  <si>
    <t>Stewart, Monika Destiny</t>
  </si>
  <si>
    <t>Martha Stewart</t>
  </si>
  <si>
    <t>314-480-0154</t>
  </si>
  <si>
    <t>ronikasmom08@hotmail.com</t>
  </si>
  <si>
    <t>Robert Stewart. Sr</t>
  </si>
  <si>
    <t>314-413-6940</t>
  </si>
  <si>
    <t>Stinnett, Dante Malik</t>
  </si>
  <si>
    <t>Kimberly Thomas</t>
  </si>
  <si>
    <t>901-524-8258</t>
  </si>
  <si>
    <t>kimberlythomasn@icloud.com</t>
  </si>
  <si>
    <t>Jeffery Wheeler</t>
  </si>
  <si>
    <t>901-427-7747</t>
  </si>
  <si>
    <t>couragesir@icloud.com</t>
  </si>
  <si>
    <t>Stokes, Ja'Livia Dymond Angel</t>
  </si>
  <si>
    <t>Marketta Boyd</t>
  </si>
  <si>
    <t>314-305-7459</t>
  </si>
  <si>
    <t>markettaboyd87@gmail.com</t>
  </si>
  <si>
    <t>Strong-Nobles, Kaiden</t>
  </si>
  <si>
    <t>Emerald Strong</t>
  </si>
  <si>
    <t>314-934-5782</t>
  </si>
  <si>
    <t>strong_emerald@yahoo.com</t>
  </si>
  <si>
    <t>Erica Strong</t>
  </si>
  <si>
    <t>314-546-2563</t>
  </si>
  <si>
    <t>razina31@yahoo.com</t>
  </si>
  <si>
    <t>Taylor, Rayshon Tyrell</t>
  </si>
  <si>
    <t>Caniesha Jones</t>
  </si>
  <si>
    <t>314-280-0928</t>
  </si>
  <si>
    <t>canieshaj6@gmail.com</t>
  </si>
  <si>
    <t>Toran jr., Terrence M</t>
  </si>
  <si>
    <t>Unikue Cotton</t>
  </si>
  <si>
    <t>314-940-3566</t>
  </si>
  <si>
    <t>314-482-1651</t>
  </si>
  <si>
    <t>cnikue@yahoo.com</t>
  </si>
  <si>
    <t>Roshena Cotton</t>
  </si>
  <si>
    <t>Eric Gray</t>
  </si>
  <si>
    <t>314-900-4407</t>
  </si>
  <si>
    <t>Turner, Railyn</t>
  </si>
  <si>
    <t>Andrea Harrington</t>
  </si>
  <si>
    <t>314-3268387</t>
  </si>
  <si>
    <t>Lucasharrington112@gamil.com</t>
  </si>
  <si>
    <t>Jordanne Fleming</t>
  </si>
  <si>
    <t>314-269-3130</t>
  </si>
  <si>
    <t>Aria Brett</t>
  </si>
  <si>
    <t>636-317-8828</t>
  </si>
  <si>
    <t>brettaria10@gmail.com</t>
  </si>
  <si>
    <t>Meagan Tyler</t>
  </si>
  <si>
    <t>314-930-6663</t>
  </si>
  <si>
    <t>Victoria Tyler</t>
  </si>
  <si>
    <t>314-397-1294</t>
  </si>
  <si>
    <t>VanHook, Mason D</t>
  </si>
  <si>
    <t>Lexus Valentine</t>
  </si>
  <si>
    <t>314-516-3259</t>
  </si>
  <si>
    <t>Vardiman, Kylie Egypt Simone</t>
  </si>
  <si>
    <t>Michael Vardiman</t>
  </si>
  <si>
    <t>678-704-3860</t>
  </si>
  <si>
    <t>mvardiman@gmail.com</t>
  </si>
  <si>
    <t>Lakita Robinson</t>
  </si>
  <si>
    <t>314-475-0115</t>
  </si>
  <si>
    <t>Lakitarobinson89@gmail.com</t>
  </si>
  <si>
    <t>Reola Robinson</t>
  </si>
  <si>
    <t>314-240-9853</t>
  </si>
  <si>
    <t>Robinsonreola@gmail.com</t>
  </si>
  <si>
    <t>Daisy Boyland</t>
  </si>
  <si>
    <t>314-943-6694</t>
  </si>
  <si>
    <t>Dboyland2011@gmail.com</t>
  </si>
  <si>
    <t>Vicki Thomas</t>
  </si>
  <si>
    <t>314-327-7927</t>
  </si>
  <si>
    <t>Vicki.thomas@citi.com</t>
  </si>
  <si>
    <t>Wadley, Haylee Eleanor</t>
  </si>
  <si>
    <t>Jennifer Wadley</t>
  </si>
  <si>
    <t>314-623-4343</t>
  </si>
  <si>
    <t>Wadleymama05@yahoo.com</t>
  </si>
  <si>
    <t>Randy Wadley</t>
  </si>
  <si>
    <t>314-277-3530</t>
  </si>
  <si>
    <t>fordsvt80@hotmail.com</t>
  </si>
  <si>
    <t>Jamiela Ward</t>
  </si>
  <si>
    <t>314-465-3587</t>
  </si>
  <si>
    <t>riahmom04@gmail.com</t>
  </si>
  <si>
    <t>Julia Dixon</t>
  </si>
  <si>
    <t>314-482-2052</t>
  </si>
  <si>
    <t>Washington, Davion E</t>
  </si>
  <si>
    <t>Christopher Washington</t>
  </si>
  <si>
    <t>314-414-9386</t>
  </si>
  <si>
    <t>314-834-3705</t>
  </si>
  <si>
    <t>christopherwashington814@gmail.com</t>
  </si>
  <si>
    <t>Washington, Trevion C</t>
  </si>
  <si>
    <t>Watkins, Alina Elizabeth</t>
  </si>
  <si>
    <t>Collette Watkins</t>
  </si>
  <si>
    <t>314-496-9930</t>
  </si>
  <si>
    <t>watkinsc92@hotmail.com</t>
  </si>
  <si>
    <t>Bradley Johnson</t>
  </si>
  <si>
    <t>214-790-9877</t>
  </si>
  <si>
    <t>johnsonhousemedia@gmail.com</t>
  </si>
  <si>
    <t>Jamol Epting</t>
  </si>
  <si>
    <t>314-304-3878</t>
  </si>
  <si>
    <t>jamol123@yahoo.com</t>
  </si>
  <si>
    <t>Elizabeth Watkins</t>
  </si>
  <si>
    <t>314-985-8111</t>
  </si>
  <si>
    <t>Lori Johnson</t>
  </si>
  <si>
    <t>314-458-0921</t>
  </si>
  <si>
    <t>Wilcox, Eli Michael</t>
  </si>
  <si>
    <t>Rachel Olson</t>
  </si>
  <si>
    <t>715-439-5483</t>
  </si>
  <si>
    <t>r8ch3lolson77@gmail.com</t>
  </si>
  <si>
    <t>Michael Wilcox</t>
  </si>
  <si>
    <t>520-300-1461</t>
  </si>
  <si>
    <t>Wilcox, Lily</t>
  </si>
  <si>
    <t>Williams Jr, Gerald Alan</t>
  </si>
  <si>
    <t>Glynda Dorsey-Williams</t>
  </si>
  <si>
    <t>314-297-7622</t>
  </si>
  <si>
    <t>314-660-2354</t>
  </si>
  <si>
    <t>gdorsey1985@icloud.com</t>
  </si>
  <si>
    <t>Gerald Williams</t>
  </si>
  <si>
    <t>Williams, Austin</t>
  </si>
  <si>
    <t>Armonee Swinney</t>
  </si>
  <si>
    <t>314-712-7104</t>
  </si>
  <si>
    <t>armoneeswinney@gmail.com</t>
  </si>
  <si>
    <t>Dustin Williams</t>
  </si>
  <si>
    <t>314-448-3376</t>
  </si>
  <si>
    <t>dustinwilliams170@gmail.com</t>
  </si>
  <si>
    <t>Williams, Autumn</t>
  </si>
  <si>
    <t>Trevor Williams</t>
  </si>
  <si>
    <t>314-914-6367</t>
  </si>
  <si>
    <t>Jacqueline Williams</t>
  </si>
  <si>
    <t>314-712-0154</t>
  </si>
  <si>
    <t>jaxz6522@gmail.com</t>
  </si>
  <si>
    <t>Williams, Glenn Alan</t>
  </si>
  <si>
    <t>Williams, Miles Jackson</t>
  </si>
  <si>
    <t>Melody Key</t>
  </si>
  <si>
    <t>618-509-3385</t>
  </si>
  <si>
    <t>618-628-7374</t>
  </si>
  <si>
    <t>lodyk@purenatursalon.com</t>
  </si>
  <si>
    <t>Scott Boston</t>
  </si>
  <si>
    <t>314-914-7853</t>
  </si>
  <si>
    <t>Daniel Klein</t>
  </si>
  <si>
    <t>636-346-9193</t>
  </si>
  <si>
    <t>inchulk13@yahoo.com</t>
  </si>
  <si>
    <t>Jennifer Boston</t>
  </si>
  <si>
    <t>618-570-2822</t>
  </si>
  <si>
    <t>Williams, Norah James</t>
  </si>
  <si>
    <t>Asia Hill</t>
  </si>
  <si>
    <t>314-320-3644</t>
  </si>
  <si>
    <t>aqueen736@icloud.com</t>
  </si>
  <si>
    <t>Williams, Twaunisha</t>
  </si>
  <si>
    <t>Worthy, Justice</t>
  </si>
  <si>
    <t>Victoria Worthy</t>
  </si>
  <si>
    <t>314-688-7674</t>
  </si>
  <si>
    <t>justicemom0426@gmail.com</t>
  </si>
  <si>
    <t>Ethel Mathews</t>
  </si>
  <si>
    <t>314-541-4012</t>
  </si>
  <si>
    <t>Young, Ky'ren Young Armon</t>
  </si>
  <si>
    <t>Stefanie Collins</t>
  </si>
  <si>
    <t>collinsstefanie88@gmail.com</t>
  </si>
  <si>
    <t>Kenya Young</t>
  </si>
  <si>
    <t>314-765-5174</t>
  </si>
  <si>
    <t>Tasha Cook</t>
  </si>
  <si>
    <t>Melissa Zimbelmann</t>
  </si>
  <si>
    <t>314-481-9643</t>
  </si>
  <si>
    <t>melissazimbelmann330@gmail.com | missamanager1@gmail.com</t>
  </si>
  <si>
    <t>Rose Zimbelmann</t>
  </si>
  <si>
    <t>314-282-1763</t>
  </si>
  <si>
    <t>Rosezimbelmann@gmail.com</t>
  </si>
  <si>
    <t>Don't have file upload questions as can't embed.</t>
  </si>
  <si>
    <t>7th Grade</t>
  </si>
  <si>
    <t>8th Grade</t>
  </si>
  <si>
    <t>Canvas Page HTMLs</t>
  </si>
  <si>
    <t>Grade.Cycle.Week: Form Name</t>
  </si>
  <si>
    <t>Form Contents</t>
  </si>
  <si>
    <t>Embed HTML</t>
  </si>
  <si>
    <t>SS URL</t>
  </si>
  <si>
    <t>https://docs.google.com/document/d/1T2ZlR5G3c170fJY-P-VAjsfZqW-yp6IVMwJxDVRdknI/edit?pli=1&amp;tab=t.uxismymuyfg7</t>
  </si>
  <si>
    <t xml:space="preserve">Screen reader support enabled.
G7.C2.W1: Hook Hypothesis: Why Do They Act Different?
🧠 Hook Hypothesis: Why Do They Act Different?
Think about water, salt, and sugar. They're all made of atoms, but they look and act totally different. Why?
No wrong answers - just share what you're thinking!
This form is automatically collecting emails from all respondents.Change settings
Why do you think water, salt, and sugar act so different if they're all made of atoms?
*
Write at least 2-3 sentences. This is your BEFORE thinking - we'll test it today!
How confident are you in your answer?
*
Just guessing
1
2
3
4
5
Pretty confident
.
Banner hidden </t>
  </si>
  <si>
    <t>&lt;iframe src="https://docs.google.com/forms/d/e/1FAIpQLSdQxgvsRTk9UUwxm2DsCdgBEcrz7zS5Yv3BBZEAsLaXQzDnBg/viewform?embedded=true" width="640" height="909" frameborder="0" marginheight="0" marginwidth="0"&gt;Loading…&lt;/iframe&gt;</t>
  </si>
  <si>
    <t>https://docs.google.com/spreadsheets/d/1oiajwiBxoDIOBcD_uKarGHJIrskYi3nXyI9FyWq8IFk/edit?resourcekey=&amp;gid=100946231#gid=100946231</t>
  </si>
  <si>
    <t>https://docs.google.com/document/d/1T2ZlR5G3c170fJY-P-VAjsfZqW-yp6IVMwJxDVRdknI/edit?pli=1&amp;tab=t.5t3qag1w7b0f</t>
  </si>
  <si>
    <t xml:space="preserve">Screen reader support enabled.
G8.C2.W1: Initial Hypothesis - Newton's Third Law
Total points: 0
💭 Initial Hypothesis - Newton's Third Law
🧠 BEFORE WE INVESTIGATE...
Share your current thinking about forces in collisions. Remember:
• ✅ This is NOT graded - it's YOUR starting point
• 💡 Honest answers help us teach better
• 📊 We'll compare your growth from start to finish
• 🚀 There are NO wrong answers here!
Be thoughtful and explain your reasoning!
This form is automatically collecting emails from all respondents.Change settings
🚀 The Rocket Question: How did the rocket move?
*
💭 Think deeply about:
• What forces are acting?
• Which direction do they point?
• Are they equal or different?
📝 Write at least 100 characters.
🤔 Your Prediction: When a small car collides with a large truck, which experiences MORE force?
*
💡 This is your PREDICTION. Be honest - we'll test this!
The truck experiences more force (because it's bigger/heavier)
The car experiences more force (because it changes velocity more)
They experience exactly equal forces
It depends on their speeds
I'm not sure yet
📊 Confidence: How confident are you?
*
Just guessing
1
2
3
4
5
Very confident
Have you studied Newton's Third Law before?
*
Be honest—this helps us teach better.
Never heard of it
Heard of it but don't remember details
Studied it before, remember some
Studied it and feel comfortable with it
What's one question you hope to answer today? (Optional)
What are you curious about regarding forces and collisions?
.
Banner hidden </t>
  </si>
  <si>
    <t>&lt;iframe src="https://docs.google.com/forms/d/e/1FAIpQLSeouIAoaWIXhTt-jvqRL0au0rOMQIfJqIGeavcF3LjiZwhhYQ/viewform?embedded=true" width="640" height="1922" frameborder="0" marginheight="0" marginwidth="0"&gt;Loading…&lt;/iframe&gt;</t>
  </si>
  <si>
    <t>https://docs.google.com/spreadsheets/d/1RTcwEJsI_0aJRebhNwO_H_AoKl9r46k7hWYbtciIyM4/edit?resourcekey=&amp;gid=976341501#gid=976341501</t>
  </si>
  <si>
    <t xml:space="preserve">Screen reader support enabled.
G7.C2.W1: Station 1 - Molecule Builder
Total points: 20
🎮 Station 1: Molecule Builder
Share Google Drive links to your screenshots and answer reflection questions.
This form is automatically collecting emails from all respondents.Change settings
Paste Google Drive link to your H₂O (water) screenshot
Right-click your screenshot in Drive → Get link → Paste here
Or, upload it directly!
What pattern do you notice in how atoms connect?
*
Look at both molecules. What's similar? What's different?
BONUS: If you had time to build one more molecule, which would you try and why?
.
Banner hidden </t>
  </si>
  <si>
    <t>File uploads can't embed.</t>
  </si>
  <si>
    <t>https://docs.google.com/spreadsheets/d/1PRkBNvF7wRBbJGtbM1I7-V_ej5mmlgF4cwmp64ilJGQ/edit?resourcekey=&amp;gid=1156348890#gid=1156348890</t>
  </si>
  <si>
    <t xml:space="preserve">Screen reader support enabled.
G8.C2.W1: Station 1 - Collision Forces - PhET Investigation
Total points: 10
🔬 Station 1: Collision Forces - PhET Investigation
⚡ HANDS-ON INVESTIGATION
🎮 Use the PhET Collision Lab simulation.
Your Mission:
1. Run the simulation
2. Take a screenshot
3. Analyze force patterns
4. Answer questions
✅ You'll get **immediate feedback**!
This form is automatically collecting emails from all respondents.Change settings
Which collision scenario did you test?
*
Two equal masses, head-on collision
Small mass hits large mass, head-on
Large mass hits small mass, head-on
Equal masses, angled collision
Other (will describe below)
Paste link to your collision screenshot
*
Upload screenshot to Google Drive, then paste the sharing link here. Or describe what you observed in detail.
Identify BOTH forces in your collision
*
Format:
Force 1: [Object A] exerted [direction and magnitude] on [Object B]
Force 2: [Object B] exerted [direction and magnitude] on [Object A]
Example: "The red ball exerted 5N to the right on the blue ball. The blue ball exerted 5N to the left on the red ball."
⚖️ Magnitude: Compare the sizes of the two forces.
*
💡 Think about Newton's Third Law.
Exactly equal
Nearly equal (small difference)
Very different sizes
Could not determine from simulation
🔄 Direction: Compare the directions.
*
🧭 Look at the arrows.
Exactly opposite (180° apart)
Nearly opposite
Same direction
Different but not opposite
⏱️ Timing: When did the forces occur?
*
⚡ CRITICAL concept!
At exactly the same time (simultaneous)
Action first, then reaction a split second later
Reaction first, then action
They alternated back and forth
If the forces were equal, why did one object move more than the other?
*
🎯 Connect to F=ma:
• If forces are equal, what about accelerations?
• How does mass affect motion?
📝 Write at least 75 characters.
🚗🚛 Transfer: 2000kg truck hits 1000kg car. Which is TRUE?
*
⚡ Apply N3L!
The truck (it's heavier)
The car (it accelerates more)
They experience EQUAL forces
It depends on their speeds
How confident are you in identifying force pairs now?
*
Still learning
1
2
3
4
5
Very confident
What's still confusing? (Optional)
*
.
Banner hidden </t>
  </si>
  <si>
    <t>&lt;iframe src="https://docs.google.com/forms/d/e/1FAIpQLSdapem1fltaaxxdgCKe5SUoADtnZJJrB-XcBNyt7x4_pwfuYg/viewform?embedded=true" width="640" height="3234" frameborder="0" marginheight="0" marginwidth="0"&gt;Loading…&lt;/iframe&gt;</t>
  </si>
  <si>
    <t>https://docs.google.com/spreadsheets/d/11i8IUhq_U6RRKRV3CBWIKqYed_fMvFgNUHTq1YDJfp8/edit?resourcekey=&amp;gid=643375664#gid=643375664</t>
  </si>
  <si>
    <t xml:space="preserve">Screen reader support enabled.
G8.C2.W1: Station 2 - Force Pair Analysis - Real-World Scenarios
Total points: 17
⚡ Station 2: Force Pairs - Real-World Scenarios
Analyze 4 real-world scenarios and identify force pairs!
This form is automatically collecting emails from all respondents.Change settings
Scenario 1: Rocket Launch
A rocket shoots exhaust downward and accelerates upward into space.
🚀 Rocket: Pushes exhaust down. Compare forces.
*
💭 What pushes rocket up?
Pushes the rocket up with equal force
Pushes the rocket up with less force
Pushes the rocket up with more force
Doesn't push the rocket at all
Explain: If forces are equal, why does the rocket go up but exhaust goes down?
*
Use F=ma in your explanation. Write at least 2 sentences.
Scenario 2: Baseball Hit by Bat
A bat swings and hits a baseball, sending it flying.
Which object experiences MORE force during the collision?
*
The bat (it's bigger/heavier)
The ball (it changes velocity more)
They experience EQUAL forces
Whichever is moving faster
Explain your reasoning using Newton's Third Law
*
Why did you choose that answer? Write at least 2 sentences.
Scenario 3: Car Crashes Into Wall
A car traveling 60 mph crashes into a concrete wall.
Compare the forces: car on wall vs wall on car
*
Wall exerts more force (it's stronger/more massive)
Car exerts more force (it's moving)
Forces are EQUAL (Newton's Third Law)
Wall doesn't exert force—it just stands there
The wall doesn't move but the car crumples. If forces are equal, explain why.
*
Think about: equal forces vs equal motion, mass, wall attached to Earth. Write at least 3 sentences.
Scenario 4: You Sitting in a Chair
Right now, you're sitting in a chair. You're not falling through it.
Why don't you fall through the chair?
*
The chair pushes up on you with force equal to your weight
The chair is stronger than gravity
You're not heavy enough to break through
The chair exerts more force than you exert on it
Big Picture: Patterns Across All Scenarios
Think about ALL four scenarios together.
What was TRUE in EVERY scenario? (Check all that apply)
*
Forces came in equal-opposite pairs
Forces happened at the same time
Both objects exerted force on each other
Equal forces can produce different accelerations
The bigger object always exerted more force
Write Newton's Third Law in YOUR OWN words
*
Don't copy from notes. Explain it like teaching a friend. Include a specific example from today.
True or False: In a collision between a big truck and small car, the truck exerts more force.
*
True - the truck is bigger
False - they exert equal forces
It depends on their speeds
It depends on their masses
My understanding changed at this station
*
No change
1
2
3
4
5
Major breakthrough
What's your biggest takeaway from this station? (Optional)
*
.
Banner hidden </t>
  </si>
  <si>
    <t>&lt;iframe src="https://docs.google.com/forms/d/e/1FAIpQLSfHYg1CLfI9JjdrQxviaUuCwRmsCmQdyKHS2pamQY14vJ5rmQ/viewform?embedded=true" width="640" height="3786" frameborder="0" marginheight="0" marginwidth="0"&gt;Loading…&lt;/iframe&gt;</t>
  </si>
  <si>
    <t>https://docs.google.com/spreadsheets/d/1StiHxuxrFhYdrq5WLR2JMORicW0TbnJf3J-oTHeMRtM/edit?resourcekey=&amp;gid=1199324024#gid=1199324024</t>
  </si>
  <si>
    <t>&lt;iframe src="https://docs.google.com/forms/d/e/1FAIpQLSfHYg1CLfI9JjdrQxviaUuCwRmsCmQdyKHS2pamQY14vJ5rmQ/viewform?embedded=true" width="640" height="3772" frameborder="0" marginheight="0" marginwidth="0"&gt;Loading…&lt;/iframe&gt;</t>
  </si>
  <si>
    <t xml:space="preserve">Screen reader support enabled.
G8.C2.W1: Station 3 - Transfer Application - NEW Situations
Total points: 8
🎯 Station 3: Transfer Application - NEW Situations
Apply to situations you have NEVER studied. You can do this!
This form is automatically collecting emails from all respondents.Change settings
Choose ONE new scenario to analyze in depth:
*
A swimmer pushing off the pool wall
Two ice skaters pushing apart from each other
A bird flying (wings pushing air)
Jumping off a boat onto a dock
My own example (will describe below)
If you chose "My own example," describe it here:
*
What collision or interaction are you analyzing?
Your Analysis
Answer these questions about your chosen scenario.
What two objects are interacting?
*
Be specific. Example: "swimmer's hands" and "pool wall"
Identify BOTH forces in the action-reaction pair
*
💭 Think like a physicist:
• Identify objects
• Identify force pairs
• Explain why equal
• Connect to N3L
📝 Write at least 100 characters.
⚖️ Check: Are forces equal in magnitude?
*
💡 N3L guarantees this.
Yes - Newton's Third Law guarantees it
No - one object exerts more force
It depends on their masses
It depends on their velocities
What evidence shows the forces are equal and opposite?
*
How can you tell? Connect to what you learned at Stations 1 and 2. Write at least 3 sentences.
Predict what happens to BOTH objects and explain why
*
If forces are equal, why might they move differently? Use F=ma. Write at least 3 sentences.
Design Challenge: Safety Device
Use your understanding of Newton's Third Law to solve a problem.
You're designing a safety device for collisions. Which approach uses N3L correctly?
*
Make one object stronger so it exerts less force
Increase collision time to reduce peak force (airbags, crumple zones)
Make one object heavier so forces aren't equal
Try to eliminate the reaction force
Explain how your safety device uses Newton's Third Law
*
Give a specific example (airbag, helmet, padding, crumple zone). Explain the physics. Write at least 3 sentences.
Personal Connection
Connect this to your own experience.
Describe a collision or interaction you've personally experienced
*
Could be: sports, riding bike, bumping into someone, jumping. Identify the action-reaction pair. Write at least 2 sentences.
How does understanding N3L change how you think about that experience?
*
What do you understand now that you didn't before?
Big Picture Thinking
Connect everything from today.
Why is Newton's Third Law important for engineers, athletes, or scientists?
*
Give at least 2 specific examples. Write at least 4 sentences.
Where else does Newton's Third Law apply? (Check all you can explain)
*
Walking and running
Swimming
Flying (airplanes, birds)
Car acceleration
Rocket propulsion
Recoil of a gun
Tug-of-war
Bouncing a ball
Every collision everywhere
Self-Assessment
Reflect on your learning.
I can explain why equal forces produce unequal motions
*
1 = Still confused | 5 = Could teach someone
1
2
3
4
5
I can apply Newton's Third Law to NEW situations
*
1 = Not yet | 5 = Definitely yes
1
2
3
4
5
What was your biggest insight at this station? (Optional)
*
What are you still unsure about? (Optional)
*
We'll address these in discussion.
.
Banner hidden </t>
  </si>
  <si>
    <t>&lt;iframe src="https://docs.google.com/forms/d/e/1FAIpQLSdqaLWXH8iiXDfF8JJcYYFdo05WXvFGgSj4EX_sX6ZUK_6qmQ/viewform?embedded=true" width="640" height="4741" frameborder="0" marginheight="0" marginwidth="0"&gt;Loading…&lt;/iframe&gt;</t>
  </si>
  <si>
    <t>https://docs.google.com/spreadsheets/d/1QaxxyUjrDq2kgz300C1Bq1tacFk6e-xX218cSXCQUK0/edit?resourcekey=&amp;gid=2011687524#gid=2011687524</t>
  </si>
  <si>
    <t>&lt;iframe src="https://docs.google.com/forms/d/e/1FAIpQLSdqaLWXH8iiXDfF8JJcYYFdo05WXvFGgSj4EX_sX6ZUK_6qmQ/viewform?embedded=true" width="640" height="4713" frameborder="0" marginheight="0" marginwidth="0"&gt;Loading…&lt;/iframe&gt;</t>
  </si>
  <si>
    <t xml:space="preserve">Screen reader support enabled.
G7.C2.W1: Exit Ticket: Show What You Learned
Section 1 of 5
🚪 Exit Ticket: Show What You Learned
Pick the way that works best for YOU to show what you learned about molecular structure.
All options are equally good!
This form is automatically collecting emails from all respondents.Change settings
How do you want to show what you learned?
*
Draw it (sketch + explain)
Write it (complete sentence)
Say it (video link)
After section 1
Section 2 of 5
Draw It Option
Description (optional)
Draw molecule + property, take a photo and attach here!
*
Explain your drawing
*
What molecule? What property? How does structure create that property?
After section 2
Section 3 of 5
Write It Option
Description (optional)
Complete this sentence:
*
Because [molecule] has [structure], it can [property]. This matters because...
After section 3
Section 4 of 5
Say It Option
Description (optional)
Paste your video link here
Use Screencastify, Loom, Flipgrid (30-60 sec), Google Drive, etc. - paste shareable link
If you prefer uploading the file directly, here's that option!
After section 4
Section 5 of 5
Final step!
Description (optional)
What's still confusing? (Optional)
Helps me teach better tomorrow!
.
Banner hidden </t>
  </si>
  <si>
    <t>https://docs.google.com/spreadsheets/d/13ZZ2q5-JsneAoCxE8QLqs1Ycj8WSgN9hPRza9XUMv_4/edit?resourcekey=&amp;gid=1263441864#gid=1263441864</t>
  </si>
  <si>
    <t xml:space="preserve">Screen reader support enabled.
G8.C2.W1: Exit Ticket - Newton's Third Law
Total points: 13
🎓 Exit Ticket - Newton's Third Law
FINAL ASSESSMENT - Show your understanding!
This form is automatically collecting emails from all respondents.Change settings
Core Question: The Boat Jump
This is the key assessment question from today's learning target.
You jump forward off a boat onto a dock. Explain why you move forward while the boat moves backward.
*
Your explanation must include:
✓ Identification of BOTH forces (you on boat, boat on you)
✓ Evidence they are equal and opposite
✓ Explanation of why you both move in opposite directions
✓ Why you might move more than the boat (mass difference)
Use scientific vocabulary: force, Newton's Third Law, equal, opposite, simultaneous, mass, acceleration.
Write at least 5 sentences.
Would you like to show your understanding another way?
*
No, my written explanation is sufficient
Yes, I created a diagram with force arrows
Yes, I made a comparison chart or table
Yes, I recorded an audio or video explanation
Yes, other creative method (will describe)
Paste link to your diagram, chart, or other visual (if applicable)
*
Upload to Google Drive first, then paste sharing link here
Or paste link to your audio/video explanation (if applicable)
*
Google Drive link, Flipgrid, voice recording, etc.
Success Criteria Self-Assessment
Reflect honestly on what you learned today.
Level 1: I can identify BOTH forces in an action-reaction pair
*
Not yet - still learning
Getting there - with help
Got it - independently
Mastered - can teach others
Level 2: I can explain why forces are equal and opposite
*
Not yet - still learning
Getting there - with help
Got it - independently
Mastered - can teach others
Level 3: I can apply Newton's Third Law to NEW situations
*
Not yet - still learning
Getting there - with help
Got it - independently
Mastered - can teach others
Transfer Check: New Scenario
Apply what you learned to a brand new situation.
🏊 Transfer: Swimmer pushes wall. Which is TRUE?
*
💭 Apply what you learned.
Nothing - the wall doesn't move
The wall pushes back on the swimmer with equal force
The wall pushes back with less force
The wall pushes back with more force
Final Understanding Check
These questions check key concepts from today.
True or False: The reaction force happens a split second after the action force
*
True - reaction is a response to action
False - they happen at exactly the same instant
It depends on the collision speed
In a truck-car collision, which statement is TRUE?
*
The truck exerts more force (more mass)
The car exerts more force (accelerates more)
They exert EQUAL forces on each other
Whichever is moving faster exerts more force
If forces in a collision are always equal, why do objects move differently?
*
Forces aren't actually equal (that's just theory)
Different masses lead to different accelerations (F=ma)
The bigger object absorbs the force
Time of contact varies between objects
Real-World Connection
Connect this to your life.
Give ONE specific example of how you'll use this knowledge outside science class
*
Could be: sports, understanding car safety, explaining to family. Be specific about HOW. Write at least 2 sentences.
Reflection on Learning
Think about your learning process today.
At the START of class, how well did you understand Newton's Third Law?
*
No understanding
1
2
3
4
5
Could explain perfectly
RIGHT NOW, how well do you understand Newton's Third Law?
*
Still confused
1
2
3
4
5
Can explain perfectly
What helped you learn today? (Check all that apply)
*
PhET simulation (Station 1)
Real-world scenarios (Station 2)
Transfer application (Station 3)
Working with partners
Class discussion
The hook question about rockets
Drawing diagrams
Connecting to real life
Immediate feedback on quizzes
What's still confusing or what do you want to learn more about? (Optional)
*
This helps us plan tomorrow!
What was your biggest "aha!" moment today? (Optional)
*
How do you feel about your learning today?
*
I made significant progress
I made solid progress
I'm making progress, need more practice
I'm working through confusion
I need additional support
.
Banner hidden </t>
  </si>
  <si>
    <t>&lt;iframe src="https://docs.google.com/forms/d/e/1FAIpQLSfZ2pUHiH86-GIOUCKY8LCePNXrIaAUBQY19aU02H2UuvOrQg/viewform?embedded=true" width="640" height="5643" frameborder="0" marginheight="0" marginwidth="0"&gt;Loading…&lt;/iframe&gt;</t>
  </si>
  <si>
    <t>https://docs.google.com/spreadsheets/d/1fn2ECph_y8Uz78DhjLaiXcwgt6kh3oe-0Le36Uw0noE/edit?resourcekey=&amp;gid=1791570470#gid=1791570470</t>
  </si>
  <si>
    <t>https://docs.google.com/document/d/1T2ZlR5G3c170fJY-P-VAjsfZqW-yp6IVMwJxDVRdknI/edit?pli=1&amp;tab=t.2lstxl2r07up</t>
  </si>
  <si>
    <t xml:space="preserve">Screen reader support enabled.
G7.C2.W2: Do Now: Atoms &amp; Elements
Total points: 10
Do Now: Atoms &amp; Elements
📋 Standards: MS-PS1-1: Develop models to describe atomic composition
🎯 This helps me understand what you already know about atoms!
⏱️ Time: ~5-7 minutes | ✅ Retakes allowed
This form is automatically collecting emails from all respondents.Change settings
What are the three main subatomic particles in an atom?
*
Think about the building blocks of all matter.
Protons, neutrons, and electrons
Nucleus, shell, and core
Positive, negative, and neutral
Solid, liquid, and gas
Which subatomic particle has a POSITIVE charge?
*
💡 Hint: Opposite charges attract!
Proton
Neutron
Electron
Nucleus
The atomic number of an element tells you the number of _____.
*
🔬 This number defines what element an atom is!
Protons
Neutrons
Electrons
Protons + Neutrons (mass number)
An atom has 6 protons and 6 neutrons. What element is it?
*
💭 Use the periodic table or your memory!
Carbon (C)
Oxygen (O)
Nitrogen (N)
Boron (B)
Match each particle with its charge:
*
Select the correct charge for each particle.
Positive (+)        Neutral (0)        Negative (-)
Proton        
Neutron        
Electron        
What do you already know about how atoms combine to form molecules?
💭 Write anything you remember or think you know! Even if you're unsure, share your ideas. This is not graded - it helps me teach better.
How confident are you in your understanding of atomic structure?
🧠 Be honest! Self-assessment helps you learn better.
Not confident at all
1
2
3
4
5
Very confident!
.
Banner hidden </t>
  </si>
  <si>
    <t>&lt;iframe src="https://docs.google.com/forms/d/e/1FAIpQLSdieRayrnrb3kwjZ3EWcyZXgHYOnaler7uXsIpbspj23x488A/viewform?embedded=true" width="640" height="990" frameborder="0" marginheight="0" marginwidth="0"&gt;Loading…&lt;/iframe&gt;</t>
  </si>
  <si>
    <t>https://docs.google.com/spreadsheets/d/1bUO_1Nv9gx3vZE_-m4w6HiuWUM1u8qsaqKByYyla14Q/edit?resourcekey=&amp;gid=1004369347#gid=1004369347</t>
  </si>
  <si>
    <t>https://docs.google.com/document/d/1T2ZlR5G3c170fJY-P-VAjsfZqW-yp6IVMwJxDVRdknI/edit?pli=1&amp;tab=t.4sff7ws2026x</t>
  </si>
  <si>
    <t xml:space="preserve">Screen reader support enabled.
G8.C2.W2: Do Now: Initial Thinking - Energy in Collisions
Total points: 10
Section 1 of 4
G8.C2.W2: Do Now: Initial Thinking - Energy in Collisions
🚀 Start Here | Takes about 10 minutes
⚠️ IMPORTANT: This is about your current thinking. There are no wrong answers—we want to see where you're starting so we can measure how much you grow this week!
What you'll do:
• Share what you think about energy in collisions right now
• Explain why you think that (even if you're not sure!)
• Rate how confident you feel about your answers
• Ask questions you're curious about
💡 Remember: The best learners are honest about what they don't know yet!
This form is automatically collecting emails from all respondents.Change settings
Welcome! 👋
Before we dive into learning about energy, we want to know what you already think. Be honest—there are no wrong answers here!
After section 1
Section 2 of 4
Part 1: What Do You Think?
Share your current thoughts about energy in collisions
What do you think happens to energy when two objects collide?
*
💭 Just write what you think! Even if you're not sure, share your ideas.
📝 Write at least 2-3 sentences.
Which do you think has MORE kinetic energy?
*
A heavy truck moving slowly
A light car moving fast
They could have the same energy - it depends on the exact numbers
I'm not sure
How confident do you feel about your answer to this question?
🧠 Being honest with yourself helps you learn better!
Not confident
1
2
3
4
5
Very confident
After section 2
Section 3 of 4
Part 2: The Crash Test Paradox
🚗 Think about this scenario
The Paradox:
Two identical cars crash into barriers at the same speed. One has a rigid steel bumper. The other has a crumple zone designed to deform on impact. Surprisingly, passengers in the crumple zone car experience LESS injury.
Why do you think the "weaker" car with crumple zones protects passengers better?
*
💭 What's your hypothesis right now? We'll revisit this at the end of the week!
📝 Write at least 3 sentences explaining your thinking.
How confident do you feel about explaining the crash test paradox?
🧠 Being honest with yourself helps you learn better!
Not confident
1
2
3
4
5
Very confident
After section 3
Section 4 of 4
Part 3: What Are You Curious About?
🤔 Learning starts with good questions!
What questions do you have about energy in collisions?
*
💭 What do you want to understand better by the end of this week?
📝 Write at least 2 questions.
Which topics are you most interested in learning about? (Check all that apply)
*
How to calculate kinetic energy
Why some collisions are more dangerous than others
How engineers design safety equipment
What happens to energy during collisions
Real-world applications (cars, sports, etc.)
Overall, how much do you feel you know about energy in collisions RIGHT NOW?
*
🧠 Be honest! This helps us teach better.
I know very little
1
2
3
4
5
I know a lot
.
Banner hidden </t>
  </si>
  <si>
    <t>&lt;iframe src="https://docs.google.com/forms/d/e/1FAIpQLSe8Ezo4poxSE-hN_SJ2hnbNYcW2LFRoOwgdeu5CWCcZMNgaCg/viewform?embedded=true" width="640" height="1050" frameborder="0" marginheight="0" marginwidth="0"&gt;Loading…&lt;/iframe&gt;</t>
  </si>
  <si>
    <t>https://docs.google.com/spreadsheets/d/1t6NbzWBtAQKR9pGjBnxm9V-bRaGdRVT_-u2ojrUkYZw/edit?resourcekey=&amp;gid=1771386835#gid=1771386835</t>
  </si>
  <si>
    <t xml:space="preserve">Screen reader support enabled.
G7.C2.W2: Station 1: Ionic Bonding
Total points: 20
Section 1 of 4
Station 1: Ionic Bonding
📋 Standards: MS-PS1-1: Develop models to describe atomic composition
🎯 Show me you understand how ions form and bond!
⏱️ Time: ~8-10 minutes | ✅ Retakes allowed
This form is automatically collecting emails from all respondents.Change settings
After section 1
Section 2 of 4
Part 1: Understanding Ionic Bonds
Let's start with the basics of electron transfer.
What is an ionic bond?
*
Think about what happens to electrons.
A bond formed when electrons are TRANSFERRED from one atom to another
A bond formed when atoms SHARE electrons equally
A bond between two nonmetal elements
A weak attraction between neutral molecules
Ionic bonds typically form between which types of elements?
*
🔬 Think about the periodic table layout!
A metal and a nonmetal
Two metals
Two nonmetals
Noble gases
After section 2
Section 3 of 4
Part 2: How Ions Form
Now let's look at what happens when atoms become ions.
When neon (Ne) LOSES one proton, it becomes:
*
💡 Remember: Electrons are negative. Losing negative = becoming more positive!
A positive ion: Na⁺ (cation)
A negative ion: Na⁻ (anion)
A neutral atom
A different element
Which pair would most likely form an ionic compound?
*
Look for metal + nonmetal!
Calcium (Ca) and Chlorine (Cl)
Carbon (C) and Oxygen (O)
Hydrogen (H) and Nitrogen (N)
Sulfur (S) and Oxygen (O)
After section 3
Section 4 of 4
Part 3: Properties of Ionic Compounds
What properties do ionic compounds have?
Which properties are typical of ionic compounds? (Select ALL that apply)
*
Think about table salt (NaCl) as your reference!
High melting points
Conduct electricity when dissolved in water
Form crystal structures
Usually soft and flexible
Low boiling points
Explain WHY sodium chloride (NaCl) conducts electricity when dissolved in water but NOT when solid.
*
💭 Think about what happens to the ions in each state. Write 2-3 complete sentences.
Write the chemical formula for magnesium oxide. (Mg²⁺ and O²⁻)
*
Format: Use element symbols with subscripts if needed (e.g., H2O or H₂O). Capital letters matter!
How confident are you in your understanding of ionic bonding?
🧠 Be honest! Self-assessment helps you learn better.
Not confident at all
1
2
3
4
5
Very confident!
.
Banner hidden </t>
  </si>
  <si>
    <t>&lt;iframe src="https://docs.google.com/forms/d/e/1FAIpQLSdzSkUXtnz79UaRjkYkngQnAB_P1pqg72JXgoAogLRPckvTJg/viewform?embedded=true" width="640" height="1256" frameborder="0" marginheight="0" marginwidth="0"&gt;Loading…&lt;/iframe&gt;</t>
  </si>
  <si>
    <t>https://docs.google.com/spreadsheets/d/1PBvrHm3dgtcno-UApCGo6dIU4auKbeIJC2SC7k36T64/edit?resourcekey=&amp;gid=1861498868#gid=1861498868</t>
  </si>
  <si>
    <t xml:space="preserve">Screen reader support enabled.
G8.C2.W2: Station 1: Energy Simulation Investigation
Total points: 13
Section 1 of 7
G8.C2.W2: Station 1: Energy Simulation Investigation
🔬 PhET Energy Skate Park Investigation | 25-30 minutes
Your Mission:
Use the PhET Energy Skate Park simulation to figure out how mass, velocity, and energy are connected. You'll change variables, collect data, and discover the KE = ½mv² relationship yourself.
✅ You're successful when you can:
• Explain how mass affects kinetic energy using data from your simulation
• Explain how velocity affects kinetic energy using data from your simulation
• Describe what happens to energy as it transforms (PE → KE → thermal)
• Back up everything you say with evidence from the simulation
• Calculate kinetic energy using KE = ½mv²
🎮 Make sure you have the PhET simulation open in another tab before you start!
This form is automatically collecting emails from all respondents.Change settings
Getting Started 🚀
Open the PhET Energy Skate Park simulation (link in Canvas). Go to the "Intro" tab. You'll adjust the skater's mass and starting height, then watch what happens to the energy!
After section 1
Section 2 of 7
Part 1: How Does Mass Affect Energy?
🔍 Test 1 - Keep height constant, change mass
What happened to the kinetic energy at the bottom when you increased the skater's mass?
*
💭 Run the simulation at least 3 times with different masses. What pattern do you see?
📝 Write 3-4 sentences describing what you observed and the pattern you noticed.
Based on your tests, when mass increases, kinetic energy...
*
Increases
Decreases
Stays the same
Changes randomly
After section 2
Section 3 of 7
Part 2: How Does Velocity Affect Energy?
🔍 Test 2 - Keep mass constant, change starting height (which changes velocity)
What happened to the kinetic energy when you increased the starting height?
*
💭 Remember: higher starting point = faster at the bottom = more velocity
📝 Write 3-4 sentences describing your observations.
Based on your tests, when velocity increases, kinetic energy...
*
Increases a lot (more than double)
Increases a little (about the same)
Stays the same
Decreases
After section 3
Section 4 of 7
Part 3: Where Does Energy Go?
🔍 Test 3 - Watch energy transform
Describe what happens to energy as the skater moves. Where does it go?
*
💭 Watch the energy bar graphs! At the top, middle, and bottom of the track, what types of energy do you see?
📝 Write 4-5 sentences tracking the energy transformation from start to finish.
Does the TOTAL energy stay constant (the same) during the ride?
*
Yes - total energy is conserved
No - energy is lost
No - energy is gained
It depends on the skater's mass
After section 4
Section 5 of 7
Part 4: What About Friction?
🔍 Test 4 - Turn friction ON
What happens when you turn friction ON? Where does the "missing" kinetic energy go?
*
💭 Compare a ride with friction OFF vs. friction ON. What's different?
📝 Write 3-4 sentences explaining where the energy goes.
When friction is ON, the "lost" kinetic energy transforms into...
*
Thermal energy (heat)
Nothing - it just disappears
Potential energy
More kinetic energy
After section 5
Section 6 of 7
Part 5: Calculate Kinetic Energy
🧮 Use the formula KE = ½mv²
The Kinetic Energy Formula
KE = ½mv²
Where:
• KE = Kinetic Energy (in Joules)
• m = mass (in kilograms)
• v = velocity (in meters per second)
Example: If m = 50 kg and v = 10 m/s
KE = ½ × 50 × (10)² = ½ × 50 × 100 = 2,500 J
Calculate: A 60 kg skater reaches the bottom moving at 8 m/s. What is their kinetic energy?
*
📐 KE = ½mv²
Show your work: KE = ½ × 60 × (8)² = ?
240 J
480 J
1,920 J
3,840 J
Which change would increase kinetic energy MORE?
*
Doubling the mass (2x)
Doubling the velocity (2x)
Both have the same effect
Neither affects kinetic energy
After section 6
Section 7 of 7
Part 6: Show Your Evidence
📸 Upload proof of your work
Paste your Google Drive link to a screenshot of your simulation
*
📸 Take a screenshot showing:
• Energy bar graphs
• The skater at an interesting point
• Energy values visible
Upload to Google Drive and paste the sharing link here.
💡 Make sure sharing is set to "Anyone with the link can view"
How confident do you feel about explaining how mass and velocity affect kinetic energy?
🧠 Being honest with yourself helps you learn better!
Not confident
1
2
3
4
5
Very confident
.
Banner hidden </t>
  </si>
  <si>
    <t>&lt;iframe src="https://docs.google.com/forms/d/e/1FAIpQLScE1j9ui31GSjt8pmA5eM0SnG_t2dMktPnHHgvDTeWA9BdB-A/viewform?embedded=true" width="640" height="1116" frameborder="0" marginheight="0" marginwidth="0"&gt;Loading…&lt;/iframe&gt;</t>
  </si>
  <si>
    <t>https://docs.google.com/spreadsheets/d/1ytv6MYmm-8DwYEf-PC6L-upnzfG4TJT_K2_Q1BobE6k/edit?resourcekey=&amp;gid=1909678374#gid=1909678374</t>
  </si>
  <si>
    <t xml:space="preserve">Screen reader support enabled.
G7.C2.W2: Station 2: Covalent Bonding
Total points: 20
Section 1 of 4
Station 2: Covalent Bonding
📋 Standards: MS-PS1-1: Develop models to describe atomic composition
🎯 Master covalent bonds and electron sharing!
⏱️ Time: ~8-10 minutes | ✅ Retakes allowed
This form is automatically collecting emails from all respondents.Change settings
After section 1
Section 2 of 4
Part 1: What are Covalent Bonds?
Key concept: SHARING electrons!
What is a covalent bond?
*
Different from ionic - think SHARING not TRANSFER!
A bond formed when atoms SHARE electrons
A bond formed when atoms TRANSFER electrons
A bond between a metal and nonmetal
A bond that only forms in liquids
Covalent bonds typically form between:
*
What types of elements share electrons?
Two or more nonmetal elements
A metal and a nonmetal
Two metal elements
Noble gases only
After section 2
Section 3 of 4
Part 2: Covalent Molecules
Let's identify and analyze covalent compounds!
Which of these is a covalent molecule?
*
Look for nonmetal + nonmetal!
H₂O (water)
NaCl (table salt)
MgO (magnesium oxide)
KBr (potassium bromide)
In a water molecule (H₂O), how many total electrons are SHARED between all atoms?
*
💡 Draw it out! Each O-H bond shares 2 electrons.
4 electrons (2 bonds × 2 electrons per bond)
2 electrons (one per hydrogen)
8 electrons (oxygen's full outer shell)
6 electrons (3 pairs)
Which molecule contains a DOUBLE covalent bond (4 shared electrons)?
*
Remember: Single bond = 2e⁻, Double = 4e⁻, Triple = 6e⁻
O₂ (oxygen gas: O=O)
H₂O (water: H-O-H)
CH₄ (methane: 4 C-H bonds)
NH₃ (ammonia: 3 N-H bonds)
After section 3
Section 4 of 4
Part 3: Covalent Properties
Compare covalent to ionic!
Which are TRUE about covalent compounds? (Select ALL that apply)
*
Think about substances like water, sugar, and gases.
Usually have LOWER melting points than ionic compounds
Form between NONMETAL elements
Can exist as gases, liquids, OR solids at room temperature
Always conduct electricity when dissolved
Form hard crystal lattices like table salt
Why are covalent bonds essential for life? Give at least TWO specific examples of important covalent molecules.
*
💭 Think about water, DNA, proteins, carbohydrates... Write 3-5 sentences with specific examples!
How confident are you in your understanding of covalent bonding?
🧠 Be honest! Self-assessment helps you learn better.
Not confident at all
1
2
3
4
5
Very confident!
.
Banner hidden </t>
  </si>
  <si>
    <t>&lt;iframe src="https://docs.google.com/forms/d/e/1FAIpQLSfEMvmPnQoT9rs_l1-rwOlcYKjP0CrC6Qb8MkkXXz2jEzxpgw/viewform?embedded=true" width="640" height="1144" frameborder="0" marginheight="0" marginwidth="0"&gt;Loading…&lt;/iframe&gt;</t>
  </si>
  <si>
    <t>https://docs.google.com/spreadsheets/d/13P_qT6pKDynUZR0_aswSscwX8dw4UhPyIL8ohovayVc/edit?resourcekey=&amp;gid=372529563#gid=372529563</t>
  </si>
  <si>
    <t xml:space="preserve">Screen reader support enabled.
G8.C2.W2: Station 2: Real-World Analysis
Total points: 10
Section 1 of 6
G8.C2.W2: Station 2: Real-World Analysis
⚡ Apply Energy Principles to Real Collisions | 25-30 minutes
Your Mission:
Take what you learned about the KE formula and apply it to real collision scenarios. You'll calculate energy, predict what happens, and explain what goes on during different types of collisions.
✅ You're successful when you can:
• Calculate kinetic energy when you're given mass and velocity
• Compare what happens to energy in different collision scenarios
• Explain energy transformations using scientific vocabulary
• Tell the difference between elastic and inelastic collisions
• Back up your claims with evidence and calculations
💡 Keep the vocabulary section from the Canvas page open - you'll need those definitions!
This form is automatically collecting emails from all respondents.Change settings
After section 1
Section 2 of 6
Part 1: Calculate Kinetic Energy
🧮 Use KE = ½mv² to solve these problems
Scenario: Car Collision
A car (mass = 1,200 kg) is driving at 20 m/s when it approaches a red light.
Calculate: What is the car's kinetic energy?
*
📐 KE = ½mv²
Show your work: KE = ½ × 1,200 × (20)² = ?
12,000 J
24,000 J
240,000 J
480,000 J
When the driver brakes to stop, where does all that kinetic energy (240,000 J) go?
*
💭 Think about energy conservation - energy can't disappear!
📝 Write 3-4 sentences explaining the energy transformation.
After section 2
Section 3 of 6
Part 2: Compare Two Collisions
🔍 Which has more kinetic energy?
Two Baseball Scenarios
Scenario A: A baseball (0.145 kg) thrown by a pitcher at 40 m/s
Scenario B: A baseball (0.145 kg) hit by a bat, now moving at 50 m/s
Which baseball has MORE kinetic energy?
*
Scenario A (thrown ball)
Scenario B (hit ball)
They have the same energy
Not enough information
Calculate both kinetic energies and explain the difference.
*
🧮 Calculate:
• Scenario A: KE = ½ × 0.145 × (40)² = ?
• Scenario B: KE = ½ × 0.145 × (50)² = ?
📝 Write 3-4 sentences showing your calculations and explaining why velocity matters so much.
After section 3
Section 4 of 6
Part 3: Types of Collisions
💥 Elastic vs. Inelastic
Understanding Collision Types
ELASTIC: Objects bounce apart, kinetic energy is conserved
INELASTIC: Objects stick together or deform, kinetic energy decreases (transforms to heat, sound, deformation)
Which of these are ELASTIC collisions? (Check all that apply)
*
Pool balls bouncing off each other
A car crash where the bumper crumples
A bouncy ball bouncing on a hard floor
Two train cars coupling together
A basketball bouncing (approximately elastic)
Explain what happens to kinetic energy in an INELASTIC collision.
*
💭 Where does the kinetic energy go if it's not conserved?
📝 Write 4-5 sentences using the vocabulary: energy transformation, thermal energy, deformation, and sound energy.
After section 4
Section 5 of 6
Part 4: Apply to Real Safety
🛡️ How do engineers use energy principles?
Scenario: Bicycle Helmet Design
Your head (5 kg) is moving at 6 m/s when you fall off your bike. The ground is hard and would stop your head in 0.01 seconds. A helmet with foam could extend that stopping time to 0.1 seconds.
Calculate: How much kinetic energy needs to be absorbed when your head stops?
*
📐 KE = ½mv²
15 J
30 J
90 J
180 J
Explain why extending the collision time from 0.01s to 0.1s makes the helmet safer.
*
💭 Think about force. When the same energy is absorbed over MORE time, what happens to the force?
📝 Write 4-5 sentences explaining how helmets use energy principles to protect you.
After section 5
Section 6 of 6
Part 5: Big Picture Thinking
🧠 Connect the concepts
In an inelastic collision, is TOTAL energy conserved? Explain carefully.
*
💭 Be careful! KINETIC energy vs. TOTAL energy - they're different!
📝 Write 4-5 sentences distinguishing between:
• Kinetic energy (can decrease in inelastic collisions)
• Total energy (always conserved - Law of Conservation of Energy)
How confident do you feel about calculating kinetic energy and explaining energy in collisions?
🧠 Being honest with yourself helps you learn better!
Not confident
1
2
3
4
5
Very confident
.
Banner hidden </t>
  </si>
  <si>
    <t>&lt;iframe src="https://docs.google.com/forms/d/e/1FAIpQLSfjeVCdhYZ01iqSxWXHiTlYDHPi6KrcP-V1ulgMlUaDy0Kh5g/viewform?embedded=true" width="640" height="912" frameborder="0" marginheight="0" marginwidth="0"&gt;Loading…&lt;/iframe&gt;</t>
  </si>
  <si>
    <t>https://docs.google.com/spreadsheets/d/1LTj0BC6WXgHo3fEDDSQlGOM1HkEYGTw8epmIdU0RnB4/edit?resourcekey=&amp;gid=315300912#gid=315300912</t>
  </si>
  <si>
    <t xml:space="preserve">Screen reader support enabled.
G7.C2.W2: Station 3: Ionic vs Covalent
Total points: 25
Section 1 of 4
Station 3: Ionic vs Covalent
📋 Standards: MS-PS1-1: Develop models to describe atomic composition
🎯 Can you tell the difference? Let's find out!
⏱️ Time: ~10-12 minutes | ✅ Retakes allowed
This form is automatically collecting emails from all respondents.Change settings
After section 1
Section 2 of 4
Part 1: Identify the Bond Type
For each compound, determine if it's ionic or covalent!
CO₂ (carbon dioxide) has which type of bonding?
*
Look at the elements: C and O
Covalent (both nonmetals)
Ionic (metal + nonmetal)
Metallic (metals only)
Cannot determine from formula
CaCl₂ (calcium chloride) has which type of bonding?
*
Look at the elements: Ca and Cl
Ionic (metal + nonmetal)
Covalent (nonmetals)
Metallic (metals only)
Both ionic and covalent
After section 2
Section 3 of 4
Part 2: Predict Properties
Use bond type to predict physical properties!
Which compound would have the HIGHEST melting point?
*
Think about bond strength!
MgO (magnesium oxide) - ionic
H₂O (water) - covalent
CO₂ (carbon dioxide) - covalent
CH₄ (methane) - covalent
A white crystalline substance dissolves in water and the solution conducts electricity. It is most likely:
*
Use ALL the clues: white, crystalline, dissolves, conducts!
An ionic compound (like NaCl)
A covalent compound (like sugar)
A pure metal element
A noble gas
After section 3
Section 4 of 4
Part 3: Demonstrate Your Understanding
Create a comparison to show you understand both bond types!
Create a comparison table OR Venn diagram comparing ionic and covalent bonds.
*
📊 Include these categories:
• Elements involved (metal/nonmetal)
• Electron behavior (transfer vs share)
• Properties (melting point, conductivity, state at room temp)
• Examples (at least 2 for each)
You can describe it in words OR draw and upload a photo below!
Optional: upload a photo of your comparison table or Venn diagram here!
Explain why salt (NaCl) dissolves in water but oil (C₈H₁₈) does not.
*
💡 Think about: What type of bonds are in NaCl vs oil? What happens when each interacts with water? Write 3-5 sentences.
How confident are you in your understanding of distinguishing ionic from covalent bonds?
🧠 Be honest! Self-assessment helps you learn better.
Not confident at all
1
2
3
4
5
Very confident!
.
Banner hidden </t>
  </si>
  <si>
    <t>https://docs.google.com/spreadsheets/d/16B_HaxNdsb7BY3AQ0xKagDsjOLkfb_DjPkxPwEpn8gc/edit?resourcekey=&amp;gid=1663422420#gid=1663422420</t>
  </si>
  <si>
    <t xml:space="preserve">Screen reader support enabled.
G8.C2.W2: Station 3: Design Challenge
Total points: 0
Section 1 of 8
G8.C2.W2: Station 3: Design Challenge
🛡️ Engineering Design Challenge | 35-40 minutes
Your Mission:
Design a safety solution using energy principles. You'll apply everything you've learned about energy transformations to solve a real collision problem that affects people's lives.
✅ You're successful when you can:
• Clearly identify the collision problem you're solving
• Explain how your design transforms kinetic energy into safer forms
• Use the equation KE = ½mv² to support why your design works
• Include a labeled diagram showing your solution
• Predict how well your solution will work (with evidence)
💡 This is where you become the engineer! Use everything you've learned this week.
This form is automatically collecting emails from all respondents.Change settings
After section 1
Section 2 of 8
Part 1: Choose Your Design Challenge
🎯 Pick ONE challenge to focus on
Which safety problem will you solve?
*
Vehicle Safety: Design a better crumple zone for a small car
Sports Equipment: Create protective gear that reduces collision impact
Playground Safety: Design safer surfaces for play equipment
Building Design: Create earthquake-resistant structures using energy principles
After section 2
Section 3 of 8
Part 2: Analyze the Problem
🔍 Understand what you're solving
Describe the collision problem you're solving.
*
💭 Answer these questions:
• What collision happens?
• Who gets hurt and why?
• How much kinetic energy is typically involved? (Make an educated estimate)
• Why is this problem important to solve?
📝 Write 5-6 sentences with specific details.
Calculate: Estimate the kinetic energy involved in your scenario.
*
🧮 Example: If designing for a car crash:
• Typical car mass: 1,500 kg
• City speed: 15 m/s (about 33 mph)
• KE = ½ × 1,500 × (15)² = ?
Show your calculation for YOUR chosen scenario.
📝 Write your calculation and explain what this energy number means.
After section 3
Section 4 of 8
Part 3: Your Design Solution
🎨 Create your safety solution
Describe your design in detail. How does it work?
*
💭 Include:
• What materials you'll use
• How your design absorbs or redirects kinetic energy
• How it extends collision time (if applicable)
• Why these design choices will protect people
📝 Write 6-8 sentences with engineering details. Use vocabulary: energy transformation, kinetic energy, deformation, thermal energy.
Explain the energy transformations in your design.
*
💭 Where does the kinetic energy GO?
Example: "The crumple zone transforms kinetic energy into...
1. Deformation energy (metal bending)
2. Thermal energy (heat from friction)
3. Sound energy (crash noise)"
📝 Write 4-5 sentences tracing where the energy goes step-by-step.
After section 4
Section 5 of 8
Part 4: Visual Design
📐 Show your design
Create a labeled diagram and upload it to Google Drive. Paste the link here.
*
📸 Your diagram should show:
• The main components of your design
• Labels explaining how each part works
• Arrows showing energy flow/transformation
• Materials used
Draw it on paper, take a photo, upload to Drive, and share the link.
💡 Make sure sharing is "Anyone with link can view"
After section 5
Section 6 of 8
Part 5: Use Math to Support Your Design
🧮 Show why your design will work
Use the equation KE = ½mv² to explain why your design will be effective.
*
💭 Examples of things to calculate or explain:
• How much energy needs to be absorbed?
• How does extending time reduce force? (F = Δp/Δt)
• What happens if mass or velocity changes?
• Why is your design better than current solutions?
📝 Write 5-7 sentences with calculations supporting your design choices.
After section 6
Section 7 of 8
Part 6: Predict &amp; Improve
🔬 How would you test and improve your design?
How effective do you predict your solution will be? What are its limitations?
*
💭 Be realistic! No design is perfect.
Consider:
• What percentage of kinetic energy can your design absorb?
• What scenarios would it work best for?
• What are the weaknesses or limitations?
• How could you improve it further?
📝 Write 5-6 sentences with honest assessment and improvement ideas.
Which energy principles does your design use? (Check all that apply)
*
Energy conservation (total energy stays constant)
Energy transformation (KE → other forms)
Extending collision time to reduce force
Increasing deformation to absorb energy
Using materials that convert KE to thermal energy
Redirecting energy away from vulnerable areas
After section 7
Section 8 of 8
Part 7: Real-World Connection
🌍 Think about impact
How could your design save lives or prevent injuries in the real world?
*
💭 Think beyond just this assignment. Who would benefit from your solution? How many people could it help?
📝 Write 3-4 sentences about the real-world impact.
How confident do you feel about applying energy principles to design safety solutions?
🧠 Being honest with yourself helps you learn better!
Not confident
1
2
3
4
5
Very confident
.
Banner hidden </t>
  </si>
  <si>
    <t>&lt;iframe src="https://docs.google.com/forms/d/e/1FAIpQLSfJWT29qbgTSkWoaI7ISrlDpuO8jW5RbhHA5bKjxGWUrpIPfA/viewform?embedded=true" width="640" height="839" frameborder="0" marginheight="0" marginwidth="0"&gt;Loading…&lt;/iframe&gt;</t>
  </si>
  <si>
    <t>https://docs.google.com/spreadsheets/d/1lBH5Hghbbsr-XV8ZpAW4SFOyMpQX5vY0tEjkjRAJH48/edit?resourcekey=&amp;gid=1795574099#gid=1795574099</t>
  </si>
  <si>
    <t xml:space="preserve">Screen reader support enabled.
G7.C2.W2: Exit Ticket: Chemical Bonding
Total points: 20
Section 1 of 7
Exit Ticket: Chemical Bonding
📋 Standards: MS-PS1-1: Develop models to describe atomic composition, MS-PS1-4: Develop a model that predicts changes of state
🎯 Show everything you've learned!
⏱️ Time: ~15-20 minutes | ⚠️ Take your time and do your best!
✅ Retakes allowed
This form is automatically collecting emails from all respondents.Change settings
After section 1
Section 2 of 7
Part 1: Atomic Structure Foundations
Quick review before we dive into bonding!
An atom has 17 protons, 18 neutrons, and 17 electrons. What is its atomic number?
*
17
18
35
34
Which particle determines the chemical identity of an element?
*
Number of protons
Number of neutrons
Number of electrons
Atomic mass
After section 2
Section 3 of 7
Part 2: Ionic Bonding
Demonstrate your understanding of electron transfer!
When magnesium (Mg) reacts with oxygen (O) to form MgO, what happens?
*
Mg has 2 valence e⁻, O has 6 valence e⁻
Mg loses 2 electrons to become Mg²⁺, O gains 2 electrons to become O²⁻
Mg and O share 2 electrons equally
Mg gains 2 electrons, O loses 2 electrons
No electrons are transferred or shared
What is the correct chemical formula for the ionic compound formed between aluminum (Al³⁺) and oxide (O²⁻)?
*
Balance the charges! Total positive must equal total negative.
Al₂O₃
AlO
Al₃O₂
AlO₃
After section 3
Section 4 of 7
Part 3: Covalent Bonding
Show your mastery of electron sharing!
How many covalent bonds does carbon typically form?
*
C has 4 valence electrons and needs 8 total (octet rule)
4 bonds
2 bonds
3 bonds
1 bond
Which molecule contains BOTH single and double covalent bonds?
*
Think about molecules with different bond types!
CO₂ (O=C=O: two double bonds)
CH₃OH (methanol: single bonds only)
H₂CO (formaldehyde: C=O double, C-H singles)
O₂ (O=O: one double bond only)
After section 4
Section 5 of 7
Part 4: Comparing Bond Types
Apply your knowledge to real situations!
A student analyzes compound X. Which observations suggest it is IONIC? (Select ALL that apply)
*
Think about ionic compound properties!
High melting point (800°C)
Conducts electricity when dissolved in water
Forms hard, brittle crystals
Low boiling point (50°C)
Does not dissolve in water
Which statement BEST explains why ionic compounds conduct electricity when dissolved but NOT when solid?
*
When dissolved, ions are free to move and carry charge. When solid, ions are locked in place in the crystal.
Dissolving creates new electrons that can flow
Water molecules conduct the electricity
The ionic bonds break and become covalent
After section 5
Section 6 of 7
Part 5: Higher-Order Thinking
Demonstrate deep understanding!
Explain why water (H₂O) is a liquid at room temperature while sodium chloride (NaCl) is a solid.
*
💡 Your answer should include: (1) Type of bonding in each, (2) Bond strength differences, (3) How this affects physical state. Write 4-6 complete sentences.
A compound is made of 2 elements: one from Group 1 and one from Group 17 of the periodic table. Predict: (a) Will it be ionic or covalent? (b) Will it conduct electricity when dissolved? (c) Will it have a high or low melting point? Explain each prediction.
*
🧠 Use what you know about periodic trends and bonding! Write 4-6 sentences covering all three parts.
After section 6
Section 7 of 7
Part 6: Modeling Chemical Bonding
Create models to show your understanding!
Draw OR describe electron arrangements for TWO compounds: (1) NaCl formation, (2) H₂O formation. Show electron transfer for ionic AND electron sharing for covalent.
*
📝 You can describe it in detail with Lewis structures in text, OR draw it and upload below! Be specific about which electrons move/are shared.
Reflection: What was the most important concept you learned about chemical bonding this week? How will you remember the difference between ionic and covalent bonds?
🤔 Honest reflection helps learning stick! 3-5 sentences.
How confident are you in your understanding of chemical bonding overall?
🧠 Be honest! Self-assessment helps you learn better.
Not confident at all
1
2
3
4
5
Very confident!
.
Banner hidden </t>
  </si>
  <si>
    <t xml:space="preserve">Screen reader support enabled.
G8.C2.W2: Exit Ticket: Show What You Learned
Total points: 17
Section 1 of 7
Exit Ticket: Show What You Learned
🎓 Final Assessment | Complete after all three stations
This shows what you've learned about all four targets:
• Can you use the KE = ½mv² equation correctly?
• Can you explain what happens to energy during collisions?
• Can you tell the difference between elastic vs inelastic collisions?
• Can you apply energy principles to design safety solutions?
💡 This is your chance to show growth! When you're done, compare your answers to what you wrote in the Do Now. What did you learn this week?
⏰ Take your time and show your best thinking. This measures your mastery of ALL the concepts!
This form is automatically collecting emails from all respondents.Change settings
After section 1
Section 2 of 7
Part 1: Master the Formula
🧮 Show your calculation skills with KE = ½mv²
A truck (3,000 kg) and a motorcycle (200 kg) both have 300,000 J of kinetic energy. Which is moving faster?
*
The truck
The motorcycle
They have the same velocity
Not enough information
Calculate: A 1,500 kg car traveling at 25 m/s slams on the brakes and stops. How much kinetic energy was transformed?
*
📐 KE = ½mv²
18,750 J
37,500 J
468,750 J
937,500 J
A car triples its velocity. By what factor does its kinetic energy increase?
*
2 times
3 times
6 times
9 times
After section 2
Section 3 of 7
Part 2: Trace Energy Transformations
🔄 Show you understand where energy goes
Scenario: Car Crash into Tree
A car (1,200 kg) traveling at 20 m/s crashes into a tree. The car crumples, makes a loud noise, and stops completely.
What forms of energy did the car's kinetic energy transform into? (Check all that apply)
*
Thermal energy (heat from friction and deformation)
Sound energy (crash noise)
Deformation energy (crumpling metal)
The energy disappeared
Potential energy (car at rest)
Light energy (sparks if any)
Calculate the car's initial kinetic energy, then explain where each joule went.
*
🧮 First calculate: KE = ½ × 1,200 × (20)² = ?
Then explain: If you had to estimate percentages, how much energy went to:
• Deformation (crumpling)
• Thermal energy (heat)
• Sound energy
• Other forms
📝 Write 5-6 sentences with your calculation and detailed energy accounting.
After section 3
Section 4 of 7
Part 3: Compare Elastic vs Inelastic
💥 Show you understand the difference
In which type of collision is kinetic energy conserved?
*
Elastic collision
Inelastic collision
Both types
Neither type
Which scenarios are INELASTIC collisions? (Check all that apply)
*
Car crash with crumpling
Two pieces of clay sticking together
Billiard balls bouncing
Football tackle where players collide and fall together
Rubber ball bouncing off a wall
Meteor impact creating a crater
In an inelastic collision, is TOTAL energy conserved? Explain your answer.
*
💭 Be careful! KINETIC energy vs. TOTAL energy...
📝 Write at least 4 sentences distinguishing between KE conservation and total energy conservation.
After section 4
Section 5 of 7
Part 4: Apply to NEW Scenario
🚀 Show you can apply energy principles to situations you haven't studied!
NEW Scenario: Roller Coaster Safety
🎢 A roller coaster car (500 kg) reaches the bottom of a hill moving at 30 m/s. The ride must safely bring it to a stop at the station using brakes.
Calculate: How much kinetic energy must the brakes dissipate to stop the car?
*
📐 KE = ½mv²
7,500 J
15,000 J
225,000 J
450,000 J
Design a braking system that safely stops this roller coaster. Explain how it transforms kinetic energy.
*
💭 Consider:
• Where does the 225,000 J of KE go?
• How can you extend braking time to reduce force?
• What materials would you use and why?
📝 Write at least 5 sentences with specific engineering details.
After section 5
Section 6 of 7
Part 5: Answer the Anchor Phenomenon
🚗 Use everything you've learned to explain the crash test paradox!
The Crash Test Paradox - Final Explanation
Remember from the beginning: Two identical cars crash at the same speed. One has a rigid bumper, one has crumple zones. The crumple zone car protects passengers better. WHY?
🎯 COMPREHENSIVE EXPLANATION: Why do crumple zones protect passengers better than rigid bumpers?
*
Your explanation MUST include:
1. Energy calculation: Calculate the KE involved (use realistic mass and velocity)
2. Energy conservation: Where does the energy go?
3. Time extension: How do crumple zones extend collision time?
4. Force reduction: Explain F = Δp/Δt and why longer time = smaller force on passengers
5. Comparison: Why rigid bumpers are more dangerous
📝 Write at least 8 sentences covering ALL five components. Use scientific vocabulary and specific evidence from this week's learning!
After section 6
Section 7 of 7
Part 6: Reflection &amp; Self-Assessment
🤔 Reflect on your learning this week
Target 1: I can explain the relationship between kinetic energy, mass, and velocity
*
Rate your current mastery
Still learning
1
2
3
4
5
Complete mastery
Target 2: I can analyze how energy transforms during collisions
*
Rate your current mastery
Still learning
1
2
3
4
5
Complete mastery
Target 3: I can compare elastic and inelastic collisions
*
Rate your current mastery
Still learning
1
2
3
4
5
Complete mastery
Target 4: I can apply energy principles to design safety solutions
*
Rate your current mastery
Still learning
1
2
3
4
5
Complete mastery
What was your biggest "aha!" moment this week about energy in collisions?
🌟 What concept finally clicked for you? This helps us teach better in the future!
How will you use this knowledge outside of science class?
*
💭 Real-world connection: How might understanding energy in collisions change how you think about:
• Driving or riding in cars
• Playing sports
• Understanding news about safety
• Other situations?
📝 Write at least 3 sentences.
How confident do you feel about energy in collisions overall?
🧠 Being honest with yourself helps you learn better!
Not confident
1
2
3
4
5
Very confident
.
Banner hidden </t>
  </si>
  <si>
    <t>&lt;iframe src="https://docs.google.com/forms/d/e/1FAIpQLScZhuIdyEBTz6pjNCIijgyTHXdXmvos0aGHBFPVuuafbzJJGA/viewform?embedded=true" width="640" height="1900" frameborder="0" marginheight="0" marginwidth="0"&gt;Loading…&lt;/iframe&gt;</t>
  </si>
  <si>
    <t>https://docs.google.com/spreadsheets/d/11sIXwmK0co7YC01jkeOYS_Q9btyVErtOm8MrXzqLkm8/edit?resourcekey=&amp;gid=835282101#gid=835282101</t>
  </si>
  <si>
    <t>https://docs.google.com/document/d/1T2ZlR5G3c170fJY-P-VAjsfZqW-yp6IVMwJxDVRdknI/edit?pli=1&amp;tab=t.jmnhuudxymeg</t>
  </si>
  <si>
    <t xml:space="preserve">Screen reader support enabled.
G7.C2.W3: Hook - The Burning Question
Total points: 10
Hook: The Burning Question
Welcome to Week 3! This week we explore chemical reactions.
You have learned about atoms, molecules, and bonds. Now: what happens when bonds BREAK and new ones FORM?
Time: ~8 minutes | Points: 10
Standard: MS-PS1-2: Analyze and interpret data on properties of substances before/after reactions
Be honest with your thinking - this helps us teach better!
Email
*
This form is collecting emails.Change settings
The Burning Candle Mystery
Watch a candle burn. Where does the wax go? Does it just disappear?
Think about what you learned in Weeks 1 &amp; 2:
• Atoms make up all matter
• Atoms bond together (ionic &amp; covalent)
• Matter can change state (solid, liquid, gas)
Now: When a candle burns, what REALLY happens?
What do you think happens to the wax when a candle burns?
*
Share your thinking! Where does the wax go?
Write at least 2-3 sentences. No wrong answers - this is YOUR starting point!
When a candle burns, is this a chemical reaction or a physical change?
*
Think: Are NEW substances created, or just the same substance changing form?
Chemical reaction - new substances are formed
Physical change - just melting wax
Both happening at the same time
I am not sure yet
What do you think happens to the atoms during a chemical reaction?
*
Based on what you learned in Weeks 1 &amp; 2...
Atoms rearrange into new combinations
Atoms are destroyed and new ones are created
Atoms stay exactly the same
Atoms disappear
What evidence might show that a chemical reaction happened? (Select ALL that apply)
*
Think about what you might observe...
Color change
Gas bubbles forming
Temperature change (gets hot or cold)
Light being produced
Something changing shape
Something getting wet
How confident are you in your understanding of explaining what happens during a chemical reaction?
*
Being honest helps you learn better! It is okay to not know yet.
Not confident at all
1
2
3
4
5
Very confident
What do you most want to learn about chemical reactions this week?
*
What are you curious about? What questions do you have?
Examples: How do fireworks work? Why does food spoil? How do batteries store energy?
.
Banner hidden </t>
  </si>
  <si>
    <t>&lt;iframe src="https://docs.google.com/forms/d/e/1FAIpQLSe9LikSUeoWVQ8k8lgefac0SnAAQasIviX0pUJxVWRS9_zJ1g/viewform?embedded=true" width="640" height="2512" frameborder="0" marginheight="0" marginwidth="0"&gt;Loading…&lt;/iframe&gt;</t>
  </si>
  <si>
    <t>https://docs.google.com/spreadsheets/d/1SG2BnFOinBZsm3_Rx1BzD670E652svXjlzWieKobj9o/edit?resourcekey=&amp;gid=1019807666#gid=1019807666</t>
  </si>
  <si>
    <t>https://docs.google.com/document/d/1T2ZlR5G3c170fJY-P-VAjsfZqW-yp6IVMwJxDVRdknI/edit?pli=1&amp;tab=t.6d9fxw9bpbsy</t>
  </si>
  <si>
    <t xml:space="preserve">Screen reader support enabled.
G8.C2.W3: Hook - The F=ma Investigation Question
Total points: 18
Section 1 of 2
Hook: What Affects How Objects Accelerate?
Welcome to Week 3! This week you'll plan REAL investigations.
Building on:
• Week 1: Newton's 3rd Law - forces come in pairs
• Week 2: Kinetic Energy - motion and energy relate
• Week 3: How do FORCE and MASS affect ACCELERATION?
⏱️ Time: ~12 minutes | 📊 Points: 32
🎯 Standard: MS-PS2-2: Plan an investigation to provide evidence that the change in an object's motion depends on the sum of the forces on the object and the mass of the object
INVESTIGATION QUESTION:
If you push objects with different forces or different masses, how does their acceleration change?
Email
*
This form is collecting emails.Change settings
📚 Review: Week 1 - Newton's Third Law
Start by retrieving what you learned about forces...
[WEEK 1 REVIEW] Two students push on each other while ice skating. Student A (50 kg) and Student B (80 kg) push with equal force. According to N3L, what happens?
*
🔗 CCC: Systems | Remember: action-reaction pairs
Both experience equal force, but Student A accelerates MORE (less mass)
Student B accelerates more because they're heavier
Both accelerate equally
Cannot determine without knowing the force value
[WEEK 2 REVIEW] A 1000 kg car accelerates from 0 to 20 m/s. Its KE changes from 0 to 200,000 J. What caused this change in KE?
*
🔗 CCC: Energy and Matter | Connect energy to motion
A net FORCE acted on the car, causing acceleration and increasing KE
The car's mass increased
Time passing naturally increases KE
Friction created the energy
After section 1
Section 2 of 2
Week 3: Investigation Planning
Description (optional)
🔬 This Week: Planning Scientific Investigations
MS-PS2-2: Plan an investigation to provide evidence that force and mass affect motion.
You'll learn to design experiments testing:
• How changing FORCE affects acceleration (when mass is constant)
• How changing MASS affects acceleration (when force is constant)
This is how real scientists work!
PREDICTION: If you double the force on an object (keeping mass constant), what happens to its acceleration?
*
🧪 SEP: Asking Questions | Make a prediction before investigating!
Acceleration doubles (if F↑2×, then a↑2× when m is constant)
Acceleration stays the same
Acceleration quadruples
Cannot predict without more information
INVESTIGATION BRAINSTORM: You want to test how MASS affects acceleration.
Describe a simple investigation you could do. Include:
1. What would you CHANGE (independent variable)?
2. What would you MEASURE (dependent variable)?
3. What would you KEEP THE SAME (controlled variables)?
4. How would you measure acceleration?
*
🧪 SEP: Planning Investigations
🔗 CCC: Stability and Change - How does changing mass affect motion?
Be specific! Example equipment: carts, ramps, stopwatches, masses.
Write 4-6 sentences.
⚖️ RUBRIC (Teacher Grading):
10pts: Identifies IV (mass), DV (acceleration), controls (force, surface), measurement method + clear procedure
8pts: Has IV/DV/controls but measurement unclear
6pts: Missing controls or measurement method
4pts: Vague variables
0pts: Off-topic
🧠 Metacognitive Reflection
Research shows: thinking ABOUT your thinking improves learning!
What strategy helped you MOST when thinking about investigation planning?
*
Knowing your strategies helps you learn more effectively.
Drew diagrams showing forces and motion
Made a data table to organize variables
Thought of similar investigations from class
Asked myself: What am I changing? What am I measuring?
Used multiple strategies together
What part of investigation planning is MOST confusing to you, and WHY?
*
Example: "I understand changing force, but I'm confused about how to measure acceleration."
How will you prepare to plan investigations in the future?
*
Planning your study strategies
Practice identifying independent and dependent variables
Review examples of well-designed investigations
Ask my teacher for feedback on my investigation plans
Study how to control variables
Combination of these strategies
.
Banner hidden </t>
  </si>
  <si>
    <t>&lt;iframe src="https://docs.google.com/forms/d/e/1FAIpQLScpwh5pKzh452gwtKr8tjEctiOvfX6en2YrV_dVqcB0-eGYDg/viewform?embedded=true" width="640" height="2332" frameborder="0" marginheight="0" marginwidth="0"&gt;Loading…&lt;/iframe&gt;</t>
  </si>
  <si>
    <t>https://docs.google.com/spreadsheets/d/1csqG5dOxr6mnQQeHuLyfSoVeWZspfrn9T3cQFX5jhi8/edit?resourcekey=&amp;gid=923100225#gid=923100225</t>
  </si>
  <si>
    <t xml:space="preserve">Screen reader support enabled.
G7.C2.W3: Station 1 - Evidence Lab
Total points: 20
Section 1 of 4
Station 1: Evidence of Chemical Reactions
Investigate how to identify chemical reactions!
Time: ~25 minutes | Points: 20
Learning Target: I can identify evidence of chemical reactions.
You will observe reactions and analyze what happens at the molecular level.
Email
*
This form is collecting emails.Change settings
After section 1
Section 2 of 4
Types of Chemical Evidence
Description (optional)
Evidence #1: Color Change
When substances react, they often change color because NEW substances with different properties form.
Example: Rust forming on iron
• Iron (gray metal) + Oxygen → Iron oxide (reddish-brown rust)
• The color change shows a NEW substance formed!
You mix two clear liquids. The mixture turns bright yellow. Is this evidence of a chemical reaction?
*
Think: Did a new substance form?
Yes - color change indicates new substances formed
No - the liquids just mixed together
Maybe - need more evidence
Color change is never evidence of a reaction
Evidence #2: Gas Production
Bubbles or gas forming shows atoms rearranging into new molecules.
Example: Baking soda + Vinegar
• Produces CO₂ gas (bubbles!)
• The gas is a NEW substance that was not there before
When you drop Alka-Seltzer in water, bubbles form. What gas is being produced?
*
Hint: It is the same gas you exhale when breathing!
Carbon dioxide (CO₂)
Oxygen (O₂)
Hydrogen (H₂)
Water vapor (H₂O)
Evidence #3: Temperature Change
Chemical reactions release or absorb energy.
• EXOTHERMIC: Releases heat (gets warmer)
  Example: Burning wood, hand warmers
• ENDOTHERMIC: Absorbs heat (gets colder)
  Example: Instant cold packs
A chemical reaction makes the container feel very warm to touch. This reaction is:
*
Exothermic (releases energy)
Endothermic (absorbs energy)
Neither - temperature does not relate to reactions
After section 2
Section 3 of 4
Virtual Lab Investigation
Description (optional)
INVESTIGATION: Four Mystery Reactions
You will observe 4 different reactions. For each, identify the evidence.
Reaction A: Steel wool + oxygen → rust
Reaction B: Baking soda + vinegar → bubbles
Reaction C: Hydrogen peroxide → water + oxygen (with bubbles)
Reaction D: Burning sugar → carbon (black) + water vapor
Reaction A (Rusting): What evidence shows this is a chemical reaction?
*
Color change (gray → reddish brown)
Shape change only
No evidence - this is physical change
Reaction B (Baking soda + vinegar): What evidence do you observe? (Select ALL)
*
Gas production (bubbles)
Temperature change (gets slightly cooler)
Volume increase
Color change to purple
Reaction D (Burning sugar): Describe what happens at the MOLECULAR level.
*
Think about atoms and bonds:
• What bonds are breaking?
• What new bonds are forming?
• What new substances are created?
Write 3-4 sentences. Use scientific vocabulary!
After section 3
Section 4 of 4
Physical vs. Chemical Changes
Description (optional)
Can You Tell the Difference?
PHYSICAL CHANGE: Same substance, different form
• Melting ice, cutting paper, dissolving sugar
• NO new substances
CHEMICAL CHANGE: New substances form
• Burning, rusting, cooking
• Atoms rearrange into different molecules
Ice melting into water is a:
*
Physical change - still H₂O molecules
Chemical change - new substance formed
Burning wood is a:
*
Chemical change - produces CO₂, H₂O, and ash
Physical change - wood just changes form
Which are CHEMICAL changes? (Select ALL)
*
Frying an egg
Milk going sour
Photosynthesis in plants
Cutting paper
Dissolving salt in water
Freezing juice
How confident are you in your understanding of identifying chemical reactions?
*
Being honest helps you learn better! It is okay to not know yet.
Not confident at all
1
2
3
4
5
Very confident
.
Banner hidden </t>
  </si>
  <si>
    <t>&lt;iframe src="https://docs.google.com/forms/d/e/1FAIpQLSfc-7wlkDInu4ae8MdAn6qN72h9uCqK2-tA9x2xNmATi-0qHA/viewform?embedded=true" width="640" height="1594" frameborder="0" marginheight="0" marginwidth="0"&gt;Loading…&lt;/iframe&gt;</t>
  </si>
  <si>
    <t>https://docs.google.com/spreadsheets/d/1Zpz_ArqUHJZzCwyJqFKkEASeqFw0lZ4HLK4wQdLXj3w/edit?resourcekey=&amp;gid=1564462514#gid=1564462514</t>
  </si>
  <si>
    <t xml:space="preserve">Screen reader support enabled.
G8.C2.W3: Station 1 - Plan Force Investigation
Total points: 36
Section 1 of 2
Station 1: How Does Force Affect Acceleration?
Design an investigation to test: What happens to acceleration when force changes?
⏱️ Time: ~14 minutes | 📊 Points: 40
🎯 SEP3: Planning and Carrying Out Investigations
YOUR TASK: Plan a detailed investigation where you VARY FORCE and measure how acceleration changes.
EQUIPMENT OPTIONS (Choose one):
• Physical: carts, ramps, masses, spring scales OR force sensors, metersticks, stopwatches
• Digital: PhET "Forces and Motion: Basics" simulation
You'll justify your equipment choice!
Email
*
This form is collecting emails.Change settings
📚 Warm-Up: Retrieve Prior Knowledge
Start by connecting to what you already know...
[WEEK 1 REVIEW] Newton's 3rd Law states forces come in pairs. In an investigation with carts, if you PUSH a cart with 10 N of force, how much force does the cart push BACK on you?
*
🔗 CCC: Systems
10 N (action-reaction pairs are always equal)
0 N (the cart doesn't push back)
Less than 10 N (the cart is lighter)
More than 10 N (depends on cart mass)
[WEEK 2 REVIEW] A 500 kg cart accelerates from 0 to 4 m/s. Its kinetic energy increases from 0 to 4,000 J. What CAUSED this energy increase?
*
🔗 CCC: Energy and Matter
A net FORCE acted on the cart, causing acceleration and increasing KE
The cart's mass increased
Time naturally increases energy
The cart converted PE to KE
After section 1
Section 2 of 2
Investigation Design
Description (optional)
🔬 Planning Your Force Investigation
SCENARIO: You have equipment to test how force affects acceleration.
Your goal: Change FORCE, measure acceleration, keep everything else the SAME.
Remember: Good investigations require clear IV, DV, and controlled variables!
In an investigation testing "How does force affect acceleration?", identify the variables:
You will push a cart with different amounts of force (small push, medium push, hard push) and measure how fast it accelerates.
*
🧪 SEP3: Planning Investigations
🔗 CCC7: What changes? What stays stable?
IV: Force applied | DV: Acceleration | Controls: Mass, surface, ramp angle
IV: Acceleration | DV: Force applied | Controls: Mass
IV: Mass | DV: Acceleration | Controls: Force applied
IV: Force | DV: Mass | Controls: Acceleration
Which equipment setup is BEST for measuring acceleration of a cart?
Option A: Measure distance traveled and time with meterstick and stopwatch, calculate a = 2d/t²
Option B: Use motion sensor or photogate to directly measure velocity changes
Option C: Estimate acceleration by watching how fast cart moves
Option D: Use PhET simulation which shows acceleration value directly
*
🧪 SEP3: Selecting appropriate tools | Think about accuracy and precision
Options A, B, or D are all acceptable (A/B = physical, D = digital; C is too vague)
Only Option A (most traditional method)
Only Option D (most accurate)
Option C is fine for middle school level
PROCEDURE WRITING: Write a detailed, numbered procedure (8-10 steps) for investigating how force affects acceleration.
Your procedure MUST include:
1. Materials list (specify physical equipment OR PhET simulation)
2. Setup description
3. How you will VARY force (IV) - be specific!
4. How you will MEASURE acceleration (DV) - be specific!
5. What you will CONTROL (controls)
6. Number of trials for each force level
7. How you will record data (table structure)
8. Safety considerations (if using physical equipment)
Write 8-10 numbered steps. Be precise enough that another student could follow your procedure!
*
🧪 SEP3: Planning Investigations (CORE SKILL)
🔗 CCC7: How will changing force show stability/change in motion?
Example start: "1. Materials: Cart, ramp, 3 different masses to use as pushers (100g, 200g, 300g), meterstick, stopwatch..."
⚖️ RUBRIC (Teacher Grading):
12pts: All 8 components present + numbered steps + clear/precise + safe + another student could replicate
10pts: 7/8 components + mostly clear
8pts: 6/8 components + some vague steps
6pts: 4-5 components + unclear procedure
4pts: &lt;4 components OR not numbered
0pts: Off-topic or missing
Which data table structure is BEST for recording your force investigation results?
A) Columns: Trial# | Force | Acceleration
B) Columns: Force Applied | Trial 1 Acceleration | Trial 2 Acceleration | Trial 3 Acceleration | Average Acceleration
C) Columns: Time | Distance | Acceleration
D) Just write observations in sentences
*
🧪 SEP3: Planning data collection | Think about organization
Option B (shows all trials + average for each force level)
Option A (simple but doesn't show multiple trials clearly)
Option C (missing the IV: force applied)
Option D (qualitative, not quantitative)
PREDICTION: If you triple the force on a cart (keeping mass constant), what will happen to acceleration? Use F=ma to explain.
*
🔢 SEP5: Using Mathematics | 🔗 CCC3: Proportional relationships
Acceleration triples (F=ma: if F goes 3×, then a goes 3× when m is constant)
Acceleration stays the same (force doesn't affect acceleration)
Acceleration increases but not by 3× (relationship isn't linear)
Cannot predict without knowing the mass value
What safety considerations are important for a physical cart investigation? (Select the BEST answer)
*
🧪 SEP3: Safety is part of investigation planning
Keep floor clear of trip hazards, prevent cart from rolling off table, don't apply excessive force that could damage equipment
Wear safety goggles and lab coat
No safety concerns - carts are safe
Only the teacher should handle the cart
🧠 Metacognitive Reflection
Research shows: thinking ABOUT your thinking improves learning!
What strategy helped you MOST when planning this force investigation?
*
Knowing your strategies helps you learn more effectively.
Drew diagrams showing forces and motion
Made a data table to organize variables
Thought of similar investigations from class
Asked myself: What am I changing? What am I measuring?
Used multiple strategies together
What part of investigation planning is MOST confusing to you, and WHY?
*
Example: "I understand changing force, but I'm confused about how to measure acceleration."
How will you prepare to plan investigations in the future?
*
Planning your study strategies
Practice identifying independent and dependent variables
Review examples of well-designed investigations
Ask my teacher for feedback on my investigation plans
Study how to control variables
Combination of these strategies
.
Banner hidden </t>
  </si>
  <si>
    <t>&lt;iframe src="https://docs.google.com/forms/d/e/1FAIpQLScDWlYr5Dx32dbipZ_X0YL086RxGlJFMr6tGoOhZ0m-PPQ4uQ/viewform?embedded=true" width="640" height="4162" frameborder="0" marginheight="0" marginwidth="0"&gt;Loading…&lt;/iframe&gt;</t>
  </si>
  <si>
    <t>https://docs.google.com/spreadsheets/d/1C8QMXhp6CypS1pNA-UXlEADxmI-6nbSN9P4kujkvESI/edit?resourcekey=&amp;gid=1277786324#gid=1277786324</t>
  </si>
  <si>
    <t xml:space="preserve">Screen reader support enabled.
G7.C2.W3: Station 2 - Conservation of Mass
Total points: 20
Section 1 of 3
Station 2: Conservation of Mass in Reactions
Discover why mass is conserved during chemical reactions!
Time: ~25 minutes | Points: 25
Learning Target: I can explain why mass is conserved in chemical reactions.
Standard: MS-PS1-5: Develop a model showing conservation of mass in chemical reactions
Email
*
This form is collecting emails.Change settings
The Law of Conservation of Mass
In a chemical reaction:
• Atoms are REARRANGED, never created or destroyed
• The total mass BEFORE = total mass AFTER
• This is called the Law of Conservation of Mass
Discovered by Antoine Lavoisier in 1789!
In a closed system, if you start with 50 grams of reactants, how many grams of products will you have?
*
Think: Where could the atoms go?
Exactly 50 grams
More than 50 grams
Less than 50 grams
It depends on the reaction
Why is mass conserved in chemical reactions?
*
Atoms are rearranged, not created or destroyed
Energy turns into mass
New atoms form to replace destroyed ones
Mass just stays the same by coincidence
After section 1
Section 2 of 3
Virtual Mass Measurement Experiment
Description (optional)
EXPERIMENT: Vinegar + Baking Soda in a Balloon
Setup:
1. Put baking soda in a balloon
2. Put vinegar in a bottle
3. Attach balloon to bottle (do not mix yet)
4. Measure total mass: 85 grams
5. Lift balloon so baking soda falls into vinegar
6. Reaction occurs: CO₂ gas fills the balloon
What will the mass be after the reaction?
After the reaction, what will the total mass be?
*
Remember: The system is closed (balloon traps the gas)
85 grams (same as before)
More than 85 grams
Less than 85 grams
Cannot determine
What if we did NOT use a balloon and the gas escaped? What would happen to the measured mass?
*
Think about whether atoms are leaving the system...
Mass would APPEAR to decrease (but total mass of universe stays same)
Mass would actually decrease
Mass would stay exactly the same
Mass would increase
After section 2
Section 3 of 3
Balancing Chemical Equations
Description (optional)
Why Balance Equations?
Chemical equations show atoms rearranging:
H₂ + O₂ → H₂O
But wait! Count the atoms:
• Left: 2 H, 2 O
• Right: 2 H, 1 O
This is NOT balanced! We need:
2H₂ + O₂ → 2H₂O
Now:
• Left: 4 H, 2 O
• Right: 4 H, 2 O
BALANCED! Mass is conserved!
In the equation: C + O₂ → CO₂, how many atoms of each element are on each side?
*
Left: 1 C, 2 O | Right: 1 C, 2 O (BALANCED)
Left: 1 C, 1 O | Right: 1 C, 2 O (NOT balanced)
Left: 1 C, 2 O | Right: 2 C, 2 O (NOT balanced)
Cannot determine
Is this equation balanced? Mg + O₂ → MgO
*
Count the atoms on each side...
NO - need to balance it
YES - already balanced
Explain in your own words why we need to balance chemical equations.
*
Connect this to conservation of mass!
Write 2-3 sentences.
A log burns in a fireplace. The ash weighs less than the original log. Did mass disappear?
*
No - gases (CO₂, H₂O vapor) escaped into the air
Yes - some mass was destroyed by the fire
Yes - mass turned into heat energy
Cannot tell without measuring
How confident are you in your understanding of conservation of mass in chemical reactions?
*
Being honest helps you learn better! It is okay to not know yet.
Not confident at all
1
2
3
4
5
Very confident
.
Banner hidden </t>
  </si>
  <si>
    <t>&lt;iframe src="https://docs.google.com/forms/d/e/1FAIpQLSdWgPnlba6HfzVp-F8xBcDOQgERDPcjDShmyRgJQyvr6O3aIA/viewform?embedded=true" width="640" height="1877" frameborder="0" marginheight="0" marginwidth="0"&gt;Loading…&lt;/iframe&gt;</t>
  </si>
  <si>
    <t>https://docs.google.com/spreadsheets/d/1c318JgcKMkTMtHFS6SjH7x3TAnZwddcZMI9Jx-B9VOM/edit?resourcekey=&amp;gid=553921902#gid=553921902</t>
  </si>
  <si>
    <t xml:space="preserve">Screen reader support enabled.
G8.C2.W3: Station 2 - Plan Mass Investigation
Total points: 38
Section 1 of 3
Station 2: How Does Mass Affect Acceleration?
Design an investigation to test: What happens to acceleration when mass changes?
⏱️ Time: ~14 minutes | 📊 Points: 38
🎯 SEP3: Planning and Carrying Out Investigations
YOUR TASK: Plan a detailed investigation where you VARY MASS and measure how acceleration changes.
EQUIPMENT OPTIONS (Choose one):
• Physical: carts, ramps, masses to add to cart, constant force (hanging mass or spring), metersticks, stopwatches
• Digital: PhET "Forces and Motion: Basics" simulation
CHALLENGE: You must keep FORCE CONSTANT while changing mass!
Email
*
This form is collecting emails.Change settings
📚 Warm-Up: Retrieve Prior Knowledge
Connect to what you've learned in previous weeks...
[WEEK 1 REVIEW] Two ice skaters push off each other. Skater A (40 kg) and Skater B (80 kg). According to N3L, the forces are equal. Who accelerates MORE?
*
🔗 CCC: Systems | Think about mass and acceleration
Skater A (40 kg) accelerates more - same force, less mass means greater acceleration
Skater B (80 kg) accelerates more - more mass means more acceleration
Both accelerate equally - forces are equal
Cannot determine without knowing the force value
[WEEK 2 REVIEW] Two objects have the same kinetic energy (KE = 100 J). Object A has mass 2 kg, Object B has mass 8 kg. Which is moving FASTER?
*
🔗 CCC: Energy and Matter | Use KE = ½mv²
Object A (2 kg) is moving faster - less mass needs higher velocity for same KE
Object B (8 kg) is moving faster - more mass means more velocity
Both moving at same speed - same KE means same velocity
Cannot determine without knowing the KE value
[STATION 1 REVIEW] In Station 1, you investigated how changing FORCE affects acceleration. What relationship did you predict?
*
🔗 CCC3: Proportional relationships
Direct proportion: Double force -&gt; double acceleration (when mass constant)
Inverse proportion: Double force -&gt; half acceleration
No relationship: Force doesn't affect acceleration
Exponential: Force increases acceleration exponentially
After section 1
Section 2 of 3
Conceptual Understanding Check
Description (optional)
⚠️ Common Misconception About Motion and Forces
Before planning your investigation, let's address a critical misconception that affects how we understand F=ma...
MISCONCEPTION CHECK: A book is sliding across a table at constant velocity (no speeding up or slowing down). What can you conclude about the forces on the book?
*
🧪 SEP: Constructing Explanations | 🔗 CCC: Cause and Effect
This is critical for understanding F=ma!
There IS a net force acting on the book
There is NO net force - balanced forces (constant velocity means a=0, so F_net=0)
There must be a force in the direction of motion to keep it moving
The faster it moves, the more force is acting on it
After section 2
Section 3 of 3
Investigation Design: Mass Variation
Description (optional)
🔬 Planning Your Mass Investigation
SCENARIO: You have equipment to test how mass affects acceleration.
Your goal: Change MASS, keep FORCE constant, measure acceleration.
CHALLENGE: How do you keep force constant while adding mass to a cart?
In an investigation testing "How does mass affect acceleration?", identify the variables:
You will add masses to a cart (100g, 200g, 300g) while applying the SAME force (using a hanging mass or constant spring) and measure acceleration.
*
🧪 SEP3: Planning Investigations
🔗 CCC7: What changes? What stays stable?
IV: Mass of cart | DV: Acceleration | Controls: Force applied, surface, ramp angle
IV: Acceleration | DV: Mass | Controls: Force
IV: Force | DV: Acceleration | Controls: Mass
IV: Mass | DV: Force | Controls: Acceleration
CHALLENGE: How can you keep FORCE constant while changing the cart's mass?
Option A: Use a hanging mass (constant weight = constant force pulling cart)
Option B: Use a spring compressed to the same distance each time (constant spring force)
Option C: Use PhET simulation and set force slider to same value for all trials
Option D: Just try to push with the same force each time (estimate)
*
🧪 SEP3: Controlling Variables | This is the KEY to a valid investigation!
Options A, B, or C all work (A/B = physical methods, C = digital; D is too imprecise)
Only Option A (most traditional)
Only Option C (most accurate)
Option D is acceptable for middle school
PROCEDURE WRITING: Write a detailed, numbered procedure (8-10 steps) for investigating how mass affects acceleration.
Your procedure MUST include:
1. Materials list (specify physical equipment OR PhET simulation)
2. Setup description
3. How you will VARY mass (IV) - be specific about amounts!
4. How you will KEEP FORCE CONSTANT (critical!) - explain your method
5. How you will MEASURE acceleration (DV) - be specific!
6. What other variables you will CONTROL
7. Number of trials for each mass level
8. How you will record data (table structure)
Write 8-10 numbered steps. Be precise enough that another student could follow your procedure!
*
🧪 SEP3: Planning Investigations (CORE SKILL)
🔗 CCC7: How will changing mass show stability/change in acceleration?
Example start: "1. Materials: Cart, 3 masses (100g, 200g, 300g), hanging mass holder, string, pulley, meterstick, stopwatch..."
⚖️ RUBRIC (Teacher Grading):
12pts: All 8 components + clearly explains HOW force stays constant + numbered steps + safe + replicable
10pts: 7/8 components + method for constant force present but not fully clear
8pts: 6/8 components + vague about keeping force constant
6pts: 4-5 components + unclear procedure
4pts: &lt;4 components OR doesn't address keeping force constant
0pts: Off-topic or missing
Which data table is BEST for your mass investigation?
A) Columns: Cart Mass | Trial 1 a | Trial 2 a | Trial 3 a | Average a
B) Columns: Trial# | Mass | Acceleration
C) Columns: Force | Mass | Acceleration
D) Just write results in sentences
*
🧪 SEP3: Planning data collection | Think about organization and analysis
Option A (shows all trials + average for each mass level)
Option B (works but doesn't show multiple trials clearly)
Option C (shows force but force is constant, so not needed in table)
Option D (qualitative, not quantitative)
PREDICTION: If you double the mass of a cart (keeping force constant), what will happen to acceleration? Use F=ma to explain.
*
🔢 SEP5: Using Mathematics | 🔗 CCC3: Inverse proportional relationships
Acceleration halves (F=ma -&gt; a=F/m: if m goes 2×, then a goes ÷2 when F is constant)
Acceleration doubles (mass and acceleration increase together)
Acceleration stays the same (mass doesn't affect acceleration)
Acceleration decreases but not by half (relationship isn't linear)
🧠 Metacognitive Reflection
Research shows: thinking ABOUT your thinking improves learning!
What strategy helped you MOST when planning this mass investigation?
*
Knowing your strategies helps you learn more effectively.
Drew diagrams showing forces and motion
Made a data table to organize variables
Thought of similar investigations from class
Asked myself: What am I changing? What am I measuring?
Used multiple strategies together
What part of investigation planning is MOST confusing to you, and WHY?
*
Example: "I understand changing force, but I'm confused about how to measure acceleration."
How will you prepare to plan investigations in the future?
*
Planning your study strategies
Practice identifying independent and dependent variables
Review examples of well-designed investigations
Ask my teacher for feedback on my investigation plans
Study how to control variables
Combination of these strategies
.
Banner hidden </t>
  </si>
  <si>
    <t>&lt;iframe src="https://docs.google.com/forms/d/e/1FAIpQLSe-mo9RIw1ia6pNxUsyYOpmQJSiKgu4d5tpEhjGFySXs5vEqw/viewform?embedded=true" width="640" height="3828" frameborder="0" marginheight="0" marginwidth="0"&gt;Loading…&lt;/iframe&gt;</t>
  </si>
  <si>
    <t>https://docs.google.com/spreadsheets/d/1e33dV9wgou_u1lnmBtok6Ato-q97II29uUvmeO7Juhw/edit?resourcekey=&amp;gid=1849632331#gid=1849632331</t>
  </si>
  <si>
    <t xml:space="preserve">Screen reader support enabled.
G7.C2.W3: Station 3 - Reaction Rates &amp; Energy
Total points: 20
Section 1 of 3
Station 3: Reaction Rates &amp; Energy in Reactions
Investigate what affects how fast reactions happen and the energy involved!
Time: ~25 minutes | Points: 20
Learning Target: I can explain factors that affect reaction rates and energy changes.
Building on evidence and conservation - now let's explore speed and energy!
Email
*
This form is collecting emails.Change settings
What Are Reaction Rates?
REACTION RATE = How fast a chemical reaction happens
Some reactions are FAST:
• Explosions (milliseconds)
• Burning paper (seconds)
• Cooking an egg (minutes)
Some reactions are SLOW:
• Rusting iron (days/weeks)
• Fossilization (millions of years)
What makes some reactions faster than others?
Which reaction is FASTEST?
*
Fireworks exploding
Bread molding
Wood rotting
A mountain eroding
After section 1
Section 2 of 3
Factors That Affect Reaction Rates
Description (optional)
Factor #1: Temperature
HIGHER temperature → FASTER reaction
Why? Higher temperature means particles move FASTER.
Faster particles → More collisions → More reactions!
Example: Food spoils faster when left out (warm) than in the fridge (cold)
Why do we store food in refrigerators?
*
Think about temperature and reaction rates...
Lower temperature slows down chemical reactions that spoil food
Cold kills all bacteria instantly
Low temperature stops all chemical reactions completely
Fridges remove oxygen so reactions cannot happen
Factor #2: Surface Area
More SURFACE AREA → FASTER reaction
Why? More surface exposed = more places for reactions to happen
Example:
• Powdered sugar dissolves faster than a sugar cube
• Crushed antacid tablet works faster than whole tablet
You need to dissolve sugar quickly in water. Which will dissolve FASTEST?
*
Powdered sugar (smallest particles)
Granulated sugar (medium crystals)
Sugar cubes (large blocks)
All will dissolve at the same rate
Factor #3: Concentration
HIGHER concentration → FASTER reaction
Why? More particles in the same space = more collisions
Example:
• Paper burns faster in pure oxygen than in air (20% oxygen)
• Concentrated acid reacts faster than dilute acid
Steel wool burns slowly in air but bursts into bright flames in pure oxygen. Why?
*
Pure oxygen has higher concentration, increasing reaction rate
Pure oxygen is hotter than air
Oxygen in air is a different type of oxygen
Air has nitrogen which makes steel fireproof
After section 2
Section 3 of 3
Energy in Chemical Reactions
Description (optional)
Activation Energy - The Energy Barrier
ACTIVATION ENERGY = Energy needed to START a reaction
Think of it like pushing a boulder over a hill:
• You need energy to push it up (activation energy)
• Once over the top, it rolls down on its own
Catalysts LOWER activation energy, making reactions easier to start!
Why do you need a spark to start a fire, but then the fire keeps burning on its own?
*
The spark provides activation energy to start the reaction
The spark creates oxygen needed for burning
Wood only burns when electricity is present
The spark makes the wood turn into a different substance
A catalyst is a substance that speeds up a reaction without being used up. How does it work?
*
It lowers the activation energy needed
It increases temperature
It becomes part of the product
It adds more reactant particles
Real-world connection: How do enzyme catalysts in your stomach help digest food?
*
Think about:
• What reaction needs to happen to food?
• Why do we need enzymes?
• How does this connect to activation energy?
Write 2-3 sentences.
Which factors will INCREASE the rate of a chemical reaction? (Select ALL that apply)
*
Increasing temperature
Increasing surface area of reactants
Increasing concentration of reactants
Adding a catalyst
Decreasing temperature
Using larger chunks instead of powder
How confident are you in your understanding of reaction rates and energy in chemical reactions?
*
Being honest helps you learn better! It is okay to not know yet.
Not confident at all
1
2
3
4
5
Very confident
.
Banner hidden </t>
  </si>
  <si>
    <t>&lt;iframe src="https://docs.google.com/forms/d/e/1FAIpQLSfL49PHAzpLZTA1BZIqdKYMQ-u_YJEGetINCfxTjzS5IWCIEg/viewform?embedded=true" width="640" height="1905" frameborder="0" marginheight="0" marginwidth="0"&gt;Loading…&lt;/iframe&gt;</t>
  </si>
  <si>
    <t>https://docs.google.com/spreadsheets/d/1kp8AvADOUteLDy1-i5F9JvR64ee_UwN5UoIn-tH5zPQ/edit?resourcekey=&amp;gid=2145974480#gid=2145974480</t>
  </si>
  <si>
    <t xml:space="preserve">Screen reader support enabled.
G8.C2.W3: Station 3 - Analyze Investigation Data
Total points: 36
Section 1 of 4
Station 3: Analyze F=ma Investigation Data
Analyze data from BOTH investigations: Force variation and Mass variation.
⏱️ Time: ~13 minutes | 📊 Points: 36
🎯 SEP4: Analyzing and Interpreting Data
🎯 SEP6: Constructing Explanations
YOUR TASK: Two student groups collected data. Use their results to explain how force and mass affect acceleration.
NOTE: Real data has measurement variation (±5-10%). Look for PATTERNS, not perfect numbers!
Email
*
This form is collecting emails.Change settings
📚 Warm-Up: Data Analysis Preparation
Before analyzing new data, retrieve key concepts...
[WEEK 1 REVIEW] Why do scientists run MULTIPLE TRIALS in investigations?
*
🧪 SEP: Planning Investigations | Think about data reliability
To account for measurement error and calculate averages for more reliable results
To make the lab take longer
One trial is enough if you're careful
To get different results each time
[STATIONS 1-2 REVIEW] What relationships did Stations 1 &amp; 2 investigate?
*
🔗 CCC: Patterns | Connect the two investigations
Station 1: F↑-&gt;a↑ (direct proportion) | Station 2: m↑-&gt;a↓ (inverse proportion)
Station 1: F↑-&gt;a↓ (inverse) | Station 2: m↑-&gt;a↑ (direct)
Both investigated direct proportions
Both investigated inverse proportions
After section 1
Section 2 of 4
Data Analysis: Force Investigation
Description (optional)
📊 Investigation 1: Force Variation (Mass Constant)
GROUP A tested how changing force affects acceleration (mass = 0.5 kg constant).
DATA TABLE 1:
Force (N) | Trial 1 (m/s²) | Trial 2 (m/s²) | Trial 3 (m/s²) | Average (m/s²)
2.0       | 3.8            | 4.1            | 4.0            | 4.0
4.0       | 7.9            | 8.2            | 7.8            | 8.0
6.0       | 11.8           | 12.3           | 12.1           | 12.1
NOTE: Real measurements vary slightly (±5-10%). Focus on PATTERNS in averages!
PATTERN ANALYSIS: Looking at the average accelerations, what pattern do you see when force doubles from 2.0 N to 4.0 N?
*
🧪 SEP4: Analyzing Data | 🔗 CCC3: Proportional relationships
Acceleration approximately doubles (4.0-&gt;8.0 m/s²), showing direct proportion
Acceleration stays the same
Acceleration increases but not proportionally
Cannot determine - too much variation in data
MATHEMATICAL RELATIONSHIP: Calculate the ratio a/F for each row using average values. What do you notice?
*
🔢 SEP5: Using Mathematics | HINT: If a∝F, then a/F should be constant
The ratio a/F ≈ 2 for all rows (4/2=2, 8/4=2, 12.1/6≈2), confirming a=F/m with m=0.5 kg
The ratio a/F changes for each row (not constant)
The ratio a/F ≈ 0.5 for all rows
Cannot calculate without more information
After section 2
Section 3 of 4
Data Analysis: Mass Investigation
Description (optional)
📊 Investigation 2: Mass Variation (Force Constant)
GROUP B tested how changing mass affects acceleration (force = 3.0 N constant).
DATA TABLE 2:
Mass (kg) | Trial 1 (m/s²) | Trial 2 (m/s²) | Trial 3 (m/s²) | Average (m/s²)
0.25      | 11.8           | 12.4           | 12.0           | 12.1
0.50      | 5.9            | 6.1            | 6.2            | 6.1
1.00      | 2.9            | 3.1            | 3.0            | 3.0
NOTE: Same realistic measurement variation. Look for INVERSE pattern!
PATTERN ANALYSIS: Looking at the average accelerations, what pattern do you see when mass doubles from 0.25 kg to 0.50 kg?
*
🧪 SEP4: Analyzing Data | 🔗 CCC3: Inverse relationships
Acceleration approximately halves (12.1-&gt;6.1 m/s²), showing inverse proportion
Acceleration doubles
Acceleration stays the same
Acceleration decreases but not inversely
MATHEMATICAL RELATIONSHIP: Calculate the product (a × m) for each row using average values. What do you notice?
*
🔢 SEP5: Using Mathematics | HINT: If a∝1/m, then (a×m) should be constant
The product a×m ≈ 3 for all rows (12.1×0.25≈3, 6.1×0.50≈3, 3.0×1.00=3), confirming a=F/m with F=3.0 N
The product a×m changes for each row (not constant)
The product a×m ≈ 1 for all rows
Cannot calculate - need force value
After section 3
Section 4 of 4
Synthesis &amp; Explanation
Description (optional)
🔬 Constructing a Scientific Explanation
Now synthesize BOTH investigations into a complete explanation of F=ma...
EXPLANATION CONSTRUCTION: Using evidence from BOTH investigations, explain how force and mass affect an object's acceleration.
Your explanation MUST include:
1. How changing FORCE affects acceleration (cite Investigation 1 data)
2. How changing MASS affects acceleration (cite Investigation 2 data)
3. Why these patterns make sense using F=ma
4. How the two investigations together reveal the COMPLETE relationship
Write a complete explanation (8-12 sentences) using specific data as evidence.
*
🧪 SEP6: Constructing Explanations
🔗 CCC: Cause and Effect - How do F and m cause changes in a?
Use CLAIM-EVIDENCE-REASONING structure!
Example start: "Force and mass both affect acceleration, but in different ways. Investigation 1 showed..."
⚖️ RUBRIC (Teacher Grading):
10pts: Complete explanation with BOTH patterns + specific data citations + F=ma connection + synthesis of how investigations complement each other
8pts: Both patterns + data citations + F=ma connection, but weak synthesis
6pts: Both patterns mentioned + some data, but vague F=ma connection
4pts: Only one pattern OR no data citations
2pts: Vague statements without data evidence
0pts: Off-topic or missing
REAL-WORLD APPLICATION: Engineers designing a sports car want it to accelerate quickly (high acceleration). Based on F=ma, what TWO strategies should they use?
*
🔗 CCC: Systems | Apply both relationships from F=ma
Increase engine force (large F) AND decrease car mass (small m) -&gt; both increase acceleration
Increase both engine force AND car mass equally
Decrease both engine force AND car mass equally
Only increase engine force (mass doesn't matter)
🧠 Metacognitive Reflection
Research shows: thinking ABOUT your thinking improves learning!
What strategy helped you MOST when analyzing investigation data and constructing explanations?
*
Knowing your strategies helps you learn more effectively.
Drew diagrams showing forces and motion
Made a data table to organize variables
Thought of similar investigations from class
Asked myself: What am I changing? What am I measuring?
Used multiple strategies together
What part of investigation planning is MOST confusing to you, and WHY?
*
Example: "I understand changing force, but I'm confused about how to measure acceleration."
How will you prepare to plan investigations in the future?
*
Planning your study strategies
Practice identifying independent and dependent variables
Review examples of well-designed investigations
Ask my teacher for feedback on my investigation plans
Study how to control variables
Combination of these strategies
.
Banner hidden </t>
  </si>
  <si>
    <t>&lt;iframe src="https://docs.google.com/forms/d/e/1FAIpQLSf8NDMExKmPrAV3V_KWHMjim9BTRLZzv54gq8uiQzckCx7DNA/viewform?embedded=true" width="640" height="2364" frameborder="0" marginheight="0" marginwidth="0"&gt;Loading…&lt;/iframe&gt;</t>
  </si>
  <si>
    <t>https://docs.google.com/spreadsheets/d/15TUXUTXgRTcnnjS-jyDta7Ecw7-lv8-wZMGVKaxe8TY/edit?resourcekey=&amp;gid=1352376620#gid=1352376620</t>
  </si>
  <si>
    <t xml:space="preserve">Screen reader support enabled.
G7.C2.W3: Exit Ticket - Chemical Reactions Mastery
Total points: 20
Exit Ticket: Show What You Know About Chemical Reactions
Time to demonstrate your mastery of chemical reactions!
Time: ~15 minutes | Points: 15
This is your chance to show what you learned this week!
Standards: MS-PS1-2: Analyze and interpret data on properties of substances before/after reactions, MS-PS1-4: Develop a model that predicts changes of state based on particle motion, MS-PS1-5: Develop a model showing conservation of mass in chemical reactions
Email
*
This form is collecting emails.Change settings
Which statement is TRUE about chemical reactions?
*
Atoms rearrange to form new substances, and mass is conserved
Atoms are destroyed and new ones are created
Only the state of matter changes, not the substances
Mass increases because new substances are formed
Which are evidence of a chemical reaction? (Select ALL that apply)
*
Color change
Gas production (bubbles)
Temperature change
Light production
Change in volume (physical)
Phase change (melting/freezing)
You burn 10 grams of wood in a closed container. The products (ash + gases) will weigh:
*
Think about conservation of mass...
Exactly 10 grams
Less than 10 grams
More than 10 grams
Cannot determine
Which will make a reaction happen FASTER?
*
Higher temperature and smaller particle size
Lower temperature and larger chunks
Lower concentration of reactants
Temperature does not affect reaction rate
Cooking an egg is:
*
A chemical change - proteins change structure permanently
A physical change - egg just changes form
Both physical and chemical equally
Neither - eggs do not undergo any change
How confident are you in your understanding of chemical reactions, conservation of mass, and reaction rates?
Question Type
Being honest helps you learn better! It is okay to not know yet.
to
1
Not confident at all
5
Very confident
(2 points)
What is ONE thing you learned this week that surprised you or changed how you think about chemistry?
*
Reflect on your learning! This could be a fact, connection, or aha moment.
.
Banner hidden </t>
  </si>
  <si>
    <t>&lt;iframe src="https://docs.google.com/forms/d/e/1FAIpQLScge_NiRDTaaYeVztCmE5FVQKUDSF1zaN6tU_YA-llm5Gq85A/viewform?embedded=true" width="640" height="2579" frameborder="0" marginheight="0" marginwidth="0"&gt;Loading…&lt;/iframe&gt;</t>
  </si>
  <si>
    <t>https://docs.google.com/spreadsheets/d/1PSjtsRk3dryPdI2Zls_iIpRgVVwBTGQ0ryRujA_ayZ0/edit?resourcekey=&amp;gid=1434495124#gid=1434495124</t>
  </si>
  <si>
    <t xml:space="preserve">Screen reader support enabled.
G8.C2.W3: Exit Ticket - Design Your Investigation
Total points: 20
Section 1 of 5
Exit Ticket: Design Your Own F=ma Investigation
Apply your investigation planning skills to a NEW context.
Time: 10 minutes | Points: 20
SEP3: Planning and Carrying Out Investigations
YOUR TASK: Design a complete investigation to test how force or mass affects acceleration.
This form is automatically collecting emails from all respondents.Change settings
3-Week Review: Connect Everything
Before designing your investigation, connect all three weeks...
[3-WEEK SYNTHESIS] How do Weeks 1, 2, and 3 connect?
*
Think about the progression
Week 1: Forces in pairs, Week 2: Forces transfer energy, Week 3: F=ma quantifies relationship
All three weeks same concepts
Weeks are unrelated
Week 1 energy, Week 2 forces, Week 3 motion
[INVESTIGATION SKILLS] Three most important investigation components?
*
Core skills from Stations 1-2
(1) Identify IV/DV/controls; (2) Detailed procedure; (3) Multiple trials
(1) Expensive equipment; (2) Perfect data; (3) Prove hypothesis
(1) Work quickly; (2) Skip trials; (3) Report matching data
(1) Memorize formulas; (2) Calculators; (3) Graphs
After section 1
Section 2 of 5
Choose Context
Description (optional)
Choose Your Scenario
A) Toy cars | B) Balls on ramps | C) Gym equipment | D) Your own
Which investigation context?
*
A) Toy cars on surfaces
B) Balls rolling down ramps
C) Pushing gym equipment
D) My own (describe below)
If Option D, describe context. Otherwise write N/A.
If proposing own: scenario, equipment, how it tests F=ma, safety
After section 2
Section 3 of 5
Design Investigation
Description (optional)
Complete Investigation Design
Apply ALL skills from Stations 1-3!
Write your complete investigation plan (6 components required)
*
Your plan MUST include:
1. RESEARCH QUESTION (How does ___ affect ___?)
2. VARIABLES (IV, DV, 3+ controls)
3. MATERIALS (specific equipment)
4. PROCEDURE (8-10 numbered steps)
5. PREDICTION (relationship + reasoning)
6. DATA TABLE (structure description)
Be specific and thorough!
RUBRIC (Manual Grading - 10 points):
10pts: All 6 components + clear | 8pts: 5-6 | 6pts: 4-5 | 4pts: 3 | 0pts: Off-topic
After section 3
Section 4 of 5
Reflection
Description (optional)
Learning Reflection
Think about growth over three weeks
How has your understanding changed?
*
Week 1: Forces in pairs -&gt; Week 2: Forces change motion -&gt; Week 3: Can quantify with F=ma
Already knew everything
Still confused
Understand formulas not investigations
Confidence level?
Question Type
Very confident
Somewhat confident
Not very confident
Not confident
or
(0 points)
One thing proud of, one thing to improve?
*
Example: Proud of identifying variables. Want to improve procedures.
RUBRIC (Manual Grading - 2 points):
2pts: Specific examples | 1pt: General statements | 0pts: Off-topic
After section 4
Section 5 of 5
Complete!
Description (optional)
Congratulations!
You mastered MS-PS2-2! Review feedback and keep up great work!
.
Banner hidden </t>
  </si>
  <si>
    <t>&lt;iframe src="https://docs.google.com/forms/d/e/1FAIpQLScIGPcVx2PIIS6gtxGIy8e58QZmMuMiop6MkYxU4x4-A_o7Sg/viewform?embedded=true" width="640" height="1183" frameborder="0" marginheight="0" marginwidth="0"&gt;Loading…&lt;/iframe&gt;</t>
  </si>
  <si>
    <t>https://docs.google.com/spreadsheets/d/1KFxxroaoSLanJBYtWVxeITrgly-aztutk24Q4y14KKU/edit?resourcekey=&amp;gid=796476088#gid=796476088</t>
  </si>
  <si>
    <t>https://docs.google.com/document/d/1T2ZlR5G3c170fJY-P-VAjsfZqW-yp6IVMwJxDVRdknI/edit?tab=t.954x7hv0y5uh</t>
  </si>
  <si>
    <t xml:space="preserve">Screen reader support enabled.
G7.C2.W4: Hook - The Hurricane Relief Challenge
Total points: 16
Section 1 of 3
🚨 Hook: The Hurricane Relief Challenge
Welcome to Week 4 - Your Engineering Design Project!
🌪️ THE CHALLENGE:
A hurricane has hit a coastal town. Power is out. People need:
• Heating devices to stay warm at night (no electricity!)
• Cooling devices to preserve medicine and food
You are a chemical engineer. Your job: Design portable devices using ONLY household chemicals.
📚 BUILDING ON WEEKS 1-3:
• Week 1: Molecular structure - What atoms make up these chemicals?
• Week 2: Chemical bonding - How do molecules form and break apart?
• Week 3: Chemical reactions - What evidence shows reactions? How do we track mass and energy?
• Week 4: Use ALL this knowledge to DESIGN a real solution!
⏱️ Time: ~10 minutes | 📊 Points: 10
🎯 Standard: MS-PS1-6: Undertake a design project to construct, test, and modify a device that either releases or absorbs thermal energy by chemical processes
LET'S START BY ASSESSING WHAT YOU ALREADY KNOW!
Email
*
This form is collecting emails.Change settings
📚 Review: Week 1 - Molecular Structure
Before designing devices, let's make sure you remember the foundation!
🔗 CONNECTION: Understanding molecular structure helps you predict which chemicals will release or absorb energy.
[WEEK 1 REVIEW] You tested calcium chloride (CaCl₂) dissolving in water. At the molecular level, what is happening?
*
🔬 MOLECULAR THINKING: Remember - all substances are made of atoms and molecules!
💡 VOCABULARY SUPPORT:
• Molecule = Group of atoms bonded together
• Dissolve = Substance breaks apart and spreads throughout water
• Atoms = Tiny particles that make up all matter
🎯 THINK: What happened to the CaCl₂ when you added water?
CaCl₂ molecules break apart into Ca²⁺ and Cl⁻ ions, which spread throughout H₂O molecules
CaCl₂ molecules disappear completely
CaCl₂ molecules stay together and just get smaller
CaCl₂ molecules turn into water molecules
[WEEK 2 REVIEW] Calcium chloride (CaCl₂) has ionic bonds. Vinegar (CH₃COOH) has covalent bonds. How are these bond types different?
*
🔗 BONDING BASICS: Bonds hold atoms together - but there are different types!
💡 VOCABULARY SUPPORT:
• Ionic bond = Electrons TRANSFERRED from metal to nonmetal (one atom loses, one gains)
• Covalent bond = Electrons SHARED between nonmetals (both atoms hold electrons together)
• Electrons = Tiny negative particles around atoms
🎯 THINK: In CaCl₂, calcium GIVES electrons to chlorine. In CH₃COOH, atoms SHARE electrons.
Ionic = electrons transferred (metal→nonmetal); Covalent = electrons shared (nonmetal-nonmetal)
Ionic = electrons shared; Covalent = electrons transferred
Ionic bonds are weaker than covalent bonds
They're the same type of bond, just with different atoms
After section 1
Section 2 of 3
Week 3 Review: Energy in Reactions
Description (optional)
📚 Review: Week 3 - Chemical Reactions &amp; Energy
Now let's review what you learned about energy changes in reactions!
🔗 CONNECTION: This is the KEY to your engineering design - controlling energy!
[WEEK 3 REVIEW] You tested calcium chloride dissolving in water. The temperature INCREASED from 20°C to 35°C. What type of reaction is this?
*
🌡️ ENERGY THINKING: Temperature change tells you about energy!
💡 VOCABULARY SUPPORT:
• Exothermic = "Exo" means OUT → Releases heat energy to surroundings → Temperature INCREASES → Gets WARMER
• Endothermic = "Endo" means IN → Absorbs heat energy from surroundings → Temperature DECREASES → Gets COLDER
🎯 THINK: If temperature went UP (got warmer), where did that heat energy come from?
Exothermic - reaction RELEASES heat energy, so temperature increases (gets warmer)
Endothermic - reaction ABSORBS heat energy, so temperature increases
Neither - temperature change doesn't indicate reaction type
Physical change, not a chemical reaction
After section 2
Section 3 of 3
Week 4 Preview: Engineering Design
Description (optional)
🔧 Week 4: Engineering Design Project
This week you become a CHEMICAL ENGINEER!
🎯 YOUR GOAL: Design a portable device that heats OR cools using chemical reactions.
🌪️ THE PROBLEM:
• Hurricane destroyed power lines
• People need heating (cold nights) and cooling (preserve medicine/food)
• Your device must work WITHOUT electricity
• Must use only household chemicals (safe, available)
Let's see what you already think about this challenge!
PREDICTION: If you want to design a HEATING device (makes things warm), which type of chemical reaction should you use?
*
🔥 DESIGN THINKING: Connect chemistry to engineering!
💡 THINK:
• Heating device needs to RELEASE heat energy → Surroundings get WARMER
• Which reaction type RELEASES heat?
🎯 Remember from Week 3: Exothermic = releases heat, Endothermic = absorbs heat
Exothermic reaction - releases heat energy, making surroundings warmer
Endothermic reaction - absorbs heat energy from surroundings
Either type would work the same
Neither - chemical reactions can't be used for heating
ENGINEERING CONSTRAINTS: Your device must be SAFE for hurricane survivors to use. Which is the MOST important safety consideration?
*
🛡️ SAFETY FIRST: Real engineers always consider safety!
💡 VOCABULARY SUPPORT:
• Constraint = A limit or requirement your design must meet
• Toxic = Poisonous, harmful to humans
• Flammable = Can catch fire easily
🎯 THINK: In a disaster zone with no medical help available, what would be most dangerous?
Use non-toxic chemicals that won't harm people if touched or spilled
Make it as hot as possible for maximum effectiveness
Use the cheapest chemicals available regardless of safety
Make it reusable even if it requires dangerous chemicals
BRAINSTORM: Imagine you're designing a portable HEATING device for hurricane relief. What would be important for your design? Think about: How hot should it get? How long should it work? What size should it be? What would make it useful for survivors?
*
💭 BRAINSTORMING: No wrong answers here - just share your thinking!
🔧 ENGINEERING CRITERIA: Engineers start by thinking about what makes a design "successful."
✅ GOOD BRAINSTORMING INCLUDES:
• Temperature: "Should get to at least 40°C to warm hands/food"
• Duration: "Should stay warm for at least 20 minutes"
• Size: "Should fit in a backpack, not too heavy to carry"
• Usefulness: "Should be easy to activate, safe for kids and elderly"
📝 Write 4-6 sentences sharing your ideas. This is YOUR thinking - there are no wrong answers at the brainstorming stage!
⚖️ RUBRIC (Teacher Grading - 5 points):
5 pts: Addresses 3-4 criteria (temperature, duration, size, usefulness) with specific examples
4 pts: Addresses 2-3 criteria with some specificity
3 pts: Addresses 1-2 criteria, somewhat vague
2 pts: Very general brainstorming, no specific criteria mentioned
0 pts: Off-topic or missing
📌 NOTE: This is brainstorming - full credit for thoughtful effort even if ideas change later!
🧠 Metacognitive Reflection
Research shows: Thinking ABOUT your thinking improves learning!
These questions help you identify what strategies work best for YOU and what you still need to learn.
What strategy helped you MOST when thinking about engineering design and chemical energy?
*
🎯 METACOGNITION: Knowing your learning strategies helps you study more effectively.
There is no wrong answer - this helps YOU understand how YOU learn best!
Drew molecular diagrams to visualize reactions
Made a T-chart comparing exothermic vs endothermic
Thought about real-world examples (hand warmers, cold packs)
Talked through the problem with a partner
Looked back at my lab data and notes
Used multiple strategies together
What part of this week's engineering design is MOST confusing to you, and WHY?
*
🤔 Be specific! This helps your teacher know what to review.
✅ GOOD EXAMPLE: "I understand that exothermic reactions release heat, but I'm confused about WHY bond forming releases energy at the molecular level."
❌ TOO VAGUE: "Everything is confusing."
Write 2-3 sentences. If you understand everything, write: "I feel confident about [specific topic]."
How will you continue learning about chemical energy and engineering design?
*
🚀 PLANNING AHEAD: Successful students think about their next steps!
Review my lab data and look for patterns
Practice drawing energy diagrams for different reactions
Ask my teacher for help with concepts I marked as confusing
Research real-world applications (disaster relief technology, etc.)
Test more reactions at home (with parent permission and safety!)
Combination of these strategies
.
Banner hidden </t>
  </si>
  <si>
    <t>&lt;iframe src="https://docs.google.com/forms/d/e/1FAIpQLScY54FGoZQB0FO3bqDzOn84typiXHvASM9xVWZwCReKNv0Q5w/viewform?embedded=true" width="640" height="3498" frameborder="0" marginheight="0" marginwidth="0"&gt;Loading…&lt;/iframe&gt;</t>
  </si>
  <si>
    <t>https://docs.google.com/spreadsheets/d/1ciMZmE3_Ia8QatZf9u-RYqeCzLjcP66olwhReBx-Pwc/edit?resourcekey=&amp;gid=731565695#gid=731565695</t>
  </si>
  <si>
    <t>https://docs.google.com/document/d/1T2ZlR5G3c170fJY-P-VAjsfZqW-yp6IVMwJxDVRdknI/edit?pli=1&amp;tab=t.ojnr31w37o1w</t>
  </si>
  <si>
    <t xml:space="preserve">Screen reader support enabled.
G8.C2.W4: Hook - Simulation Setup &amp; Predictions
Total points: 10
Section 1 of 5
🔬 Hook: Simulation Setup &amp; Predictions
Prepare for PhET Investigations!
Time: ~10 min | Points: 10
Check understanding of:
• PhET simulation controls
• Your Week 3 investigation plans
• F=ma predictions
⚠️ Must score 8/10 to proceed to stations!
Email
*
This form is collecting emails.Change settings
Standards Alignment
📋 STANDARDS ASSESSED:
MS-PS2-2: Plan investigation - F=ma relationship
SEP-3: Carrying out investigations
CCC-3: Proportional relationships
After section 1
Section 2 of 5
💻 PhET Simulation Setup
Description (optional)
🛠️ PhET Troubleshooting Guide
⚡ QUICK FIXES:
1. Won't load? Refresh browser (Ctrl+R), try Chrome
2. Can't change settings? Click "Motion" tab, use right sliders
3. No values showing? Click checkboxes, zoom to 100%
4. Object won't move? Set friction=0, ensure force&gt;0N
5. Need restart? Click reset button (↻)
6. Data wrong? Check friction=0, verify calculations
🆘 STILL STUCK? Screenshot + ask teacher
✅ Troubleshooting Confirmation
*
I have reviewed the troubleshooting guide and know how to handle PhET issues
Can you access the PhET simulation? Open this link: https://phet.colorado.edu/en/simulations/forces-and-motion-basics
*
Test the link before starting. If it doesn't work, notify your teacher immediately.
✅ Yes, simulation loads and I can see the Motion tab
❌ No, I cannot access the simulation
After section 2
Section 3 of 5
📝 Readiness Assessment
Description (optional)
[WEEK 1 REVIEW] Two ice skaters push off each other. Skater A (40kg) and Skater B (80kg) push with equal force (Newton's 3rd Law). Who accelerates MORE?
*
Think: F=ma. If forces are equal but masses differ, what happens to acceleration?
Skater A (40kg) accelerates more - same force, less mass = greater acceleration
Skater B (80kg) accelerates more - more mass = more acceleration
Both accelerate equally - forces are equal
Cannot determine without knowing force value
[WEEK 2 REVIEW] A car (1200kg) traveling at 20m/s brakes to a stop. Its KE changes from 240,000J to 0J. Where did the energy GO?
*
Energy is conserved - it transforms, doesn't disappear. Where?
Thermal energy (brake friction heat) + sound energy + small deformation
The energy disappeared
Converted back to potential energy
Absorbed by the car's mass
PhET CHECK: In the "Motion" tab, which values will you need to MEASURE to calculate acceleration (a = Δv/Δt)?
*
Think about the formula: a = (v_final - v_initial) / time
Initial velocity, final velocity, and time elapsed
Only the final velocity
Distance and mass
Force and position
PREDICTION: Station 1 tests different FORCES (50N, 100N, 200N) on the same mass. When force doubles from 100N to 200N, what happens to acceleration?
*
Use F=ma. If F doubles and m stays constant, then a...?
Acceleration doubles (F and a are directly proportional when m is constant)
Acceleration stays the same
Acceleration halves
Acceleration quadruples
PREDICTION: Station 2 tests different MASSES (50kg, 100kg, 200kg) with the same force. When mass doubles from 100kg to 200kg, what happens to acceleration?
*
Use F=ma. If m doubles and F stays constant, then a...?
Acceleration halves (F and m are inversely related: a=F/m)
Acceleration doubles
Acceleration stays the same
Acceleration decreases to zero
After section 3
Section 4 of 5
🔒 Validation Gate
Description (optional)
After section 4
Section 5 of 5
🔒 Validation Gate
Description (optional)
⚠️ SCORE CHECK
You need 8/10 points to proceed to Station 1.
If you scored below 8/10:
1. Review the feedback for each question
2. Study the resources provided
3. Ask your teacher for help
4. You may need to retake this before continuing
Your teacher will receive your score automatically.
Teacher Override (ONLY check if teacher gives permission)
I have teacher permission to proceed despite scoring &lt;8/10
.
Banner hidden </t>
  </si>
  <si>
    <t>&lt;iframe src="https://docs.google.com/forms/d/e/1FAIpQLSdYK6rGmgp0aMFiA4hJ1G7jBP4fWaULei2CEh9m0SNqN8NiYQ/viewform?embedded=true" width="640" height="1825" frameborder="0" marginheight="0" marginwidth="0"&gt;Loading…&lt;/iframe&gt;</t>
  </si>
  <si>
    <t>https://docs.google.com/spreadsheets/d/1WjiLR_MTMxI_IZUKuvPO4Sg2rTSIqBzP3edakSRXbOA/edit?resourcekey=&amp;gid=1312841166#gid=1312841166</t>
  </si>
  <si>
    <t xml:space="preserve">Screen reader support enabled.
G7.C2.W4: Station 1 - Investigate &amp; Analyze Reactions
Total points: 33
Section 1 of 4
🔬 Station 1: Investigate &amp; Analyze Reactions
DAY 1-2: Testing Chemical Reactions for Your Design
🎯 YOUR TASK: Analyze lab data from reaction testing to choose the BEST reaction for your heating or cooling device.
📊 REACTIONS YOU TESTED:
EXOTHERMIC (Release Heat - for HEATING devices):
1. Calcium chloride + water → Temperature increased +15°C to +30°C
2. Iron powder + water + salt → Temperature increased +20°C to +40°C
3. Vinegar + steel wool → Temperature increased +5°C to +15°C
ENDOTHERMIC (Absorb Heat - for COOLING devices):
1. Ammonium nitrate + water → Temperature decreased -10°C to -20°C
2. Baking soda + vinegar → Temperature decreased -2°C to -5°C
3. Citric acid + baking soda → Temperature decreased -3°C to -8°C
⏱️ Time: ~14 minutes | 📊 Points: 25
🎯 Standards: MS-PS1-6: Undertake a design project to construct, test, and modify a device that either releases or absorbs thermal energy by chemical processes
LET'S ANALYZE YOUR DATA AND MAKE ENGINEERING DECISIONS!
Email
*
This form is collecting emails.Change settings
📚 Review: Week 2 - Chemical Bonding
Quick review before analyzing today's reaction data!
[WEEK 2 REVIEW] Calcium chloride (CaCl₂) dissolves in water and releases heat. What type of bonding is in CaCl₂?
*
🔗 CONNECTION TO TODAY: Understanding bonding helps predict energy changes!
💡 VOCABULARY:
• Ionic bonding = Metal + nonmetal, electrons transferred, forms charged ions (Ca²⁺ and Cl⁻)
• Covalent bonding = Nonmetal + nonmetal, electrons shared
🎯 THINK: Calcium is a METAL. Chlorine is a NONMETAL. What type of bond forms?
Ionic bonding - Ca (metal) transfers electrons to Cl (nonmetal), forming Ca²⁺ and Cl⁻ ions
Covalent bonding - Ca and Cl share electrons
Metallic bonding - both are metals
No bonding - they just mix together
[WEEK 3 REVIEW] When you mixed ammonium nitrate with water, the temperature dropped and you saw the solid dissolve. What EVIDENCE shows a chemical process occurred?
*
🔬 WEEK 3 SKILLS: Identifying evidence of chemical processes!
💡 VOCABULARY:
• Evidence = Observable changes that show something happened
• Chemical process = Atoms/molecules rearrange (not just change state)
• Physical change = Same substance, different form (like ice melting)
🎯 THINK: What did you OBSERVE that shows this is more than just dissolving?
Temperature change (got colder) - energy absorbed from surroundings shows chemical process
The solid dissolved - but this is just physical change
No evidence - dissolving is always just physical
Color change (but there wasn't a color change observed)
After section 1
Section 2 of 4
Exothermic Reaction Data Analysis
Description (optional)
🔥 Analyzing EXOTHERMIC Reactions (For Heating Devices)
You tested 3 exothermic reactions. Let's analyze which works BEST for a heating device.
📊 YOUR LAB DATA:
1. Calcium chloride + water: ΔT = +25°C (started at 20°C → reached 45°C)
2. Iron powder + water + salt: ΔT = +30°C (started at 20°C → reached 50°C)
3. Vinegar + steel wool: ΔT = +10°C (started at 20°C → reached 30°C)
🎯 YOUR TASK: Compare these reactions for heating device design!
DATA ANALYSIS: Based on temperature change (ΔT), which reaction released the MOST heat energy?
*
📊 ANALYZING DATA: Bigger ΔT = more heat energy released!
💡 VOCABULARY:
• ΔT (delta T) = Change in temperature (final - initial)
• Heat energy = Thermal energy that flows from hot to cold
🎯 COMPARISON:
• Calcium chloride: +25°C
• Iron powder: +30°C
• Vinegar + steel wool: +10°C
📈 Which has the LARGEST temperature increase?
Iron powder + water + salt (+30°C) - highest temperature increase
Calcium chloride + water (+25°C)
Vinegar + steel wool (+10°C)
All released the same amount of heat
REAL-WORLD ENGINEERING: Commercial hand warmers use iron powder oxidation (Fe + O₂ → Fe₂O₃). Why might engineers choose this even though it wasn't the FASTEST reaction?
*
🔧 ENGINEERING TRADE-OFFS: Sometimes "best" doesn't mean "fastest" or "hottest"!
💡 THINK ABOUT:
• Duration: How LONG the heat lasts (not just how HOT it gets)
• Safety: Some reactions might get TOO hot
• Cost: Some chemicals are expensive
• Availability: Can you easily get the materials?
🎯 HAND WARMERS: They stay warm for 8-10 HOURS but only reach about 50°C (not burning hot).
📊 Consider: Would you want a hand warmer that reaches 80°C for 10 minutes, or 50°C for 10 hours?
Iron oxidation releases heat SLOWLY over many hours (long duration), while staying safe (not too hot)
Iron is cheaper than all other chemicals
Iron reactions get the hottest temperature
No good reason - other reactions would work better
After section 2
Section 3 of 4
Endothermic Reaction Data Analysis
Description (optional)
❄️ Analyzing ENDOTHERMIC Reactions (For Cooling Devices)
You tested 3 endothermic reactions. Let's analyze which works BEST for a cooling device.
📊 YOUR LAB DATA:
1. Ammonium nitrate + water: ΔT = -15°C (started at 20°C → dropped to 5°C)
2. Baking soda + vinegar: ΔT = -3°C (started at 20°C → dropped to 17°C)
3. Citric acid + baking soda: ΔT = -5°C (started at 20°C → dropped to 15°C)
🎯 YOUR TASK: Compare these reactions for cooling device design!
DATA ANALYSIS: Based on temperature change (ΔT), which reaction absorbed the MOST heat energy from surroundings?
*
📊 ANALYZING DATA: Bigger negative ΔT = more heat absorbed = colder result!
💡 VOCABULARY:
• Endothermic = Absorbs heat energy FROM surroundings → surroundings get COLDER
• Negative ΔT = Temperature DECREASED (got colder)
🎯 COMPARISON:
• Ammonium nitrate: -15°C (biggest drop)
• Citric acid + baking soda: -5°C (medium drop)
• Baking soda + vinegar: -3°C (smallest drop)
📉 Which has the LARGEST temperature DECREASE?
Ammonium nitrate + water (-15°C) - largest temperature decrease = most heat absorbed
Citric acid + baking soda (-5°C)
Baking soda + vinegar (-3°C)
All absorbed the same amount of heat
After section 3
Section 4 of 4
Molecular-Level Explanation
Description (optional)
🔬 Explain Energy Changes at the Molecular Level
Now demonstrate your understanding of WHY these reactions release or absorb heat.
🧠 This requires connecting Week 1-2-3 concepts to Week 4 engineering!
MOLECULAR EXPLANATION: Choose ONE reaction (exothermic OR endothermic) from today's testing. Explain WHY it releases or absorbs heat at the MOLECULAR level.
Your explanation MUST include:
1. Which reaction you chose (name the chemicals)
2. Whether it's exothermic or endothermic (and observed ΔT)
3. What happens to BONDS (which bonds break? which bonds form?)
4. WHY bond breaking/forming causes energy release or absorption
5. Connection to your design goal (heating or cooling device)
*
💡 VOCABULARY &amp; CONCEPTS:
• Bond breaking REQUIRES energy input (like pulling magnets apart - takes effort!)
• Bond forming RELEASES energy (like magnets snapping together - releases energy!)
• EXOTHERMIC: More energy released (forming bonds) than required (breaking bonds) → NET energy OUT → gets HOT
• ENDOTHERMIC: More energy required (breaking bonds) than released (forming bonds) → NET energy IN → gets COLD
✅ EXAMPLE START (for Calcium Chloride):
"I chose calcium chloride + water (CaCl₂ + H₂O), which is exothermic with ΔT = +25°C. When CaCl₂ dissolves, ionic bonds between Ca²⁺ and Cl⁻ ions break (requires energy). But then Ca²⁺ and Cl⁻ ions form NEW interactions with water molecules (releases energy). The energy RELEASED from new interactions is GREATER than energy REQUIRED to break ionic bonds, so NET energy is released as heat. This makes it perfect for a HEATING device because..."
📝 Write 6-8 sentences covering all 5 required parts. Use the example as a guide!
⚖️ RUBRIC (Teacher Grading - 10 points):
10 pts: All 5 components present + molecular-level explanation accurate + clear connection to device design + uses correct vocabulary (bonds, energy, exo/endo)
8 pts: 4-5 components + mostly accurate molecular explanation + some vocabulary
6 pts: 3-4 components + partial molecular explanation + limited vocabulary
4 pts: 2-3 components + vague or inaccurate molecular explanation
2 pts: 1-2 components + minimal molecular explanation
0 pts: Off-topic, purely macroscopic (no molecular-level thinking), or missing
🎯 KEY: Must explain at MOLECULAR level (bonds), not just "it got hot because it's exothermic" (circular reasoning!)
ENGINEERING DECISION: Based on your lab data, which reaction would you choose for your device design? WHY is it the best choice?
Your justification MUST include:
1. Clearly state: HEATING or COOLING device
2. Which reaction you chose (specific chemicals)
3. Quantitative data (cite the ΔT value from your tests)
4. At least 2 CRITERIA it meets (temperature change, duration, safety, cost, availability)
5. One potential LIMITATION or trade-off
*
🔧 ENGINEERING JUSTIFICATION: Good engineers explain their choices with DATA and REASONING!
✅ EXAMPLE START:
"I'm designing a COOLING device for preserving medicine. I chose ammonium nitrate + water because lab data showed ΔT = -15°C (largest temperature drop). This meets two criteria: (1) Temperature change is significant enough to cool medicine from 20°C to 5°C, and (2) Ammonium nitrate is readily available in instant cold packs. One limitation is that..."
💡 CRITERIA OPTIONS:
• Temperature: Does it get hot/cold enough?
• Duration: Does it last long enough?
• Safety: Is it non-toxic and safe to handle?
• Cost: Are chemicals affordable?
• Availability: Can you easily get materials?
• Size/weight: Is it portable?
⚠️ LIMITATIONS TO CONSIDER:
• Duration might be short
• Temperature might not be extreme enough
• One-time use (not reusable)
• Chemicals might be messy or hard to contain
📝 Write 5-7 sentences covering all 5 required parts.
⚖️ RUBRIC (Teacher Grading - 10 points):
10 pts: All 5 components + specific data cited + 2+ criteria justified + realistic limitation identified + clear engineering reasoning
8 pts: 4-5 components + data cited + 1-2 criteria + some limitation
6 pts: 3-4 components + vague data + 1 criterion + no limitation OR unrealistic
4 pts: 2-3 components + minimal justification
2 pts: 1-2 components + no data or reasoning
0 pts: Off-topic or missing
🎯 KEY: Must cite QUANTITATIVE data (ΔT values) and connect to CRITERIA. "It works best" without justification = not engineering thinking!
🧠 Metacognitive Reflection
Research shows: Thinking ABOUT your thinking improves learning!
These questions help you identify what strategies work best for YOU and what you still need to learn.
What strategy helped you MOST when analyzing reaction data and making engineering decisions?
*
🎯 METACOGNITION: Knowing your learning strategies helps you study more effectively.
There is no wrong answer - this helps YOU understand how YOU learn best!
Drew molecular diagrams to visualize reactions
Made a T-chart comparing exothermic vs endothermic
Thought about real-world examples (hand warmers, cold packs)
Talked through the problem with a partner
Looked back at my lab data and notes
Used multiple strategies together
What part of this week's engineering design is MOST confusing to you, and WHY?
*
🤔 Be specific! This helps your teacher know what to review.
✅ GOOD EXAMPLE: "I understand that exothermic reactions release heat, but I'm confused about WHY bond forming releases energy at the molecular level."
❌ TOO VAGUE: "Everything is confusing."
Write 2-3 sentences. If you understand everything, write: "I feel confident about [specific topic]."
How will you continue learning about chemical energy and engineering design?
*
🚀 PLANNING AHEAD: Successful students think about their next steps!
Review my lab data and look for patterns
Practice drawing energy diagrams for different reactions
Ask my teacher for help with concepts I marked as confusing
Research real-world applications (disaster relief technology, etc.)
Test more reactions at home (with parent permission and safety!)
Combination of these strategies
.
Banner hidden </t>
  </si>
  <si>
    <t>&lt;iframe src="https://docs.google.com/forms/d/e/1FAIpQLSe1Aw_bLaNgpw0k6Q8uwI6xX6RqfW0IAHmKUg_hwsSbC3L7iA/viewform?embedded=true" width="640" height="3774" frameborder="0" marginheight="0" marginwidth="0"&gt;Loading…&lt;/iframe&gt;</t>
  </si>
  <si>
    <t>https://docs.google.com/spreadsheets/d/1dEvtr9f2UAemMjkvEwBFPyuEw3YQPqez4Kgo-0l7vS4/edit?resourcekey=&amp;gid=1775566294#gid=1775566294</t>
  </si>
  <si>
    <t xml:space="preserve">Screen reader support enabled.
G8.C2.W4: Station 1 - Force Investigation
Total points: 9
Section 1 of 5
⚡ Station 1: Force Investigation
TEST: How does force affect acceleration?
Time: ~30 min | Points: 25
PhET "Motion" tab: Change FORCE (50N, 100N, 200N), keep MASS constant at 50kg
This form is automatically collecting emails from all respondents.Change settings
Standards Alignment
📋 STANDARDS ASSESSED:
MS-PS2-2: Carry out F=ma investigation
SEP-3: Conducting systematic investigations
SEP-4: Analyzing and interpreting data
SEP-5: Using mathematics - calculate acceleration
CCC-3: Direct proportional relationships
📊 Part 1: Data Collection (Force Variation)
⏱️ Estimated time: 18-22 minutes for this section
Keep mass constant at 50kg. Test 3 force levels (50N, 100N, 200N). Run 3 trials each.
[WEEK 2 REVIEW] Before collecting F=ma data, review energy: A 200kg object accelerates from 0 to 10m/s. Its KE increases from 0J to what value?
*
Use KE = ½mv². This connects energy (Week 2) to acceleration (Week 4).
10,000 J (KE = ½ × 200 × 10² = 10,000J)
1,000 J
20,000 J
2,000 J
[WEEK 3 REVIEW] In this force investigation, what is the INDEPENDENT VARIABLE (what YOU change)?
*
Review Week 3: IV = what you change, DV = what you measure, controls = keep constant
Force applied (50N, 100N, 200N)
Acceleration measured
Mass of object
Time elapsed
After section 1
Section 2 of 5
📝 Data Collection: Force = 50N
Description (optional)
🔬 Force Level 1: 50N (Mass = 50kg constant)
⏱️ Section time: ~6 minutes
Run 3 trials. For EACH trial:
1. Set force slider to 50N
2. Verify mass = 50kg
3. Record v₀, v_f, Δt
4. Calculate a = (v_f - v₀)/Δt
Use the structured table below for consistent data collection.
DATA TABLE STRUCTURE (reference only)
This shows the format. Enter your actual data in the text box below.
v₀ (m/s)        v_f (m/s)        Δt (s)        a (m/s²)
Trial 1        
Trial 2        
Trial 3        
Average        
ENTER YOUR DATA: Force = 50N, Mass = 50kg (All 3 trials)
*
Format each trial on a new line:
Trial 1: v₀=___ m/s, v_f=___ m/s, Δt=___ s → a=___ m/s²
Trial 2: v₀=___ m/s, v_f=___ m/s, Δt=___ s → a=___ m/s²
Trial 3: v₀=___ m/s, v_f=___ m/s, Δt=___ s → a=___ m/s²
Average acceleration: ___ m/s²
Example:
Trial 1: v₀=0 m/s, v_f=3.0 m/s, Δt=3.0s → a=1.0 m/s²
Trial 2: v₀=0 m/s, v_f=3.1 m/s, Δt=3.0s → a=1.03 m/s²
Trial 3: v₀=0 m/s, v_f=2.9 m/s, Δt=3.0s → a=0.97 m/s²
Average: 1.0 m/s²
💡 VALIDATION TIP: Based on F=ma, your acceleration should be approximately 1 m/s² (±20% is acceptable: 0.8-1.2 m/s²). If your data is outside this range, check your calculations and measurements carefully.
⚖️ GRADING RUBRIC (3 pts)
3pts: All 3 trials + all values + calculations + average | 2pts: Missing 1 trial or some values | 1pt: Incomplete
After section 2
Section 3 of 5
📝 Data Collection: Force = 100N
Description (optional)
🔬 Force Level 2: 100N (Mass = 50kg constant)
⏱️ Section time: ~6 minutes
Same procedure, but set force to 100N
DATA TABLE STRUCTURE (reference only)
v₀ (m/s)        v_f (m/s)        Δt (s)        a (m/s²)
Trial 1        
Trial 2        
Trial 3        
Average        
ENTER YOUR DATA: Force = 100N, Mass = 50kg (All 3 trials)
*
Same format as 50N data. See instructions above if needed.
💡 VALIDATION TIP: Based on F=ma, your acceleration should be approximately 2 m/s² (±20% is acceptable: 1.8-2.2 m/s²). If your data is outside this range, check your calculations and measurements carefully.
⚖️ GRADING RUBRIC (3 pts)
3pts: Complete data | 2pts: Mostly complete | 1pt: Incomplete
After section 3
Section 4 of 5
📝 Data Collection: Force = 200N
Description (optional)
🔬 Force Level 3: 200N (Mass = 50kg constant)
⏱️ Section time: ~6 minutes
Final force level - set to 200N
DATA TABLE STRUCTURE (reference only)
v₀ (m/s)        v_f (m/s)        Δt (s)        a (m/s²)
Trial 1        
Trial 2        
Trial 3        
Average        
ENTER YOUR DATA: Force = 200N, Mass = 50kg (All 3 trials)
*
Same format. This is your final data set for force investigation.
💡 VALIDATION TIP: Based on F=ma, your acceleration should be approximately 4 m/s² (±20% is acceptable: 3.8-4.2 m/s²). If your data is outside this range, check your calculations and measurements carefully.
⚖️ GRADING RUBRIC (3 pts)
3pts: Complete data | 2pts: Mostly complete | 1pt: Incomplete
After section 4
Section 5 of 5
📊 Data Analysis
Description (optional)
🔍 Part 2: Analyze Your Data
⏱️ Section time: ~12 minutes
Now use your three averages to identify the F-a relationship.
PATTERN CHECK: When force doubled from 50N to 100N, what happened to your average acceleration?
*
Compare your actual data. Should be approximately doubled.
Acceleration approximately doubled (showing direct proportion)
Acceleration stayed about the same
Acceleration halved
No clear pattern in my data
ANALYSIS: Explain the relationship between force and acceleration using YOUR data.
Include:
1. Your 3 average accelerations (50N, 100N, 200N)
2. How acceleration changed when force changed
3. Whether this matches F=ma prediction
4. Why this relationship makes sense physically
*
⏱️ ~7 minutes to write
Example start: "At 50N, average a = 1.0 m/s². At 100N, a = 2.0 m/s² (doubled). At 200N, a = 4.0 m/s² (doubled again). This confirms F=ma: when F doubles and m is constant, a doubles too. This makes sense because more force means more push, causing faster velocity change..."
Write 6-7 sentences with specific data.
⚖️ GRADING RUBRIC (10 pts)
10pts: All 4 parts + specific data + clear explanation + physics reasoning | 8pts: Most parts with good reasoning | 6pts: Some parts or vague reasoning | 4pts: Minimal effort
CALCULATION: Using F=ma, if mass was 50kg and force was 100N, what acceleration should you theoretically get?
*
Solve: a = F/m = 100N / 50kg = ?
2.0 m/s² (100÷50 = 2)
1.0 m/s²
50 m/s²
5,000 m/s²
.
Banner hidden </t>
  </si>
  <si>
    <t>&lt;iframe src="https://docs.google.com/forms/d/e/1FAIpQLSdr3ILbpBbQIYU5dXtv6C-DkjXDWTc0lwq_TxHi8Nh9Ohx7zw/viewform?embedded=true" width="640" height="1659" frameborder="0" marginheight="0" marginwidth="0"&gt;Loading…&lt;/iframe&gt;</t>
  </si>
  <si>
    <t>https://docs.google.com/spreadsheets/d/1Ixzbal5tEbtWhozsFEppQzOYE6ZSrkNXHg_HW5k3Wt4/edit?resourcekey=&amp;gid=102018454#gid=102018454</t>
  </si>
  <si>
    <t xml:space="preserve">Screen reader support enabled.
G7.C2.W4: Station 2 - Design &amp; Build Your Prototype
Total points: 30
Section 1 of 4
🔧 Station 2: Design &amp; Build Your Prototype
DAY 2-3: Turn Your Analysis into a Working Device
🎯 YOUR TASK: Based on Station 1 data analysis, design and build a prototype device, then test it!
📋 DESIGN DOCUMENTATION REQUIREMENTS:
• Clear sketch/description of your device
• Molecular-level explanation (structures, reactions, energy flow)
• Testing procedure and data collection plan
• Success criteria (How will you know if it works?)
🔬 TESTING PROTOCOL:
• Measure starting temperature
• Activate device (mix chemicals)
• Record max/min temperature reached
• Time how long effect lasts
• Qualitative observations (ease of use, safety, portability)
⏱️ Time: ~14 minutes | 📊 Points: 25
🎯 Standards: MS-PS1-6: Undertake a design project to construct, test, and modify a device that either releases or absorbs thermal energy by chemical processes
LET'S DESIGN AND BUILD!
Email
*
This form is collecting emails.Change settings
📚 Review: Week 3 - Conservation of Mass
Quick review before documenting your design!
[WEEK 3 REVIEW] You sealed 10 grams of calcium chloride and 50 grams of water in a plastic bag. After the reaction, what is the total mass?
*
🔬 WEEK 3 CONCEPT: Conservation of Mass in chemical reactions!
💡 VOCABULARY:
• Conservation of mass = Total mass stays the same (atoms don't disappear!)
• Closed system = Sealed container, nothing escapes
🎯 THINK: Before reaction = 10g + 50g = 60g total. After reaction = ?
⚗️ Remember: Atoms REARRANGE during reactions, but don't appear or disappear!
60 grams - mass is conserved (atoms rearrange but don't disappear)
More than 60 grams - heat energy adds mass
Less than 60 grams - some mass converted to energy
Impossible to predict without measuring
[WEEK 3 REVIEW] When an exothermic reaction occurs, where does the heat energy come from?
*
🔥 ENERGY SOURCE: Understanding WHERE energy comes from is key to engineering!
💡 VOCABULARY:
• Exothermic = Releases heat energy to surroundings
• Chemical potential energy = Energy stored in chemical bonds
🎯 THINK: Heat doesn't appear from nowhere. Where was it "stored" before the reaction?
⚡ Energy transformations: Chemical energy → Thermal energy
From chemical potential energy stored in bonds - breaking/forming bonds releases net energy
From the air around the reaction
From the water used in the reaction
Heat energy is created from nothing
After section 1
Section 2 of 4
Design Documentation
Description (optional)
📐 Document Your Device Design
Engineers create detailed documentation so others can understand and replicate their designs.
🎯 YOUR TASK: Describe your device design with enough detail that another student could build it!
DESIGN DOCUMENTATION: Describe your heating or cooling device design in detail.
Your documentation MUST include:
1. Device type: HEATING or COOLING (and intended use case)
2. Chemical reaction you chose (specific chemicals + amounts)
3. Container design (what holds the chemicals? How is it sealed?)
4. Activation method (how do you start the reaction?)
5. Size/portability (dimensions, weight, ease of carrying)
6. Safety features (how do you prevent spills, burns, or freezing injuries?)
*
🔧 ENGINEERING DOCUMENTATION: Be specific enough for someone else to build it!
✅ EXAMPLE (for a heating device):
"I'm designing a HEATING device for warming hands during outdoor work in cold weather. My device uses 30 grams of calcium chloride (CaCl₂) and 100 mL of water. The chemicals are stored in a DOUBLE-CHAMBER Ziploc bag (small inner bag holds water, outer bag holds CaCl₂ powder). To activate, you squeeze the inner water bag until it pops, releasing water into the CaCl₂. The reaction heats the device to ~45°C. Total size is 10cm × 15cm (fits in pocket), weighs about 130g. Safety features: I use a fabric pouch on the outside to prevent burns from direct contact, and the Ziploc seal prevents leaks."
💡 HELPFUL PROMPTS:
• Container: Ziploc bag? Plastic cup with lid? Double-chamber design?
• Activation: Squeeze to mix? Add one chemical to another? Break inner pouch?
• Size: How big? (compare to phone, sandwich, notebook)
• Safety: Too hot to touch? Need insulation? Leak prevention?
📝 Write 6-8 sentences covering all 6 required components. Be specific with measurements!
⚖️ RUBRIC (Teacher Grading - 8 points):
8 pts: All 6 components + specific measurements/details + replicable by others + safety considered
6 pts: 5-6 components + some measurements + mostly replicable
4 pts: 3-4 components + vague details + difficult to replicate
2 pts: 1-2 components + very vague
0 pts: Off-topic or missing
🎯 KEY: Could another student BUILD your device from this description alone? If not, add more details!
After section 2
Section 3 of 4
Testing Your Prototype
Description (optional)
🔬 Test Your Device &amp; Collect Data
Now BUILD your device and TEST it! Collect quantitative data.
📊 TESTING PROTOCOL:
1. Measure and record STARTING temperature
2. Activate device (mix chemicals)
3. Monitor temperature - record MAX or MIN reached
4. Time how long the effect lasts (until returns to ±5°C of starting temp)
5. Record qualitative observations
TESTING DATA: What was your device's STARTING temperature (before activation)?
*
📊 STARTING TEMPERATURE: This is your baseline!
💡 TIP: Room temperature is usually 20-25°C
🎯 THINK: You need this to calculate ΔT (temperature change)
18-22°C (cool room temperature)
22-26°C (comfortable room temperature)
26-30°C (warm room temperature)
Below 18°C (cold room)
Above 30°C (hot room)
TESTING DATA: What was the MAXIMUM or MINIMUM temperature your device reached?
*
🌡️ PEAK TEMPERATURE: The hottest (for heaters) or coldest (for coolers) point
💡 REFERENCE:
• Exothermic (heating): Usually 35-55°C
• Endothermic (cooling): Usually 0-15°C
🎯 SELECT YOUR RESULT:
Below 5°C (very cold - strong endothermic)
5-15°C (cool - moderate endothermic)
15-25°C (room temp - minimal change)
25-40°C (warm - moderate exothermic)
40-55°C (hot - strong exothermic)
Above 55°C (very hot - very strong exothermic)
TESTING DATA: How long did the heating or cooling effect last? (Duration)
*
⏱️ DURATION: How long until temperature returned to ±5°C of starting temperature?
💡 EXAMPLES:
• Hand warmers (iron): 8-10 hours
• Instant hot packs (CaCl₂): 30-60 minutes
• Instant cold packs (NH₄NO₃): 15-30 minutes
🎯 SELECT YOUR RESULT:
Less than 5 minutes (very short)
5-15 minutes (short)
15-30 minutes (moderate)
30-60 minutes (long)
More than 60 minutes (very long)
Did not measure duration / reaction still active
EVALUATION: Did your device meet the TEMPERATURE CHANGE criterion? (At least ±10°C change from starting temperature)
*
🎯 SUCCESS CRITERIA: Most heating/cooling devices need at least 10°C change to be useful.
💡 CALCULATE ΔT:
• For heating: Final temp - Starting temp = ΔT
  Example: 45°C - 20°C = +25°C ✓ (meets criterion!)
• For cooling: Final temp - Starting temp = ΔT
  Example: 8°C - 20°C = -12°C ✓ (meets criterion!)
📊 DID YOU GET ±10°C OR MORE?
Yes - Temperature changed by 10°C or more (met criterion!)
Close - Temperature changed by 5-10°C (almost met criterion)
No - Temperature changed by less than 5°C (did not meet criterion)
Not sure - need to calculate
QUALITATIVE OBSERVATIONS: Which statement BEST describes your device's ease of use?
*
👥 USER EXPERIENCE: Engineers consider how easy/difficult devices are to use!
💡 THINK ABOUT:
• Was it easy to activate?
• Did it leak or spill?
• Could you hold it comfortably?
• Would it work in an emergency (disaster relief)?
Very easy to use - simple activation, no mess, safe to handle
Moderately easy - worked but had some minor issues (small leak, awkward to hold)
Difficult to use - significant issues (hard to activate, messy, unsafe temperature)
Did not work as designed - failed to activate or no temperature change
After section 3
Section 4 of 4
Iteration Planning
Description (optional)
🔄 Plan Your Design Improvements
Engineering is ITERATIVE - you build, test, analyze, and IMPROVE!
🎯 YOUR TASK: Based on your testing data, what would you change in Version 2?
ITERATION PLAN: Based on your testing results, what 2-3 specific changes would you make to IMPROVE your device? For each change, explain WHY (use your data as evidence).
Your iteration plan MUST include:
1. Specific problem identified (cite data: "Temperature only reached 35°C, not hot enough")
2. Proposed solution (what will you change?)
3. Predicted outcome (how will this improve performance?)
4. Repeat for 2-3 different improvements
*
🔧 ITERATIVE DESIGN: Real engineers ALWAYS improve their prototypes!
✅ EXAMPLE ITERATION:
"Problem 1: My device only lasted 10 minutes (duration data), but I need it to last at least 20 minutes for my use case (warming hands during recess). Solution: I will DOUBLE the amount of CaCl₂ from 20g to 40g, keeping water amount the same. Predicted outcome: More reactant means more total heat energy released, so the device should stay warm longer (target: 20-30 minutes).
Problem 2: The temperature reached 55°C, which was too hot to hold comfortably (qualitative observation). Solution: I will add a FABRIC POUCH around the outside as insulation. Predicted outcome: Still hot inside (good for heating), but safe to hold on the outside."
💡 COMMON IMPROVEMENTS:
• Temperature issues: Change chemical amounts, try different reaction
• Duration issues: Increase reactant quantities, slow reaction rate
• Safety issues: Add insulation, improve sealing, use safer container
• Usability issues: Redesign activation method, improve portability
📝 Write 6-8 sentences covering 2-3 improvements with data-based reasoning.
⚖️ RUBRIC (Teacher Grading - 8 points):
8 pts: 2-3 improvements + each has problem identified with data + specific solution + predicted outcome + clear engineering reasoning
6 pts: 2 improvements + data cited + solutions proposed + some predictions
4 pts: 1-2 improvements + vague data connection + general solutions
2 pts: 1 improvement + no data cited + vague solution
0 pts: Off-topic or missing
🎯 KEY: Must connect improvements to SPECIFIC DATA from testing. "Make it better" without specifics = not engineering thinking!
🧠 Metacognitive Reflection
Research shows: Thinking ABOUT your thinking improves learning!
These questions help you identify what strategies work best for YOU and what you still need to learn.
What strategy helped you MOST when designing, building, testing, and planning improvements for your device?
*
🎯 METACOGNITION: Knowing your learning strategies helps you study more effectively.
There is no wrong answer - this helps YOU understand how YOU learn best!
Drew molecular diagrams to visualize reactions
Made a T-chart comparing exothermic vs endothermic
Thought about real-world examples (hand warmers, cold packs)
Talked through the problem with a partner
Looked back at my lab data and notes
Used multiple strategies together
What part of this week's engineering design is MOST confusing to you, and WHY?
*
🤔 Be specific! This helps your teacher know what to review.
✅ GOOD EXAMPLE: "I understand that exothermic reactions release heat, but I'm confused about WHY bond forming releases energy at the molecular level."
❌ TOO VAGUE: "Everything is confusing."
Write 2-3 sentences. If you understand everything, write: "I feel confident about [specific topic]."
How will you continue learning about chemical energy and engineering design?
*
🚀 PLANNING AHEAD: Successful students think about their next steps!
Review my lab data and look for patterns
Practice drawing energy diagrams for different reactions
Ask my teacher for help with concepts I marked as confusing
Research real-world applications (disaster relief technology, etc.)
Test more reactions at home (with parent permission and safety!)
Combination of these strategies
.
Banner hidden </t>
  </si>
  <si>
    <t>&lt;iframe src="https://docs.google.com/forms/d/e/1FAIpQLScsfFAqzxnPaYhD28jLWjub1kqFOt0KTwxxQvxfxC2ozMQ6vg/viewform?embedded=true" width="640" height="2838" frameborder="0" marginheight="0" marginwidth="0"&gt;Loading…&lt;/iframe&gt;</t>
  </si>
  <si>
    <t>https://docs.google.com/spreadsheets/d/1B6nP1Ts7cF60F-9DocMTsAaVFKfuimLnUoxweBavHeU/edit?resourcekey=&amp;gid=244277627#gid=244277627</t>
  </si>
  <si>
    <t>Screen reader support enabled.
G8.C2.W4: Station 2 - Mass Investigation
Total points: 9
Section 1 of 5
⚖️ Station 2: Mass Investigation
TEST: How does mass affect acceleration?
Time: ~30 min | Points: 25
PhET "Motion" tab: Keep FORCE constant (100N), change MASS (50kg, 100kg, 200kg)
⚠️ CRITICAL: Force must stay 100N for ALL trials!
This form is automatically collecting emails from all respondents.Change settings
Standards Alignment
📋 STANDARDS ASSESSED:
MS-PS2-2: Carry out F=ma investigation
SEP-3: Controlling variables systematically
SEP-4: Analyzing inverse relationships
SEP-5: Mathematical thinking - inverse proportions
CCC-3: Inverse proportional relationships
📊 Part 1: Data Collection (Mass Variation)
⏱️ Estimated time: 18-22 minutes
Keep force constant at 100N. Test 3 mass levels (50kg, 100kg, 200kg). Run 3 trials each.
⚠️ This is the sophisticated investigation - you must keep force constant while changing mass!
[WEEK 3 REVIEW] In this mass investigation, what must you keep CONSTANT (controlled variable)?
*
Review: To test how mass affects acceleration, what stays the same?
Force applied (100N for all trials)
Acceleration
Mass
Time
[WEEK 1 REVIEW] Two carts pushed with equal force (N3L guarantees this). Cart A = 100kg, Cart B = 200kg. Which accelerates MORE?
*
This Week 1 scenario connects to what you're testing now!
Cart A (100kg) accelerates more - less mass = greater acceleration when F is equal
Cart B (200kg) accelerates more
Both accelerate equally - forces are equal
Cannot determine
After section 1
Section 2 of 5
📝 Data Collection: Mass = 50kg
Description (optional)
🔬 Mass Level 1: 50kg (Force = 100N constant)
⏱️ Section time: ~6 minutes
⚠️ VERIFY force = 100N before EACH trial!
Procedure:
1. Set mass slider to 50kg
2. Set force slider to 100N (CHECK THIS!)
3. Record v₀, v_f, Δt
4. Calculate a = (v_f - v₀)/Δt
5. Repeat for 3 trials
DATA TABLE STRUCTURE (reference only)
Note the "Force Check" column - verify 100N each time!
Force Check        v₀ (m/s)        v_f (m/s)        Δt (s)        a (m/s²)
Trial 1        
Trial 2        
Trial 3        
Average        
ENTER YOUR DATA: Mass = 50kg, Force = 100N (All 3 trials)
*
Format each trial:
Trial 1: F=100N ✓, v₀=___ m/s, v_f=___ m/s, Δt=___ s → a=___ m/s²
Trial 2: F=100N ✓, v₀=___ m/s, v_f=___ m/s, Δt=___ s → a=___ m/s²
Trial 3: F=100N ✓, v₀=___ m/s, v_f=___ m/s, Δt=___ s → a=___ m/s²
Average acceleration: ___ m/s²
Example:
Trial 1: F=100N ✓, v₀=0 m/s, v_f=6.0 m/s, Δt=3.0s → a=2.0 m/s²
Trial 2: F=100N ✓, v₀=0 m/s, v_f=6.1 m/s, Δt=3.0s → a=2.03 m/s²
Trial 3: F=100N ✓, v₀=0 m/s, v_f=5.9 m/s, Δt=3.0s → a=1.97 m/s²
Average: 2.0 m/s²
💡 VALIDATION TIP: Based on F=ma, your acceleration should be approximately 2 m/s² (±20% is acceptable: 1.8-2.2 m/s²). If your data is outside this range, check your calculations and measurements carefully.
⚖️ GRADING RUBRIC (3 pts)
3pts: All 3 trials + verified F=100N + calculations + average | 2pts: Mostly complete | 1pt: Incomplete
After section 2
Section 3 of 5
📝 Data Collection: Mass = 100kg
Description (optional)
🔬 Mass Level 2: 100kg (Force = 100N constant)
⏱️ Section time: ~6 minutes
⚠️ VERIFY force = 100N!
Change mass to 100kg
DATA TABLE STRUCTURE (reference only)
Force Check        v₀ (m/s)        v_f (m/s)        Δt (s)        a (m/s²)
Trial 1        
Trial 2        
Trial 3        
Average        
ENTER YOUR DATA: Mass = 100kg, Force = 100N (All 3 trials)
*
Same format. Verify F=100N. Record all values. Calculate acceleration.
💡 VALIDATION TIP: Based on F=ma, your acceleration should be approximately 1 m/s² (±20% is acceptable: 0.9-1.1 m/s²). If your data is outside this range, check your calculations and measurements carefully.
⚖️ GRADING RUBRIC (3 pts)
3pts: Complete + verified force | 2pts: Mostly complete | 1pt: Incomplete
After section 3
Section 4 of 5
📝 Data Collection: Mass = 200kg
Description (optional)
🔬 Mass Level 3: 200kg (Force = 100N constant)
⏱️ Section time: ~6 minutes
⚠️ FINAL CHECK: Force = 100N!
Change mass to 200kg
DATA TABLE STRUCTURE (reference only)
Force Check        v₀ (m/s)        v_f (m/s)        Δt (s)        a (m/s²)
Trial 1        
Trial 2        
Trial 3        
Average        
ENTER YOUR DATA: Mass = 200kg, Force = 100N (All 3 trials)
*
Final data set. Verify F=100N. This should show the inverse relationship clearly.
💡 VALIDATION TIP: Based on F=ma, your acceleration should be approximately 0.5 m/s² (±20% is acceptable: 0.45-0.55 m/s²). If your data is outside this range, check your calculations and measurements carefully.
⚖️ GRADING RUBRIC (3 pts)
3pts: Complete + verified force | 2pts: Mostly complete | 1pt: Incomplete
After section 4
Section 5 of 5
📊 Data Analysis
Description (optional)
🔍 Part 2: Analyze Your Data
⏱️ Section time: ~12 minutes
Use your three averages to identify the m-a inverse relationship.
PATTERN CHECK: When mass doubled from 50kg to 100kg, what happened to your average acceleration?
*
Compare your data. Should be approximately halved.
Acceleration approximately halved (showing inverse proportion)
Acceleration doubled
Acceleration stayed about the same
No clear pattern
ANALYSIS: Explain the relationship between mass and acceleration using YOUR data.
Include:
1. Your 3 average accelerations (50kg, 100kg, 200kg)
2. How acceleration changed when mass changed
3. Whether this matches a=F/m prediction
4. Why this makes sense (heavier objects harder to accelerate)
*
⏱️ ~7 minutes to write
Example: "At 50kg, a = 2.0m/s². At 100kg, a = 1.0m/s² (halved). At 200kg, a = 0.5m/s² (halved again). This confirms a=F/m: when m doubles and F is constant, a halves. Makes sense - heavier objects resist motion more (inertia), so same force produces less acceleration..."
Write 6-7 sentences with specific data.
⚖️ GRADING RUBRIC (10 pts)
10pts: All 4 parts + data + clear inverse relationship + inertia concept | 8pts: Most parts with good reasoning | 6pts: Some parts | 4pts: Minimal
CALCULATION: Using a=F/m, if force was 100N and mass was 200kg, what acceleration should you theoretically get?
*
Solve: a = 100N / 200kg = ?
0.5 m/s² (100÷200 = 0.5)
2.0 m/s²
20,000 m/s²
1.0 m/s²
.
Banner hidden “Show link to submit another response” turned off</t>
  </si>
  <si>
    <t>&lt;iframe src="https://docs.google.com/forms/d/e/1FAIpQLSeuh4K528OOpeVs_Um8aMzTMPEN4F26nL4Y0ZEJyJTozC26Ww/viewform?embedded=true" width="640" height="1659" frameborder="0" marginheight="0" marginwidth="0"&gt;Loading…&lt;/iframe&gt;</t>
  </si>
  <si>
    <t>https://docs.google.com/spreadsheets/d/1zxjtEKGvVIJPIDqZdnxENwVpPXYa88EihzyI44hcQUo/edit?resourcekey=&amp;gid=969014190#gid=969014190</t>
  </si>
  <si>
    <t xml:space="preserve">Screen reader support enabled.
G7.C2.W4: Station 3 - Iterate &amp; Optimize
Total points: 33
Section 1 of 4
🔄 Station 3: Iterate &amp; Optimize Your Design
DAY 3-4: Improve Your Device Based on Testing &amp; Feedback
🎯 YOUR TASK: Build Version 2 incorporating improvements!
📋 ITERATION PROCESS:
1. Review peer feedback
2. Implement 2-3 specific changes
3. Build and test Version 2
4. Compare V1 vs V2 data
5. Document optimizations and trade-offs
Time: ~14 min | Points: 25
LET'S OPTIMIZE YOUR DESIGN!
Email
*
This form is collecting emails.Change settings
📚 Review: Week 1 - Atoms &amp; Molecules
Description (optional)
[WEEK 1 REVIEW] Your heating device uses calcium chloride (CaCl₂). How many TOTAL atoms are in one CaCl₂ molecule?
*
🔬 MOLECULAR COUNTING: Understanding composition helps calculate quantities!
CaCl₂ = 1 calcium (Ca) + 2 chlorine (Cl) atoms
3 atoms total (1 Ca + 2 Cl)
2 atoms total
4 atoms total
Cannot determine
[WEEK 3 REVIEW] You want heat released SLOWLY over 30 minutes. Which change helps?
*
Surface area affects reaction rate!
Use larger CaCl₂ pellets (less surface area = slower)
Use fine powder (more surface area = faster)
Increase temperature
Add more CaCl₂
After section 1
Section 2 of 4
Section title (optional)
Description (optional)
👥 Analyze Peer Feedback
Description (optional)
PEER FEEDBACK: What constructive feedback did you receive? How will you use it?
Include:
1. Specific feedback
2. Your evaluation
3. Action plan
4. Expected outcome
*
Engineers use peer feedback to improve designs!
Example: "My peer noticed my device leaked. I agree this is a problem. For V2, I will use a double-bag system. This should prevent leaks."
Write 5-6 sentences.
After section 2
Section 3 of 4
Section title (optional)
Description (optional)
🔧 Document Version 2 Changes
Description (optional)
What was the PRIMARY change from V1 to V2?
*
What was your main improvement goal?
Changed chemical amounts
Redesigned container/packaging
Changed activation method
Tried different reaction
Added safety features
Minimal changes - V1 was good
MODIFICATION DETAILS: Describe specific changes for Version 2. For EACH change, explain reasoning using chemistry/engineering.
Include:
1. Change #1 + WHY
2. Change #2 + WHY
3. What you kept same
4. Challenges faced
*
Connect changes to chemistry!
Example: "I increased CaCl₂ from 20g to 35g. WHY: V1 only lasted 10 min, need 20+ min. More reactant = more energy = longer duration."
Write 6-8 sentences.
After section 3
Section 4 of 4
Section title (optional)
Description (optional)
📊 Compare V1 and V2 Performance
Description (optional)
How did V2 temperature compare to V1?
*
V2 significantly better (5°C+ improvement)
V2 slightly better (1-5°C)
V2 about same (±1°C)
V2 worse than V1
Did not test V2
How did V2 duration compare to V1?
*
V2 significantly longer (10+ min)
V2 slightly longer (5-10 min)
V2 about same
V2 lasted less time
Did not measure
TRADE-OFFS: Did improving one aspect make another worse?
*
Yes - improving X made Y worse
No - improved everything
Mixed - some trade-offs but overall better
Not sure
TRADE-OFF ANALYSIS: Describe any trade-offs. What optimized? What sacrificed? Worth it?
Include:
1. What you optimized
2. What you sacrificed
3. Justification for use case
4. Alternative considered
*
No perfect design - only optimized for specific context!
Example: "Optimized DURATION (V2 lasted 30 min vs V1 10 min). Sacrificed peak temp (38°C vs 45°C). Worth it because I need 30-min warmth, not super hot."
Write 6-8 sentences.
🧠 Metacognitive Reflection
Research shows: Thinking ABOUT your thinking improves learning!
These questions help you identify what strategies work best for YOU and what you still need to learn.
What strategy helped you MOST when iterating your design based on data and feedback?
*
🎯 METACOGNITION: Knowing your learning strategies helps you study more effectively.
There is no wrong answer - this helps YOU understand how YOU learn best!
Drew molecular diagrams to visualize reactions
Made a T-chart comparing exothermic vs endothermic
Thought about real-world examples (hand warmers, cold packs)
Talked through the problem with a partner
Looked back at my lab data and notes
Used multiple strategies together
What part of this week's engineering design is MOST confusing to you, and WHY?
*
🤔 Be specific! This helps your teacher know what to review.
✅ GOOD EXAMPLE: "I understand that exothermic reactions release heat, but I'm confused about WHY bond forming releases energy at the molecular level."
❌ TOO VAGUE: "Everything is confusing."
Write 2-3 sentences. If you understand everything, write: "I feel confident about [specific topic]."
How will you continue learning about chemical energy and engineering design?
*
🚀 PLANNING AHEAD: Successful students think about their next steps!
Review my lab data and look for patterns
Practice drawing energy diagrams for different reactions
Ask my teacher for help with concepts I marked as confusing
Research real-world applications (disaster relief technology, etc.)
Test more reactions at home (with parent permission and safety!)
Combination of these strategies
.
Banner hidden </t>
  </si>
  <si>
    <t>&lt;iframe src="https://docs.google.com/forms/d/e/1FAIpQLSf6ttt5lQ0aN-fImqzF7gwgcOwJWLcILQwuNOWGRxxl8tgPog/viewform?embedded=true" width="640" height="2930" frameborder="0" marginheight="0" marginwidth="0"&gt;Loading…&lt;/iframe&gt;</t>
  </si>
  <si>
    <t>https://docs.google.com/spreadsheets/d/1Urfs_Vy5SE9U8tp1-UR-7FoEAxcNy8MifWBH8GiFXd8/edit?resourcekey=&amp;gid=777646664#gid=777646664</t>
  </si>
  <si>
    <t>Screen reader support enabled.
G8.C2.W4: Station 3 - Engineering Design Challenge
Total points: 7
Section 1 of 6
🚗 Station 3: Engineering Design Challenge
Design a collision safety system using EVERYTHING you learned!
Time: ~35 min | Points: 30
Apply: Newton's 3rd Law (W1) + Energy (W2) + F=ma data (W4)
This form is automatically collecting emails from all respondents.Change settings
Standards Alignment
📋 STANDARDS ASSESSED:
MS-PS2-1: Design solution using Newton's Laws
MS-ETS1-1: Define criteria and constraints
MS-ETS1-2: Evaluate competing solutions
SEP-6: Constructing explanations and designing solutions
CCC-5: Energy and matter in systems
🎯 The Challenge: Design a Collision Safety System
⏱️ Total time: ~35 minutes
Use physics from all 4 weeks to design a system that reduces forces on passengers during car crashes. This is exactly what real automotive engineers do!
[WEEK 2 REVIEW] A 1500kg car at 25m/s crashes. Its KE = 468,750J transforms during crash. Where does this energy GO in a safe crash?
*
Energy transforms, doesn't disappear. Safety systems control HOW it transforms.
Crumple zone deformation + heat + sound (controlled transformation)
The energy disappears
All absorbed by passengers (dangerous!)
Converted to potential energy
After section 1
Section 2 of 6
🛠️ Part 1: Design Planning
Description (optional)
Design Your Safety Features
⏱️ Section time: ~8 minutes
Select and justify your safety features
Which safety features will your system include? (Select at least 3)
*
Choose features you can explain with physics from Weeks 1-4.
Crumple zones (extend crash time)
Airbags (cushion impact)
Seatbelts (distribute forces)
Bumper materials (absorb energy)
Reinforced passenger cabin (protect occupants)
Other (will describe in detail below)
DESIGN EXPLANATION: Describe your complete collision safety system.
Include:
1. Which features you chose and why
2. How EACH feature uses physics (N3L, energy, F=ma)
3. How features work together as a system
4. Materials you would use
*
⏱️ ~12 minutes to write
Example: "My system uses crumple zones + airbags + seatbelts. Crumple zones extend crash time from 0.01s to 0.10s (10× longer), reducing force by 10× (F=Δp/Δt). From my Station 1 data, I know reducing force directly reduces acceleration (F∝a), so passengers experience gentler deceleration. Airbags cushion the passenger, distributing force over larger area and extending contact time further. This applies Week 2 energy concepts: KE transforms gradually into deformation rather than sudden impact..."
Write 10-12 sentences with specific physics from all weeks.
⚖️ GRADING RUBRIC (10 pts)
10pts: All 4 parts + physics from 3+ weeks + system integration + materials + specific Station data | 8pts: Most parts with good connections | 6pts: Some parts or weak connections | 4pts: Minimal
After section 2
Section 3 of 6
📐 Part 2: Visual Design
Description (optional)
Create a Labeled Diagram
⏱️ Section time: ~8 minutes
Create a detailed diagram of your safety system showing:
• Force vectors (arrows showing direction)
• Newton's 3rd Law action-reaction pairs
• Energy transformation points
• Materials and components
• Labels for each feature
Can draw by hand and photograph, or use digital tool. Must be legible and detailed.
DIAGRAM DESCRIPTION: Describe your labeled safety system diagram in detail
*
⚠️ ALTERNATIVE TO UPLOAD: Since file uploads require manual setup, please either:
OPTION A - Describe your diagram:
• List all components and their locations
• Describe force vectors (direction, magnitude, location)
• Explain N3L action-reaction pairs shown
• Note energy transformation points
• Specify materials for each component
OPTION B - Share a link:
• Create diagram in Google Drawings/Slides
• Share with "Anyone with link can view"
• Paste the link here
OR submit physical drawing to teacher separately.
Write 8-10 sentences with enough detail that someone could recreate your design.
⚖️ GRADING RUBRIC (5 pts)
5pts: All required labels + clear + professional | 4pts: Most labels + clear | 3pts: Some labels or unclear | 1pt: Minimal effort
After section 3
Section 4 of 6
🧮 Part 3: Force Reduction Calculations
Description (optional)
💡 WORKED EXAMPLE: Learn the Calculation Method
Study this example before doing your own calculation:
📝 EXAMPLE PROBLEM:
Passenger: 60kg
Car speed: 20m/s → 0m/s (stops)
Without safety system: Δt = 0.01s
With safety system: Δt = 0.10s
📊 SOLUTION STEPS:
Step 1 - Calculate momentum change:
Δp = m × Δv = 60kg × (0 - 20)m/s = 60 × (-20) = -1,200 kg·m/s
(Negative means slowing down; we care about magnitude: 1,200 kg·m/s)
Step 2 - Force WITHOUT safety system:
F = Δp / Δt = 1,200 / 0.01 = 120,000 N
(That's like being hit by a car!)
Step 3 - Force WITH safety system:
F = Δp / Δt = 1,200 / 0.10 = 12,000 N
(Still large, but manageable)
Step 4 - Calculate percentage reduction:
Reduction = (F_without - F_with) / F_without × 100%
Reduction = (120,000 - 12,000) / 120,000 × 100%
Reduction = 108,000 / 120,000 × 100% = 0.90 × 100% = 90%
✅ CONCLUSION: Extending time by 10× reduced force by 90%!
Now you try with the scenario below...
YOUR CALCULATION: Use F = Δp/Δt to show how extending crash time reduces force.
📝 SCENARIO:
Passenger: 70kg
Car speed: 25m/s → 0m/s (crash stops car)
Without crumple zone: Δt = 0.01s
With crumple zone: Δt = 0.10s
✏️ CALCULATE:
1. Momentum change: Δp = m × Δv = ?
2. Force WITHOUT crumple zone: F = Δp / 0.01s = ?
3. Force WITH crumple zone: F = Δp / 0.10s = ?
4. Percentage force reduction = ?
*
⏱️ ~10 minutes for calculations
Show ALL work step-by-step like the example above:
Δp = 70 × 25 = ___
F_without = ___ / 0.01 = ___
F_with = ___ / 0.10 = ___
Reduction = (F_without - F_with) / F_without × 100% = ___
Then explain what this means in 2-3 sentences.
⚖️ GRADING RUBRIC (8 pts)
8pts: All 4 calculations correct + units + work shown + explains significance | 6pts: Most calculations correct + some explanation | 4pts: Some calculations or minimal explanation | 2pts: Incomplete
After section 4
Section 5 of 6
🔗 Part 4: Connect Your Investigation Data
Description (optional)
Use YOUR Data to Support Your Design
⏱️ Section time: ~7 minutes
This is where your PhET investigations pay off!
CONNECT YOUR DATA: How do your Station 1 and Station 2 results support your design?
🔬 Reference:
• Station 1 showed: Force and acceleration relationship (F∝a)
• Station 2 showed: Mass and acceleration relationship (m∝1/a)
✏️ Explain:
How do BOTH relationships inform your safety system design?
*
Example: "Station 1 proved F and a are proportional. When I measured 50N → 1 m/s² and 100N → 2 m/s², it confirmed doubling force doubles acceleration. My safety design reduces F (via extended time), which my Station 1 data shows will directly reduce a on the passenger. Station 2 showed mass matters - when I doubled mass from 50kg to 100kg, acceleration halved from 2 m/s² to 1 m/s². This means heavier passengers need proportionally stronger safety systems to achieve same protection..."
Write ...
⚖️ GRADING RUBRIC (5 pts)
5pts: Cites both stations + specific data + clear connections + applies to design | 3pts: Cites both but vague connections | 1pt: Minimal connection
After section 5
Section 6 of 6
🌍 Part 5: Transfer &amp; Application
Description (optional)
Apply Your Physics Knowledge to New Contexts
⏱️ Section time: ~5 minutes
TRANSFER: Your design principles apply to OTHER collision scenarios. A football player (100kg) running at 8m/s tackles another player. Which would reduce injury forces?
*
Apply F=Δp/Δt thinking to a new context.
Shoulder pads that compress over longer time (extend Δt → reduce F)
Rigid armor that stops impact instantly
No padding (natural is better)
Just make players lighter (reduce m)
.
Banner hidden “Show link to submit another response” turned off</t>
  </si>
  <si>
    <t>&lt;iframe src="https://docs.google.com/forms/d/e/1FAIpQLSf_-Ki1Wfv6sdiIN0oV5tXcp1rOgEzeIXwrJcZMbFKmuxWlDQ/viewform?embedded=true" width="640" height="1551" frameborder="0" marginheight="0" marginwidth="0"&gt;Loading…&lt;/iframe&gt;</t>
  </si>
  <si>
    <t>https://docs.google.com/spreadsheets/d/1H3cO01obd5zFULYqaT5NAqecZBFFIHeDFn4CeQLZF3w/edit?resourcekey=&amp;gid=1438041027#gid=1438041027</t>
  </si>
  <si>
    <t xml:space="preserve">Screen reader support enabled.
G7.C2.W4: Exit Ticket - Comprehensive Design Assessment
Total points: 5
Section 1 of 4
🏁 Exit Ticket: Comprehensive Design Assessment
DAY 5: Show Everything You Learned!
Time: ~18 min | Points: 30
4 parts: Diagnostic, Integration, Transfer, Reflection
Email
*
This form is collecting emails.Change settings
📊 Part 1: Week 5 Diagnostic
Help plan Week 5 by rating your understanding. NOT GRADED.
Rate understanding: Week 1 (molecular structure)
*
1=Confused | 5=Confident
Confused
1
2
3
4
5
Confident
Rate understanding: Week 2 (chemical bonding)
*
1=Confused | 5=Confident
Confused
1
2
3
4
5
Confident
Rate understanding: Week 3 (reactions, energy, mass)
*
1=Confused | 5=Confident
Confused
1
2
3
4
5
Confident
Rate understanding: Week 4 (engineering design)
*
1=Confused | 5=Confident
Confused
1
2
3
4
5
Confident
What topics need review in Week 5? Be specific!
*
Examples: formulas, ionic bonds, conservation, bond energy. Write 2-3 sentences.
After section 1
Section 2 of 4
Section title (optional)
Description (optional)
🔬 Part 2: Knowledge Integration (15 pts)
Show how Weeks 1-4 connect!
MOLECULAR MODEL: Describe molecular structures in your device reaction.
Include: 1) Reactants 2) Bond types 3) During reaction 4) Products 5) Energy connection
*
Example: "CaCl₂ ionic (Ca²⁺-Cl⁻), H₂O covalent. Ionic bonds break, ions interact with water. Ca²⁺/Cl⁻ surrounded by H₂O. Breaking needs energy, forming releases MORE = exothermic."
Write 5-6 sentences.
⚖️ RUBRIC (5 pts): All parts+detail=5 | Partial=3 | Off-topic=0
Description (optional)
EVIDENCE: What evidence shows chemical process (not physical)?
*
Week 3 skill
Temperature change (energy absorbed/released)
Color change
Gas production
Just physical mixing
ENERGY DIAGRAM: Describe energy changes.
Include: 1) Start state 2) Activation 3) End state 4) Net change 5) Bonds
Question Type
Example: "START: Chemical energy in bonds. Breaking needs energy. Forming releases MORE. END: Lower energy. NET: Out = exo. Breaking takes, forming releases."
Write 5-6 sentences.
250
(0 points)
After section 2
Section 3 of 4
Section title (optional)
Description (optional)
🏖️ Part 3: Transfer Application (10 pts)
Apply to NEW scenario!
NEW: Design device for beach ice cream (no cooler).
Include: 1) Reaction 2) Expected ΔT (cite data) 3) Duration 4) Beach design 5) Why best
*
Example: "NH₄NO₃: ΔT=-15°C. Beach 30°C→15°C. 20min enough. Sealed (sand), towel (sun), compact. No cooler needed."
Write 6-8 sentences.
⚖️ RUBRIC (8 pts): All+data+beach design=8 | Most=6 | Some=4 | Off=0
Description (optional)
CRITERIA: Ice cream device vs hurricane device - how differ?
*
Context changes criteria!
Different: Ice cream needs COLDER/SHORTER; hurricane MODERATE/LONG
Same criteria
Beach cheaper
No difference
After section 3
Section 4 of 4
Section title (optional)
Description (optional)
💭 Part 4: Reflection (5 pts)
Description (optional)
Biggest learning about engineering design this week? How changed thinking?
*
Examples: iteration, chemistry explains devices, trade-offs. Write 3-4 sentences.
What topics focus on in Week 5? Review your responses - be specific!
*
Molecular models? Energy diagrams? Exo/endo? Transfer? Write 3-4 sentences.
.
Banner hidden </t>
  </si>
  <si>
    <t>&lt;iframe src="https://docs.google.com/forms/d/e/1FAIpQLSeIPwrAiHHURosjjOQ09ap_j6sgFgyWzRvH9YPdmrb0IboAOA/viewform?embedded=true" width="640" height="1651" frameborder="0" marginheight="0" marginwidth="0"&gt;Loading…&lt;/iframe&gt;</t>
  </si>
  <si>
    <t>https://docs.google.com/spreadsheets/d/1aXWUim-N4mxaoEzA3XAIdaDH-QYLEvzF2WdP7MGXYAE/edit?resourcekey=&amp;gid=20404890#gid=20404890</t>
  </si>
  <si>
    <t xml:space="preserve">Screen reader support enabled.
G8.C2.W4: Exit Ticket - Complete Mastery
Total points: 4
Section 1 of 5
🎓 Exit Ticket: Show Complete Mastery
Final Assessment: All 4 Weeks!
Time: ~25 min | Points: 25
Diagnostic + F=ma Mastery + DOK-4 Complex Problem + Transfer + Reflection
This form is automatically collecting emails from all respondents.Change settings
Standards Alignment
📋 STANDARDS ASSESSED:
MS-PS2-1: Newton's Laws application
MS-PS2-2: F=ma investigation mastery
MS-PS3-1: Energy in collisions
MS-PS3-5: Energy conservation
SEP-3/4/6: Complete science practices
CCC-2/3/5: All crosscutting concepts
📊 Part 1: Week 5 Diagnostic (NOT GRADED)
⏱️ Section time: ~3 minutes
Help plan Week 5 remediation. Be honest! This helps your teacher know what to review.
Rate your understanding: Week 1 (Newton's 3rd Law)
*
1=Need review | 5=Confident
Need review
1
2
3
4
5
Confident
Rate your understanding: Week 2 (Energy in collisions)
*
1=Need review | 5=Confident
Need review
1
2
3
4
5
Confident
Rate your understanding: Week 3 (Investigation planning)
*
1=Need review | 5=Confident
Need review
1
2
3
4
5
Confident
Rate your understanding: Week 4 (Running F=ma investigations)
*
1=Need review | 5=Confident
Need review
1
2
3
4
5
Confident
What topics need review in Week 5? Be specific!
*
Examples: N3L force pairs, KE calculations, F=ma relationships, investigation design, energy transformations
Write 2-4 sentences. The more specific you are, the better I can help!
After section 1
Section 2 of 5
🔬 F=ma Mastery Check
Description (optional)
Part 2: F=ma Mastery (8 pts)
⏱️ Section time: ~5 minutes
Show you mastered the core F=ma relationship.
A 1000kg car needs to accelerate at 3m/s². What force is required?
*
Use F=ma. Solve for F.
3,000 N (F = 1000 × 3)
333 N
300 N
30,000 N
Based on YOUR Station 1 data, when force doubled, acceleration...
*
What did YOUR actual data show?
Approximately doubled (confirming direct proportion)
Stayed the same
Halved
Quadrupled
SYNTHESIS: Explain the complete F=ma relationship using evidence from BOTH Station 1 and Station 2.
Include:
1. Force-acceleration relationship (Station 1 data)
2. Mass-acceleration relationship (Station 2 data)
3. How both fit together in F=ma
4. Real-world example where both matter
*
⏱️ ~5 minutes
Example: "Station 1 showed doubling F doubled a (50N→100N: 1→2 m/s²). Station 2 showed doubling m halved a (50kg→100kg: 2→1 m/s²). Together: a = F/m. This explains why sports cars (high F, low m) accelerate so fast..."
Write 7-8 sentences with YOUR specific data.
⚖️ GRADING RUBRIC (4 pts)
4pts: All 4 parts + YOUR data + synthesis + example | 3pts: Most parts + some data | 2pts: Partial | 1pt: Minimal
After section 2
Section 3 of 5
🚀 Complex Integrated Problem
Description (optional)
Part 3: DOK-4 Complex Scenario (10 pts)
⏱️ Section time: ~12 minutes
This requires synthesizing ALL 4 weeks of physics. Take your time and show your thinking!
🚛 COMPLEX SCENARIO (DOK-4): Semi-truck (8000kg, 25m/s) and sedan (1200kg, 20m/s) collide head-on.
📝 ANALYZE using ALL 4 weeks:
1️⃣ NEWTON'S 3RD LAW (Week 1):
   • Are the collision forces on each vehicle equal? Explain using N3L.
   • Even though forces are equal, which vehicle experiences more danger? Why?
2️⃣ KINETIC ENERGY (Week 2):
   • Calculate KE of truck before collision
   • Calculate KE of sedan before collision
   • Which has more kinetic energy? What does this mean for damage?
3️⃣ F=ma ANALYSIS (Week 4):
   • If collision forces are equal (N3L), which vehicle experiences greater acceleration?
   • Show the math: Use F=ma for both vehicles (assume F = 500,000N)
   • What does this mean for passengers in each vehicle?
4️⃣ ENGINEERING SOLUTION:
   • Design ONE specific safety feature for the sedan (the more vulnerable vehicle)
   • Explain how it uses physics from all 4 weeks
   • Estimate the force reduction it would provide
*
⏱️ This is the most challenging question - take 10-12 minutes
EXPECTED CALCULATIONS:
Truck KE = ½(8000)(25²) = ½(8000)(625) = 2,500,000 J
Sedan KE = ½(1200)(20²) = ½(1200)(400) = 240,000 J
Truck acceleration: a = F/m = 500,000/8000 = 62.5 m/s²
Sedan acceleration: a = F/m = 500,000/1200 = 417 m/s²
Write 12-15 sentences addressing ALL 4 parts with calculations and explanations.
⚖️ GRADING RUBRIC (10 pts)
10pts: ALL 4 parts complete + all calculations correct + coherent explanations + engineering solution with physics justification
8pts: ALL 4 parts + most calculations correct + good explanations
6pts: Most parts + some calculations + adequate explanations
4pts: Some parts + few calculations + weak explanations
2pts: Minimal effort or major conceptual errors
After section 3
Section 4 of 5
🌍 Transfer Application
Description (optional)
Part 4: Transfer to New Contexts (4 pts)
⏱️ Section time: ~5 minutes
NEW SCENARIO: Design a better elevator for a skyscraper. Passengers complain about feeling jerky motion during starts and stops.
✏️ Use F=ma to explain:
1. Why do passengers feel forces during start/stop?
2. How would you reduce those forces? (Think F=Δp/Δt)
3. What's the tradeoff? (Consider time)
*
Apply collision safety thinking to elevators:
• Smoother = longer acceleration time = smaller forces
• But longer time = slower elevator service
• Engineering is about optimizing tradeoffs!
Write 6-7 sentences explaining the physics and tradeoffs.
⚖️ GRADING RUBRIC (4 pts)
4pts: All 3 parts + physics explanation + identifies tradeoff | 3pts: Most parts + some physics | 2pts: Some parts | 1pt: Minimal
After section 4
Section 5 of 5
💭 Reflection
Description (optional)
Part 5: Metacognitive Reflection (3 pts)
⏱️ Section time: ~3 minutes
Think about your learning journey
Biggest learning: What's one thing you understand NOW that you didn't before Week 4?
*
Example: "I thought heavy objects always accelerate more because they have more force. But F=ma showed me it's the opposite when forces are equal - heavier objects accelerate LESS because mass resists motion (inertia). This completely changed how I think about car safety..."
Write 4-5 sentences about a specific insight or misconception you overcame.
⚖️ GRADING RUBRIC (3 pts)
3pts: Specific insight + explains change in thinking + personal connection | 2pts: Some insight | 1pt: Vague
.
Banner hidden </t>
  </si>
  <si>
    <t>&lt;iframe src="https://docs.google.com/forms/d/e/1FAIpQLSd39OxMLZBsp7QLGU-nfA-KMB4RKby9irasV2aDbEYWK-4olg/viewform?embedded=true" width="640" height="1952" frameborder="0" marginheight="0" marginwidth="0"&gt;Loading…&lt;/iframe&gt;</t>
  </si>
  <si>
    <t>https://docs.google.com/spreadsheets/d/1IG9qoa6PeLdDDFzKpW39lxXshN0-M8Z25a_R1EpsYyg/edit?resourcekey=&amp;gid=1990111402#gid=1990111402</t>
  </si>
  <si>
    <t>Sum</t>
  </si>
  <si>
    <t xml:space="preserve">Screen reader support enabled.
G7.C2.Summative: Engineering Design &amp; Chemistry
Total points: 40
Section 1 of 5
G7.C2.Summative: Engineering Design &amp; Chemistry
Week 4 Summative Assessment: Engineering Design &amp; Chemistry
Total Points: 100 points
Time: 60 minutes standard | 90 minutes extended time (if on your IEP)
Format: Individual work (complete independently)
---
📋 WHAT YOU WILL DO:
1. Answer chemistry concept questions (30 pts - auto-graded)
2. Analyze a NEW engineering scenario and design solution (50 pts - mixed)
3. Reflect on your learning this week (20 pts - teacher graded)
4. Self-assess your growth (0 pts - formative data, not graded)
---
♿ ACCOMMODATIONS AVAILABLE:
- Extended time: Take up to 90 minutes if needed
- Text-to-speech: Use screen reader or Read&amp;Write extension
- Calculator: Allowed for all calculations
- Reference sheet: Chemistry formulas provided in form
- Breaks: Take breaks as needed (form saves progress)
- Reduced items: Questions marked (OPTIONAL) can be skipped
---
⏱️ TIME MANAGEMENT TIPS:
- Section 1: 5-7 minutes (quick chemistry questions)
- Section 2: 25-30 minutes (main scenario - MOST TIME HERE)
- Section 3: 12-15 minutes (reflection paragraphs)
- Section 4: 5-8 minutes (self-assessment)
- Buffer: 5 minutes for review
Watch the progress bar at the top to pace yourself!
---
📚 REFERENCE SHEET (Use Anytime):
Bond Energy Basics:
- Breaking bonds REQUIRES energy (endothermic)
- Forming bonds RELEASES energy (exothermic)
- Net energy change = Energy Released − Energy Required
Reaction Types:
- Exothermic: ΔH negative, releases heat, temperature INCREASES
- Endothermic: ΔH positive, absorbs heat, temperature DECREASES
Engineering Design Process:
1. Define constraints and criteria
2. Generate multiple alternatives
3. Compare using data and evidence
4. Select best option (trade-offs)
5. Iterate and improve
---
✅ READY? Let us begin!
This form is automatically collecting emails from all respondents.Change settings
📝 Student Information
Complete this section first
Your Full Name (First and Last)
*
Your Grade Level
*
Grade 6
Grade 7
Grade 8
Class Period (Example: Period 2, Ms. Smith)
*
After section 1
Section 2 of 5
Section 1: Chemistry Fundamentals
Points: 30 points (auto-graded)
Time: 5-7 minutes
Quick check of core chemistry concepts from Week 4.
These questions test your understanding of bond energy and reaction types.
🧪 Bond Energy &amp; Reactions
Select the BEST answer for each question (5 points each)
Q1. What happens to energy when chemical bonds BREAK?
*
Energy is REQUIRED (absorbed from surroundings)
Energy is RELEASED (given to surroundings)
No energy change occurs
It depends on the type of bond
Q2. In an EXOTHERMIC reaction, what happens to the surroundings?
*
Temperature INCREASES (surroundings get warmer)
Temperature DECREASES (surroundings get cooler)
Temperature stays the same
Pressure increases but temperature stays same
Q3. Why does calcium chloride (CaCl₂) dissolving in water RELEASE heat?
*
Energy released forming ion-water bonds &gt; energy required to break crystal lattice
Calcium is radioactive and gives off heat
Water molecules speed up when CaCl₂ is added
The reaction is endothermic so it absorbs heat
Q4. A cold pack uses ammonium nitrate (NH₄NO₃). Why does it feel COLD when activated?
*
Breaking the crystal lattice requires MORE energy than is released, so heat is absorbed FROM surroundings
The chemical freezes water molecules
It creates an exothermic reaction that feels cold
Nitrogen gas escapes and cools the pack
Q5. In engineering design, what is a CONSTRAINT?
*
A requirement or limitation that the design MUST meet (like maximum cost or minimum temperature)
A nice-to-have feature that improves the design
The final product specification
A brainstorming technique
Q6. What is a TRADE-OFF in engineering design?
*
When improving one feature requires sacrificing another (like higher temperature but shorter duration)
When you trade your design with another team
When you compromise and meet in the middle
When you eliminate all constraints
After section 2
Section 3 of 5
Section 2: NEW Scenario Analysis
Points: 50 points (10 auto-graded + 40 manual-graded)
Time: 25-30 minutes (MOST OF YOUR TIME)
⭐ This is the MAIN PART of the assessment.
You will apply your Week 4 learning to a BRAND NEW engineering problem.
Read the scenario carefully, analyze the data, and design a solution.
🏔️ The Challenge: Mountain Rescue Heat Pack
SCENARIO:
Mountain rescue teams respond to injured hikers in freezing conditions. Hypothermia (dangerously low body temperature) is a life-threatening emergency. The team needs portable, safe heat packs that:
✓ Activate QUICKLY (every minute matters)
✓ Provide SUSTAINED heat (keep victim warm until helicopter arrives)
✓ Are SAFE for direct skin contact
✓ Are LIGHTWEIGHT (carried in rescue packs)
✓ Are AFFORDABLE (budget-limited rescue organization)
YOUR TASK: Design the best heat pack for this scenario.
📊 Reaction Data (Use this to make decisions)
Available Chemical Reactions:
1️⃣ Calcium Chloride (CaCl₂) Dissolution
   • Type: Exothermic
   • ΔT: +22°C
   • Activation: 45 seconds
   • Duration: 25 minutes
   • Cost: $0.12/gram
   • Safety: Skin safe below 48°C
2️⃣ Iron Oxidation (hand warmer)
   • Type: Exothermic
   • ΔT: +28°C
   • Activation: 5 minutes
   • Duration: 60 minutes
   • Cost: $0.08/gram
   • Safety: Can exceed 60°C - BURN RISK
3️⃣ Magnesium Sulfate (MgSO₄) Dissolution
   • Type: Exothermic
   • ΔT: +12°C
   • Activation: 30 seconds
   • Duration: 15 minutes
   • Cost: $0.15/gram
   • Safety: Skin safe
4️⃣ Sodium Acetate Crystallization
   • Type: Exothermic
   • ΔT: +18°C
   • Activation: INSTANT (click to activate)
   • Duration: 20 minutes
   • Cost: $0.35/gram
   • Safety: Reusable, skin safe
5️⃣ Ammonium Nitrate (NH₄NO₃) Dissolution
   • Type: ENDOTHERMIC
   • ΔT: −15°C (COOLING)
   • Activation: 20 seconds
   • Duration: 10 minutes
   • Cost: $0.10/gram
   • Safety: Cold pack - NOT FOR HEATING
DESIGN REQUIREMENTS (must meet ALL):
• Temperature increase: +15°C to +25°C
• Activation time: &lt;3 minutes
• Duration: 30+ minutes sustained heat
• Safety: &lt;50°C max surface temperature
• Mass: &lt;200g total device
• Cost: &lt;$5 per unit
TASK 1: Which reaction should you use for the heat pack? (5 points)
*
Consider ALL design requirements. Which reaction BEST meets the needs?
1️⃣ Calcium Chloride (CaCl₂)
2️⃣ Iron Oxidation
3️⃣ Magnesium Sulfate (MgSO₄)
4️⃣ Sodium Acetate
5️⃣ Ammonium Nitrate (NH₄NO₃)
TASK 2: Justify your reaction choice using CHEMISTRY and DATA (15 points)
*
📝 Sentence Starter (use this to begin):
"I selected [reaction name] because the chemistry principle of [bond energy concept] combined with the data showing [specific numbers] makes it optimal for [which constraints]."
What to include:
1. Molecular-level chemistry explanation (WHY does this reaction produce heat?)
2. Specific data from the table (ΔT, time, cost, safety numbers)
3. Which design requirements it meets BEST
4. Why it's BETTER than alternatives
Example (DO NOT COPY - use your own reaction):
"I selected calcium chloride because when CaCl₂ dissolves, the energy released forming Ca²⁺-water and Cl⁻-water bonds (hydration) EXCEEDS the energy needed to break the crystal lattice. This makes it exothermic with ΔT=+22°C, which meets the +15 to +25°C requirement. The 45-second activation is well under the 3-minute constraint, critical for hypothermia emergencies. Though iron gives higher ΔT (+28°C), it takes 5 minutes to activate (TOO SLOW for life-threatening situation) and exceeds 60°C (burn risk). CaCl₂ balances temperature, speed, and safety better than alternatives."
Word count: 150-250 words (about 1 paragraph)
Grading: Chemistry explanation (5 pts) + Data use (5 pts) + Design reasoning (5 pts)
📊 TASK 2 RUBRIC (Teacher Grading - 15 points)
Chemistry Explanation (5 points):
• 5 pts: Molecular mechanism explained (bond breaking/forming, energy transfer)
• 3 pts: Chemistry mentioned but incomplete
• 0 pts: No chemistry or incorrect
Data Use (5 points):
• 5 pts: Specific numbers cited (ΔT, time, cost) with clear connection to decision
• 3 pts: Data mentioned but vague
• 0 pts: No data or incorrect data
Design Reasoning (5 points):
• 5 pts: Explains why choice is BEST for scenario constraints; compares alternatives
• 3 pts: Explains choice but no comparison
• 0 pts: No reasoning or illogical
TASK 3: Your chosen reaction has ONE potential weakness. What is it? (5 points)
*
Every design has trade-offs. What is the main limitation of your choice?
Activation time is too slow
Temperature is too low to meet requirements
Duration is slightly short (20 min vs 30+ min requirement)
Safety concern - too hot for skin
Cost exceeds budget
TASK 4: Propose a MODIFICATION to fix the weakness you identified (15 points)
*
📝 Sentence Starter:
"To address the [weakness], I would modify the design by [specific change]. This works because [chemistry/engineering principle], and it would improve [performance metric] from [old value] to [predicted new value]."
What to include:
1. SPECIFIC modification (not vague - give details!)
2. WHY it works (chemistry or engineering principle)
3. PREDICTED impact (how much improvement? use numbers if possible)
4. Any NEW trade-offs created
Example:
"To address the short 20-minute duration, I would modify the design by adding a thin layer of aerogel insulation around the sodium acetate pouch. This works because aerogel has extremely low thermal conductivity (0.013 W/m·K), which slows heat loss to the environment. Based on insulation principles, this could extend effective heating from 20 minutes to approximately 35 minutes by reducing heat transfer rate by ~40%. The trade-off is increased mass (+30g insulation) and cost (+$1.20), but we stay under the 200g and $5 constraints, and meeting the 30-minute duration requirement is critical for rescue situations."
Word count: 150-250 words
Grading: Specific modification (5 pts) + Scientific reasoning (5 pts) + Quantitative prediction (5 pts)
📊 TASK 4 RUBRIC (Teacher Grading - 15 points)
Specific Modification (5 points):
• 5 pts: Detailed, concrete change described (not vague)
• 3 pts: Modification mentioned but lacks detail
• 0 pts: Vague or no modification
Scientific Reasoning (5 points):
• 5 pts: Clear chemistry/engineering principle explains WHY modification works
• 3 pts: Some reasoning but incomplete
• 0 pts: No reasoning or incorrect
Quantitative Prediction (5 points):
• 5 pts: Specific predicted impact with numbers; acknowledges trade-offs
• 3 pts: General impact stated but no numbers
• 0 pts: No prediction or illogical
TASK 5: What is the BIGGEST trade-off in your final design? (10 points)
*
📝 Sentence Starter:
"The biggest trade-off in my design is sacrificing [aspect 1] to optimize [aspect 2]. I prioritized [aspect 2] because [reasoning based on scenario]. The consequence is [what you gave up], but this is acceptable because [justification]."
What to include:
1. What you SACRIFICED (cost? performance? convenience?)
2. What you GAINED instead
3. WHY this trade-off makes sense for THIS specific scenario
4. What makes it acceptable (or not)
Example:
"The biggest trade-off in my sodium acetate design is sacrificing COST ($0.35/g, highest of all options) to optimize ACTIVATION SPEED (instant). I prioritized instant activation because in hypothermia emergencies, every second of delay increases risk of death. The consequence is higher per-unit cost (~$4.50 vs $2-3 for CaCl₂), but this is acceptable because: (1) we still meet the &lt;$5 constraint, and (2) rescue organizations budget for life-saving equipment differently than consumer products. A $2 price difference is negligible compared to helicopter rescue costs ($5000+) and a human life."
Word count: 100-200 words
Grading: Trade-off identified (5 pts) + Justification for scenario (5 pts)
📊 TASK 5 RUBRIC (Teacher Grading - 10 points)
Trade-off Identification (5 points):
• 5 pts: Clear statement of what was sacrificed vs. gained
• 3 pts: Vague trade-off mentioned
• 0 pts: No trade-off or misunderstands concept
Scenario Justification (5 points):
• 5 pts: Explains WHY trade-off makes sense for mountain rescue specifically
• 3 pts: Generic justification not tied to scenario
• 0 pts: No justification
After section 3
Section 4 of 5
Section 3: Your Learning Journey
Points: 20 points (teacher-graded)
Time: 12-15 minutes
Reflect on what YOU learned during Week 4.
This is about YOUR personal growth, not your team's project.
🌱 Reflecting on Your Growth
Think about YOUR individual learning this week
Q1. What chemistry concept "clicked" for you this week? (5 points)
*
📝 Sentence Starter:
"The chemistry concept that finally made sense to me was [concept]. Before Week 4, I thought [misconception], but now I understand that [correct understanding]. What helped it click was [specific experience]."
Example:
"The chemistry concept that finally made sense to me was WHY endothermic reactions feel cold. Before Week 4, I thought 'endothermic' just meant 'cold reaction,' but now I understand that the reaction PULLS energy from surroundings to break bonds (since more energy is needed than released). What helped it click was using the NH₄NO₃ cold pack in Station 2 and drawing the energy diagram - seeing the 'energy deficit' that gets filled by absorbing heat from my hand made it concrete."
Word count: 100-150 words
Grading: Specific concept + how understanding changed
Q2. What engineering strategy from Week 4 will you use in your next project? (5 points)
*
📝 Sentence Starter:
"The strategy I'll definitely use again is [strategy]. This helped me [how it helped] during Week 4, and I can apply it to [future situation] by [specific plan]."
Example:
"The strategy I'll definitely use again is comparing multiple alternatives BEFORE choosing one solution. This helped me realize my first idea (iron oxidation) actually wasn't the best choice when I saw CaCl₂ data side-by-side. I would have wasted time building a design with a fatal flaw (too slow activation). I can apply this to my science fair project by brainstorming 3-4 different experimental designs, comparing their pros/cons in a table, and THEN selecting which to build instead of just going with my gut feeling."
Word count: 100-150 words
Grading: Strategy + transfer to future
Q3. What will you remember about Week 4 five years from now? (10 points)
*
📝 Sentence Starter:
"Five years from now, I'll remember that [big idea]. This matters because [why it's significant beyond this class]."
Example:
"Five years from now, I'll remember that all chemical reactions are just bond breaking and forming, with energy differences driving everything. This matters because it's a UNIVERSAL pattern - I can figure out any reaction (cooking, biology, industrial processes) by asking: which bonds break? which form? is net energy positive or negative? It's like having a master key that unlocks understanding of all chemistry, not just memorizing facts about specific reactions."
Word count: 100-150 words
Grading: Big idea + significance beyond class
📊 SECTION 3 RUBRIC (Teacher Grading - 20 points total)
Q1 - Chemistry Concept (5 points):
• 5 pts: Specific concept + how understanding changed
• 3 pts: Vague or generic
• 0 pts: Off-topic or no evidence of reflection
Q2 - Engineering Strategy (5 points):
• 5 pts: Specific strategy + transfer to future
• 3 pts: Strategy mentioned but weak explanation
• 0 pts: Off-topic or no strategy identified
Q3 - Long-Term Learning (10 points):
• 10 pts: Big idea + significance beyond class + evidence of deep insight
• 6 pts: Concept mentioned with some explanation
• 3 pts: Vague or superficial
• 0 pts: Off-topic or copied example
All questions:
• Appropriate length: 100-150 words
• Genuine insight (not generic)
• Personal reflection (not copied)
After section 4
Section 5 of 5
Section 4: Self-Assessment
Points: 0 points (formative data - not graded)
Time: 5-8 minutes
Rate your understanding at the START of Week 4 vs. NOW.
Honest self-assessment helps you become a better learner!
⚠️ This section is NOT graded - it helps your teacher understand your growth.
📈 How Much Did You Grow?
Rate yourself on each skill:
• 1 ⭐ = Very Low understanding
• 2 ⭐⭐ = Low understanding
• 3 ⭐⭐⭐ = Medium understanding
• 4 ⭐⭐⭐⭐ = High understanding
• 5 ⭐⭐⭐⭐⭐ = Very High understanding
Rate Your Understanding at BEGINNING of Week 4 (Monday Hook)
*
⭐        ⭐⭐        ⭐⭐⭐        ⭐⭐⭐⭐        ⭐⭐⭐⭐⭐
Bond energy (breaking requires, forming releases)        
Exothermic vs endothermic reactions        
Using data to compare design options        
Making trade-off decisions        
Explaining chemistry at molecular level        
Rate Your Understanding NOW (End of Week 4)
*
⭐        ⭐⭐        ⭐⭐⭐        ⭐⭐⭐⭐        ⭐⭐⭐⭐⭐
Bond energy (breaking requires, forming releases)        
Exothermic vs endothermic reactions        
Using data to compare design options        
Making trade-off decisions        
Explaining chemistry at molecular level        
OPTIONAL: Which skill did you grow MOST in? What helped you improve?
This is OPTIONAL and NOT GRADED - but valuable feedback for your teacher!
Example: "I grew most in 'explaining chemistry at molecular level' - I went from 2 stars to 4 stars. What helped was drawing bond diagrams during Station 3. Visualizing the bonds breaking and forming made it way clearer than just reading about it."
Word count: 50-100 words (brief is fine!)
.
Banner hidden </t>
  </si>
  <si>
    <t xml:space="preserve">Screen reader support enabled.
G8.C2.Summative: Highway 40 Collision Physics Assessment
Total points: 28
G8.C2.Summative: Highway 40 Collision Physics Assessment
60-minute performance assessment measuring Newton's Laws, Energy, and Engineering Design through authentic safety engineering.
This form is automatically collecting emails from all respondents.Change settings
♿ ACCESSIBILITY &amp; ACCOMMODATIONS
⏱️ TIME: 60 minutes total
📊 POINTS: 50 points (80% = mastery)
🤖 INSTANT FEEDBACK: 28 points auto-graded
✅ ACCOMMODATIONS AVAILABLE:
  • Extended time (notify teacher before starting)
  • Calculator permitted (all calculations)
  • Answer in home language (we translate)
  • Text-to-speech/screen reader compatible
📱 TECH SUPPORT:
  • Chromebook issues? Raise hand immediately
  • Form saves automatically as you type
  • Can scroll back anytime to review formulas
➡️ Questions? Ask BEFORE starting timer!
Student Name (First Last)
*
Student ID
*
Class Period
*
Check accommodations you are using today:
Extended time
Calculator
Translation support
Text-to-speech
None - standard time
📊 BEFORE YOU BEGIN: Quick Self-Check
Rate your confidence HONESTLY. Doesn't affect grade - helps you learn!
Using F = ma to solve problems
Need Help
1
2
3
4
Very Confident
Applying Newton's Third Law to collisions
Need Help
1
2
3
4
Very Confident
Calculating kinetic energy
Need Help
1
2
3
4
Very Confident
Designing solutions using physics
Need Help
1
2
3
4
Very Confident
━━━━━━━━━━━━━━━━━━━━━━━━━━━━━━━━━━━━━━━━
Description (optional)
📐 PHYSICS FORMULAS - USE ANYTIME!
═══════════════════════════════════════════════════════════
📌 SCROLL BACK TO THIS SECTION WHENEVER YOU NEED FORMULAS!
═══════════════════════════════════════════════════════════
NEWTON'S SECOND LAW:
  F = ma
  Force (N) = mass (kg) × acceleration (m/s²)
ACCELERATION:
  a = Δv/Δt = (v_final - v_initial) / time
  Units: m/s²
KINETIC ENERGY:
  KE = ½mv²
  Kinetic Energy (J) = ½ × mass (kg) × velocity² (m/s)²
  ⚠️ Notice: velocity is SQUARED!
IMPULSE-MOMENTUM:
  F = Δp/Δt
  Force = momentum change / time
  where Δp = m × Δv
NEWTON'S THIRD LAW:
  For every action, there is an equal and opposite reaction
  • Forces always come in PAIRS
  • EQUAL magnitude (size)
  • OPPOSITE directions
  • Act on DIFFERENT objects
═══════════════════════════════════════════════════════════
📚 IMPORTANT PHYSICS WORDS
FORCE: A push or pull (measured in Newtons, N)
MASS: How much "stuff" in an object (kilograms, kg)
ACCELERATION: How quickly speed changes (m/s²)
VELOCITY: Speed in a direction (m/s)
KINETIC ENERGY: Energy of movement (Joules, J)
COLLISION: When two objects hit each other
MOMENTUM: Mass in motion (kg·m/s)
💡 Use these words in your answers!
━━━━━━━━━━━━━━━━━━━━━━━━━━━━━━━━━━━━━━━━
ASSESSMENT BEGINS BELOW ⬇️
🚗 PART 1: Highway 40 Crash Data Analysis
⏱️ TIME: About 15 minutes
📊 POINTS: 15 points
🤖 AUTO-GRADED: 10 points
🎯 YOUR JOB:
You're a safety engineer for MoDOT (Missouri Department of Transportation).
Analyze REAL crash data to find patterns that could save lives.
✓ SUCCESS CHECKLIST:
  □ I identified the pattern with specific numbers
  □ I showed all calculation work with units
  □ I used F = ma in my explanation
📋 THE DATA: Highway 40 Collision Tests
MoDOT crashed cars into barriers at the SAME SPEED (25 m/s).
All crashes lasted the SAME TIME (0.10 seconds).
Only MASS was different.
═══════════════════════════════════════════════
 Car Mass (kg)  |  Crash Force (N)
═══════════════════════════════════════════════
     1,000      |     250,000
     1,500      |     375,000
     2,000      |     500,000
     2,500      |     625,000
═══════════════════════════════════════════════
Question 1: What pattern do you see in the data? (3 points)
*
Look at the numbers. When mass doubles, what happens to force?
Direct proportion - when mass doubles, force doubles
Inverse proportion - when mass doubles, force halves
No clear relationship
Force triples when mass doubles
🧮 CALCULATION REQUIRED - SHOW YOUR WORK
Next question has TWO parts:
1. Show ALL work in text box (5 points - graded by teacher)
2. Select your final answer (2 points - graded instantly)
GRADING RUBRIC FOR WORK SHOWN:
  5 pts = Complete calculation: a = Δv/Δt, then F = ma, with units
  3-4 pts = Correct method but minor error or missing units
  1-2 pts = Major errors or incomplete work
  0 pts = No work shown or completely wrong
Question 2A: Calculate force for the 1,500 kg car (SHOW ALL WORK - 5 points)
*
The car went from 25 m/s to 0 m/s in 0.10 seconds.
STEP 1: Calculate acceleration
  a = Δv/Δt = (v_final - v_initial) / time
  a = (0 - 25) / 0.10 = ?
STEP 2: Calculate force
  F = ma = (1,500 kg)(your acceleration)
STEP 3: Check - does it match the table?
💡 WRITE OUT ALL STEPS WITH UNITS!
Question 2B: Select your final answer (2 points - AUTO-GRADED)
*
250,000 N
375,000 N
500,000 N
625,000 N
Question 3: A 3,000 kg truck crashes at the same speed and time. Predict the force. (5 points)
*
Use the pattern you identified.
3,000 kg is how many times bigger than 1,000 kg?
Force should increase by the same factor!
500,000 N
625,000 N
750,000 N
1,000,000 N
⚖️ PART 2: Newton's Third Law in Collisions
⏱️ TIME: About 12 minutes
📊 POINTS: 12 points
🤖 AUTO-GRADED: 8 points
🎯 YOUR JOB:
Explain what happens when a car crashes into a wall using Newton's Third Law.
📖 REVIEW:
"For every action, there is an equal and opposite reaction."
  • Forces come in PAIRS
  • EQUAL magnitude
  • OPPOSITE directions
  • On DIFFERENT objects
  • At SAME TIME
🚗💥🧱 SCENARIO: Car Crashes Into Wall
A 1,500 kg car traveling at 25 m/s hits a concrete wall.
MEASUREMENTS:
  • Force on car: 375,000 N backward
  • Force on wall: 375,000 N forward
  • Duration: 0.10 seconds (both forces)
RESULT:
  • Car stops
  • Wall doesn't move
Question 1: Which statements are TRUE about these forces? Select ALL correct. (4 points)
*
You must select ALL correct answers to get points.
The forces are equal in magnitude (same size)
The forces point in opposite directions
The forces happen at exactly the same time
One force acts on the car, the other on the wall
The car experiences more force because it stopped
The wall experiences more force because it's stronger
📝 CLAIM-EVIDENCE-REASONING (CER)
Use the CER framework to explain this collision.
AUTO-GRADED (4 points): Claim + Evidence selection
MANUAL (4 points): Your reasoning explanation
REASONING RUBRIC:
  4 pts = Explains Newton's 3rd + addresses why car stops but wall doesn't
  3 pts = Explains law but misses motion difference
  1-2 pts = Weak or vague explanation
  0 pts = No reasoning or incorrect
CLAIM: What does Newton's Third Law say about the car-wall forces? (2 points)
*
The forces are equal in magnitude and opposite in direction
The car experiences more force than the wall
The wall experiences more force than the car
The forces are unrelated to each other
EVIDENCE: Which data supports this claim? Select ALL that apply. (2 points)
*
Both forces equal 375,000 N
Forces point in opposite directions
Forces last the same duration (0.10 s)
The car stopped but the wall didn't
REASONING: WHY are forces equal? WHY did car stop but wall didn't? (4 points - MANUAL)
*
Explain TWO things:
1. WHY must the forces be equal? (Newton's 3rd Law)
2. If forces are equal, WHY did the car stop but the wall didn't move?
   (Hint: Think about MASS and F=ma)
Sentence starters:
"The forces must be equal because Newton's Third Law states..."
"Even though forces are equal, the car stopped because..."
🏗️ PART 3: Engineering Design Challenge
⏱️ TIME: About 15 minutes
📊 POINTS: 18 points (HIGHEST VALUE!)
🤖 AUTO-GRADED: 5 points
🎯 THE CHALLENGE:
Design a Highway 40 safety system that reduces crash forces by at least 60%.
Use ALL the physics you've learned!
✓ REQUIREMENTS:
  □ Calculate baseline physics
  □ Describe 3+ specific safety features
  □ Explain physics for EACH feature
  □ Show force reduction calculation
  □ Evaluate your design
📊 THE PROBLEM
CURRENT SITUATION:
  • Car mass: 1,500 kg
  • Crash speed: 30 m/s (67 mph)
  • Current barrier stops car in: 0.05 seconds
  • Result: Severe injuries
YOUR GOAL:
Design a safety system that extends collision time to reduce forces.
Question 1A: Calculate CURRENT force - show work (3 points - MANUAL)
*
Use the impulse-momentum equation: F = Δp/Δt
STEP 1: Calculate Δp (momentum change)
  Δp = m × Δv = 1,500 × (0 - 30) = ?
STEP 2: Calculate force
  F = Δp/Δt = (your Δp) / 0.05 = ?
Show all work with units!
Question 1B: Select current force (2 points - AUTO)
*
450,000 N
675,000 N
900,000 N
1,350,000 N
Question 2: Which safety features will you include? Select at least 3. (3 points)
*
Select the features you'll use, then explain them in the next question.
Crumple zones (deformable materials)
Energy-absorbing barriers (sand/water/foam)
Progressive barriers (multi-stage)
Cable barriers (flexible)
Extended impact zones
Other (describe in next question)
🔬 PHYSICS JUSTIFICATION - 8 POINTS
Explain the physics behind your design.
GRADING:
  8 pts = All 3 features explained with correct physics + energy transformation
  6-7 pts = Good physics for 2 features or partial for all 3
  4-5 pts = Basic physics understanding, missing details
  1-3 pts = Vague or mostly incorrect physics
  0 pts = No physics explanation
Question 3: Explain HOW each feature uses physics (8 points - MANUAL)
*
For EACH of your 3+ features, explain:
1. WHAT it does physically
2. WHICH physics principle it uses:
   • Newton's Third Law (forces)
   • F = Δp/Δt (extending time reduces force)
   • Energy transformation (KE → other forms)
3. WHY this makes crashes safer
Example format:
"Crumple zones are deformable materials at the front. They use F=Δp/Δt by extending collision time from 0.05s to 0.20s, reducing force by 75%. They also transform kinetic energy into deformation work..."
Write detailed paragraphs for all features!
🧮 CALCULATE YOUR DESIGN'S PERFORMANCE - 2 POINTS
GRADING:
  2 pts = Correct calculation shows 60%+ reduction
  1 pt = Attempted but errors
  0 pts = No calculation
Question 4: Calculate force reduction with YOUR design (2 points - MANUAL)
*
STEP 1: Choose collision time for your design
  (Must be longer than 0.05 s - aim for 0.20 s or more)
STEP 2: Calculate new force
  F = Δp/Δt
  Δp = 45,000 kg·m/s (same as before)
  Δt = YOUR new time
STEP 3: Calculate % reduction
  Original force: 900,000 N
  Your force: ?
  % reduction = [(900,000 - new) / 900,000] × 100%
STEP 4: Verify ≥60% reduction
Show ALL work with units!
🏙️ PART 4: Transfer to Earthquake Engineering
⏱️ TIME: About 3 minutes
📊 POINTS: 5 points
🤖 AUTO-GRADED: 5 points
🎯 CHALLENGE:
Apply collision physics to a COMPLETELY DIFFERENT problem.
Can the same physics help with earthquake-resistant buildings?
🏗️ THE CONNECTION
During earthquakes:
  • Buildings experience forces (like collisions)
  • Energy needs to be absorbed (like car crashes)
  • Time matters (fast shaking vs. slow swaying)
Think: How are earthquakes SIMILAR to collisions?
What physics principles apply to BOTH?
Question 1: Which collision physics principle BEST helps with earthquake design? (3 points)
*
Making buildings super strong and rigid so they don't move
Allowing buildings to sway and absorb energy over longer time
Making buildings as light as possible to reduce mass
Building underground to avoid surface shaking
Question 2: Which building feature uses the same physics as crumple zones? (2 points)
*
Thick concrete walls that don't bend
Base isolators (flexible pads that absorb energy)
Tall buildings to avoid ground motion
Windows that reflect light
━━━━━━━━━━━━━━━━━━━━━━━━━━━━━━━━━━━━━━━━
Description (optional)
💭 FINAL REFLECTION (NOT GRADED)
Take 2 minutes to think about your learning.
This helps you grow as a scientist.
NO WRONG ANSWERS - be honest!
This does NOT affect your grade.
What physics concept was hardest? What helped you understand it?
How did analyzing data (Part 1) help you design solutions (Part 3)?
Compare yourself to the start of this unit. How much have you grown?
No Growth
1
2
3
4
5
Huge Growth
.
Banner hidden </t>
  </si>
  <si>
    <t>https://github.com/LouisRosche/Grades7-8.Cycle3.Week1/blob/main/G7_C3_W1_Page.html</t>
  </si>
  <si>
    <t>https://docs.google.com/spreadsheets/d/197C8yvLyfR59JPOCjQdNv3jtQAWqA9lyzhiAtksREXI/edit?resourcekey=&amp;gid=147593900#gid=147593900</t>
  </si>
  <si>
    <t>https://github.com/LouisRosche/Grades7-8.Cycle3.Week1/blob/main/G8_C3_W1_Page.html</t>
  </si>
  <si>
    <t>https://docs.google.com/spreadsheets/d/1JzBbPfIn5kXHe-RuBwssvVRSauekkTw9cwf70DsYix4/edit?resourcekey=&amp;gid=1135761601#gid=1135761601</t>
  </si>
  <si>
    <t>https://docs.google.com/spreadsheets/d/19sK-XtuOHHWpxtqshuj3o7yRcGo6sbgvlJ7oV_aWG3w/edit?resourcekey=&amp;gid=44944987#gid=44944987</t>
  </si>
  <si>
    <t>https://docs.google.com/spreadsheets/d/1JbcCdZBzu6Yag8PuyvlbtYmdvUYYQNraxAgoikGBi5w/edit?resourcekey=&amp;gid=816328279#gid=816328279</t>
  </si>
  <si>
    <t>https://docs.google.com/spreadsheets/d/1tpV5_mFhbN6YKRuO1MZvSbUMIPr8PmwiNyIZJpY0iKs/edit?resourcekey=&amp;gid=98273372#gid=98273372</t>
  </si>
  <si>
    <t>https://docs.google.com/spreadsheets/d/15-YcWQKwT7GXCzNpEoDkSlrruglscDYeQTD3uXec8uQ/edit?resourcekey=&amp;gid=1031325025#gid=1031325025</t>
  </si>
  <si>
    <t>https://docs.google.com/spreadsheets/d/1wfMRO2uDQNJ1PCwTpHdQ8iUrPUKVHyvbfqf8TasTViU/edit?resourcekey=&amp;gid=50002726#gid=50002726</t>
  </si>
  <si>
    <t>https://docs.google.com/spreadsheets/d/1X2rXjxJaWCoTCv5SRdgsC_V3cXeEyqXGQY3NvE1KDUk/edit?resourcekey=&amp;gid=1738475719#gid=1738475719</t>
  </si>
  <si>
    <t>https://docs.google.com/spreadsheets/d/1ZOlAPpjCs7qXcQpCvrHzmJ4FOraZ9bKV8IEd78oT7sE/edit?resourcekey=&amp;gid=208575235#gid=208575235</t>
  </si>
  <si>
    <t>https://docs.google.com/spreadsheets/d/1zEJQnPshpdjcOtCVSP0I8nG2EXKbBMH9BJ8IeNFUEV8/edit?resourcekey=&amp;gid=823418763#gid=823418763</t>
  </si>
  <si>
    <t>Guided Notes: Engineering a Safer Landing - Collision Forces Lab (1819663)</t>
  </si>
  <si>
    <t>Guided Notes: Forces and Motion (1828785)</t>
  </si>
  <si>
    <t>CER Argument Submission (1846660)</t>
  </si>
  <si>
    <t>Collaborative Learning Lab: Check Out (1851895)</t>
  </si>
  <si>
    <t>CER Knowledge: Check Out (Exit Ticket) (1857929)</t>
  </si>
  <si>
    <t>Formative Assessment: Newton's Third Law (1841596)</t>
  </si>
  <si>
    <t>🧠 Neural Flow - Executive Function Training Application (1851933)</t>
  </si>
  <si>
    <t>The Memory Thief (1858513)</t>
  </si>
  <si>
    <t>CER Peer Feedback (1849596)</t>
  </si>
  <si>
    <t>Lindsey, Camia</t>
  </si>
  <si>
    <t>68a3d49bba480b84727a2dae</t>
  </si>
  <si>
    <t>5d393d351269ea0001a76677-68a3d49bba480b84727a2dae-8172</t>
  </si>
  <si>
    <t>f7ba7e1f3777550b250f1fd1238b432f7871d937</t>
  </si>
  <si>
    <t>Date</t>
  </si>
  <si>
    <t>Day</t>
  </si>
  <si>
    <t>Minutes</t>
  </si>
  <si>
    <t>Standard</t>
  </si>
  <si>
    <t>DOK</t>
  </si>
  <si>
    <t>Learning_Target</t>
  </si>
  <si>
    <t>Success_Criteria</t>
  </si>
  <si>
    <t>Prerequisite_Check</t>
  </si>
  <si>
    <t>Common_Misconceptions</t>
  </si>
  <si>
    <t>Hook_Phenomenon</t>
  </si>
  <si>
    <t>Engagement_Question</t>
  </si>
  <si>
    <t>Vocabulary_Tier2</t>
  </si>
  <si>
    <t>Vocabulary_Tier3</t>
  </si>
  <si>
    <t>Language_Objective</t>
  </si>
  <si>
    <t>Discourse_Protocol</t>
  </si>
  <si>
    <t>Gradual_Release_Model</t>
  </si>
  <si>
    <t>Check_Understanding_Min15</t>
  </si>
  <si>
    <t>Check_Understanding_Min30</t>
  </si>
  <si>
    <t>Check_Understanding_Min45</t>
  </si>
  <si>
    <t>Core_Activity</t>
  </si>
  <si>
    <t>Differentiation_Below</t>
  </si>
  <si>
    <t>Differentiation_On</t>
  </si>
  <si>
    <t>Differentiation_Above</t>
  </si>
  <si>
    <t>Grouping_Strategy</t>
  </si>
  <si>
    <t>Technology_SAMR</t>
  </si>
  <si>
    <t>Slide_Template</t>
  </si>
  <si>
    <t>Visual_Supports</t>
  </si>
  <si>
    <t>Metacognitive_Prompt</t>
  </si>
  <si>
    <t>Exit_Ticket</t>
  </si>
  <si>
    <t>Home_Extension</t>
  </si>
  <si>
    <t>Materials_Prep</t>
  </si>
  <si>
    <t>Cognitive_Load_Management</t>
  </si>
  <si>
    <t>UDL_Representation</t>
  </si>
  <si>
    <t>UDL_Engagement</t>
  </si>
  <si>
    <t>UDL_Expression</t>
  </si>
  <si>
    <t>Cultural_Connection</t>
  </si>
  <si>
    <t>SEL_Integration</t>
  </si>
  <si>
    <t>KEPT_Arms</t>
  </si>
  <si>
    <t>Next_Day_Connect</t>
  </si>
  <si>
    <t>Mon</t>
  </si>
  <si>
    <t>MS-PS1-1</t>
  </si>
  <si>
    <t>I can model how atoms combine to form molecules</t>
  </si>
  <si>
    <t>1.Draw 3 molecules correctly 2.Explain bonding pattern 3.Predict new molecule</t>
  </si>
  <si>
    <t>Draw H2O from memory</t>
  </si>
  <si>
    <t>Atoms touch randomly; molecules are just mixed atoms; bonds are physical connections</t>
  </si>
  <si>
    <t>Show salt dissolving in water - where did it go?</t>
  </si>
  <si>
    <t>How can something disappear but still exist?</t>
  </si>
  <si>
    <t>model,combine,pattern,structure</t>
  </si>
  <si>
    <t>atom,molecule,bond,electron,compound</t>
  </si>
  <si>
    <t>Use 'because' to explain why atoms bond in patterns</t>
  </si>
  <si>
    <t>Think-Pair-Share with sentence stems</t>
  </si>
  <si>
    <t>I Do(10min)-We Do(25min)-You Do(30min)-We Share(10min)</t>
  </si>
  <si>
    <t>Thumbs up/down: Can you explain why H2O not HO?</t>
  </si>
  <si>
    <t>Partner explain: Why does carbon make 4 bonds?</t>
  </si>
  <si>
    <t>Self-assess: Draw CO2 with correct angles</t>
  </si>
  <si>
    <t>Digital molecular modeling with self-check feature</t>
  </si>
  <si>
    <t>Pre-drawn templates,word bank,formula reference</t>
  </si>
  <si>
    <t>Interactive modeling,peer checking,choice of molecules</t>
  </si>
  <si>
    <t>Research molecule in medicine/space,explain importance</t>
  </si>
  <si>
    <t>Individual then verify with partner</t>
  </si>
  <si>
    <t>Augmentation-interactive models</t>
  </si>
  <si>
    <t>3-panel: molecule/formula/explanation</t>
  </si>
  <si>
    <t>Color-coded by element,3D rotatable models</t>
  </si>
  <si>
    <t>What patterns do you notice about how atoms connect?</t>
  </si>
  <si>
    <t>Draw CH4 and explain why carbon makes 4 bonds using 'because'</t>
  </si>
  <si>
    <t>Find 3 molecules in your home - draw their structures</t>
  </si>
  <si>
    <t>5min-load molecular viewer,create element reference sheet</t>
  </si>
  <si>
    <t>Chunk by element families,use familiar molecules first</t>
  </si>
  <si>
    <t>Visual(3D models)+Written(formulas)+Physical(gestures)</t>
  </si>
  <si>
    <t>Choice of molecules,connect to interests,real applications</t>
  </si>
  <si>
    <t>Draw,write,explain verbally,create digital model</t>
  </si>
  <si>
    <t>Water/salt/sugar - cultural food connections</t>
  </si>
  <si>
    <t>Growth mindset: mistakes in models help us learn</t>
  </si>
  <si>
    <t>Content:3,Ownership:3,Data:3,Facilitation:3</t>
  </si>
  <si>
    <t>Yesterday's exit shows confusion about bonding - today we'll see WHY atoms connect</t>
  </si>
  <si>
    <t>Tue</t>
  </si>
  <si>
    <t>MS-PS2-1</t>
  </si>
  <si>
    <t>I can apply Newton's Third Law to explain collisions</t>
  </si>
  <si>
    <t>1.Identify both forces 2.Explain equal/opposite 3.Apply to new situation</t>
  </si>
  <si>
    <t>Push against wall - what do you feel?</t>
  </si>
  <si>
    <t>Only moving objects exert force; bigger object wins; reaction happens after action</t>
  </si>
  <si>
    <t>Rocket launch video - no air to push against in space</t>
  </si>
  <si>
    <t>How can a rocket move in empty space?</t>
  </si>
  <si>
    <t>apply,explain,equal,opposite</t>
  </si>
  <si>
    <t>force,action,reaction,Newton's Third Law,interaction</t>
  </si>
  <si>
    <t>Use force pairs language: 'X pushes Y, Y pushes X'</t>
  </si>
  <si>
    <t>Argument protocol with claims and evidence</t>
  </si>
  <si>
    <t>Explore(15min)-Explain(20min)-Elaborate(25min)-Evaluate(15min)</t>
  </si>
  <si>
    <t>Stand up: Show me equal/opposite with your hands</t>
  </si>
  <si>
    <t>Whiteboard: Draw force arrows for car crash</t>
  </si>
  <si>
    <t>Predict: What happens to both objects?</t>
  </si>
  <si>
    <t>Analyze collision videos in slow motion,identify force pairs</t>
  </si>
  <si>
    <t>Labeled diagrams provided,focus on one collision</t>
  </si>
  <si>
    <t>Full analysis of multiple collisions,peer review</t>
  </si>
  <si>
    <t>Design safety device using N3L principles</t>
  </si>
  <si>
    <t>Start individual,move to expert groups</t>
  </si>
  <si>
    <t>Redefinition-create collision simulation</t>
  </si>
  <si>
    <t>Split screen: before/during/after with force arrows</t>
  </si>
  <si>
    <t>Slow motion,freeze frame,arrow overlays</t>
  </si>
  <si>
    <t>Why don't you fall through your chair right now?</t>
  </si>
  <si>
    <t>Explain why you move backward when jumping forward off a boat</t>
  </si>
  <si>
    <t>Film yourself demonstrating N3L at home (optional)</t>
  </si>
  <si>
    <t>10min-queue videos,prepare force arrow templates</t>
  </si>
  <si>
    <t>Start with visible forces,build to invisible</t>
  </si>
  <si>
    <t>Video+diagrams+simulations+hands-on demos</t>
  </si>
  <si>
    <t>Relevance: sports/car safety/space exploration</t>
  </si>
  <si>
    <t>Written CER,verbal explanation,physical demonstration</t>
  </si>
  <si>
    <t>Cultural: martial arts,soccer,cultural dances use N3L</t>
  </si>
  <si>
    <t>Empathy: understanding forces helps predict safety</t>
  </si>
  <si>
    <t>Content:3,Facilitation:4,Data:3,Culture:3</t>
  </si>
  <si>
    <t>Your exit about boats connects to today's rocket question</t>
  </si>
  <si>
    <t>Wed</t>
  </si>
  <si>
    <t>I can identify patterns in molecular structures</t>
  </si>
  <si>
    <t>1.Sort molecules 2.Explain sorting rule 3.Create new example</t>
  </si>
  <si>
    <t>Name 3 things that have patterns</t>
  </si>
  <si>
    <t>All molecules are different; no patterns exist</t>
  </si>
  <si>
    <t>Display 20 molecular formulas - what do you notice?</t>
  </si>
  <si>
    <t>Which one doesn't belong and why?</t>
  </si>
  <si>
    <t>identify,sort,classify,belong</t>
  </si>
  <si>
    <t>pattern,chemical formula,subscript</t>
  </si>
  <si>
    <t>Use 'similar' and 'different' to compare molecules</t>
  </si>
  <si>
    <t>Quick Write-Pair-Share (2-2-2 protocol)</t>
  </si>
  <si>
    <t>Hook(5min)-Explore(15min)-Explain(15min)-Exit(10min)</t>
  </si>
  <si>
    <t>Fist-to-five: Confidence in seeing patterns</t>
  </si>
  <si>
    <t>Turn-and-talk: Explain your sorting rule</t>
  </si>
  <si>
    <t>Check partner's sort,agree or challenge</t>
  </si>
  <si>
    <t>Digital card sort with immediate feedback</t>
  </si>
  <si>
    <t>Given categories for sorting</t>
  </si>
  <si>
    <t>Create own categories,justify reasoning</t>
  </si>
  <si>
    <t>Find patterns in organic vs inorganic molecules</t>
  </si>
  <si>
    <t>Think individually,then compare with partner</t>
  </si>
  <si>
    <t>Substitution-digital card sort</t>
  </si>
  <si>
    <t>Grid layout: molecule image/formula/category</t>
  </si>
  <si>
    <t>Colored boxes for categories,drag and drop</t>
  </si>
  <si>
    <t>How did you decide your categories?</t>
  </si>
  <si>
    <t>Which doesn't belong: H2O,CO2,NaCl,O2? Why?</t>
  </si>
  <si>
    <t>Look for patterns in ingredient lists at home</t>
  </si>
  <si>
    <t>3min-prep digital cards,test sort function</t>
  </si>
  <si>
    <t>Limit to 8-10 molecules for sorting</t>
  </si>
  <si>
    <t>Visual grouping+color coding+written patterns</t>
  </si>
  <si>
    <t>Student choice in sorting method,gamification</t>
  </si>
  <si>
    <t>Sort physically,digitally,or create chart</t>
  </si>
  <si>
    <t>Connect to patterns in nature,art,music</t>
  </si>
  <si>
    <t>Celebrate different ways of seeing patterns</t>
  </si>
  <si>
    <t>Content:2,Culture:3,Ownership:3,Data:2</t>
  </si>
  <si>
    <t>Yesterday's molecular models - today find what's similar</t>
  </si>
  <si>
    <t>Thu</t>
  </si>
  <si>
    <t>MS-PS1-2</t>
  </si>
  <si>
    <t>I can identify evidence of chemical reactions</t>
  </si>
  <si>
    <t>1.List 5 signs 2.Classify changes 3.Design a test</t>
  </si>
  <si>
    <t>What changes have you seen in things?</t>
  </si>
  <si>
    <t>Reversible means not chemical; all changes are reactions</t>
  </si>
  <si>
    <t>Rust forming time-lapse,bread rising,glow stick activation</t>
  </si>
  <si>
    <t>What's the difference between ice melting and wood burning?</t>
  </si>
  <si>
    <t>identify,evidence,observe,classify</t>
  </si>
  <si>
    <t>chemical reaction,physical change,reversible,product,reactant</t>
  </si>
  <si>
    <t>Use observation words to describe evidence</t>
  </si>
  <si>
    <t>Claim-Evidence-Reasoning discussion format</t>
  </si>
  <si>
    <t>Investigate(20min)-Record(15min)-Analyze(20min)-Apply(20min)</t>
  </si>
  <si>
    <t>Quick poll: Is dissolving sugar chemical? Why?</t>
  </si>
  <si>
    <t>Gallery walk: Star strongest evidence</t>
  </si>
  <si>
    <t>Peer review: Check partner's classifications</t>
  </si>
  <si>
    <t>Virtual lab testing 5 unknown combinations</t>
  </si>
  <si>
    <t>Checklist provided,test 3 combinations</t>
  </si>
  <si>
    <t>Test all 5,rank by confidence</t>
  </si>
  <si>
    <t>Research enzyme reactions in digestion</t>
  </si>
  <si>
    <t>Individual investigation,pair for analysis</t>
  </si>
  <si>
    <t>Augmentation-virtual lab with sensors</t>
  </si>
  <si>
    <t>Data table with columns for each evidence type</t>
  </si>
  <si>
    <t>Photos before/after,checklist of signs</t>
  </si>
  <si>
    <t>What convinced you a reaction happened?</t>
  </si>
  <si>
    <t>Create a 5-point checklist for identifying chemical reactions</t>
  </si>
  <si>
    <t>Document one change at home - chemical or physical?</t>
  </si>
  <si>
    <t>8min-set up virtual lab,prepare data sheets</t>
  </si>
  <si>
    <t>Pre-select clear examples first</t>
  </si>
  <si>
    <t>Virtual lab+videos+written descriptions</t>
  </si>
  <si>
    <t>Student choice of reactions to test</t>
  </si>
  <si>
    <t>Record data,discuss findings,create poster</t>
  </si>
  <si>
    <t>Connect to cooking - cultural dishes that use reactions</t>
  </si>
  <si>
    <t>Persistence: not all reactions are obvious</t>
  </si>
  <si>
    <t>Content:3,Data:4,Facilitation:3,Ownership:3</t>
  </si>
  <si>
    <t>Your checklist from today helps analyze tomorrow's mystery</t>
  </si>
  <si>
    <t>Fri</t>
  </si>
  <si>
    <t>MS-PS2-2</t>
  </si>
  <si>
    <t>I can investigate how mass affects acceleration</t>
  </si>
  <si>
    <t>1.Design controlled test 2.Collect accurate data 3.State relationship</t>
  </si>
  <si>
    <t>Which is harder to push: shopping cart or car?</t>
  </si>
  <si>
    <t>Heavy things fall faster; mass doesn't matter for acceleration</t>
  </si>
  <si>
    <t>Show same push on basketball vs bowling ball</t>
  </si>
  <si>
    <t>Why do grocery carts get harder to push as you shop?</t>
  </si>
  <si>
    <t>investigate,control,variable,relationship</t>
  </si>
  <si>
    <t>mass,acceleration,force,Newton's Second Law</t>
  </si>
  <si>
    <t>Use proportional language: 'as mass increases...'</t>
  </si>
  <si>
    <t>Data discussion protocol with graph analysis</t>
  </si>
  <si>
    <t>Plan(15min)-Conduct(25min)-Analyze(20min)-Conclude(15min)</t>
  </si>
  <si>
    <t>Hand signals: Which variable are we testing?</t>
  </si>
  <si>
    <t>Check data: Does pattern make sense?</t>
  </si>
  <si>
    <t>Prediction: Double mass = ? acceleration</t>
  </si>
  <si>
    <t>PhET simulation controlling variables systematically</t>
  </si>
  <si>
    <t>Follow guided procedure,given data table</t>
  </si>
  <si>
    <t>Design own procedure,test multiple masses</t>
  </si>
  <si>
    <t>Derive mathematical relationship (inverse)</t>
  </si>
  <si>
    <t>Individual trials,combine class data</t>
  </si>
  <si>
    <t>Modification-simulation replaces physical lab</t>
  </si>
  <si>
    <t>Triple panel: Prediction/Data/Conclusion</t>
  </si>
  <si>
    <t>Data table template,graph paper ready</t>
  </si>
  <si>
    <t>Look for patterns - what's the relationship?</t>
  </si>
  <si>
    <t>If same force pushes 1kg and 2kg, predict accelerations</t>
  </si>
  <si>
    <t>Calculate mass of your backpack's effect on walking</t>
  </si>
  <si>
    <t>7min-load PhET,create shared data sheet</t>
  </si>
  <si>
    <t>Start qualitative,move to quantitative</t>
  </si>
  <si>
    <t>Simulation+data tables+real examples</t>
  </si>
  <si>
    <t>Choice in objects to test,connect to interests</t>
  </si>
  <si>
    <t>Create graph,write explanation,make video</t>
  </si>
  <si>
    <t>Sports: why different ball sizes? Cultural games</t>
  </si>
  <si>
    <t>Growth mindset: revise predictions based on data</t>
  </si>
  <si>
    <t>Content:3,Data:4,Ownership:3,Facilitation:3</t>
  </si>
  <si>
    <t>Friday's data pattern connects to Monday's energy concept</t>
  </si>
  <si>
    <t>I can design and conduct a controlled investigation</t>
  </si>
  <si>
    <t>1.Control variables 2.Multiple trials 3.Clear conclusion</t>
  </si>
  <si>
    <t>What makes an experiment 'fair'?</t>
  </si>
  <si>
    <t>One trial is enough; changing multiple variables is fine</t>
  </si>
  <si>
    <t>Mythbusters clip - identifying their controls</t>
  </si>
  <si>
    <t>How do scientists make sure their results are trustworthy?</t>
  </si>
  <si>
    <t>design,control,trial,valid</t>
  </si>
  <si>
    <t>variable,controlled experiment,systematic,data</t>
  </si>
  <si>
    <t>Use scientific method vocabulary accurately</t>
  </si>
  <si>
    <t>Scientific argumentation with peer review</t>
  </si>
  <si>
    <t>Design(20min)-Peer Review(15min)-Revise(10min)-Test(25min)-Share(5min)</t>
  </si>
  <si>
    <t>Show variables: Hold up 1,2,3 fingers</t>
  </si>
  <si>
    <t>Swap plans: Can peer follow your procedure?</t>
  </si>
  <si>
    <t>Self-check: Did I control all variables?</t>
  </si>
  <si>
    <t>Design virtual experiment in PhET simulation</t>
  </si>
  <si>
    <t>Template provided with variable hints</t>
  </si>
  <si>
    <t>Full experimental design from scratch</t>
  </si>
  <si>
    <t>Test multiple related hypotheses</t>
  </si>
  <si>
    <t>Partner design,peer review protocol</t>
  </si>
  <si>
    <t>Redefinition-students create test scenarios</t>
  </si>
  <si>
    <t>Experimental design template with sections</t>
  </si>
  <si>
    <t>Variable control chart,procedure checklist</t>
  </si>
  <si>
    <t>What could go wrong with your design?</t>
  </si>
  <si>
    <t>Write complete procedure for tomorrow's investigation</t>
  </si>
  <si>
    <t>Watch Mythbusters - identify their variables (optional)</t>
  </si>
  <si>
    <t>10min-create templates,set up peer review system</t>
  </si>
  <si>
    <t>Scaffold with familiar contexts first</t>
  </si>
  <si>
    <t>Written plan+verbal explanation+visual diagram</t>
  </si>
  <si>
    <t>Choice in phenomenon to test</t>
  </si>
  <si>
    <t>Written procedure,oral presentation,digital design</t>
  </si>
  <si>
    <t>Science in different cultures - how knowledge is verified</t>
  </si>
  <si>
    <t>Collaboration: peer review improves everyone</t>
  </si>
  <si>
    <t>Content:3,Ownership:4,Culture:3,Data:3</t>
  </si>
  <si>
    <t>Your design will be tested by classmates tomorrow</t>
  </si>
  <si>
    <t>I can analyze data to determine if reactions occurred</t>
  </si>
  <si>
    <t>1.Interpret data 2.Make claim 3.Justify with evidence</t>
  </si>
  <si>
    <t>How do you know if something changed?</t>
  </si>
  <si>
    <t>If it looks different, it's chemical</t>
  </si>
  <si>
    <t>Show 'elephant toothpaste' reaction video</t>
  </si>
  <si>
    <t>How can we prove a new substance formed?</t>
  </si>
  <si>
    <t>analyze,interpret,determine,justify</t>
  </si>
  <si>
    <t>data,evidence,chemical change,indicator</t>
  </si>
  <si>
    <t>Use 'therefore' to connect evidence to claims</t>
  </si>
  <si>
    <t>Data analysis jigsaws with expert groups</t>
  </si>
  <si>
    <t>Analyze(20min)-Expert Groups(15min)-Teaching(20min)-Synthesize(20min)</t>
  </si>
  <si>
    <t>Vote: Chemical or physical? (each example)</t>
  </si>
  <si>
    <t>Expert groups: Agreement on strongest evidence?</t>
  </si>
  <si>
    <t>Write one claim with supporting evidence</t>
  </si>
  <si>
    <t>Analyze class data from 6 mystery combinations</t>
  </si>
  <si>
    <t>Provided data interpretation guide</t>
  </si>
  <si>
    <t>Statistical analysis of class data</t>
  </si>
  <si>
    <t>Design follow-up experiments to confirm</t>
  </si>
  <si>
    <t>Expert groups by reaction type</t>
  </si>
  <si>
    <t>Augmentation-shared data spreadsheet</t>
  </si>
  <si>
    <t>CER template with evidence bank sections</t>
  </si>
  <si>
    <t>Data tables,highlighted key evidence</t>
  </si>
  <si>
    <t>Which evidence was most convincing? Why?</t>
  </si>
  <si>
    <t>Which combinations were chemical reactions? Cite evidence</t>
  </si>
  <si>
    <t>Research one reaction used in your home</t>
  </si>
  <si>
    <t>12min-compile class data,prepare expert materials</t>
  </si>
  <si>
    <t>Break complex data into chunks</t>
  </si>
  <si>
    <t>Tables+graphs+written observations</t>
  </si>
  <si>
    <t>Choice in which reactions to analyze deeply</t>
  </si>
  <si>
    <t>Written CER,data visualization,presentation</t>
  </si>
  <si>
    <t>Reactions in cooking - family recipes</t>
  </si>
  <si>
    <t>Respect different interpretations,seek consensus</t>
  </si>
  <si>
    <t>Today's analysis skills prepare for conservation concept</t>
  </si>
  <si>
    <t>MS-PS3-1</t>
  </si>
  <si>
    <t>I can describe kinetic energy patterns</t>
  </si>
  <si>
    <t>1.Read graph 2.Describe pattern 3.Make prediction</t>
  </si>
  <si>
    <t>Which has more energy: thrown or dropped ball?</t>
  </si>
  <si>
    <t>Energy and speed are the same thing</t>
  </si>
  <si>
    <t>Car crash test at different speeds video</t>
  </si>
  <si>
    <t>Why do speed limits exist on roads?</t>
  </si>
  <si>
    <t>describe,pattern,compare,predict</t>
  </si>
  <si>
    <t>kinetic energy,speed,mass,proportional</t>
  </si>
  <si>
    <t>Use comparison words for energy relationships</t>
  </si>
  <si>
    <t>Quick graph interpretation protocol</t>
  </si>
  <si>
    <t>Hook(5min)-Graph Analysis(20min)-Pattern Finding(15min)-Exit(5min)</t>
  </si>
  <si>
    <t>Thumbs: Does mass or speed matter more?</t>
  </si>
  <si>
    <t>Partner check: Explain one graph pattern</t>
  </si>
  <si>
    <t>Predict next point on graph</t>
  </si>
  <si>
    <t>Interactive graph interpretation with sliders</t>
  </si>
  <si>
    <t>Given one graph type to analyze</t>
  </si>
  <si>
    <t>Compare multiple graph types</t>
  </si>
  <si>
    <t>Create own graph from data</t>
  </si>
  <si>
    <t>Think-pair-share on patterns</t>
  </si>
  <si>
    <t>Substitution-digital graphing</t>
  </si>
  <si>
    <t>Split view: graph and real-world example</t>
  </si>
  <si>
    <t>Interactive graphs with highlighting</t>
  </si>
  <si>
    <t>What surprised you about the patterns?</t>
  </si>
  <si>
    <t>Which affects KE more: doubling mass or speed? Explain</t>
  </si>
  <si>
    <t>Find three moving things - rank their KE</t>
  </si>
  <si>
    <t>5min-prep Desmos graphs,ready examples</t>
  </si>
  <si>
    <t>Focus on one variable at a time</t>
  </si>
  <si>
    <t>Graphs+animations+real examples</t>
  </si>
  <si>
    <t>Choice in examples to analyze</t>
  </si>
  <si>
    <t>Verbal explanation,written,or drawing</t>
  </si>
  <si>
    <t>Speed limits in different countries/areas</t>
  </si>
  <si>
    <t>Safety awareness from understanding energy</t>
  </si>
  <si>
    <t>Content:3,Data:3,Facilitation:2,Culture:3</t>
  </si>
  <si>
    <t>Today's patterns help tomorrow's calculations</t>
  </si>
  <si>
    <t>MS-PS1-5</t>
  </si>
  <si>
    <t>I can model conservation of mass in reactions</t>
  </si>
  <si>
    <t>1.Balance equation 2.Draw particles 3.Explain conservation</t>
  </si>
  <si>
    <t>What does 'conserve' mean?</t>
  </si>
  <si>
    <t>Atoms disappear; mass is lost in reactions</t>
  </si>
  <si>
    <t>Burning candle in closed container demonstration</t>
  </si>
  <si>
    <t>Where does the 'lost' mass go when wood burns?</t>
  </si>
  <si>
    <t>model,conserve,balance,equal</t>
  </si>
  <si>
    <t>conservation of mass,reactant,product,balanced equation</t>
  </si>
  <si>
    <t>Use 'same number' to describe atom conservation</t>
  </si>
  <si>
    <t>Modeling protocol with peer checking</t>
  </si>
  <si>
    <t>Model(15min)-Check(10min)-Revise(10min)-Explain(25min)-Apply(15min)</t>
  </si>
  <si>
    <t>Fist-to-five: Atoms before = atoms after?</t>
  </si>
  <si>
    <t>Count check: Partner verify atom counts</t>
  </si>
  <si>
    <t>Draw your own balanced particle diagram</t>
  </si>
  <si>
    <t>Virtual balancing with particle view in PhET</t>
  </si>
  <si>
    <t>Provided particle templates</t>
  </si>
  <si>
    <t>Balance equations from scratch</t>
  </si>
  <si>
    <t>Explain why mass seems to change in open systems</t>
  </si>
  <si>
    <t>Individual then peer verification</t>
  </si>
  <si>
    <t>Modification-simulation for balancing</t>
  </si>
  <si>
    <t>Before/arrow/after particle diagram format</t>
  </si>
  <si>
    <t>Color-coded atoms,counting boxes</t>
  </si>
  <si>
    <t>Why must we account for every atom?</t>
  </si>
  <si>
    <t>Why does wood 'disappear' when burned? Draw particles</t>
  </si>
  <si>
    <t>Weigh cooking ingredients before/after (optional)</t>
  </si>
  <si>
    <t>8min-load PhET,prepare particle templates</t>
  </si>
  <si>
    <t>Start with simple 2-element reactions</t>
  </si>
  <si>
    <t>Particle models+equations+animations</t>
  </si>
  <si>
    <t>Student choice of reactions to balance</t>
  </si>
  <si>
    <t>Draw,manipulate virtual,or physical models</t>
  </si>
  <si>
    <t>Conservation in cultures - nothing wasted philosophy</t>
  </si>
  <si>
    <t>Environmental awareness - matter cycles</t>
  </si>
  <si>
    <t>Content:4,Ownership:3,Data:3,Facilitation:3</t>
  </si>
  <si>
    <t>Conservation of atoms leads to conservation of mass</t>
  </si>
  <si>
    <t>I can calculate relative kinetic energy</t>
  </si>
  <si>
    <t>1.Use mass and speed 2.Compare KE 3.Justify ranking</t>
  </si>
  <si>
    <t>Which is faster: car or airplane?</t>
  </si>
  <si>
    <t>Bigger is always more energy; speed doesn't matter much</t>
  </si>
  <si>
    <t>Olympics: different sports, different energies</t>
  </si>
  <si>
    <t>Why do different sports use different ball sizes?</t>
  </si>
  <si>
    <t>calculate,compare,rank,justify</t>
  </si>
  <si>
    <t>kinetic energy,joule,velocity squared</t>
  </si>
  <si>
    <t>Use mathematical language to justify comparisons</t>
  </si>
  <si>
    <t>Calculation challenge protocol</t>
  </si>
  <si>
    <t>Calculate(20min)-Challenge(15min)-Verify(15min)-Apply(20min)-Reflect(5min)</t>
  </si>
  <si>
    <t>Hold up fingers: Relative KE ranking</t>
  </si>
  <si>
    <t>Board work: Show your calculation method</t>
  </si>
  <si>
    <t>Self-check: Does ranking make sense?</t>
  </si>
  <si>
    <t>KE ranking challenges with immediate feedback</t>
  </si>
  <si>
    <t>Given formulas and examples</t>
  </si>
  <si>
    <t>Derive relationships mathematically</t>
  </si>
  <si>
    <t>Create own ranking challenge for class</t>
  </si>
  <si>
    <t>Individual then team challenges</t>
  </si>
  <si>
    <t>Augmentation-automatic calculation checking</t>
  </si>
  <si>
    <t>Comparison chart with solution space</t>
  </si>
  <si>
    <t>Formula reference,calculation template</t>
  </si>
  <si>
    <t>How do you decide which has more energy?</t>
  </si>
  <si>
    <t>Car at 30mph vs truck at 15mph - which has more KE? Show work</t>
  </si>
  <si>
    <t>Estimate KE of things in your home (optional)</t>
  </si>
  <si>
    <t>10min-create ranking challenges,calc templates</t>
  </si>
  <si>
    <t>Provide formula,focus on application</t>
  </si>
  <si>
    <t>Calculations+visuals+real contexts</t>
  </si>
  <si>
    <t>Choice in objects to compare</t>
  </si>
  <si>
    <t>Written work,verbal explanation,demonstration</t>
  </si>
  <si>
    <t>Sports from different cultures - energy comparisons</t>
  </si>
  <si>
    <t>Growth mindset: calculation errors are learning</t>
  </si>
  <si>
    <t>Content:3,Data:4,Ownership:3,Culture:3</t>
  </si>
  <si>
    <t>Today's calculations prepare for Monday's investigation</t>
  </si>
  <si>
    <t>I can design investigation proving conservation</t>
  </si>
  <si>
    <t>1.Clear procedure 2.Control variables 3.Valid conclusion</t>
  </si>
  <si>
    <t>How do you prove something you can't see?</t>
  </si>
  <si>
    <t>Open systems don't conserve; gases have no mass</t>
  </si>
  <si>
    <t>Challenge: Design proof for skeptical audience</t>
  </si>
  <si>
    <t>How would you convince someone atoms are conserved?</t>
  </si>
  <si>
    <t>design,prove,investigate,convince</t>
  </si>
  <si>
    <t>closed system,control,systematic error</t>
  </si>
  <si>
    <t>Use procedural language to describe steps</t>
  </si>
  <si>
    <t>Investigation design workshop</t>
  </si>
  <si>
    <t>Design(20min)-Peer Review(15min)-Revise(15min)-Test(20min)-Conclude(5min)</t>
  </si>
  <si>
    <t>Status check: Is your system truly closed?</t>
  </si>
  <si>
    <t>Peer review: Could you follow this procedure?</t>
  </si>
  <si>
    <t>Predict sources of error in design</t>
  </si>
  <si>
    <t>Design digital investigation with virtual materials</t>
  </si>
  <si>
    <t>Given procedure outline to complete</t>
  </si>
  <si>
    <t>Design from scratch with constraints</t>
  </si>
  <si>
    <t>Design for different reaction types</t>
  </si>
  <si>
    <t>Individual design,peer review</t>
  </si>
  <si>
    <t>Modification-virtual materials only</t>
  </si>
  <si>
    <t>Investigation planner with success criteria</t>
  </si>
  <si>
    <t>Virtual scale,material options,safety notes</t>
  </si>
  <si>
    <t>What assumptions are you making?</t>
  </si>
  <si>
    <t>Draw particle diagram showing conservation in your design</t>
  </si>
  <si>
    <t>Design home experiment with household items (optional)</t>
  </si>
  <si>
    <t>10min-set up virtual lab,review resources</t>
  </si>
  <si>
    <t>Scaffold complex procedures step-by-step</t>
  </si>
  <si>
    <t>Written+visual+simulation options</t>
  </si>
  <si>
    <t>Choice in reaction to investigate</t>
  </si>
  <si>
    <t>Written procedure,video plan,diagram</t>
  </si>
  <si>
    <t>Conservation practices in different cultures</t>
  </si>
  <si>
    <t>Persistence: failed attempts teach us</t>
  </si>
  <si>
    <t>Content:4,Ownership:4,Facilitation:3,Data:3</t>
  </si>
  <si>
    <t>Your design will be tested Tuesday</t>
  </si>
  <si>
    <t>MS-PS2-3</t>
  </si>
  <si>
    <t>I can ask testable questions about EM forces</t>
  </si>
  <si>
    <t>1.Identify variables 2.Write testable 3.Predict outcomes</t>
  </si>
  <si>
    <t>What questions do you have about magnets?</t>
  </si>
  <si>
    <t>Magnets work on everything; electricity and magnetism unrelated</t>
  </si>
  <si>
    <t>Van de Graaff generator demonstration</t>
  </si>
  <si>
    <t>What controls how strong a magnet or static charge is?</t>
  </si>
  <si>
    <t>ask,test,variable,investigate</t>
  </si>
  <si>
    <t>electromagnetic,field,current,static electricity</t>
  </si>
  <si>
    <t>Form questions using 'What happens if...'</t>
  </si>
  <si>
    <t>Question formulation technique (QFT)</t>
  </si>
  <si>
    <t>Explore(15min)-Question(20min)-Categorize(15min)-Prioritize(15min)-Plan(10min)</t>
  </si>
  <si>
    <t>Share one variable you could test</t>
  </si>
  <si>
    <t>Question quality: Is it testable?</t>
  </si>
  <si>
    <t>Write your top 3 testable questions</t>
  </si>
  <si>
    <t>Explore virtual stations,generate questions</t>
  </si>
  <si>
    <t>Given question stems to complete</t>
  </si>
  <si>
    <t>Generate questions for different phenomena</t>
  </si>
  <si>
    <t>Research electromagnetic applications</t>
  </si>
  <si>
    <t>Individual explore,group question generation</t>
  </si>
  <si>
    <t>Substitution-virtual explorations</t>
  </si>
  <si>
    <t>Question matrix: variable vs outcome</t>
  </si>
  <si>
    <t>Station cards,variable identification chart</t>
  </si>
  <si>
    <t>What makes a question testable?</t>
  </si>
  <si>
    <t>Write 3 testable questions about magnetic strength factors</t>
  </si>
  <si>
    <t>Test one magnet question at home (optional)</t>
  </si>
  <si>
    <t>12min-set up virtual stations,question templates</t>
  </si>
  <si>
    <t>Start with observable before abstract</t>
  </si>
  <si>
    <t>Virtual demos+written+hands-on where possible</t>
  </si>
  <si>
    <t>Choice in phenomenon to explore</t>
  </si>
  <si>
    <t>Written,verbal,or visual questions</t>
  </si>
  <si>
    <t>Electromagnets in different technologies globally</t>
  </si>
  <si>
    <t>Curiosity: questions drive discovery</t>
  </si>
  <si>
    <t>Content:3,Culture:3,Data:2,Ownership:3</t>
  </si>
  <si>
    <t>Your questions guide tomorrow's investigation</t>
  </si>
  <si>
    <t>MS-PS1-4</t>
  </si>
  <si>
    <t>I can model particle motion in states of matter</t>
  </si>
  <si>
    <t>1.Show motion 2.Show spacing 3.Explain differences</t>
  </si>
  <si>
    <t>What happens to water in freezer?</t>
  </si>
  <si>
    <t>Particles grow/shrink; cold makes things smaller</t>
  </si>
  <si>
    <t>Ice expanding breaking bottle video</t>
  </si>
  <si>
    <t>Why does ice float when most solids sink?</t>
  </si>
  <si>
    <t>model,motion,spacing,temperature</t>
  </si>
  <si>
    <t>particle,kinetic energy,state of matter,vibrate</t>
  </si>
  <si>
    <t>Use motion words: vibrate,flow,fly apart</t>
  </si>
  <si>
    <t>Quick draw and explain protocol</t>
  </si>
  <si>
    <t>Hook(5min)-Model(15min)-Compare(15min)-Explain(10min)</t>
  </si>
  <si>
    <t>Hand motions: Show particle movement</t>
  </si>
  <si>
    <t>Partner compare: Check drawings</t>
  </si>
  <si>
    <t>Draw one more state change</t>
  </si>
  <si>
    <t>Animated particle simulations in PhET</t>
  </si>
  <si>
    <t>Given particle arrangements</t>
  </si>
  <si>
    <t>Show phase transitions</t>
  </si>
  <si>
    <t>Explain unusual water properties</t>
  </si>
  <si>
    <t>Individual then compare</t>
  </si>
  <si>
    <t>Augmentation-animated models</t>
  </si>
  <si>
    <t>Three-panel: solid/liquid/gas side by side</t>
  </si>
  <si>
    <t>Motion arrows,spacing guides</t>
  </si>
  <si>
    <t>Why do particles move differently?</t>
  </si>
  <si>
    <t>Draw water particles at -10°C,20°C,110°C with motion</t>
  </si>
  <si>
    <t>Observe steam from cooking (optional)</t>
  </si>
  <si>
    <t>5min-load simulation,prep drawing templates</t>
  </si>
  <si>
    <t>Focus on motion OR spacing first</t>
  </si>
  <si>
    <t>Animation+drawing+physical movement</t>
  </si>
  <si>
    <t>Choose substance to model</t>
  </si>
  <si>
    <t>Draw,gesture,or describe verbally</t>
  </si>
  <si>
    <t>Water in different cultural contexts - tea,snow,steam</t>
  </si>
  <si>
    <t>Understanding states helps safety awareness</t>
  </si>
  <si>
    <t>Content:3,Facilitation:3,Culture:3,Data:2</t>
  </si>
  <si>
    <t>Today's particle model explains tomorrow's changes</t>
  </si>
  <si>
    <t>I can explain state changes using particles</t>
  </si>
  <si>
    <t>1.Describe before/during/after 2.Energy explanation 3.Apply to new</t>
  </si>
  <si>
    <t>What happens during melting?</t>
  </si>
  <si>
    <t>Temperature always rises; particles melt</t>
  </si>
  <si>
    <t>Melting ice temperature stays constant - why?</t>
  </si>
  <si>
    <t>Why doesn't temperature change during melting?</t>
  </si>
  <si>
    <t>explain,transition,constant,absorb</t>
  </si>
  <si>
    <t>phase change,melting point,heat of fusion,plateau</t>
  </si>
  <si>
    <t>Use 'energy breaks bonds' to explain</t>
  </si>
  <si>
    <t>Explanation building protocol</t>
  </si>
  <si>
    <t>Investigate(20min)-Explain(20min)-Model(20min)-Apply(15min)</t>
  </si>
  <si>
    <t>Consensus: Why flat line on graph?</t>
  </si>
  <si>
    <t>Check explanation: Include energy?</t>
  </si>
  <si>
    <t>Apply to different substance</t>
  </si>
  <si>
    <t>Create slideshow explaining phase changes</t>
  </si>
  <si>
    <t>Given slide templates and prompts</t>
  </si>
  <si>
    <t>Include energy calculations</t>
  </si>
  <si>
    <t>Research sublimation and deposition</t>
  </si>
  <si>
    <t>Individual slides,peer review</t>
  </si>
  <si>
    <t>Modification-digital slideshow creation</t>
  </si>
  <si>
    <t>Before/during/after template for each transition</t>
  </si>
  <si>
    <t>Particle views,energy arrows,temp graphs</t>
  </si>
  <si>
    <t>What's hardest to explain? Why?</t>
  </si>
  <si>
    <t>Why does temperature plateau during melting? Use particles and energy</t>
  </si>
  <si>
    <t>Graph ice cube melting in your freezer (optional)</t>
  </si>
  <si>
    <t>10min-prepare slideshow template,examples</t>
  </si>
  <si>
    <t>Break phase change into steps</t>
  </si>
  <si>
    <t>Graphs+animations+particle drawings</t>
  </si>
  <si>
    <t>Choose phase change to explain</t>
  </si>
  <si>
    <t>Create slides,narrate,or demonstrate</t>
  </si>
  <si>
    <t>Phase changes in cooking - cultural foods</t>
  </si>
  <si>
    <t>Patience: changes take time and energy</t>
  </si>
  <si>
    <t>Content:3,Ownership:4,Data:3,Facilitation:3</t>
  </si>
  <si>
    <t>Phase changes connect to Monday's thermal energy</t>
  </si>
  <si>
    <t>I can investigate EM force strength factors</t>
  </si>
  <si>
    <t>1.Control variables 2.Collect data 3.Find relationship</t>
  </si>
  <si>
    <t>What makes magnets stronger?</t>
  </si>
  <si>
    <t>More batteries always = stronger; size determines strength</t>
  </si>
  <si>
    <t>Electromagnet lifting paperclips - add coils</t>
  </si>
  <si>
    <t>What could make an electromagnet stronger?</t>
  </si>
  <si>
    <t>investigate,measure,relationship,factor</t>
  </si>
  <si>
    <t>variable,coils,current,core material</t>
  </si>
  <si>
    <t>Use data to support claims about relationships</t>
  </si>
  <si>
    <t>Data collection and analysis protocol</t>
  </si>
  <si>
    <t>Predict(10min)-Test(25min)-Analyze(20min)-Conclude(15min)-Apply(5min)</t>
  </si>
  <si>
    <t>Prediction check: Match data?</t>
  </si>
  <si>
    <t>Graph check: Clear relationship?</t>
  </si>
  <si>
    <t>State one relationship found</t>
  </si>
  <si>
    <t>Systematic testing of variables virtually</t>
  </si>
  <si>
    <t>Test one variable with guidance</t>
  </si>
  <si>
    <t>Test multiple variables,find interactions</t>
  </si>
  <si>
    <t>Mathematical relationship derivation</t>
  </si>
  <si>
    <t>Individual data,class compilation</t>
  </si>
  <si>
    <t>Augmentation-data collection tools</t>
  </si>
  <si>
    <t>Data table with prediction column</t>
  </si>
  <si>
    <t>Digital meters,graphing template</t>
  </si>
  <si>
    <t>Which result surprised you most?</t>
  </si>
  <si>
    <t>What's the relationship between coils and strength? Graph it</t>
  </si>
  <si>
    <t>Count magnets at home - predict strongest (optional)</t>
  </si>
  <si>
    <t>10min-set up simulation,data templates ready</t>
  </si>
  <si>
    <t>One variable at a time first</t>
  </si>
  <si>
    <t>Virtual lab+data tables+graphs</t>
  </si>
  <si>
    <t>Choose which variable to investigate</t>
  </si>
  <si>
    <t>Create data table,graph,or video results</t>
  </si>
  <si>
    <t>Electromagnets in technology - cultural examples</t>
  </si>
  <si>
    <t>Systematic thinking: change one thing at a time</t>
  </si>
  <si>
    <t>Your data about fields continues Monday</t>
  </si>
  <si>
    <t>MS-PS2-5</t>
  </si>
  <si>
    <t>I can find evidence of fields between objects</t>
  </si>
  <si>
    <t>1.Map field 2.Identify pattern 3.Explain non-contact</t>
  </si>
  <si>
    <t>Can forces act without touching?</t>
  </si>
  <si>
    <t>Fields are visible; only magnets have fields</t>
  </si>
  <si>
    <t>Iron filings around magnet time-lapse</t>
  </si>
  <si>
    <t>How do forces 'reach' through empty space?</t>
  </si>
  <si>
    <t>evidence,field,pattern,non-contact</t>
  </si>
  <si>
    <t>field lines,attraction,repulsion,invisible</t>
  </si>
  <si>
    <t>Describe fields using pattern language</t>
  </si>
  <si>
    <t>Evidence collection protocol</t>
  </si>
  <si>
    <t>Explore(15min)-Map(20min)-Pattern(20min)-Explain(15min)-Apply(5min)</t>
  </si>
  <si>
    <t>Show with hands: Field shape</t>
  </si>
  <si>
    <t>Compare maps: Similar patterns?</t>
  </si>
  <si>
    <t>Explain one non-contact force</t>
  </si>
  <si>
    <t>Virtual field mapping with multiple tools</t>
  </si>
  <si>
    <t>Given one type of field to map</t>
  </si>
  <si>
    <t>Compare all three types of fields</t>
  </si>
  <si>
    <t>Research field applications in technology</t>
  </si>
  <si>
    <t>Individual mapping,class patterns</t>
  </si>
  <si>
    <t>Modification-virtual field visualization</t>
  </si>
  <si>
    <t>Field mapping template with key</t>
  </si>
  <si>
    <t>Virtual iron filings,field line tools</t>
  </si>
  <si>
    <t>What patterns do all fields share?</t>
  </si>
  <si>
    <t>Draw the field between two magnets. Explain the pattern</t>
  </si>
  <si>
    <t>Find one example of fields at home (optional)</t>
  </si>
  <si>
    <t>10min-test field simulators,print templates</t>
  </si>
  <si>
    <t>Start with visible (iron filings) first</t>
  </si>
  <si>
    <t>Virtual tools+drawings+3D models</t>
  </si>
  <si>
    <t>Choose field type to investigate</t>
  </si>
  <si>
    <t>Draw,describe,or model with materials</t>
  </si>
  <si>
    <t>Magnetic compass - navigation in cultures</t>
  </si>
  <si>
    <t>Wonder: invisible forces surround us</t>
  </si>
  <si>
    <t>Content:3,Culture:3,Ownership:3,Data:3</t>
  </si>
  <si>
    <t>Fields explain forces at distance - review Tuesday</t>
  </si>
  <si>
    <t>MS-PS3-3</t>
  </si>
  <si>
    <t>I can design a thermal transfer device</t>
  </si>
  <si>
    <t>1.Apply concepts 2.Test design 3.Iterate based on data</t>
  </si>
  <si>
    <t>How do we keep things hot or cold?</t>
  </si>
  <si>
    <t>Thick always insulates; metal always cools</t>
  </si>
  <si>
    <t>Thermos cutaway - multiple layers</t>
  </si>
  <si>
    <t>How can we minimize heat transfer?</t>
  </si>
  <si>
    <t>design,transfer,insulate,optimize</t>
  </si>
  <si>
    <t>thermal energy,conduction,convection,radiation</t>
  </si>
  <si>
    <t>Use particle motion to explain design choices</t>
  </si>
  <si>
    <t>Engineering design protocol</t>
  </si>
  <si>
    <t>Constraints(10min)-Design(20min)-Test(15min)-Analyze(10min)-Redesign(15min)-Test(5min)</t>
  </si>
  <si>
    <t>Check: Does design address all three types?</t>
  </si>
  <si>
    <t>Peer consult: Suggest improvements</t>
  </si>
  <si>
    <t>Predict weak point in design</t>
  </si>
  <si>
    <t>Virtual design challenge with materials library</t>
  </si>
  <si>
    <t>Given materials list,basic design</t>
  </si>
  <si>
    <t>Research and choose materials</t>
  </si>
  <si>
    <t>Design for different temperature ranges</t>
  </si>
  <si>
    <t>Individual design,team testing</t>
  </si>
  <si>
    <t>Redefinition-create and test designs</t>
  </si>
  <si>
    <t>Design sheet with materials properties</t>
  </si>
  <si>
    <t>Materials database,test chamber</t>
  </si>
  <si>
    <t>Why did you choose each material?</t>
  </si>
  <si>
    <t>Explain your design choices using particle motion and transfer types</t>
  </si>
  <si>
    <t>Design better lunch box insulation (optional)</t>
  </si>
  <si>
    <t>12min-load design tool,prepare materials database</t>
  </si>
  <si>
    <t>Limit materials initially,add options</t>
  </si>
  <si>
    <t>Virtual design+data tables+real examples</t>
  </si>
  <si>
    <t>Choice in hot or cold challenge</t>
  </si>
  <si>
    <t>Draw design,write explanation,build model</t>
  </si>
  <si>
    <t>Insulation in different climates/cultures</t>
  </si>
  <si>
    <t>Iteration: designs improve through testing</t>
  </si>
  <si>
    <t>Content:3,Ownership:4,Facilitation:4,Culture:3</t>
  </si>
  <si>
    <t>Your designs prepare for heat investigation</t>
  </si>
  <si>
    <t>I can explain non-contact forces</t>
  </si>
  <si>
    <t>1.Identify force 2.Describe field 3.Give example</t>
  </si>
  <si>
    <t>How do magnets stick through paper?</t>
  </si>
  <si>
    <t>Things must touch to have force; fields are physical things</t>
  </si>
  <si>
    <t>Magnetic levitation train video</t>
  </si>
  <si>
    <t>How can things float without touching?</t>
  </si>
  <si>
    <t>explain,interact,distance,through</t>
  </si>
  <si>
    <t>non-contact force,medium,field strength</t>
  </si>
  <si>
    <t>Use 'field' to explain action at distance</t>
  </si>
  <si>
    <t>Quick explanation protocol</t>
  </si>
  <si>
    <t>Hook(5min)-Model(15min)-Explain(15min)-Apply(10min)</t>
  </si>
  <si>
    <t>Thumbs: Can forces act through walls?</t>
  </si>
  <si>
    <t>Partner: Explain one non-contact force</t>
  </si>
  <si>
    <t>Give real-world example</t>
  </si>
  <si>
    <t>Model how forces act through materials</t>
  </si>
  <si>
    <t>Given one example to explain</t>
  </si>
  <si>
    <t>Research multiple applications</t>
  </si>
  <si>
    <t>Investigate electromagnetic shielding</t>
  </si>
  <si>
    <t>Think-pair-share explanations</t>
  </si>
  <si>
    <t>Substitution-digital models</t>
  </si>
  <si>
    <t>Diagram with field lines and objects</t>
  </si>
  <si>
    <t>Field visualizations,arrow representations</t>
  </si>
  <si>
    <t>What's still confusing about fields?</t>
  </si>
  <si>
    <t>Why can magnets attract through paper but not aluminum?</t>
  </si>
  <si>
    <t>Test what blocks magnetic fields (optional)</t>
  </si>
  <si>
    <t>5min-queue videos,load field simulator</t>
  </si>
  <si>
    <t>Start with familiar examples</t>
  </si>
  <si>
    <t>Videos+simulations+diagrams</t>
  </si>
  <si>
    <t>Choose force type to explain</t>
  </si>
  <si>
    <t>Verbal,written,or demonstrated</t>
  </si>
  <si>
    <t>Maglev trains in different countries</t>
  </si>
  <si>
    <t>Physics enables amazing technology</t>
  </si>
  <si>
    <t>Content:3,Data:2,Culture:3,Ownership:2</t>
  </si>
  <si>
    <t>Non-contact forces review before tomorrow's wrap-up</t>
  </si>
  <si>
    <t>MS-PS3-4</t>
  </si>
  <si>
    <t>I can investigate heat transfer factors</t>
  </si>
  <si>
    <t>1.Design test 2.Collect data 3.Analyze patterns</t>
  </si>
  <si>
    <t>Why does metal feel colder than wood?</t>
  </si>
  <si>
    <t>Temperature and heat are the same; all materials heat equally</t>
  </si>
  <si>
    <t>Same temperature metal and wood - which feels colder?</t>
  </si>
  <si>
    <t>Why do different materials feel different temperatures?</t>
  </si>
  <si>
    <t>investigate,factor,specific heat,transfer rate</t>
  </si>
  <si>
    <t>specific heat capacity,thermal mass,equilibrium</t>
  </si>
  <si>
    <t>Use 'rate' and 'capacity' to explain differences</t>
  </si>
  <si>
    <t>Investigation protocol with controls</t>
  </si>
  <si>
    <t>Question(10min)-Design(15min)-Test(20min)-Analyze(20min)-Conclude(10min)</t>
  </si>
  <si>
    <t>Variables check: What are we testing?</t>
  </si>
  <si>
    <t>Data quality: Multiple trials?</t>
  </si>
  <si>
    <t>Predict result for new material</t>
  </si>
  <si>
    <t>Test how mass affects temperature change virtually</t>
  </si>
  <si>
    <t>Follow guided procedure</t>
  </si>
  <si>
    <t>Design multi-variable test</t>
  </si>
  <si>
    <t>Derive specific heat relationships</t>
  </si>
  <si>
    <t>Individual tests,shared data</t>
  </si>
  <si>
    <t>Augmentation-virtual calorimetry</t>
  </si>
  <si>
    <t>Data collection with prediction table</t>
  </si>
  <si>
    <t>Virtual thermometers,graphing tools</t>
  </si>
  <si>
    <t>What pattern is emerging?</t>
  </si>
  <si>
    <t>Predict: Equal heat to 100g vs 200g water - which gets hotter? Why?</t>
  </si>
  <si>
    <t>Compare heating rates of materials at home (optional)</t>
  </si>
  <si>
    <t>10min-set up virtual lab,prepare analysis tools</t>
  </si>
  <si>
    <t>Focus on one relationship at a time</t>
  </si>
  <si>
    <t>Virtual lab+data+graphs+examples</t>
  </si>
  <si>
    <t>Choose materials to test</t>
  </si>
  <si>
    <t>Create data table,graph,explanation</t>
  </si>
  <si>
    <t>Different materials in cultural cooking</t>
  </si>
  <si>
    <t>Precision in measurement improves understanding</t>
  </si>
  <si>
    <t>Today's patterns help tomorrow's review</t>
  </si>
  <si>
    <t>I can demonstrate understanding of forces/energy</t>
  </si>
  <si>
    <t>1.Connect concepts 2.Show relationships 3.Self-assess</t>
  </si>
  <si>
    <t>How are all our topics connected?</t>
  </si>
  <si>
    <t>Forces and energy are separate; no connections exist</t>
  </si>
  <si>
    <t>Rube Goldberg machine showing all concepts</t>
  </si>
  <si>
    <t>How do forces and energy work together?</t>
  </si>
  <si>
    <t>demonstrate,connect,synthesize,relate</t>
  </si>
  <si>
    <t>review all vocabulary from unit</t>
  </si>
  <si>
    <t>Use connecting words: because,therefore,which causes</t>
  </si>
  <si>
    <t>Concept mapping protocol</t>
  </si>
  <si>
    <t>Map(20min)-Gallery Walk(15min)-Revise(10min)-Self-assess(15min)-Plan(15min)</t>
  </si>
  <si>
    <t>Check-in: Place one connection</t>
  </si>
  <si>
    <t>Peer feedback: Suggest one link</t>
  </si>
  <si>
    <t>Self-rate understanding 1-10 each concept</t>
  </si>
  <si>
    <t>Create comprehensive concept map with examples</t>
  </si>
  <si>
    <t>Given concept list to connect</t>
  </si>
  <si>
    <t>Add mathematical relationships</t>
  </si>
  <si>
    <t>Create study guide for peers</t>
  </si>
  <si>
    <t>Individual map,gallery walk</t>
  </si>
  <si>
    <t>Modification-digital concept mapping</t>
  </si>
  <si>
    <t>Web layout with examples at nodes</t>
  </si>
  <si>
    <t>Digital mapping tool,rubric</t>
  </si>
  <si>
    <t>Which connection was hardest to make?</t>
  </si>
  <si>
    <t>Self-assess: Which concept needs more practice? Make study plan</t>
  </si>
  <si>
    <t>Create 5-question practice quiz (optional)</t>
  </si>
  <si>
    <t>10min-prepare mapping tool,print rubrics</t>
  </si>
  <si>
    <t>Start with paired connections</t>
  </si>
  <si>
    <t>Digital map+written+verbal explanation</t>
  </si>
  <si>
    <t>Choose focus area for deep dive</t>
  </si>
  <si>
    <t>Create map,explain verbally,teach peer</t>
  </si>
  <si>
    <t>Different force applications globally</t>
  </si>
  <si>
    <t>Reflection: identifying gaps helps growth</t>
  </si>
  <si>
    <t>Content:3,Ownership:4,Culture:4,Data:3</t>
  </si>
  <si>
    <t>Review prepares for next unit Monday</t>
  </si>
  <si>
    <t>internal_standard_id</t>
  </si>
  <si>
    <t>dok_target</t>
  </si>
  <si>
    <t>ngss_standard_uid</t>
  </si>
  <si>
    <t>ngss_standard_text</t>
  </si>
  <si>
    <t>ngss_dci_code</t>
  </si>
  <si>
    <t>ngss_dci_text</t>
  </si>
  <si>
    <t>ngss_sep_code</t>
  </si>
  <si>
    <t>ngss_sep_text</t>
  </si>
  <si>
    <t>ngss_ccc_code</t>
  </si>
  <si>
    <t>ngss_ccc_text</t>
  </si>
  <si>
    <t>student_friendly_language</t>
  </si>
  <si>
    <t>ngss_pe_spanning_units</t>
  </si>
  <si>
    <t>dci_build_context</t>
  </si>
  <si>
    <t>unit_instructional_focus</t>
  </si>
  <si>
    <t>focal_sep_elements</t>
  </si>
  <si>
    <t>focal_ccc_elements</t>
  </si>
  <si>
    <t>assessment_boundary</t>
  </si>
  <si>
    <t>anchor_phenomena</t>
  </si>
  <si>
    <t>key_academic_vocabulary</t>
  </si>
  <si>
    <t>resource_hyperlinks</t>
  </si>
  <si>
    <t>student_misconceptions</t>
  </si>
  <si>
    <t>accessibility_supports</t>
  </si>
  <si>
    <t>Unique internal ID for the standard.</t>
  </si>
  <si>
    <t>Target Depth of Knowledge (1-4).</t>
  </si>
  <si>
    <t>Official NGSS Performance Expectation code.</t>
  </si>
  <si>
    <t>Verbatim text of the NGSS Performance Expectation.</t>
  </si>
  <si>
    <t>Disciplinary Core Idea (DCI) code.</t>
  </si>
  <si>
    <t>Full text of the Disciplinary Core Idea (DCI).</t>
  </si>
  <si>
    <t>Science &amp; Engineering Practice (SEP) code.</t>
  </si>
  <si>
    <t>Full text of the Science &amp; Engineering Practice (SEP).</t>
  </si>
  <si>
    <t>Crosscutting Concept (CCC) code.</t>
  </si>
  <si>
    <t>Full text of the Crosscutting Concept (CCC).</t>
  </si>
  <si>
    <t>Student-facing 'I can...' statement for the standard.</t>
  </si>
  <si>
    <t>Curriculum units where the DCI is developed.</t>
  </si>
  <si>
    <t>How the DCI connects to prior and future learning.</t>
  </si>
  <si>
    <t>Instructional treatment of the SEP/CCC (Developed vs. Key Use).</t>
  </si>
  <si>
    <t>Specific numerical elements of the SEP.</t>
  </si>
  <si>
    <t>Specific numerical elements of the CCC.</t>
  </si>
  <si>
    <t>Clarification statement and assessment boundaries.</t>
  </si>
  <si>
    <t>Example questions framing an anchor phenomenon.</t>
  </si>
  <si>
    <t>Key Tier II and Tier III vocabulary.</t>
  </si>
  <si>
    <t>Comma-separated list of supporting online resources.</t>
  </si>
  <si>
    <t>List of common student misconceptions.</t>
  </si>
  <si>
    <t>Specific materials and scaffolds for diverse learners.</t>
  </si>
  <si>
    <t>STD-MS-LS1-1</t>
  </si>
  <si>
    <t>MS-LS1-1</t>
  </si>
  <si>
    <t>Conduct an investigation to provide evidence that living things are made of cells; either one cell or many different numbers and types of cells.</t>
  </si>
  <si>
    <t>LS1.A</t>
  </si>
  <si>
    <t>Structure and Function</t>
  </si>
  <si>
    <t>SEP3</t>
  </si>
  <si>
    <t>Planning and Carrying Out Investigations</t>
  </si>
  <si>
    <t>CCC3</t>
  </si>
  <si>
    <t>Scale, Proportion, and Quantity</t>
  </si>
  <si>
    <t>I can investigate to find evidence that all living things are made of one or more cells.</t>
  </si>
  <si>
    <t>Prior: Living things have external parts. Future: Systems of specialized cells work together. This standard introduces the microscopic scale as the basis of life.</t>
  </si>
  <si>
    <t>Developed</t>
  </si>
  <si>
    <t>2, 3</t>
  </si>
  <si>
    <t>Why does scraping my cheek and looking at it under a microscope show tiny compartments? How can a single drop of pond water contain a whole world of tiny swimming things?</t>
  </si>
  <si>
    <t>Tier II: evidence, structure, function  Tier III: Cell, organism, unicellular, multicellular, microscope</t>
  </si>
  <si>
    <r>
      <rPr>
        <rFont val="Atkinson Hyperlegible Next"/>
        <color rgb="FF1155CC"/>
        <sz val="12.0"/>
        <u/>
      </rPr>
      <t>Cells Alive!</t>
    </r>
    <r>
      <rPr>
        <rFont val="Atkinson Hyperlegible Next"/>
        <color rgb="FF434343"/>
        <sz val="12.0"/>
      </rPr>
      <t xml:space="preserve">, </t>
    </r>
    <r>
      <rPr>
        <rFont val="Atkinson Hyperlegible Next"/>
        <color rgb="FF1155CC"/>
        <sz val="12.0"/>
        <u/>
      </rPr>
      <t>Amoeba Sisters: Intro to Cells</t>
    </r>
  </si>
  <si>
    <t>Plants are not living; only animals are made of cells; all cells are the same size/shape; things that move are alive.</t>
  </si>
  <si>
    <t>Materials: Microscope, Prepared slides  Scaffolds: Lab worksheet, Sentence frames for observations, T-chart (Living vs. Non-living).</t>
  </si>
  <si>
    <t>STD-MS-LS1-2</t>
  </si>
  <si>
    <t>MS-LS1-2</t>
  </si>
  <si>
    <t>Develop and use a model to describe the function of a cell as a whole and ways parts of cells contribute to the function.</t>
  </si>
  <si>
    <t>SEP2</t>
  </si>
  <si>
    <t>Developing and Using Models</t>
  </si>
  <si>
    <t>CCC4</t>
  </si>
  <si>
    <t>Systems and System Models</t>
  </si>
  <si>
    <t>I can use a model to describe how different parts of a cell work together.</t>
  </si>
  <si>
    <t>6.6, 7.4, 8.5</t>
  </si>
  <si>
    <t>Connects the idea of cells (LS1-1) to the concept of interacting systems (LS1-3), moving from components to the whole. Prior: Organisms have parts that work together. Future: Biochemical processes within organelles.</t>
  </si>
  <si>
    <t>3, 4</t>
  </si>
  <si>
    <t>Clarification: Emphasis is on the cell functioning as a whole system and the primary functions of major cell parts, including nucleus, chloroplasts, mitochondria, cell membrane, and cell wall.
Assessment Boundary: Assessment of organelle structure/function is limited to the cell wall and cell membrane. Assessment of the function of the other organelles is limited to the function of the nucleus, chloroplasts, mitochondria, cell membrane, and cell wall for the main function of the cell as a whole.</t>
  </si>
  <si>
    <t>How can a plant cell be like a tiny factory that makes its own food? If a cell is like a city, what jobs do the different buildings (organelles) do?</t>
  </si>
  <si>
    <t>Tier II: function, system, model  Tier III: Organelle, nucleus, mitochondria, chloroplast, cell membrane, cell wall</t>
  </si>
  <si>
    <r>
      <rPr>
        <rFont val="Atkinson Hyperlegible Next"/>
        <color rgb="FF1155CC"/>
        <sz val="12.0"/>
        <u/>
      </rPr>
      <t>PhET: Cell Structure</t>
    </r>
    <r>
      <rPr>
        <rFont val="Atkinson Hyperlegible Next"/>
        <color rgb="FF434343"/>
        <sz val="12.0"/>
      </rPr>
      <t xml:space="preserve">, </t>
    </r>
    <r>
      <rPr>
        <rFont val="Atkinson Hyperlegible Next"/>
        <color rgb="FF1155CC"/>
        <sz val="12.0"/>
        <u/>
      </rPr>
      <t>HHMI BioInteractive: Cell Explorer</t>
    </r>
  </si>
  <si>
    <t>Cell wall and cell membrane are the same; plant cells have chloroplasts instead of mitochondria; cells are flat 2D objects.</t>
  </si>
  <si>
    <t>Models: 3D physical cell model, Analogy chart (cell as a city/factory)  Scaffolds: Diagram templates, Word bank for organelles.</t>
  </si>
  <si>
    <t>STD-MS-LS1-3</t>
  </si>
  <si>
    <t>MS-LS1-3</t>
  </si>
  <si>
    <t>Use argument supported by evidence for how the body is a system of interacting subsystems composed of groups of cells.</t>
  </si>
  <si>
    <t>SEP7</t>
  </si>
  <si>
    <t>Engaging in Argument from Evidence</t>
  </si>
  <si>
    <t>I can argue from evidence that the human body is a system of interacting subsystems.</t>
  </si>
  <si>
    <t>6.6, 7.3</t>
  </si>
  <si>
    <t>Builds from the cellular level (LS1-1, LS1-2) to the organismal level. Prior: Organisms have systems for different functions. Future: Detailed mechanisms of homeostasis and system interaction.</t>
  </si>
  <si>
    <t>Clarification: Emphasis is on the conceptual understanding that cells form tissues and tissues form organs specialized for particular body functions. Examples could include the interaction of subsystems within a system and the normal functioning of those systems.  Assessment Boundary: Assessment does not include the mechanism of one body system independent of others. Assessment is limited to the circulatory, excretory, digestive, respiratory, muscular, and nervous systems.</t>
  </si>
  <si>
    <t>Why does my heart beat faster when I run? How does eating a sandwich give my legs the energy to kick a soccer ball?</t>
  </si>
  <si>
    <t>Tier II: system, interaction, evidence, argument  Tier III: Tissue, organ, organ system, subsystem, circulatory, respiratory, digestive</t>
  </si>
  <si>
    <r>
      <rPr>
        <rFont val="Atkinson Hyperlegible Next"/>
        <color rgb="FF1155CC"/>
        <sz val="12.0"/>
        <u/>
      </rPr>
      <t>KidsHealth: How the Body Works</t>
    </r>
    <r>
      <rPr>
        <rFont val="Atkinson Hyperlegible Next"/>
        <color rgb="FF434343"/>
        <sz val="12.0"/>
      </rPr>
      <t xml:space="preserve">, </t>
    </r>
    <r>
      <rPr>
        <rFont val="Atkinson Hyperlegible Next"/>
        <color rgb="FF1155CC"/>
        <sz val="12.0"/>
        <u/>
      </rPr>
      <t>Amoeba Sisters: Human Body Systems</t>
    </r>
  </si>
  <si>
    <t>Organs work independently (e.g., the stomach digests food alone); body systems are separate and do not interact.</t>
  </si>
  <si>
    <t>Scaffolds: Graphic organizer for body systems, CER (Claim, Evidence, Reasoning) template  Activities: Evidence sorting activity, Concept mapping.</t>
  </si>
  <si>
    <t>STD-MS-LS1-4</t>
  </si>
  <si>
    <t>MS-LS1-4</t>
  </si>
  <si>
    <t>Use argument to support an explanation for how characteristic animal behaviors and specialized plant structures affect the probability of successful reproduction of animals and plants respectively.</t>
  </si>
  <si>
    <t>LS1.B</t>
  </si>
  <si>
    <t>Growth and Development of Organisms</t>
  </si>
  <si>
    <t>SEP6</t>
  </si>
  <si>
    <t>Constructing Explanations and Designing Solutions</t>
  </si>
  <si>
    <t>CCC2</t>
  </si>
  <si>
    <t>Cause and Effect</t>
  </si>
  <si>
    <t>I can argue how animal behaviors and plant structures help them reproduce successfully.</t>
  </si>
  <si>
    <t>Prior: Organisms have life cycles; plants depend on animals for pollination. Future: Genetic basis for traits and behaviors; coevolution.</t>
  </si>
  <si>
    <t>Clarification: Examples of behaviors that affect the probability of animal reproduction could include nest building to protect young from cold, herding of animals to protect young from predators, and vocalizations and colorful plumage to attract mates for breeding. Examples of plant structures could include bright flowers attracting butterflies that transfer pollen, flower nectar and odors that attract insects that transfer pollen, and hard shells on nuts that squirrels bury.</t>
  </si>
  <si>
    <t>Why do birds sing in the spring? Why are flowers so colorful and smell so sweet?</t>
  </si>
  <si>
    <t>Tier II: probability, behavior, structure, trait  Tier III: Reproduction, pollination, fertilization, courtship</t>
  </si>
  <si>
    <r>
      <rPr>
        <rFont val="Atkinson Hyperlegible Next"/>
        <color rgb="FF1155CC"/>
        <sz val="12.0"/>
        <u/>
      </rPr>
      <t>National Geographic: Animal Courtship</t>
    </r>
    <r>
      <rPr>
        <rFont val="Atkinson Hyperlegible Next"/>
        <color rgb="FF434343"/>
        <sz val="12.0"/>
      </rPr>
      <t xml:space="preserve">, </t>
    </r>
    <r>
      <rPr>
        <rFont val="Atkinson Hyperlegible Next"/>
        <color rgb="FF1155CC"/>
        <sz val="12.0"/>
        <u/>
      </rPr>
      <t>PBS: The Reason for Flowers</t>
    </r>
  </si>
  <si>
    <t>Reproduction is only about mating; plants are passive and don't have reproductive strategies; all animal behaviors are learned, not innate.</t>
  </si>
  <si>
    <t>Media: Videos of animal courtship, Time-lapse of flower blooming  Scaffolds: Plant structure diagrams, Debate prep worksheet, T-chart (Plant vs. Animal strategies).</t>
  </si>
  <si>
    <t>STD-MS-LS1-5</t>
  </si>
  <si>
    <t>MS-LS1-5</t>
  </si>
  <si>
    <t>Construct a scientific explanation based on evidence for how environmental and genetic factors influence the growth of organisms.</t>
  </si>
  <si>
    <t>I can explain how genes and the environment affect how organisms grow.</t>
  </si>
  <si>
    <t>Prior: Organisms are influenced by their environment. Future: Genetic mechanisms (meiosis, protein synthesis) and gene regulation.</t>
  </si>
  <si>
    <t>1, 3</t>
  </si>
  <si>
    <t>Clarification: Examples of local environmental conditions could include availability of food, light, space, and water. Examples of genetic factors could include large breed cattle and species of grass affecting growth of organisms. Examples of evidence could include drought decreasing plant growth, fertilizer increasing plant growth, different varieties of plant seeds growing at different rates in different conditions, and fish growing larger in large ponds than they do in small ponds.  Assessment Boundary: Assessment does not include genetic mechanisms, gene regulation, or biochemical processes.</t>
  </si>
  <si>
    <t>Why are the identical twins who live in different cities slightly different heights? Why do the plants on the sunny windowsill grow taller than the same plants in a shady corner?</t>
  </si>
  <si>
    <t>Tier II: influence, growth, evidence, explanation  Tier III: Genetic factor, environmental factor, organism</t>
  </si>
  <si>
    <r>
      <rPr>
        <rFont val="Atkinson Hyperlegible Next"/>
        <color rgb="FF1155CC"/>
        <sz val="12.0"/>
        <u/>
      </rPr>
      <t>Learn.Genetics: Nature vs. Nurture</t>
    </r>
    <r>
      <rPr>
        <rFont val="Atkinson Hyperlegible Next"/>
        <color rgb="FF434343"/>
        <sz val="12.0"/>
      </rPr>
      <t xml:space="preserve">, </t>
    </r>
    <r>
      <rPr>
        <rFont val="Atkinson Hyperlegible Next"/>
        <color rgb="FF1155CC"/>
        <sz val="12.0"/>
        <u/>
      </rPr>
      <t>Mystery Science: Do Genes Determine Everything?</t>
    </r>
  </si>
  <si>
    <t>An organism's traits are determined only by genes (genetic determinism) or only by the environment.</t>
  </si>
  <si>
    <t>Data: Curated data sets on plant growth, Twin studies infographics  Scaffolds: CER template, Venn diagram (Genetic vs. Environmental factors).</t>
  </si>
  <si>
    <t>STD-MS-LS1-6</t>
  </si>
  <si>
    <t>MS-LS1-6</t>
  </si>
  <si>
    <t>Construct a scientific explanation based on evidence for the role of photosynthesis in the cycling of matter and flow of energy into and out of organisms.</t>
  </si>
  <si>
    <t>LS1.C</t>
  </si>
  <si>
    <t>Organization for Matter and Energy Flow in Organisms</t>
  </si>
  <si>
    <t>CCC5</t>
  </si>
  <si>
    <t>Energy and Matter</t>
  </si>
  <si>
    <t>I can explain how photosynthesis helps move energy and matter through an ecosystem.</t>
  </si>
  <si>
    <t>Prior: Plants need sunlight and water to live. Future: The specific chemical equations and biochemical pathways of photosynthesis and cellular respiration.</t>
  </si>
  <si>
    <t>1, 2</t>
  </si>
  <si>
    <t>Clarification: Emphasis is on tracing the flow of matter and energy.  Assessment Boundary: Assessment is limited to the inputs and outputs of photosynthesis and does not include the specific biochemical steps.</t>
  </si>
  <si>
    <t>How does a giant redwood tree grow from a tiny seed, and where does all its mass come from? Why do astronauts worry about having enough oxygen on long space missions, and what do plants have to do with it?</t>
  </si>
  <si>
    <t>Tier II: cycling, flow, input, output  Tier III: Photosynthesis, matter, energy, carbon dioxide, oxygen, glucose, chloroplast</t>
  </si>
  <si>
    <r>
      <rPr>
        <rFont val="Atkinson Hyperlegible Next"/>
        <color rgb="FF1155CC"/>
        <sz val="12.0"/>
        <u/>
      </rPr>
      <t>PhET: Photosynthesis</t>
    </r>
    <r>
      <rPr>
        <rFont val="Atkinson Hyperlegible Next"/>
        <color rgb="FF434343"/>
        <sz val="12.0"/>
      </rPr>
      <t xml:space="preserve">, </t>
    </r>
    <r>
      <rPr>
        <rFont val="Atkinson Hyperlegible Next"/>
        <color rgb="FF1155CC"/>
        <sz val="12.0"/>
        <u/>
      </rPr>
      <t>Bozeman Science: Photosynthesis and Respiration</t>
    </r>
  </si>
  <si>
    <t>Plants get their food from the soil; photosynthesis is just "plant breathing"; energy and matter are the same thing.</t>
  </si>
  <si>
    <t>Visuals: Photosynthesis diagram, Labeled key vocabulary list  Scaffolds: Flowchart template (tracing matter and energy), "Inputs/Outputs" T-chart.</t>
  </si>
  <si>
    <t>STD-MS-LS1-7</t>
  </si>
  <si>
    <t>MS-LS1-7</t>
  </si>
  <si>
    <t>Develop a model to describe how food is rearranged through chemical reactions forming new molecules that support growth and/or release energy as this matter moves through an organism.</t>
  </si>
  <si>
    <t>I can model how food is broken down and rearranged to release energy for growth.</t>
  </si>
  <si>
    <t>Connects digestion to cellular processes. Prior: Organisms need food for energy. Future: Detailed biochemistry of cellular respiration (e.g., ATP, Krebs cycle).</t>
  </si>
  <si>
    <t>Clarification: Emphasis is on describing that molecules are broken apart and rearranged into new molecules, and that this process releases energy.  Assessment Boundary: Assessment does not include details of the chemical reactions for photosynthesis or respiration.</t>
  </si>
  <si>
    <t>How does eating a piece of bread give me the energy to run? What happens to the atoms in a sugar molecule when my body uses it for fuel?</t>
  </si>
  <si>
    <t>Tier II: rearrange, release, support, conservation  Tier III: Chemical reaction, molecule, atom, cellular respiration, energy, matter</t>
  </si>
  <si>
    <r>
      <rPr>
        <rFont val="Atkinson Hyperlegible Next"/>
        <color rgb="FF1155CC"/>
        <sz val="12.0"/>
        <u/>
      </rPr>
      <t>Amoeba Sisters: Cellular Respiration</t>
    </r>
    <r>
      <rPr>
        <rFont val="Atkinson Hyperlegible Next"/>
        <color rgb="FF434343"/>
        <sz val="12.0"/>
      </rPr>
      <t xml:space="preserve">, </t>
    </r>
    <r>
      <rPr>
        <rFont val="Atkinson Hyperlegible Next"/>
        <color rgb="FF1155CC"/>
        <sz val="12.0"/>
        <u/>
      </rPr>
      <t>HHMI BioInteractive: The Carbon Cycle</t>
    </r>
  </si>
  <si>
    <t>Digestion, not cellular respiration, releases energy; energy is "used up" or destroyed; atoms are destroyed during reactions.</t>
  </si>
  <si>
    <t>Models: Molecular model kits (to build and break apart molecules)  Visuals: Digestive system diagram, Energy flow chart.</t>
  </si>
  <si>
    <t>STD-MS-LS1-8</t>
  </si>
  <si>
    <t>MS-LS1-8</t>
  </si>
  <si>
    <t>Gather and synthesize information that sensory receptors respond to stimuli by sending messages to the brain for immediate behavior or storage as memories.</t>
  </si>
  <si>
    <t>LS1.D</t>
  </si>
  <si>
    <t>Information Processing</t>
  </si>
  <si>
    <t>SEP8</t>
  </si>
  <si>
    <t>Obtaining, Evaluating, and Communicating Information</t>
  </si>
  <si>
    <t>I can find and combine information to show how senses send messages to the brain.</t>
  </si>
  <si>
    <t>Prior: The five senses. Future: Detailed neurobiology, including action potentials and neurotransmitters.</t>
  </si>
  <si>
    <t>Key Use</t>
  </si>
  <si>
    <t>Clarification: Emphasis is on the idea that sensory receptors respond to stimuli by sending messages to the brain for immediate behavior or storage as memories.  Assessment Boundary: Assessment does not include mechanisms for memory storage.</t>
  </si>
  <si>
    <t>Why do you pull your hand away from a hot stove before you even feel the pain? How does the smell of cookies baking make you feel hungry and happy at the same time?</t>
  </si>
  <si>
    <t>Tier II: respond, message, immediate, behavior  Tier III: Sensory receptor, stimulus (stimuli), neuron, nerve impulse, brain, memory</t>
  </si>
  <si>
    <r>
      <rPr>
        <rFont val="Atkinson Hyperlegible Next"/>
        <color rgb="FF1155CC"/>
        <sz val="12.0"/>
        <u/>
      </rPr>
      <t>Neuroscience for Kids</t>
    </r>
    <r>
      <rPr>
        <rFont val="Atkinson Hyperlegible Next"/>
        <color rgb="FF434343"/>
        <sz val="12.0"/>
      </rPr>
      <t xml:space="preserve">, </t>
    </r>
    <r>
      <rPr>
        <rFont val="Atkinson Hyperlegible Next"/>
        <color rgb="FF1155CC"/>
        <sz val="12.0"/>
        <u/>
      </rPr>
      <t>Amoeba Sisters: The Nervous System</t>
    </r>
  </si>
  <si>
    <t>The brain is the only part of the nervous system; messages to the brain travel instantly; reflexes are conscious decisions.</t>
  </si>
  <si>
    <t>Media: Videos on nervous system function  Scaffolds: Graphic organizer for the five senses, Research guide, Flowchart (Stimulus -&gt; Receptor -&gt; Brain -&gt; Response).</t>
  </si>
  <si>
    <t>STD-MS-LS2-1</t>
  </si>
  <si>
    <t>MS-LS2-1</t>
  </si>
  <si>
    <t>Analyze and interpret data to provide evidence for the effects of resource availability on organisms and populations of organisms in an ecosystem.</t>
  </si>
  <si>
    <t>LS2.A</t>
  </si>
  <si>
    <t>Interdependent Relationships in Ecosystems</t>
  </si>
  <si>
    <t>SEP4</t>
  </si>
  <si>
    <t>Analyzing and Interpreting Data</t>
  </si>
  <si>
    <t>I can analyze data to show how the amount of resources affects living things in an ecosystem.</t>
  </si>
  <si>
    <t>Prior: Organisms need resources from their environment. Future: Population dynamics modeling, carrying capacity calculations, and human impacts on resource availability.</t>
  </si>
  <si>
    <t>4</t>
  </si>
  <si>
    <t>Clarification: Emphasis is on cause and effect relationships between resources and growth of individual organisms and the numbers of organisms in ecosystems during periods of abundant and scarce resources.</t>
  </si>
  <si>
    <t>What happens to the number of rabbits in a forest if a disease kills most of the grass? Why are there so many more squirrels in the park this year than last year?</t>
  </si>
  <si>
    <t>Tier II: availability, effect, population, analyze, interpret  Tier III: Ecosystem, resource, organism, competition, carrying capacity</t>
  </si>
  <si>
    <r>
      <rPr>
        <rFont val="Atkinson Hyperlegible Next"/>
        <color rgb="FF1155CC"/>
        <sz val="12.0"/>
        <u/>
      </rPr>
      <t>PhET: Natural Selection</t>
    </r>
    <r>
      <rPr>
        <rFont val="Atkinson Hyperlegible Next"/>
        <color rgb="FF434343"/>
        <sz val="12.0"/>
      </rPr>
      <t xml:space="preserve">, </t>
    </r>
    <r>
      <rPr>
        <rFont val="Atkinson Hyperlegible Next"/>
        <color rgb="FF1155CC"/>
        <sz val="12.0"/>
        <u/>
      </rPr>
      <t>HHMI Data Point: Wolf and Moose Populations</t>
    </r>
  </si>
  <si>
    <t>Organisms can grow indefinitely; ecosystems have unlimited resources; competition only occurs between different species.</t>
  </si>
  <si>
    <t>Data: Population graphs (e.g., predator-prey), Simulated ecosystem data  Scaffolds: Data analysis worksheet, "Cause/Effect" graphic organizer.</t>
  </si>
  <si>
    <t>STD-MS-LS2-2</t>
  </si>
  <si>
    <t>MS-LS2-2</t>
  </si>
  <si>
    <t>Construct an explanation that predicts patterns of interactions among organisms across multiple ecosystems.</t>
  </si>
  <si>
    <t>CCC1</t>
  </si>
  <si>
    <t>Patterns</t>
  </si>
  <si>
    <t>I can explain and predict patterns of interactions (like competition, predation) in ecosystems.</t>
  </si>
  <si>
    <t>Prior: Organisms live in different environments. Future: Coevolutionary relationships, niche partitioning, and complex symbiotic interactions.</t>
  </si>
  <si>
    <t>Clarification: Emphasis is on predicting consistent patterns of interactions in different ecosystems in terms of the relationships among and between organisms and abiotic components of ecosystems. Examples of types of interactions could include competitive, predatory, and mutually beneficial.</t>
  </si>
  <si>
    <t>Why do you see squirrels chasing each other away from a bird feeder? How can a tiny clownfish live safely among the stinging tentacles of a sea anemone?</t>
  </si>
  <si>
    <t>Tier II: predict, pattern, interaction  Tier III: Predation, competition, mutualism, symbiosis, ecosystem, abiotic, biotic</t>
  </si>
  <si>
    <r>
      <rPr>
        <rFont val="Atkinson Hyperlegible Next"/>
        <color rgb="FF1155CC"/>
        <sz val="12.0"/>
        <u/>
      </rPr>
      <t>National Geographic: Symbiosis</t>
    </r>
    <r>
      <rPr>
        <rFont val="Atkinson Hyperlegible Next"/>
        <color rgb="FF434343"/>
        <sz val="12.0"/>
      </rPr>
      <t xml:space="preserve">, </t>
    </r>
    <r>
      <rPr>
        <rFont val="Atkinson Hyperlegible Next"/>
        <color rgb="FF1155CC"/>
        <sz val="12.0"/>
        <u/>
      </rPr>
      <t>Crash Course Kids: Food Webs</t>
    </r>
  </si>
  <si>
    <t>All interactions are predatory; "survival of the fittest" means only the strongest survive; symbiotic relationships are rare.</t>
  </si>
  <si>
    <t>Visuals: Food web diagrams  Activities: Interaction cards (for sorting symbiotic relationships), CER template for predictions.</t>
  </si>
  <si>
    <t>STD-MS-LS2-3</t>
  </si>
  <si>
    <t>MS-LS2-3</t>
  </si>
  <si>
    <t>Develop a model to describe the cycling of matter and flow of energy among living and nonliving parts of an ecosystem.</t>
  </si>
  <si>
    <t>LS2.B</t>
  </si>
  <si>
    <t>Cycle of Matter and Energy Transfer in Ecosystems</t>
  </si>
  <si>
    <t>I can model how matter cycles and energy flows through an ecosystem.</t>
  </si>
  <si>
    <t>Prior: Food chains show how energy moves. Future: Biogeochemical cycles (nitrogen, phosphorus) and thermodynamic principles (10% rule).</t>
  </si>
  <si>
    <t>Clarification: Emphasis is on describing the conservation of matter and flow of energy into and out of various ecosystems, and on defining the boundaries of the system.  Assessment Boundary: Assessment does not include the use of chemical reactions to describe the processes.</t>
  </si>
  <si>
    <t>Where does the water in a puddle go on a hot day, and how does it get back into the clouds? When a tree falls in the forest and decomposes, where do all of its atoms go?</t>
  </si>
  <si>
    <t>Tier II: cycle, flow, transfer, conservation  Tier III: Producer, consumer, decomposer, energy pyramid, matter cycle, food web</t>
  </si>
  <si>
    <r>
      <rPr>
        <rFont val="Atkinson Hyperlegible Next"/>
        <color rgb="FF1155CC"/>
        <sz val="12.0"/>
        <u/>
      </rPr>
      <t>PhET: Food Chain</t>
    </r>
    <r>
      <rPr>
        <rFont val="Atkinson Hyperlegible Next"/>
        <color rgb="FF434343"/>
        <sz val="12.0"/>
      </rPr>
      <t xml:space="preserve">, </t>
    </r>
    <r>
      <rPr>
        <rFont val="Atkinson Hyperlegible Next"/>
        <color rgb="FF1155CC"/>
        <sz val="12.0"/>
        <u/>
      </rPr>
      <t>NASA Climate Kids: Carbon Cycle</t>
    </r>
  </si>
  <si>
    <t>Energy is recycled like matter; decomposers are bad for an ecosystem; producers create energy from nothing.</t>
  </si>
  <si>
    <t>Models: Energy pyramid model  Scaffolds: Diagram templates (carbon, water cycle), Flowchart creation tools.</t>
  </si>
  <si>
    <t>STD-MS-LS2-4</t>
  </si>
  <si>
    <t>MS-LS2-4</t>
  </si>
  <si>
    <t>Construct an argument supported by empirical evidence that changes to physical or biological components of an ecosystem affect populations.</t>
  </si>
  <si>
    <t>LS2.C</t>
  </si>
  <si>
    <t>Ecosystem Dynamics, Functioning, and Resilience</t>
  </si>
  <si>
    <t xml:space="preserve">CCC7 </t>
  </si>
  <si>
    <t>Stability and Change</t>
  </si>
  <si>
    <t>I can argue from evidence how changes in an ecosystem affect the populations within it.</t>
  </si>
  <si>
    <t>Prior: Changes to a habitat can harm the organisms there. Future: Quantitative analysis of population dynamics, ecosystem resilience, and tipping points.</t>
  </si>
  <si>
    <t>Clarification: Examples of changes in ecosystem components could include modest biological or physical changes, such as the addition of a new species or erosion of soil.  Assessment Boundary: Assessment does not include quantitative analysis of changes in populations.</t>
  </si>
  <si>
    <t>What happened to the other animals in Yellowstone Park after wolves were brought back? If a factory pollutes a river, how does that affect the fish and the birds that eat the fish?</t>
  </si>
  <si>
    <t>Tier II: component, affect, population, argument  Tier III: Ecosystem dynamics, resilience, stability, change, empirical evidence</t>
  </si>
  <si>
    <r>
      <rPr>
        <rFont val="Atkinson Hyperlegible Next"/>
        <color rgb="FF1155CC"/>
        <sz val="12.0"/>
        <u/>
      </rPr>
      <t>HHMI: Trophic Cascade</t>
    </r>
    <r>
      <rPr>
        <rFont val="Atkinson Hyperlegible Next"/>
        <color rgb="FF434343"/>
        <sz val="12.0"/>
      </rPr>
      <t xml:space="preserve">, </t>
    </r>
    <r>
      <rPr>
        <rFont val="Atkinson Hyperlegible Next"/>
        <color rgb="FF1155CC"/>
        <sz val="12.0"/>
        <u/>
      </rPr>
      <t>Nat Geo: Invasive Species</t>
    </r>
  </si>
  <si>
    <t>Ecosystems are static and unchanging; removing one species has no effect on others; all changes to ecosystems are bad.</t>
  </si>
  <si>
    <t>Case Studies: Real-world examples of ecosystem change (e.g., Yellowstone wolves)  Data: "Before/After" data sets  Scaffolds: Debate structure guide.</t>
  </si>
  <si>
    <t>STD-MS-LS2-5</t>
  </si>
  <si>
    <t>MS-LS2-5</t>
  </si>
  <si>
    <t>Evaluate competing design solutions for maintaining biodiversity and ecosystem services.</t>
  </si>
  <si>
    <t>I can evaluate different solutions for protecting biodiversity and ecosystems.</t>
  </si>
  <si>
    <t>Prior: Humans can help or harm the environment. Future: Economic and policy analysis of environmental solutions, sustainable development goals.</t>
  </si>
  <si>
    <t>Clarification: Emphasis is on evaluating solutions. Examples of ecosystem services could include water purification, nutrient recycling, and prevention of soil erosion.  Assessment Boundary: Assessment is limited to a single ecosystem.</t>
  </si>
  <si>
    <t>A local wetland is going to be drained to build a shopping mall. What are the different ways we could protect the birds and animals that live there, and which way is best?</t>
  </si>
  <si>
    <t>Tier II: evaluate, solution, maintain, criteria, constraints  Tier III: Biodiversity, ecosystem services, design solution, trade-offs</t>
  </si>
  <si>
    <r>
      <rPr>
        <rFont val="Atkinson Hyperlegible Next"/>
        <color rgb="FF1155CC"/>
        <sz val="12.0"/>
        <u/>
      </rPr>
      <t>WWF: What is Biodiversity?</t>
    </r>
    <r>
      <rPr>
        <rFont val="Atkinson Hyperlegible Next"/>
        <color rgb="FF434343"/>
        <sz val="12.0"/>
      </rPr>
      <t xml:space="preserve">, </t>
    </r>
    <r>
      <rPr>
        <rFont val="Atkinson Hyperlegible Next"/>
        <color rgb="FF1155CC"/>
        <sz val="12.0"/>
        <u/>
      </rPr>
      <t>The Nature Conservancy: Ecosystem Services</t>
    </r>
  </si>
  <si>
    <t>There is always one "perfect" solution with no downsides; human needs always outweigh environmental needs; biodiversity isn't important.</t>
  </si>
  <si>
    <t>Scaffolds: Design solution proposals, Pros/Cons T-chart, Rubric for evaluation, Decision matrix.</t>
  </si>
  <si>
    <t>STD-MS-LS3-1</t>
  </si>
  <si>
    <t>MS-LS3-1</t>
  </si>
  <si>
    <t>Develop and use a model to describe why structural changes to genes (mutations) located on chromosomes may affect proteins and may result in harmful, beneficial, or neutral effects to the structure and function of the organism.</t>
  </si>
  <si>
    <t>LS3.A</t>
  </si>
  <si>
    <t>Inheritance of Traits</t>
  </si>
  <si>
    <t>CCC6</t>
  </si>
  <si>
    <t>I can model how gene mutations can change proteins and affect an organism.</t>
  </si>
  <si>
    <t>Prior: Organisms have traits. Future: Molecular genetics, including the mechanisms of transcription, translation, and different types of mutations (point, frameshift, etc.).</t>
  </si>
  <si>
    <t>2, 4</t>
  </si>
  <si>
    <t>Clarification: Emphasis is on using models (e.g., Punnett squares, diagrams, and simulations) to describe the cause and effect relationship of gene mutations.  Assessment Boundary: Assessment does not include specific changes at the molecular level, mechanisms for protein synthesis, or specific types of mutations.</t>
  </si>
  <si>
    <t>How can a single tiny change in DNA cause a person to have sickle cell anemia? Why are some mutations helpful, like bacteria that become resistant to antibiotics?</t>
  </si>
  <si>
    <t>Tier II: affect, structure, function, effect  Tier III: Gene, mutation, chromosome, protein, trait, variation, beneficial, harmful, neutral</t>
  </si>
  <si>
    <r>
      <rPr>
        <rFont val="Atkinson Hyperlegible Next"/>
        <color rgb="FF1155CC"/>
        <sz val="12.0"/>
        <u/>
      </rPr>
      <t>Learn.Genetics: What is a Mutation?</t>
    </r>
    <r>
      <rPr>
        <rFont val="Atkinson Hyperlegible Next"/>
        <color rgb="FF434343"/>
        <sz val="12.0"/>
      </rPr>
      <t xml:space="preserve">, </t>
    </r>
    <r>
      <rPr>
        <rFont val="Atkinson Hyperlegible Next"/>
        <color rgb="FF1155CC"/>
        <sz val="12.0"/>
        <u/>
      </rPr>
      <t>Amoeba Sisters: Mutations</t>
    </r>
  </si>
  <si>
    <t>All mutations are harmful; mutations are always big, noticeable changes; organisms can choose to mutate to adapt.</t>
  </si>
  <si>
    <t>Models: DNA model kits, Protein synthesis diagrams  Case Studies: Examples of harmful, helpful, and neutral mutations  Scaffolds: Cause/Effect graphic organizer.</t>
  </si>
  <si>
    <t>STD-MS-LS3-2</t>
  </si>
  <si>
    <t>MS-LS3-2</t>
  </si>
  <si>
    <t>Develop and use a model to describe why asexual reproduction results in offspring with identical genetic information and sexual reproduction results in offspring with genetic variation.</t>
  </si>
  <si>
    <t>LS3.B</t>
  </si>
  <si>
    <t>Variation of Traits</t>
  </si>
  <si>
    <t>I can model why sexual reproduction creates genetic variation and asexual reproduction does not.</t>
  </si>
  <si>
    <t>Prior: Offspring are similar to their parents. Future: Meiosis, crossing over, independent assortment, and Punnett squares for dihybrid crosses.</t>
  </si>
  <si>
    <t>Clarification: Emphasis is on using models such as Punnett squares and diagrams to describe the cause and effect relationship of gene transmission from parent(s) to offspring and resulting genetic variation.  Assessment Boundary: N/A</t>
  </si>
  <si>
    <t>Why do children look like a mix of their parents, instead of exactly like one of them? How can a bacteria colony be made of millions of identical cells?</t>
  </si>
  <si>
    <t>Tier II: result, information, variation  Tier III: Sexual reproduction, asexual reproduction, genetic variation, offspring, heredity, Punnett square</t>
  </si>
  <si>
    <r>
      <rPr>
        <rFont val="Atkinson Hyperlegible Next"/>
        <color rgb="FF1155CC"/>
        <sz val="12.0"/>
        <u/>
      </rPr>
      <t>Learn.Genetics: Asexual vs. Sexual Reproduction</t>
    </r>
    <r>
      <rPr>
        <rFont val="Atkinson Hyperlegible Next"/>
        <color rgb="FF434343"/>
        <sz val="12.0"/>
      </rPr>
      <t xml:space="preserve">, </t>
    </r>
    <r>
      <rPr>
        <rFont val="Atkinson Hyperlegible Next"/>
        <color rgb="FF1155CC"/>
        <sz val="12.0"/>
        <u/>
      </rPr>
      <t>Amoeba Sisters: Punnett Squares</t>
    </r>
  </si>
  <si>
    <t>Asexual reproduction is "worse" than sexual; offspring inherit traits from only one parent; dominant traits are always more common.</t>
  </si>
  <si>
    <t>Activities: Punnett square practice, Coin flip simulation for heredity  Scaffolds: Venn diagram (Asexual vs. Sexual reproduction).</t>
  </si>
  <si>
    <t>STD-MS-LS4-1</t>
  </si>
  <si>
    <t>MS-LS4-1</t>
  </si>
  <si>
    <t>Analyze and interpret data for patterns in the fossil record that document the existence, diversity, extinction, and change of life forms throughout the history of life on Earth under the assumption that natural laws operate today as in the past.</t>
  </si>
  <si>
    <t>LS4.A</t>
  </si>
  <si>
    <t>Evidence of Common Ancestry and Diversity</t>
  </si>
  <si>
    <t>I can analyze data from the fossil record to see patterns of life's history on Earth.</t>
  </si>
  <si>
    <t>Prior: Some animals that lived long ago are now extinct. Future: Radiometric dating, cladistics, and phylogenetic trees.</t>
  </si>
  <si>
    <t>Clarification: Emphasis is on analyzing data from the fossil record to provide evidence of the history of life on Earth.  Assessment Boundary: Assessment does not include the names of individual species or geological eras in the fossil record.</t>
  </si>
  <si>
    <t>Why do we find fossils of sea creatures on the tops of mountains? Why are there no dinosaur fossils in the same rock layers as human fossils?</t>
  </si>
  <si>
    <t>Tier II: document, existence, diversity, extinction, change  Tier III: Fossil record, geologic time, pattern, analyze, interpret</t>
  </si>
  <si>
    <r>
      <rPr>
        <rFont val="Atkinson Hyperlegible Next"/>
        <color rgb="FF1155CC"/>
        <sz val="12.0"/>
        <u/>
      </rPr>
      <t>UC Berkeley: Understanding Geologic Time</t>
    </r>
    <r>
      <rPr>
        <rFont val="Atkinson Hyperlegible Next"/>
        <color rgb="FF434343"/>
        <sz val="12.0"/>
      </rPr>
      <t xml:space="preserve">, </t>
    </r>
    <r>
      <rPr>
        <rFont val="Atkinson Hyperlegible Next"/>
        <color rgb="FF1155CC"/>
        <sz val="12.0"/>
        <u/>
      </rPr>
      <t>PBS Eons YouTube Channel</t>
    </r>
  </si>
  <si>
    <t>Humans and dinosaurs lived at the same time; evolution is a straight line of progress; the fossil record is complete.</t>
  </si>
  <si>
    <t>Visuals: Geologic time scale charts, Fossil diagrams  Data: Data tables of fossil finds  Scaffolds: Timeline creation activity.</t>
  </si>
  <si>
    <t>STD-MS-LS4-2</t>
  </si>
  <si>
    <t>MS-LS4-2</t>
  </si>
  <si>
    <t>Apply scientific ideas to construct an explanation for the anatomical similarities and differences among modern organisms and between modern and fossil organisms to infer evolutionary relationships.</t>
  </si>
  <si>
    <t>I can explain how comparing anatomy of fossils and modern animals shows evolutionary relationships.</t>
  </si>
  <si>
    <t>Prior: Organisms can be grouped by similar features. Future: Use of biochemical evidence (DNA, protein sequences) for determining evolutionary relationships.</t>
  </si>
  <si>
    <t>Clarification: Emphasis is on inferring evolutionary relationships among organisms based on similarities and differences in anatomy.  Assessment Boundary: Assessment is limited to comparisons of anatomical structures, not biochemical information.</t>
  </si>
  <si>
    <t>Why do bats, humans, and whales all have a similar bone structure in their forelimbs, even though they are used for flying, grasping, and swimming?</t>
  </si>
  <si>
    <t>Tier II: apply, construct, explain, infer  Tier III: Anatomy, homologous structure, analogous structure, evolutionary relationship, fossil, common ancestor</t>
  </si>
  <si>
    <r>
      <rPr>
        <rFont val="Atkinson Hyperlegible Next"/>
        <color rgb="FF1155CC"/>
        <sz val="12.0"/>
        <u/>
      </rPr>
      <t>UC Berkeley: Homologous Structures</t>
    </r>
    <r>
      <rPr>
        <rFont val="Atkinson Hyperlegible Next"/>
        <color rgb="FF434343"/>
        <sz val="12.0"/>
      </rPr>
      <t xml:space="preserve">, </t>
    </r>
    <r>
      <rPr>
        <rFont val="Atkinson Hyperlegible Next"/>
        <color rgb="FF1155CC"/>
        <sz val="12.0"/>
        <u/>
      </rPr>
      <t>HHMI BioInteractive: Evidence for Evolution</t>
    </r>
  </si>
  <si>
    <t>Organisms with similar structures must be closely related (confusing homologous and analogous structures); evolution "designs" structures from scratch.</t>
  </si>
  <si>
    <t>Visuals: Homologous structures diagrams  Scaffolds: Cladogram worksheets, CER template, "Evidence Sort" activity.</t>
  </si>
  <si>
    <t>STD-MS-LS4-3</t>
  </si>
  <si>
    <t>MS-LS4-3</t>
  </si>
  <si>
    <t>Analyze displays of pictorial data to compare patterns of similarities in the embryological development across multiple species to identify relationships not evident in the fully formed anatomy.</t>
  </si>
  <si>
    <t>I can analyze pictures of embryos to find evidence of evolutionary relationships.</t>
  </si>
  <si>
    <t>Prior: Different animals look different. Future: Genetic basis of embryological development (Hox genes).</t>
  </si>
  <si>
    <t>Clarification: Emphasis is on the use of diagrams, drawings, and photographs to compare patterns of similarities in the embryological development across multiple species to identify relationships not evident in the fully formed anatomy.  Assessment Boundary: Assessment does not include the details of embryonic development.</t>
  </si>
  <si>
    <t>Why do the embryos of a fish, a chicken, and a human look so similar in their early stages?</t>
  </si>
  <si>
    <t>Tier II: analyze, compare, identify, evident  Tier III: Embryology, comparative anatomy, development, pattern, relationship</t>
  </si>
  <si>
    <r>
      <rPr>
        <rFont val="Atkinson Hyperlegible Next"/>
        <color rgb="FF1155CC"/>
        <sz val="12.0"/>
        <u/>
      </rPr>
      <t>Embryo Project Encyclopedia</t>
    </r>
    <r>
      <rPr>
        <rFont val="Atkinson Hyperlegible Next"/>
        <color rgb="FF434343"/>
        <sz val="12.0"/>
      </rPr>
      <t xml:space="preserve">, </t>
    </r>
    <r>
      <rPr>
        <rFont val="Atkinson Hyperlegible Next"/>
        <color rgb="FF1155CC"/>
        <sz val="12.0"/>
        <u/>
      </rPr>
      <t>Khan Academy: Evidence for Evolution</t>
    </r>
  </si>
  <si>
    <t>"Ontogeny recapitulates phylogeny" (the idea that embryos go through adult stages of their ancestors); similarities are just coincidence.</t>
  </si>
  <si>
    <t>Visuals: Comparative embryology diagrams  Scaffolds: Pattern-seeking graphic organizer, "What do you see/What does it mean" T-chart.</t>
  </si>
  <si>
    <t>STD-MS-LS4-4</t>
  </si>
  <si>
    <t>MS-LS4-4</t>
  </si>
  <si>
    <t>Construct an explanation based on evidence that describes how genetic variations of traits in a population increase some individuals’ probability of surviving and reproducing in a specific environment.</t>
  </si>
  <si>
    <t>LS4.B</t>
  </si>
  <si>
    <t>Natural Selection</t>
  </si>
  <si>
    <t>I can explain how genetic variation helps some individuals survive and reproduce better.</t>
  </si>
  <si>
    <t>Prior: Organisms have traits that help them survive in their environment. Future: Hardy-Weinberg equilibrium, population genetics, and speciation mechanisms.</t>
  </si>
  <si>
    <t>Clarification: Emphasis is on using evidence to explain the influence of the environment on genetic variation in a population.  Assessment Boundary: N/A</t>
  </si>
  <si>
    <t>How did the peppered moths in England become darker after the Industrial Revolution? In a desert, why are there more light-colored mice than dark-colored mice?</t>
  </si>
  <si>
    <t>Tier II: increase, probability, survive, reproduce  Tier III: Natural selection, genetic variation, adaptation, population, environment</t>
  </si>
  <si>
    <r>
      <rPr>
        <rFont val="Atkinson Hyperlegible Next"/>
        <color rgb="FF1155CC"/>
        <sz val="12.0"/>
        <u/>
      </rPr>
      <t>PhET: Natural Selection</t>
    </r>
    <r>
      <rPr>
        <rFont val="Atkinson Hyperlegible Next"/>
        <color rgb="FF434343"/>
        <sz val="12.0"/>
      </rPr>
      <t xml:space="preserve">, </t>
    </r>
    <r>
      <rPr>
        <rFont val="Atkinson Hyperlegible Next"/>
        <color rgb="FF1155CC"/>
        <sz val="12.0"/>
        <u/>
      </rPr>
      <t>HHMI BioInteractive: The Making of the Fittest</t>
    </r>
  </si>
  <si>
    <t>Individuals can adapt during their lifetime; organisms develop traits because they "need" them; evolution is a process of "trying".</t>
  </si>
  <si>
    <t>Simulations: Interactive natural selection simulations (e.g., peppered moths)  Data: Data on adaptations in different environments  Scaffolds: CER template.</t>
  </si>
  <si>
    <t>STD-MS-LS4-5</t>
  </si>
  <si>
    <t>MS-LS4-5</t>
  </si>
  <si>
    <t>Gather and synthesize information about the technologies that have changed the way humans influence the inheritance of desired traits in organisms.</t>
  </si>
  <si>
    <t>I can find and combine information about technologies like artificial selection and genetic modification.</t>
  </si>
  <si>
    <t>Prior: Humans use plants and animals for food and other purposes. Future: Bioengineering techniques, CRISPR, and the ethics of genetic modification.</t>
  </si>
  <si>
    <t>Clarification: Emphasis is on synthesizing information from reliable sources about the influence of humans on genetic outcomes in organisms.  Assessment Boundary: Assessment does not include the specific mechanisms of genetic modification.</t>
  </si>
  <si>
    <t>How have humans created so many different breeds of dogs from a single wolf ancestor? What are the pros and cons of genetically modified corn?</t>
  </si>
  <si>
    <t>Tier II: synthesize, influence, desire, technology  Tier III: Artificial selection, selective breeding, genetic modification, inheritance, trait</t>
  </si>
  <si>
    <r>
      <rPr>
        <rFont val="Atkinson Hyperlegible Next"/>
        <color rgb="FF1155CC"/>
        <sz val="12.0"/>
        <u/>
      </rPr>
      <t>Learn.Genetics: Artificial vs. Natural Selection</t>
    </r>
    <r>
      <rPr>
        <rFont val="Atkinson Hyperlegible Next"/>
        <color rgb="FF434343"/>
        <sz val="12.0"/>
      </rPr>
      <t xml:space="preserve">, </t>
    </r>
    <r>
      <rPr>
        <rFont val="Atkinson Hyperlegible Next"/>
        <color rgb="FF1155CC"/>
        <sz val="12.0"/>
        <u/>
      </rPr>
      <t>National Geographic: Genetically Modified Organisms</t>
    </r>
  </si>
  <si>
    <t>All genetic modification is "unnatural" and bad; selective breeding is not a form of genetic influence.</t>
  </si>
  <si>
    <t>Activities: Jigsaw reading activity on selective breeding/GMOs  Scaffolds: Summary worksheet, Pros/Cons T-chart, Source reliability checklist.</t>
  </si>
  <si>
    <t>STD-MS-LS4-6</t>
  </si>
  <si>
    <t>MS-LS4-6</t>
  </si>
  <si>
    <t>Use mathematical representations to support explanations of how natural selection may lead to increases and decreases of specific traits in populations over time.</t>
  </si>
  <si>
    <t>LS4.C</t>
  </si>
  <si>
    <t>Adaptation</t>
  </si>
  <si>
    <t>SEP5</t>
  </si>
  <si>
    <t>Using Mathematics and Computational Thinking</t>
  </si>
  <si>
    <t>I can use math (like graphs and ratios) to explain how natural selection changes traits in a population.</t>
  </si>
  <si>
    <t>Prior: Basic graphing and data interpretation. Future: Statistical analysis of population data, Hardy-Weinberg calculations.</t>
  </si>
  <si>
    <t>Clarification: Emphasis is on using mathematical models, such as simple distribution graphs, to support explanations of how natural selection leads to changes in populations over time.  Assessment Boundary: Assessment is limited to basic statistical analysis (mean, median, mode, range).</t>
  </si>
  <si>
    <t>If a drought kills all the plants with small, soft seeds, how will the average beak size of the finch population change over the next few generations?</t>
  </si>
  <si>
    <t>Tier II: representation, support, explanation, increase, decrease  Tier III: Mathematical model, population, distribution, natural selection, trait</t>
  </si>
  <si>
    <r>
      <rPr>
        <rFont val="Atkinson Hyperlegible Next"/>
        <color rgb="FF1155CC"/>
        <sz val="12.0"/>
        <u/>
      </rPr>
      <t>HHMI BioInteractive: Finch Beak Data</t>
    </r>
    <r>
      <rPr>
        <rFont val="Atkinson Hyperlegible Next"/>
        <color rgb="FF434343"/>
        <sz val="12.0"/>
      </rPr>
      <t xml:space="preserve">, </t>
    </r>
    <r>
      <rPr>
        <rFont val="Atkinson Hyperlegible Next"/>
        <color rgb="FF1155CC"/>
        <sz val="12.0"/>
        <u/>
      </rPr>
      <t>Data Nuggets</t>
    </r>
  </si>
  <si>
    <t>Mathematical models are not scientific evidence; population changes are random and cannot be modeled.</t>
  </si>
  <si>
    <t>Data: Population data sets (e.g., finch beaks)  Tools: Graphing software/paper  Scaffolds: Calculation worksheets, Guided data analysis questions.</t>
  </si>
  <si>
    <t>STD-MS-ESS1-1</t>
  </si>
  <si>
    <t>MS-ESS1-1</t>
  </si>
  <si>
    <t>Develop and use a model of the Earth-sun-moon system to describe the cyclic patterns of lunar phases, eclipses of the sun and moon, and seasons.</t>
  </si>
  <si>
    <t>ESS1.A</t>
  </si>
  <si>
    <t>The Universe and Its Stars</t>
  </si>
  <si>
    <t>I can use a model to describe the patterns of seasons, moon phases, and eclipses.</t>
  </si>
  <si>
    <t>6.1, 8.4</t>
  </si>
  <si>
    <t>Prior: The sun, moon, and stars are in the sky. Future: Kepler's laws, orbital mechanics, and the physics of seasons (axial tilt).</t>
  </si>
  <si>
    <t>3</t>
  </si>
  <si>
    <t>Clarification: Examples of models can be physical, graphical, or conceptual.  Assessment Boundary: Assessment does not include recalling the names of specific lunar phases or the mechanisms of eclipses.</t>
  </si>
  <si>
    <t>Why does the Moon appear to change shape every night? Why is it warmer in the summer and colder in the winter?</t>
  </si>
  <si>
    <t>Tier II: describe, cyclic, pattern, model  Tier III: Lunar phases, eclipse, season, Earth-Sun-Moon system</t>
  </si>
  <si>
    <r>
      <rPr>
        <rFont val="Atkinson Hyperlegible Next"/>
        <color rgb="FF1155CC"/>
        <sz val="12.0"/>
        <u/>
      </rPr>
      <t>NASA Space Place: Moon Phases</t>
    </r>
    <r>
      <rPr>
        <rFont val="Atkinson Hyperlegible Next"/>
        <color rgb="FF434343"/>
        <sz val="12.0"/>
      </rPr>
      <t xml:space="preserve">, </t>
    </r>
    <r>
      <rPr>
        <rFont val="Atkinson Hyperlegible Next"/>
        <color rgb="FF1155CC"/>
        <sz val="12.0"/>
        <u/>
      </rPr>
      <t>PhET: Gravity and Orbits</t>
    </r>
  </si>
  <si>
    <t>The Moon's phases are caused by Earth's shadow; seasons are caused by Earth being closer to the Sun.</t>
  </si>
  <si>
    <t>Models: Physical models of Earth/Sun/Moon system  Tools: Simulation software  Scaffolds: Diagram templates.</t>
  </si>
  <si>
    <t>STD-MS-ESS1-2</t>
  </si>
  <si>
    <t>MS-ESS1-2</t>
  </si>
  <si>
    <t>Develop and use a model to describe the role of gravity in the motions within galaxies and the solar system.</t>
  </si>
  <si>
    <t>ESS1.B</t>
  </si>
  <si>
    <t>Earth and the Solar System</t>
  </si>
  <si>
    <t>I can model how gravity controls the motion of planets, moons, and galaxies.</t>
  </si>
  <si>
    <t>Prior: Gravity is what makes things fall down. Future: Newton's Law of Universal Gravitation (mathematical formula) and Einstein's theory of general relativity.</t>
  </si>
  <si>
    <t>Clarification: Emphasis is on the role of gravity in the motions of objects within galaxies and the solar system.  Assessment Boundary: Assessment does not include Kepler’s Laws of orbital motion or the apparent retrograde motion of the planets as viewed from Earth.</t>
  </si>
  <si>
    <t>What keeps the planets from flying off into space? Why do all the planets orbit the Sun instead of the other way around?</t>
  </si>
  <si>
    <t>Tier II: describe, role, motion  Tier III: Gravity, orbit, solar system, galaxy, mass, force, system model</t>
  </si>
  <si>
    <r>
      <rPr>
        <rFont val="Atkinson Hyperlegible Next"/>
        <color rgb="FF1155CC"/>
        <sz val="12.0"/>
        <u/>
      </rPr>
      <t>PhET: My Solar System</t>
    </r>
    <r>
      <rPr>
        <rFont val="Atkinson Hyperlegible Next"/>
        <color rgb="FF434343"/>
        <sz val="12.0"/>
      </rPr>
      <t xml:space="preserve">, </t>
    </r>
    <r>
      <rPr>
        <rFont val="Atkinson Hyperlegible Next"/>
        <color rgb="FF1155CC"/>
        <sz val="12.0"/>
        <u/>
      </rPr>
      <t>NASA Science: Gravity</t>
    </r>
  </si>
  <si>
    <t>There is no gravity in space; orbits are perfect circles; larger objects always orbit smaller ones.</t>
  </si>
  <si>
    <t>Models: Gravity well simulation (fabric/ball)  Media: Videos of orbital motion  Scaffolds: Concept map.</t>
  </si>
  <si>
    <t>STD-MS-ESS1-3</t>
  </si>
  <si>
    <t>MS-ESS1-3</t>
  </si>
  <si>
    <t>Analyze and interpret data to determine scale properties of objects in the solar system.</t>
  </si>
  <si>
    <t>I can analyze data to understand the scale (size, distance) of objects in our solar system.</t>
  </si>
  <si>
    <t>Prior: The solar system has a sun and planets. Future: Stellar evolution, spectroscopy, and advanced astronomical measurement techniques.</t>
  </si>
  <si>
    <t>1, 4</t>
  </si>
  <si>
    <t>Clarification: Emphasis is on the analysis of data from Earth-based instruments, space-based telescopes, and spacecraft to determine similarities and differences among solar system objects.  Assessment Boundary: Assessment does not include complex calculations of orbital period or planetary distances.</t>
  </si>
  <si>
    <t>If the Sun were a basketball, how big would Earth be, and how far away would it be? How do scientists know what other planets are made of?</t>
  </si>
  <si>
    <t>Tier II: analyze, interpret, determine, property  Tier III: Scale, proportion, solar system, planet, star, data</t>
  </si>
  <si>
    <r>
      <rPr>
        <rFont val="Atkinson Hyperlegible Next"/>
        <color rgb="FF1155CC"/>
        <sz val="12.0"/>
        <u/>
      </rPr>
      <t>If the Moon Were Only 1 Pixel</t>
    </r>
    <r>
      <rPr>
        <rFont val="Atkinson Hyperlegible Next"/>
        <color rgb="FF434343"/>
        <sz val="12.0"/>
      </rPr>
      <t xml:space="preserve">, </t>
    </r>
    <r>
      <rPr>
        <rFont val="Atkinson Hyperlegible Next"/>
        <color rgb="FF1155CC"/>
        <sz val="12.0"/>
        <u/>
      </rPr>
      <t>NASA Solar System Exploration</t>
    </r>
  </si>
  <si>
    <t>All planets are the same size; pictures from telescopes show exactly what a planet looks like up close; space is crowded.</t>
  </si>
  <si>
    <t>Activities: Scale model calculations  Data: Data tables of planetary properties  Tools: Infographic creation tools.</t>
  </si>
  <si>
    <t>STD-MS-ESS1-4</t>
  </si>
  <si>
    <t>MS-ESS1-4</t>
  </si>
  <si>
    <t>Construct a scientific explanation based on evidence from rock strata for how the geologic time scale is used to organize Earth’s 4.6-billion-year-old history.</t>
  </si>
  <si>
    <t>ESS1.C</t>
  </si>
  <si>
    <t>The History of Planet Earth</t>
  </si>
  <si>
    <t>I can explain how rock layers are used to organize Earth's long history.</t>
  </si>
  <si>
    <t>Prior: Earth's history is very long. Future: Radiometric dating techniques and the specific characteristics of different geologic eons, eras, and periods.</t>
  </si>
  <si>
    <t>Clarification: Emphasis is on the use of evidence from rock layers and index fossils to organize the geologic time scale.  Assessment Boundary: Assessment does not require memorization of specific dates or names of geologic eras.</t>
  </si>
  <si>
    <t>How can we tell the story of Earth's history by looking at the layers of rock in the Grand Canyon?</t>
  </si>
  <si>
    <t>Tier II: construct, explanation, evidence, organize  Tier III: Geologic time scale, rock strata, fossil, relative dating, law of superposition</t>
  </si>
  <si>
    <r>
      <rPr>
        <rFont val="Atkinson Hyperlegible Next"/>
        <color rgb="FF1155CC"/>
        <sz val="12.0"/>
        <u/>
      </rPr>
      <t>American Museum of Natural History: Geologic Time</t>
    </r>
    <r>
      <rPr>
        <rFont val="Atkinson Hyperlegible Next"/>
        <color rgb="FF434343"/>
        <sz val="12.0"/>
      </rPr>
      <t xml:space="preserve">, </t>
    </r>
    <r>
      <rPr>
        <rFont val="Atkinson Hyperlegible Next"/>
        <color rgb="FF1155CC"/>
        <sz val="12.0"/>
        <u/>
      </rPr>
      <t>USGS: Fossils, Rocks, and Time</t>
    </r>
  </si>
  <si>
    <t>Rock layers are sorted by size (big rocks on bottom); geologic time is short; humans and dinosaurs coexisted.</t>
  </si>
  <si>
    <t>Visuals: Rock strata diagrams, Index fossil examples  Activities: Timeline creation activity, "Law of Superposition" puzzle.</t>
  </si>
  <si>
    <t>STD-MS-ESS2-1</t>
  </si>
  <si>
    <t>MS-ESS2-1</t>
  </si>
  <si>
    <t>Develop a model to describe the cycling of Earth's materials and the flow of energy that drives this process.</t>
  </si>
  <si>
    <t>ESS2.A</t>
  </si>
  <si>
    <t>Earth’s Materials and Systems</t>
  </si>
  <si>
    <t>I can model how Earth's materials (like rocks) are cycled by energy from the sun and Earth's interior.</t>
  </si>
  <si>
    <t>Prior: Rocks can be broken down into smaller pieces. Future: Geochemical processes, mineral identification, and thermodynamics of Earth's interior.</t>
  </si>
  <si>
    <t>Clarification: Emphasis is on the processes of melting, crystallization, weathering, deformation, and sedimentation, which act together to form minerals and rocks through the cycling of Earth’s materials.  Assessment Boundary: Assessment does not include the identification and naming of minerals.</t>
  </si>
  <si>
    <t>How can a rock that was once at the bottom of the ocean end up on top of a mountain? What makes volcanoes erupt and earthquakes happen?</t>
  </si>
  <si>
    <t>Tier II: describe, cycle, drive, process  Tier III: Rock cycle, igneous, sedimentary, metamorphic, convection, weathering, erosion, deposition</t>
  </si>
  <si>
    <r>
      <rPr>
        <rFont val="Atkinson Hyperlegible Next"/>
        <color rgb="FF1155CC"/>
        <sz val="12.0"/>
        <u/>
      </rPr>
      <t>PhET: The Rock Cycle</t>
    </r>
    <r>
      <rPr>
        <rFont val="Atkinson Hyperlegible Next"/>
        <color rgb="FF434343"/>
        <sz val="12.0"/>
      </rPr>
      <t xml:space="preserve">, </t>
    </r>
    <r>
      <rPr>
        <rFont val="Atkinson Hyperlegible Next"/>
        <color rgb="FF1155CC"/>
        <sz val="12.0"/>
        <u/>
      </rPr>
      <t>National Geographic: Earth's Interior</t>
    </r>
  </si>
  <si>
    <t>The rock cycle is a simple, one-way path; rocks are permanent and do not change; soil is not part of the rock cycle.</t>
  </si>
  <si>
    <t>Models: Convection current model  Visuals: Rock cycle diagram  Scaffolds: Flowchart template.</t>
  </si>
  <si>
    <t>STD-MS-ESS2-2</t>
  </si>
  <si>
    <t>MS-ESS2-2</t>
  </si>
  <si>
    <t>Construct an explanation based on evidence for how geoscience processes have changed Earth’s surface at varying time and spatial scales.</t>
  </si>
  <si>
    <t>I can explain how processes like earthquakes and erosion have changed the Earth's surface over time.</t>
  </si>
  <si>
    <t>Prior: The Earth's surface can change (e.g., by volcanoes, earthquakes). Future: Specific mechanisms of landform creation, isostasy, and quantitative analysis of erosion rates.</t>
  </si>
  <si>
    <t>Clarification: Emphasis is on how geoscience processes change Earth's surface at time and spatial scales that can be large or small.  Assessment Boundary: Assessment does not include the details of the formation of specific landforms of Earth’s surface.</t>
  </si>
  <si>
    <t>How can a tiny river carve a giant canyon like the Grand Canyon? Why do mountains have sharp, pointy peaks while others are rounded and smooth?</t>
  </si>
  <si>
    <t>Tier II: construct, explanation, evidence, vary  Tier III: Geoscience process, plate tectonics, erosion, weathering, deposition, landform, time scale, spatial scale</t>
  </si>
  <si>
    <r>
      <rPr>
        <rFont val="Atkinson Hyperlegible Next"/>
        <color rgb="FF1155CC"/>
        <sz val="12.0"/>
        <u/>
      </rPr>
      <t>USGS: Geologic Processes</t>
    </r>
    <r>
      <rPr>
        <rFont val="Atkinson Hyperlegible Next"/>
        <color rgb="FF434343"/>
        <sz val="12.0"/>
      </rPr>
      <t xml:space="preserve">, </t>
    </r>
    <r>
      <rPr>
        <rFont val="Atkinson Hyperlegible Next"/>
        <color rgb="FF1155CC"/>
        <sz val="12.0"/>
        <u/>
      </rPr>
      <t>Dynamic Earth Interactive</t>
    </r>
  </si>
  <si>
    <t>Earth's surface has always looked the way it does now; changes are always slow and gradual (uniformitarianism) or always fast and catastrophic.</t>
  </si>
  <si>
    <t>Visuals: Before/after satellite images, Landform models (e.g., stream tables)  Scaffolds: CER template, Scale (time/space) sorting activity.</t>
  </si>
  <si>
    <t>STD-MS-ESS2-3</t>
  </si>
  <si>
    <t>MS-ESS2-3</t>
  </si>
  <si>
    <t>Analyze and interpret data on the distribution of fossils and rocks, continental shapes, and seafloor structures to provide evidence of the past plate motions.</t>
  </si>
  <si>
    <t>ESS2.B</t>
  </si>
  <si>
    <t>Plate Tectonics and Large-Scale System Interactions</t>
  </si>
  <si>
    <t>I can analyze data from maps (fossils, rocks, seafloor) to find evidence of plate tectonics.</t>
  </si>
  <si>
    <t>Prior: The continents look like they could fit together. Future: The mechanisms of mantle convection, slab pull, and ridge push that drive plate motion.</t>
  </si>
  <si>
    <t>Clarification: Emphasis is on the analysis of evidence from maps of continental shapes, the distribution of rocks and fossils, and seafloor structures.  Assessment Boundary: Assessment does not include memorizing the names of tectonic plates or plate boundaries.</t>
  </si>
  <si>
    <t>Why do the coastlines of South America and Africa look like they could fit together like puzzle pieces?</t>
  </si>
  <si>
    <t>Tier II: analyze, interpret, provide, evidence  Tier III: Plate tectonics, continental drift, seafloor spreading, fossil evidence, Pangaea, pattern</t>
  </si>
  <si>
    <r>
      <rPr>
        <rFont val="Atkinson Hyperlegible Next"/>
        <color rgb="FF1155CC"/>
        <sz val="12.0"/>
        <u/>
      </rPr>
      <t>USGS: This Dynamic Earth</t>
    </r>
    <r>
      <rPr>
        <rFont val="Atkinson Hyperlegible Next"/>
        <color rgb="FF434343"/>
        <sz val="12.0"/>
      </rPr>
      <t xml:space="preserve">, </t>
    </r>
    <r>
      <rPr>
        <rFont val="Atkinson Hyperlegible Next"/>
        <color rgb="FF1155CC"/>
        <sz val="12.0"/>
        <u/>
      </rPr>
      <t>PhET: Plate Tectonics</t>
    </r>
  </si>
  <si>
    <t>Continents float on the oceans; the seafloor is flat and unchanging; earthquakes and volcanoes are random events.</t>
  </si>
  <si>
    <t>Models: World maps with puzzle pieces (continents)  Visuals: Seafloor spreading diagrams  Scaffolds: Data analysis worksheet.</t>
  </si>
  <si>
    <t>STD-MS-ESS2-4</t>
  </si>
  <si>
    <t>MS-ESS2-4</t>
  </si>
  <si>
    <t>Develop a model to describe the cycling of water through Earth's systems driven by energy from the sun and the force of gravity.</t>
  </si>
  <si>
    <t>ESS2.C</t>
  </si>
  <si>
    <t>The Roles of Water in Earth’s Surface Processes</t>
  </si>
  <si>
    <t>I can model how the water cycle is driven by the sun's energy and gravity.</t>
  </si>
  <si>
    <t>Prior: It rains, water flows in rivers, and puddles dry up. Future: Thermodynamics of phase changes (latent heat), cloud formation physics, and groundwater hydrology.</t>
  </si>
  <si>
    <t>Clarification: Emphasis is on the ways water changes its state as it moves through the multiple pathways of the hydrologic cycle.  Assessment Boundary: Assessment does not include the latent heat of vaporization or condensation.</t>
  </si>
  <si>
    <t>Where does the water in a puddle go on a hot day, and how does it get back into the clouds?</t>
  </si>
  <si>
    <t>Tier II: develop, model, describe, drive  Tier III: Water cycle, evaporation, condensation, precipitation, transpiration, gravity</t>
  </si>
  <si>
    <r>
      <rPr>
        <rFont val="Atkinson Hyperlegible Next"/>
        <color rgb="FF1155CC"/>
        <sz val="12.0"/>
        <u/>
      </rPr>
      <t>NASA: The Water Cycle</t>
    </r>
    <r>
      <rPr>
        <rFont val="Atkinson Hyperlegible Next"/>
        <color rgb="FF434343"/>
        <sz val="12.0"/>
      </rPr>
      <t xml:space="preserve">, </t>
    </r>
    <r>
      <rPr>
        <rFont val="Atkinson Hyperlegible Next"/>
        <color rgb="FF1155CC"/>
        <sz val="12.0"/>
        <u/>
      </rPr>
      <t>USGS Water Science School</t>
    </r>
  </si>
  <si>
    <t>Water disappears when it evaporates; clouds are made of smoke or cotton; new water is constantly being made.</t>
  </si>
  <si>
    <t>Models: Water cycle in a bag/terrarium  Tools: Flowchart creation tools  Visuals: Water cycle diagrams.</t>
  </si>
  <si>
    <t>STD-MS-ESS2-5</t>
  </si>
  <si>
    <t>MS-ESS2-5</t>
  </si>
  <si>
    <t>Collect data to provide evidence for how the motions and complex interactions of air masses results in changes in weather conditions.</t>
  </si>
  <si>
    <t>I can collect data to show how moving air masses cause changes in weather.</t>
  </si>
  <si>
    <t>Prior: The weather changes from day to day. Future: Fluid dynamics, Coriolis effect, and advanced weather modeling.</t>
  </si>
  <si>
    <t>Clarification: Emphasis is on collecting data to provide evidence for how the motions and interactions of air masses result in changes in weather conditions.  Assessment Boundary: Assessment is limited to the analysis and interpretation of weather data.</t>
  </si>
  <si>
    <t>Why is it warm and sunny one day, and cold and rainy the next? How can we predict what the weather will be like tomorrow?</t>
  </si>
  <si>
    <t>Tier II: collect, provide, evidence, result  Tier III: Weather, air mass, front, pressure system, humidity, temperature, forecast</t>
  </si>
  <si>
    <r>
      <rPr>
        <rFont val="Atkinson Hyperlegible Next"/>
        <color rgb="FF1155CC"/>
        <sz val="12.0"/>
        <u/>
      </rPr>
      <t>NOAA: JetStream - Online School for Weather</t>
    </r>
    <r>
      <rPr>
        <rFont val="Atkinson Hyperlegible Next"/>
        <color rgb="FF434343"/>
        <sz val="12.0"/>
      </rPr>
      <t xml:space="preserve">, </t>
    </r>
    <r>
      <rPr>
        <rFont val="Atkinson Hyperlegible Next"/>
        <color rgb="FF1155CC"/>
        <sz val="12.0"/>
        <u/>
      </rPr>
      <t>Windy.com</t>
    </r>
  </si>
  <si>
    <t>Weather and climate are the same thing; wind is caused by trees moving; clouds are just water vapor.</t>
  </si>
  <si>
    <t>Data: Real-time weather maps  Tools: Barometer, thermometer for in-class readings  Scaffolds: Data collection log.</t>
  </si>
  <si>
    <t>STD-MS-ESS2-6</t>
  </si>
  <si>
    <t>MS-ESS2-6</t>
  </si>
  <si>
    <t>Develop and use a model to describe how unequal heating and rotation of the Earth cause patterns of atmospheric and oceanic circulation that determine regional climates.</t>
  </si>
  <si>
    <t>ESS2.D</t>
  </si>
  <si>
    <t>Weather and Climate</t>
  </si>
  <si>
    <t>I can model how the Earth's heating and rotation create ocean and wind currents that affect climate.</t>
  </si>
  <si>
    <t>Prior: It's hotter near the equator. Future: The physics of the Coriolis effect, thermohaline circulation, and climate modeling.</t>
  </si>
  <si>
    <t>Clarification: Emphasis is on how patterns of atmospheric and oceanic circulation are formed and how they influence climate.  Assessment Boundary: Assessment does not include the dynamics of the Coriolis effect.</t>
  </si>
  <si>
    <t>Why are places near the equator hot, while places near the poles are cold? Why do coastal cities often have milder weather than inland cities at the same latitude?</t>
  </si>
  <si>
    <t>Tier II: develop, use, model, describe, cause, determine  Tier III: Climate, ocean current, atmospheric circulation, convection, rotation, unequal heating</t>
  </si>
  <si>
    <r>
      <rPr>
        <rFont val="Atkinson Hyperlegible Next"/>
        <color rgb="FF1155CC"/>
        <sz val="12.0"/>
        <u/>
      </rPr>
      <t>NOAA: Weather vs. Climate</t>
    </r>
    <r>
      <rPr>
        <rFont val="Atkinson Hyperlegible Next"/>
        <color rgb="FF434343"/>
        <sz val="12.0"/>
      </rPr>
      <t xml:space="preserve">, </t>
    </r>
    <r>
      <rPr>
        <rFont val="Atkinson Hyperlegible Next"/>
        <color rgb="FF1155CC"/>
        <sz val="12.0"/>
        <u/>
      </rPr>
      <t>NASA SciJinks: Ocean Currents</t>
    </r>
  </si>
  <si>
    <t>Weather and climate are the same; all places at the same latitude have the same climate; ocean currents only affect the surface.</t>
  </si>
  <si>
    <t>Models: Convection box demonstration  Visuals: World map of ocean/wind currents  Activities: Climate zone map analysis.</t>
  </si>
  <si>
    <t>STD-MS-ESS3-1</t>
  </si>
  <si>
    <t>MS-ESS3-1</t>
  </si>
  <si>
    <t>Construct a scientific explanation based on evidence for how the uneven distributions of Earth's mineral, energy, and groundwater resources are the result of past and current geoscience processes.</t>
  </si>
  <si>
    <t>ESS3.A</t>
  </si>
  <si>
    <t>Natural Resources</t>
  </si>
  <si>
    <t>I can explain how geologic processes cause natural resources to be unevenly distributed.</t>
  </si>
  <si>
    <t>Prior: We get important things like wood and water from nature. Future: Economic geology, resource management, and the chemistry of ore formation.</t>
  </si>
  <si>
    <t>Clarification: Emphasis is on the idea that resources are limited and often non-renewable, and that their distribution is the result of geologic processes.  Assessment Boundary: N/A</t>
  </si>
  <si>
    <t>Why are most of the world's oil reserves found in only a few specific regions? Why do we find gold in some mountains but not others?</t>
  </si>
  <si>
    <t>Tier II: construct, explanation, evidence, distribution  Tier III: Natural resource, mineral, energy resource, groundwater, geologic process</t>
  </si>
  <si>
    <r>
      <rPr>
        <rFont val="Atkinson Hyperlegible Next"/>
        <color rgb="FF1155CC"/>
        <sz val="12.0"/>
        <u/>
      </rPr>
      <t>USGS: Mineral Resources Program</t>
    </r>
    <r>
      <rPr>
        <rFont val="Atkinson Hyperlegible Next"/>
        <color rgb="FF434343"/>
        <sz val="12.0"/>
      </rPr>
      <t xml:space="preserve">, </t>
    </r>
    <r>
      <rPr>
        <rFont val="Atkinson Hyperlegible Next"/>
        <color rgb="FF1155CC"/>
        <sz val="12.0"/>
        <u/>
      </rPr>
      <t>National Geographic: Natural Resources</t>
    </r>
  </si>
  <si>
    <t>Natural resources are evenly spread across the Earth; we will never run out of resources; resources are man-made.</t>
  </si>
  <si>
    <t>Visuals: Resource distribution maps  Scaffolds: CER template  Case Studies: Formation of specific resources (e.g., coal, oil).</t>
  </si>
  <si>
    <t>STD-MS-ESS3-2</t>
  </si>
  <si>
    <t>MS-ESS3-2</t>
  </si>
  <si>
    <t>Analyze and interpret data on natural hazards to forecast future catastrophic events and inform the development of technologies to mitigate their effects.</t>
  </si>
  <si>
    <t>ESS3.B</t>
  </si>
  <si>
    <t>Natural Hazards</t>
  </si>
  <si>
    <t>I can analyze data on natural hazards to predict future events and develop mitigation technologies.</t>
  </si>
  <si>
    <t>Prior: Natural disasters like hurricanes and earthquakes happen. Future: Statistical risk analysis, engineering principles for hazard mitigation, and plate boundary dynamics.</t>
  </si>
  <si>
    <t>Clarification: Emphasis is on how some natural hazards are related, such as earthquakes causing tsunamis.  Assessment Boundary: Assessment is limited to qualitative analysis of data.</t>
  </si>
  <si>
    <t>How do scientists use data from past earthquakes to predict where future ones are likely to occur? How can we design buildings that are safer during a hurricane?</t>
  </si>
  <si>
    <t>Tier II: analyze, interpret, forecast, inform, mitigate  Tier III: Natural hazard, catastrophic event, technology, pattern, risk analysis</t>
  </si>
  <si>
    <r>
      <rPr>
        <rFont val="Atkinson Hyperlegible Next"/>
        <color rgb="FF1155CC"/>
        <sz val="12.0"/>
        <u/>
      </rPr>
      <t>Ready.gov: Natural Disasters</t>
    </r>
    <r>
      <rPr>
        <rFont val="Atkinson Hyperlegible Next"/>
        <color rgb="FF434343"/>
        <sz val="12.0"/>
      </rPr>
      <t xml:space="preserve">, </t>
    </r>
    <r>
      <rPr>
        <rFont val="Atkinson Hyperlegible Next"/>
        <color rgb="FF1155CC"/>
        <sz val="12.0"/>
        <u/>
      </rPr>
      <t>USGS: Natural Hazards</t>
    </r>
  </si>
  <si>
    <t>Natural disasters are completely random and unpredictable; human actions cannot reduce the impact of disasters.</t>
  </si>
  <si>
    <t>Data: Historical hazard data (earthquakes, volcanoes)  Scaffolds: Risk assessment worksheet, "What if" scenario planning.</t>
  </si>
  <si>
    <t>STD-MS-ESS3-3</t>
  </si>
  <si>
    <t>MS-ESS3-3</t>
  </si>
  <si>
    <t>Apply scientific principles to design a method for monitoring and minimizing a human impact on the environment.</t>
  </si>
  <si>
    <t>ESS3.C</t>
  </si>
  <si>
    <t>Human Impacts on Earth Systems</t>
  </si>
  <si>
    <t>I can design a way to monitor and reduce a human impact on the environment.</t>
  </si>
  <si>
    <t>7.5, 7.6</t>
  </si>
  <si>
    <t>Prior: Pollution is bad for the environment. Future: Environmental chemistry, toxicology, and life cycle analysis.</t>
  </si>
  <si>
    <t>Clarification: Examples of human impacts can include water usage, land usage, and pollution.  Assessment Boundary: N/A</t>
  </si>
  <si>
    <t>How can we figure out how much water our school uses and design a plan to use less?</t>
  </si>
  <si>
    <t>Tier II: apply, design, monitor, minimize, impact  Tier III: Human impact, environmental impact, design solution, conservation</t>
  </si>
  <si>
    <r>
      <rPr>
        <rFont val="Atkinson Hyperlegible Next"/>
        <color rgb="FF1155CC"/>
        <sz val="12.0"/>
        <u/>
      </rPr>
      <t>EPA: Human Impacts on the Environment</t>
    </r>
    <r>
      <rPr>
        <rFont val="Atkinson Hyperlegible Next"/>
        <color rgb="FF434343"/>
        <sz val="12.0"/>
      </rPr>
      <t xml:space="preserve">, </t>
    </r>
    <r>
      <rPr>
        <rFont val="Atkinson Hyperlegible Next"/>
        <color rgb="FF1155CC"/>
        <sz val="12.0"/>
        <u/>
      </rPr>
      <t>Project WET</t>
    </r>
  </si>
  <si>
    <t>Individual actions have no effect on the environment; the Earth can absorb all pollution without consequence.</t>
  </si>
  <si>
    <t>Scaffolds: Design brief template, Brainstorming graphic organizer (e.g., mind map), Peer review protocol.</t>
  </si>
  <si>
    <t>STD-MS-ESS3-4</t>
  </si>
  <si>
    <t>MS-ESS3-4</t>
  </si>
  <si>
    <t>Construct an argument supported by evidence for how increases in human population and per-capita consumption of natural resources impact Earth's systems.</t>
  </si>
  <si>
    <t>I can argue from evidence how population growth and resource use impact Earth.</t>
  </si>
  <si>
    <t>Prior: Humans can change the environment. Future: Socio-economic models of resource consumption, Earth systems modeling, and sustainability science.</t>
  </si>
  <si>
    <t>Clarification: Emphasis is on the impacts of human activities on Earth's systems.  Assessment Boundary: Assessment does not include running computational representations of Earth's systems.</t>
  </si>
  <si>
    <t>As the world's population grows, what happens to our forests, our clean water, and the air we breathe?</t>
  </si>
  <si>
    <t>Tier II: construct, argument, evidence, impact  Tier III: Population growth, resource consumption, Earth systems</t>
  </si>
  <si>
    <r>
      <rPr>
        <rFont val="Atkinson Hyperlegible Next"/>
        <color rgb="FF1155CC"/>
        <sz val="12.0"/>
        <u/>
      </rPr>
      <t>Worldometer: Current World Population</t>
    </r>
    <r>
      <rPr>
        <rFont val="Atkinson Hyperlegible Next"/>
        <color rgb="FF434343"/>
        <sz val="12.0"/>
      </rPr>
      <t xml:space="preserve">, </t>
    </r>
    <r>
      <rPr>
        <rFont val="Atkinson Hyperlegible Next"/>
        <color rgb="FF1155CC"/>
        <sz val="12.0"/>
        <u/>
      </rPr>
      <t>Global Footprint Network</t>
    </r>
  </si>
  <si>
    <t>Technology can solve all environmental problems; population growth does not affect resource availability.</t>
  </si>
  <si>
    <t>Data: Population growth graphs, Resource consumption data  Scaffolds: Debate prep worksheet, CER template.</t>
  </si>
  <si>
    <t>STD-MS-ESS3-5</t>
  </si>
  <si>
    <t>MS-ESS3-5</t>
  </si>
  <si>
    <t>Ask questions to clarify evidence of the factors that have caused the rise in global temperatures over the past century.</t>
  </si>
  <si>
    <t>ESS3.D</t>
  </si>
  <si>
    <t>Global Climate Change</t>
  </si>
  <si>
    <t>SEP1</t>
  </si>
  <si>
    <t>Asking Questions and Defining Problems</t>
  </si>
  <si>
    <t>I can ask questions to clarify evidence about the causes of recent global warming.</t>
  </si>
  <si>
    <t>Prior: The weather can change over long periods. Future: Analysis of climate models, paleoclimatology data (ice cores, sediment), and atmospheric chemistry.</t>
  </si>
  <si>
    <t>Clarification: Emphasis is on the idea that scientific knowledge is based on logical and conceptual connections between evidence and explanations.  Assessment Boundary: Assessment is limited to the analysis of the evidence examined in the performance expectation.</t>
  </si>
  <si>
    <t>What is the evidence that shows Earth's temperature is rising, and what are the main factors scientists say are causing it?</t>
  </si>
  <si>
    <t>Tier II: ask, clarify, evidence, factor, cause  Tier III: Global warming, climate change, greenhouse effect, carbon dioxide, data</t>
  </si>
  <si>
    <r>
      <rPr>
        <rFont val="Atkinson Hyperlegible Next"/>
        <color rgb="FF1155CC"/>
        <sz val="12.0"/>
        <u/>
      </rPr>
      <t>NASA: Global Climate Change</t>
    </r>
    <r>
      <rPr>
        <rFont val="Atkinson Hyperlegible Next"/>
        <color rgb="FF434343"/>
        <sz val="12.0"/>
      </rPr>
      <t xml:space="preserve">, </t>
    </r>
    <r>
      <rPr>
        <rFont val="Atkinson Hyperlegible Next"/>
        <color rgb="FF1155CC"/>
        <sz val="12.0"/>
        <u/>
      </rPr>
      <t>EPA: Climate Change Science</t>
    </r>
  </si>
  <si>
    <t>Climate change is just part of a natural cycle (without acknowledging human contribution); weather is the same as climate; the ozone hole causes global warming.</t>
  </si>
  <si>
    <t>Data: Climate data graphs (CO2, temperature)  Scaffolds: Question Formulation Technique (QFT) worksheet, Evidence vs. Opinion sorting chart.</t>
  </si>
  <si>
    <t>STD-MS-PS1-1</t>
  </si>
  <si>
    <t>Develop models to describe the atomic composition of simple molecules and extended structures.</t>
  </si>
  <si>
    <t>PS1.A</t>
  </si>
  <si>
    <t>Structure and Properties of Matter</t>
  </si>
  <si>
    <t>I can create models to show how atoms combine to form molecules.</t>
  </si>
  <si>
    <t>7.1, 7.3</t>
  </si>
  <si>
    <t>Prior: All things are made of matter. Future: Valence electrons, ionic and covalent bonding, and quantum mechanics.</t>
  </si>
  <si>
    <t>Clarification: Emphasis is on developing models of molecules for simple substances (e.g., water, carbon dioxide) and extended structures (e.g., salt, diamond).  Assessment Boundary: Assessment does not include valence electrons or bonding energy, the ionic nature of subunits of complex structures, or quantitative atomic scale information.</t>
  </si>
  <si>
    <t>How can the same element, carbon, form something as soft as graphite in a pencil and something as hard as a diamond?</t>
  </si>
  <si>
    <t>Tier II: develop, model, describe, compose  Tier III: Atom, molecule, extended structure, atomic composition, chemical formula</t>
  </si>
  <si>
    <r>
      <rPr>
        <rFont val="Atkinson Hyperlegible Next"/>
        <color rgb="FF1155CC"/>
        <sz val="12.0"/>
        <u/>
      </rPr>
      <t>PhET: Build a Molecule</t>
    </r>
    <r>
      <rPr>
        <rFont val="Atkinson Hyperlegible Next"/>
        <color rgb="FF434343"/>
        <sz val="12.0"/>
      </rPr>
      <t xml:space="preserve">, </t>
    </r>
    <r>
      <rPr>
        <rFont val="Atkinson Hyperlegible Next"/>
        <color rgb="FF1155CC"/>
        <sz val="12.0"/>
        <u/>
      </rPr>
      <t>American Chemical Society: Middle School Chemistry</t>
    </r>
  </si>
  <si>
    <t>Atoms are like tiny, hard spheres; molecules are just mixtures of atoms, not bonded structures; particles are "in" substances (e.g., air is in a balloon).</t>
  </si>
  <si>
    <t>Models: Molecular model kits, Digital modeling tools  Scaffolds: Lewis dot structure worksheets (simplified), Recipe analogies for formulas.</t>
  </si>
  <si>
    <t>STD-MS-PS1-2</t>
  </si>
  <si>
    <t>Analyze and interpret data on the properties of substances before and after the substances interact to determine if a chemical reaction has occurred.</t>
  </si>
  <si>
    <t>I can analyze data to determine if a chemical reaction happened.</t>
  </si>
  <si>
    <t>Prior: Things can change state (melting, freezing). Future: Stoichiometry, reaction kinetics, and thermodynamics.</t>
  </si>
  <si>
    <t>Clarification: Examples of chemical reactions could include rusting, burning, and photosynthesis.  Assessment Boundary: Assessment is limited to analysis of the properties of substances before and after the interaction.</t>
  </si>
  <si>
    <t>How do we know that baking a cake involves a chemical reaction, not just a physical change? When a firework explodes, what evidence shows a new substance was created?</t>
  </si>
  <si>
    <t>Tier II: analyze, interpret, determine, occur  Tier III: Chemical reaction, substance, property, reactant, product, physical change, chemical change</t>
  </si>
  <si>
    <r>
      <rPr>
        <rFont val="Atkinson Hyperlegible Next"/>
        <color rgb="FF1155CC"/>
        <sz val="12.0"/>
        <u/>
      </rPr>
      <t>Mystery Science: Chemical Reactions</t>
    </r>
    <r>
      <rPr>
        <rFont val="Atkinson Hyperlegible Next"/>
        <color rgb="FF434343"/>
        <sz val="12.0"/>
      </rPr>
      <t xml:space="preserve">, </t>
    </r>
    <r>
      <rPr>
        <rFont val="Atkinson Hyperlegible Next"/>
        <color rgb="FF1155CC"/>
        <sz val="12.0"/>
        <u/>
      </rPr>
      <t>ACS: Reactions and Properties</t>
    </r>
  </si>
  <si>
    <t>Physical changes (like boiling) are chemical reactions; new substances are not formed, old ones just look different; rust is not a new substance.</t>
  </si>
  <si>
    <t>Activities: Lab observation checklist, Evidence sorting activity (e.g., color change, gas production)  Data: "Before/After" properties data tables.</t>
  </si>
  <si>
    <t>STD-MS-PS1-3</t>
  </si>
  <si>
    <t>MS-PS1-3</t>
  </si>
  <si>
    <t>Gather and make sense of information to describe that synthetic materials come from natural resources and impact society.</t>
  </si>
  <si>
    <t>I can research and describe how synthetic materials are made from natural resources and their impact.</t>
  </si>
  <si>
    <t>Prior: We use materials from nature to make things. Future: Polymer chemistry, industrial chemical processes, and materials science.</t>
  </si>
  <si>
    <t>2</t>
  </si>
  <si>
    <t>Clarification: Emphasis is on the idea that synthetic materials are derived from natural resources and have both positive and negative impacts on society.  Assessment Boundary: Assessment is limited to qualitative information.</t>
  </si>
  <si>
    <t>Where does the plastic in a water bottle originally come from? What are the benefits and problems of using synthetic materials like polyester instead of natural ones like cotton?</t>
  </si>
  <si>
    <t>Tier II: gather, describe, impact, society  Tier III: Synthetic material, natural resource, polymer, life cycle</t>
  </si>
  <si>
    <r>
      <rPr>
        <rFont val="Atkinson Hyperlegible Next"/>
        <color rgb="FF1155CC"/>
        <sz val="12.0"/>
        <u/>
      </rPr>
      <t>Science History Institute: What is Plastic?</t>
    </r>
    <r>
      <rPr>
        <rFont val="Atkinson Hyperlegible Next"/>
        <color rgb="FF434343"/>
        <sz val="12.0"/>
      </rPr>
      <t xml:space="preserve">, </t>
    </r>
    <r>
      <rPr>
        <rFont val="Atkinson Hyperlegible Next"/>
        <color rgb="FF1155CC"/>
        <sz val="12.0"/>
        <u/>
      </rPr>
      <t>PBS LearningMedia: The Story of Stuff</t>
    </r>
  </si>
  <si>
    <t>Plastic comes from stores, not natural resources; all synthetic materials are bad for the environment; natural materials have no negative impacts.</t>
  </si>
  <si>
    <t>Activities: Jigsaw reading activity, Product life cycle analysis  Scaffolds: Research guide, Pros/Cons T-chart.</t>
  </si>
  <si>
    <t>STD-MS-PS1-4</t>
  </si>
  <si>
    <t>Develop a model that predicts and describes changes in particle motion, temperature, and state of a pure substance when thermal energy is added or removed.</t>
  </si>
  <si>
    <t>I can model how adding or removing heat changes the motion of particles and the state of matter.</t>
  </si>
  <si>
    <t>Prior: Matter can be solid, liquid, or gas. Future: The kinetic theory of gases, thermodynamics, and statistical mechanics.</t>
  </si>
  <si>
    <t>Clarification: Emphasis is on a qualitative molecular-level model of solids, liquids, and gases.  Assessment Boundary: Assessment does not include calculating the total amount of thermal energy transferred.</t>
  </si>
  <si>
    <t>Why does a puddle of water disappear on a hot day? How does the movement of water molecules change when you heat them up to make steam?</t>
  </si>
  <si>
    <t>Tier II: develop, model, predict, describe, change  Tier III: Particle motion, state of matter (solid, liquid, gas), thermal energy, temperature, phase change</t>
  </si>
  <si>
    <r>
      <rPr>
        <rFont val="Atkinson Hyperlegible Next"/>
        <color rgb="FF1155CC"/>
        <sz val="12.0"/>
        <u/>
      </rPr>
      <t>PhET: States of Matter</t>
    </r>
    <r>
      <rPr>
        <rFont val="Atkinson Hyperlegible Next"/>
        <color rgb="FF434343"/>
        <sz val="12.0"/>
      </rPr>
      <t xml:space="preserve">, </t>
    </r>
    <r>
      <rPr>
        <rFont val="Atkinson Hyperlegible Next"/>
        <color rgb="FF1155CC"/>
        <sz val="12.0"/>
        <u/>
      </rPr>
      <t>ACS: The States of Matter</t>
    </r>
  </si>
  <si>
    <t>Particles expand when heated; temperature is a measure of "hotness," not particle energy; melting and dissolving are the same.</t>
  </si>
  <si>
    <t>Simulations: Particle motion simulations  Visuals: Heating/cooling curve graphs  Scaffolds: Diagram templates.</t>
  </si>
  <si>
    <t>STD-MS-PS1-5</t>
  </si>
  <si>
    <t>Develop and use a model to describe how the total number of atoms does not change in a chemical reaction and thus mass is conserved.</t>
  </si>
  <si>
    <t>PS1.B</t>
  </si>
  <si>
    <t>I can model how atoms are rearranged but not created or destroyed in a chemical reaction (conservation of mass).</t>
  </si>
  <si>
    <t>Prior: When things are mixed, they can be separated again. Future: Balancing chemical equations symbolically and applying stoichiometry.</t>
  </si>
  <si>
    <t>Clarification: Emphasis is on law of conservation of matter and on physical models or drawings, including digital representations, that represent atoms.  Assessment Boundary: Assessment does not include the use of atomic masses, balancing symbolic equations, or intermolecular forces.</t>
  </si>
  <si>
    <t>If you burn a log in a fireplace, the log turns to ash and seems to disappear. Where did all the matter go?</t>
  </si>
  <si>
    <t>Tier II: develop, use, model, describe, conserve  Tier III: Conservation of mass, chemical reaction, atom, rearrange, closed system, open system</t>
  </si>
  <si>
    <r>
      <rPr>
        <rFont val="Atkinson Hyperlegible Next"/>
        <color rgb="FF1155CC"/>
        <sz val="12.0"/>
        <u/>
      </rPr>
      <t>PhET: Reactants, Products and Leftovers</t>
    </r>
    <r>
      <rPr>
        <rFont val="Atkinson Hyperlegible Next"/>
        <color rgb="FF434343"/>
        <sz val="12.0"/>
      </rPr>
      <t xml:space="preserve">, </t>
    </r>
    <r>
      <rPr>
        <rFont val="Atkinson Hyperlegible Next"/>
        <color rgb="FF1155CC"/>
        <sz val="12.0"/>
        <u/>
      </rPr>
      <t>ACS: Conservation of Mass</t>
    </r>
  </si>
  <si>
    <t>Mass is lost in a chemical reaction (e.g., burning); gases have no mass; atoms are destroyed or created in reactions.</t>
  </si>
  <si>
    <t>Demonstrations: Closed system lab demonstration (e.g., vinegar and baking soda in a sealed bag on a balance)  Scaffolds: Balancing chemical equations worksheets (conceptual, with pictures).</t>
  </si>
  <si>
    <t>STD-MS-PS1-6</t>
  </si>
  <si>
    <t>MS-PS1-6</t>
  </si>
  <si>
    <t>Undertake a design project to construct, test, and modify a device that either releases or absorbs thermal energy by chemical processes.</t>
  </si>
  <si>
    <t>I can design, build, and test a device that uses a chemical reaction to heat up or cool down.</t>
  </si>
  <si>
    <t>Prior: Some things get hot and some get cold. Future: Enthalpy, calorimetry calculations, and Hess's Law.</t>
  </si>
  <si>
    <t>Clarification: Emphasis is on the design, construction, and testing of a device that either releases or absorbs thermal energy.  Assessment Boundary: Assessment is limited to the criteria of amount, time, and temperature of a chemical process.</t>
  </si>
  <si>
    <t>How do instant cold packs get cold without being in a freezer? How can we design a device that uses a chemical reaction to keep food warm?</t>
  </si>
  <si>
    <t>Tier II: undertake, construct, test, modify, process  Tier III: Exothermic, endothermic, thermal energy, chemical process, design project</t>
  </si>
  <si>
    <r>
      <rPr>
        <rFont val="Atkinson Hyperlegible Next"/>
        <color rgb="FF1155CC"/>
        <sz val="12.0"/>
        <u/>
      </rPr>
      <t>Science Buddies: Exothermic &amp; Endothermic Reactions</t>
    </r>
    <r>
      <rPr>
        <rFont val="Atkinson Hyperlegible Next"/>
        <color rgb="FF434343"/>
        <sz val="12.0"/>
      </rPr>
      <t xml:space="preserve">, </t>
    </r>
    <r>
      <rPr>
        <rFont val="Atkinson Hyperlegible Next"/>
        <color rgb="FF1155CC"/>
        <sz val="12.0"/>
        <u/>
      </rPr>
      <t>ACS: An Endothermic Reaction</t>
    </r>
  </si>
  <si>
    <t>Cold is a substance that is added, not the absence of heat; all chemical reactions release heat.</t>
  </si>
  <si>
    <t>Labs: Hot/cold pack lab investigation  Scaffolds: Design brief, Engineering design process worksheet.</t>
  </si>
  <si>
    <t>STD-MS-PS2-1</t>
  </si>
  <si>
    <t>Apply Newton’s Third Law to design a solution to a problem involving the motion of two colliding objects.</t>
  </si>
  <si>
    <t>PS2.A</t>
  </si>
  <si>
    <t>Forces and Motion</t>
  </si>
  <si>
    <t>I can use Newton's Third Law to design a solution for a collision problem.</t>
  </si>
  <si>
    <t>Prior: A push or a pull is a force. Future: Vector analysis of forces and conservation of momentum.</t>
  </si>
  <si>
    <t>Clarification: Examples of design solutions could include safer football helmets, improved bumpers on cars, or bubble wrap packaging.  Assessment Boundary: Assessment is limited to qualitative applications of Newton's Third Law.</t>
  </si>
  <si>
    <t>When you push against a wall, why don't you go through it? How can a rocket move forward in the vacuum of space where there is nothing to push against?</t>
  </si>
  <si>
    <t>Tier II: apply, design, solution, involve, motion  Tier III: Newton's Third Law, force, action-reaction pair, interaction, collision</t>
  </si>
  <si>
    <r>
      <rPr>
        <rFont val="Atkinson Hyperlegible Next"/>
        <color rgb="FF1155CC"/>
        <sz val="12.0"/>
        <u/>
      </rPr>
      <t>PhET: Forces and Motion</t>
    </r>
    <r>
      <rPr>
        <rFont val="Atkinson Hyperlegible Next"/>
        <color rgb="FF434343"/>
        <sz val="12.0"/>
      </rPr>
      <t xml:space="preserve">, </t>
    </r>
    <r>
      <rPr>
        <rFont val="Atkinson Hyperlegible Next"/>
        <color rgb="FF1155CC"/>
        <sz val="12.0"/>
        <u/>
      </rPr>
      <t>NASA: Newton's Laws of Motion</t>
    </r>
  </si>
  <si>
    <t>The "reaction" force is a result of the "action" force and happens later; bigger objects exert more force in a collision.</t>
  </si>
  <si>
    <t>Labs: Collision cart lab  Activities: Design challenge (e.g., egg drop)  Scaffolds: Force pair diagrams.</t>
  </si>
  <si>
    <t>STD-MS-PS2-2</t>
  </si>
  <si>
    <t>Plan an investigation to provide evidence that the change in an object’s motion depends on the sum of the forces on the object and the mass of the object.</t>
  </si>
  <si>
    <t>I can plan an experiment to show how force and mass affect an object's motion.</t>
  </si>
  <si>
    <t>Prior: Pushing something harder makes it go faster. Future: Quantitative problem solving using F=ma.</t>
  </si>
  <si>
    <t>Clarification: Emphasis is on the conceptual understanding of the relationship between force, mass, and acceleration (Newton's Second Law).  Assessment Boundary: Assessment is limited to qualitative and conceptual descriptions of the relationship.</t>
  </si>
  <si>
    <t>Why is it harder to push a car than a bicycle? If you push a bowling ball and a tennis ball with the same force, why does the tennis ball go faster?</t>
  </si>
  <si>
    <t>Tier II: plan, provide, evidence, depend, change  Tier III: Force, mass, acceleration, motion, inertia, Newton's Second Law</t>
  </si>
  <si>
    <r>
      <rPr>
        <rFont val="Atkinson Hyperlegible Next"/>
        <color rgb="FF1155CC"/>
        <sz val="12.0"/>
        <u/>
      </rPr>
      <t>PhET: Force and Motion - Basics</t>
    </r>
    <r>
      <rPr>
        <rFont val="Atkinson Hyperlegible Next"/>
        <color rgb="FF434343"/>
        <sz val="12.0"/>
      </rPr>
      <t xml:space="preserve">, </t>
    </r>
    <r>
      <rPr>
        <rFont val="Atkinson Hyperlegible Next"/>
        <color rgb="FF1155CC"/>
        <sz val="12.0"/>
        <u/>
      </rPr>
      <t>Exploratorium: Science of Cycling</t>
    </r>
  </si>
  <si>
    <t>Force is a property of an object; if an object is moving, there is a force acting on it; heavier objects fall faster.</t>
  </si>
  <si>
    <t>Labs: Lab worksheet with procedures for investigating force/mass  Scaffolds: Variable/Constant chart, Sentence frames for hypothesis.</t>
  </si>
  <si>
    <t>STD-MS-PS2-3</t>
  </si>
  <si>
    <t>Ask questions about data to determine the factors that affect the strength of electric and magnetic forces.</t>
  </si>
  <si>
    <t>PS2.B</t>
  </si>
  <si>
    <t>Types of Interactions</t>
  </si>
  <si>
    <t>I can ask questions about data to figure out what affects the strength of electric and magnetic forces.</t>
  </si>
  <si>
    <t>6.2, 8.3</t>
  </si>
  <si>
    <t>Prior: Magnets can stick to some things; static electricity can make hair stand up. Future: Coulomb's Law and the relationship between electricity and magnetism (electromagnetism).</t>
  </si>
  <si>
    <t>Clarification: Examples of data could include the effect of the number of turns of wire on an electromagnet or the effect of increasing the distance between charged objects.  Assessment Boundary: Assessment is limited to proportional reasoning.</t>
  </si>
  <si>
    <t>How can you make an electromagnet stronger? Why does a magnet stick to a refrigerator but not to a wooden door?</t>
  </si>
  <si>
    <t>Tier II: ask, determine, factor, affect, strength  Tier III: Electric force, magnetic force, distance, charge, electromagnet</t>
  </si>
  <si>
    <r>
      <rPr>
        <rFont val="Atkinson Hyperlegible Next"/>
        <color rgb="FF1155CC"/>
        <sz val="12.0"/>
        <u/>
      </rPr>
      <t>PhET: Magnets and Electromagnets</t>
    </r>
    <r>
      <rPr>
        <rFont val="Atkinson Hyperlegible Next"/>
        <color rgb="FF434343"/>
        <sz val="12.0"/>
      </rPr>
      <t xml:space="preserve">, </t>
    </r>
    <r>
      <rPr>
        <rFont val="Atkinson Hyperlegible Next"/>
        <color rgb="FF1155CC"/>
        <sz val="12.0"/>
        <u/>
      </rPr>
      <t>PhET: John Travoltage</t>
    </r>
  </si>
  <si>
    <t>All metals are magnetic; magnetic fields are visible lines; electric and magnetic forces are separate and unrelated.</t>
  </si>
  <si>
    <t>Labs: Electromagnet lab with data collection  Demonstrations: Static electricity demonstrations  Scaffolds: QFT worksheet.</t>
  </si>
  <si>
    <t>STD-MS-PS2-4</t>
  </si>
  <si>
    <t>MS-PS2-4</t>
  </si>
  <si>
    <t>Construct and present arguments using evidence to support the claim that gravitational interactions are attractive and depend on the masses of interacting objects.</t>
  </si>
  <si>
    <t>I can argue from evidence that gravity is an attractive force that depends on mass.</t>
  </si>
  <si>
    <t>Prior: Things fall to the ground because of gravity. Future: Newton's Law of Universal Gravitation and its mathematical application.</t>
  </si>
  <si>
    <t>Clarification: Emphasis is on the attractive nature of gravity and the role of mass in gravitational interactions.  Assessment Boundary: Assessment does not include Newton’s Law of Universal Gravitation or formulaic calculations.</t>
  </si>
  <si>
    <t>Why do you fall back to Earth when you jump, instead of floating off into space? Why does the Moon orbit the Earth, and the Earth orbit the Sun?</t>
  </si>
  <si>
    <t>Tier II: construct, present, argument, support, claim  Tier III: Gravitational interaction, attractive force, mass, evidence</t>
  </si>
  <si>
    <r>
      <rPr>
        <rFont val="Atkinson Hyperlegible Next"/>
        <color rgb="FF1155CC"/>
        <sz val="12.0"/>
        <u/>
      </rPr>
      <t>PhET: Gravity Force Lab</t>
    </r>
    <r>
      <rPr>
        <rFont val="Atkinson Hyperlegible Next"/>
        <color rgb="FF434343"/>
        <sz val="12.0"/>
      </rPr>
      <t xml:space="preserve">, </t>
    </r>
    <r>
      <rPr>
        <rFont val="Atkinson Hyperlegible Next"/>
        <color rgb="FF1155CC"/>
        <sz val="12.0"/>
        <u/>
      </rPr>
      <t>PhET: Gravity and Orbits</t>
    </r>
  </si>
  <si>
    <t>Gravity is caused by Earth's spin; there is no gravity on the Moon or in space; heavier objects fall faster.</t>
  </si>
  <si>
    <t>Data: Gravity simulation data  Scaffolds: CER template, Debate prep worksheet.</t>
  </si>
  <si>
    <t>STD-MS-PS2-5</t>
  </si>
  <si>
    <t>Conduct an investigation and evaluate the experimental design to provide evidence that fields exist between objects exerting forces on each other even though the objects are not in contact.</t>
  </si>
  <si>
    <t>I can investigate to find evidence that force fields (magnetic, electric, gravitational) exist between objects not touching.</t>
  </si>
  <si>
    <t>Prior: Magnets and static electricity can push or pull without touching. Future: Field equations (e.g., Maxwell's equations) and the concept of fields as fundamental properties of spacetime.</t>
  </si>
  <si>
    <t>Clarification: Examples could include the interactions of magnets, electrically-charged strips of tape, and objects subjected to gravitational forces.  Assessment Boundary: Assessment is limited to evidence that demonstrates the existence of fields.</t>
  </si>
  <si>
    <t>How can a magnet move a paperclip without touching it? How can your hair stand on end when you take off a wool hat, even if the hat isn't touching it anymore?</t>
  </si>
  <si>
    <t>Tier II: conduct, evaluate, design, provide, evidence  Tier III: Field, force field, magnetic field, electric field, gravitational field, non-contact force</t>
  </si>
  <si>
    <r>
      <rPr>
        <rFont val="Atkinson Hyperlegible Next"/>
        <color rgb="FF1155CC"/>
        <sz val="12.0"/>
        <u/>
      </rPr>
      <t>PhET: Magnets and Electromagnets</t>
    </r>
    <r>
      <rPr>
        <rFont val="Atkinson Hyperlegible Next"/>
        <color rgb="FF434343"/>
        <sz val="12.0"/>
      </rPr>
      <t xml:space="preserve">, </t>
    </r>
    <r>
      <rPr>
        <rFont val="Atkinson Hyperlegible Next"/>
        <color rgb="FF1155CC"/>
        <sz val="12.0"/>
        <u/>
      </rPr>
      <t>Exploratorium: Science of Static Electricity</t>
    </r>
  </si>
  <si>
    <t>Forces only exist when objects are touching; magnetic fields are 2D flat patterns; fields are physical substances.</t>
  </si>
  <si>
    <t>Labs: Iron filings/magnet lab, Electroscope demonstration  Scaffolds: Experimental design critique worksheet.</t>
  </si>
  <si>
    <t>STD-MS-PS3-1</t>
  </si>
  <si>
    <t>Construct and interpret graphical displays of data to describe the relationships of kinetic energy to the mass of an object and to the speed of an object.</t>
  </si>
  <si>
    <t>PS3.A</t>
  </si>
  <si>
    <t>Definitions of Energy</t>
  </si>
  <si>
    <t>I can use graphs to explain how an object's mass and speed are related to its kinetic energy.</t>
  </si>
  <si>
    <t>Prior: Moving things have energy. Future: The mathematical formula for kinetic energy (KE = 1/2mv^2) and its application in calculations.</t>
  </si>
  <si>
    <t>1</t>
  </si>
  <si>
    <t>Clarification: Emphasis is on the relationship between kinetic energy and the mass and speed of an object.  Assessment Boundary: Assessment does not include calculations of kinetic energy.</t>
  </si>
  <si>
    <t>If a car and a truck are going the same speed, which one has more energy? Why does a baseball thrown gently have less energy than one thrown by a professional pitcher?</t>
  </si>
  <si>
    <t>Tier II: construct, interpret, describe, relationship  Tier III: Kinetic energy, mass, speed, graphical display</t>
  </si>
  <si>
    <r>
      <rPr>
        <rFont val="Atkinson Hyperlegible Next"/>
        <color rgb="FF1155CC"/>
        <sz val="12.0"/>
        <u/>
      </rPr>
      <t>PhET: Energy Skate Park</t>
    </r>
    <r>
      <rPr>
        <rFont val="Atkinson Hyperlegible Next"/>
        <color rgb="FF434343"/>
        <sz val="12.0"/>
      </rPr>
      <t xml:space="preserve">, </t>
    </r>
    <r>
      <rPr>
        <rFont val="Atkinson Hyperlegible Next"/>
        <color rgb="FF1155CC"/>
        <sz val="12.0"/>
        <u/>
      </rPr>
      <t>The Physics Classroom: Kinetic Energy</t>
    </r>
  </si>
  <si>
    <t>Energy and force are the same thing; speed and mass have an equal effect on kinetic energy.</t>
  </si>
  <si>
    <t>Labs: Ramp/ball lab with data collection  Tools: Graphing software/paper  Scaffolds: Data analysis worksheet.</t>
  </si>
  <si>
    <t>STD-MS-PS3-2</t>
  </si>
  <si>
    <t>MS-PS3-2</t>
  </si>
  <si>
    <t>Develop a model to describe that when the arrangement of objects interacting at a distance changes, different amounts of potential energy are stored in the system.</t>
  </si>
  <si>
    <t>I can model how potential energy changes when the position of interacting objects changes.</t>
  </si>
  <si>
    <t>Prior: Energy can be stored. Future: Calculating potential energy (e.g., PE = mgh) and understanding potential energy in different contexts (chemical, elastic).</t>
  </si>
  <si>
    <t>Clarification: Emphasis is on the conceptual understanding that potential energy is stored in a system of interacting objects.  Assessment Boundary: Assessment is limited to systems of objects interacting at a distance.</t>
  </si>
  <si>
    <t>Why does a stretched rubber band have energy? Why is there more potential energy in a book on a high shelf than on a low shelf?</t>
  </si>
  <si>
    <t>Tier II: develop, model, describe, change, store  Tier III: Potential energy, stored energy, system, interaction, arrangement, position</t>
  </si>
  <si>
    <r>
      <rPr>
        <rFont val="Atkinson Hyperlegible Next"/>
        <color rgb="FF1155CC"/>
        <sz val="12.0"/>
        <u/>
      </rPr>
      <t>PhET: Energy Skate Park</t>
    </r>
    <r>
      <rPr>
        <rFont val="Atkinson Hyperlegible Next"/>
        <color rgb="FF434343"/>
        <sz val="12.0"/>
      </rPr>
      <t xml:space="preserve">, </t>
    </r>
    <r>
      <rPr>
        <rFont val="Atkinson Hyperlegible Next"/>
        <color rgb="FF1155CC"/>
        <sz val="12.0"/>
        <u/>
      </rPr>
      <t>The Physics Classroom: Potential Energy</t>
    </r>
  </si>
  <si>
    <t>Potential energy is something an object has by itself, not as part of a system; energy is only present when things are moving.</t>
  </si>
  <si>
    <t>Simulations: Roller coaster simulation  Models: Stretched rubber band model  Scaffolds: Diagram templates.</t>
  </si>
  <si>
    <t>STD-MS-PS3-3</t>
  </si>
  <si>
    <t>Apply scientific principles to design, construct, and test a device that either minimizes or maximizes thermal energy transfer.</t>
  </si>
  <si>
    <t>I can design and test a device to minimize or maximize heat transfer (like an insulator or conductor).</t>
  </si>
  <si>
    <t>6.2, 7.2, 7.3</t>
  </si>
  <si>
    <t>Prior: Some materials keep things hot or cold. Future: Quantitative analysis of heat transfer (R-values) and thermodynamic efficiency.</t>
  </si>
  <si>
    <t>Clarification: Examples of devices could include an insulated box, a solar cooker, or a Styrofoam cup.  Assessment Boundary: N/A</t>
  </si>
  <si>
    <t>How does a thermos keep hot drinks hot and cold drinks cold? How can we design a container to keep an ice cube from melting for as long as possible?</t>
  </si>
  <si>
    <t>Tier II: apply, design, construct, test, minimize, maximize  Tier III: Thermal energy transfer, conduction, convection, radiation, insulator, conductor</t>
  </si>
  <si>
    <r>
      <rPr>
        <rFont val="Atkinson Hyperlegible Next"/>
        <color rgb="FF1155CC"/>
        <sz val="12.0"/>
        <u/>
      </rPr>
      <t>Science Buddies: Keeping It Cool</t>
    </r>
    <r>
      <rPr>
        <rFont val="Atkinson Hyperlegible Next"/>
        <color rgb="FF434343"/>
        <sz val="12.0"/>
      </rPr>
      <t xml:space="preserve">, </t>
    </r>
    <r>
      <rPr>
        <rFont val="Atkinson Hyperlegible Next"/>
        <color rgb="FF1155CC"/>
        <sz val="12.0"/>
        <u/>
      </rPr>
      <t>The Physics Classroom: Thermal Physics</t>
    </r>
  </si>
  <si>
    <t>Cold can be transferred; some materials (like sweaters) create heat; metals are always cold.</t>
  </si>
  <si>
    <t>Activities: Insulated container design challenge  Scaffolds: Engineering design process worksheet.</t>
  </si>
  <si>
    <t>STD-MS-PS3-4</t>
  </si>
  <si>
    <t>Plan an investigation to determine the relationships among the energy transferred, the type of matter, the mass, and the change in the average kinetic energy of the particles as measured by the temperature of the sample.</t>
  </si>
  <si>
    <t>I can plan an investigation to see how heat transfer is related to mass, material type, and temperature change.</t>
  </si>
  <si>
    <t>6.2, 7.2</t>
  </si>
  <si>
    <t>Prior: Temperature measures how hot or cold something is. Future: The mathematical relationship Q=mcΔT and calorimetry.</t>
  </si>
  <si>
    <t>Clarification: Examples of investigations could include comparing the temperature change of different masses of water heated for the same amount of time.  Assessment Boundary: Assessment does not include the calculation of specific heat.</t>
  </si>
  <si>
    <t>If you heat a pot of soup and a pot of water on the stove for the same amount of time, why might they end up at different temperatures?</t>
  </si>
  <si>
    <t>Tier II: plan, determine, relationship, among, change  Tier III: Energy transfer, specific heat, mass, temperature, average kinetic energy</t>
  </si>
  <si>
    <r>
      <rPr>
        <rFont val="Atkinson Hyperlegible Next"/>
        <color rgb="FF1155CC"/>
        <sz val="12.0"/>
        <u/>
      </rPr>
      <t>The Physics Classroom: Heat and Temperature</t>
    </r>
    <r>
      <rPr>
        <rFont val="Atkinson Hyperlegible Next"/>
        <color rgb="FF434343"/>
        <sz val="12.0"/>
      </rPr>
      <t xml:space="preserve">, </t>
    </r>
    <r>
      <rPr>
        <rFont val="Atkinson Hyperlegible Next"/>
        <color rgb="FF1155CC"/>
        <sz val="12.0"/>
        <u/>
      </rPr>
      <t>Steve Spangler Science: Heat Transfer</t>
    </r>
  </si>
  <si>
    <t>Heat and temperature are the same thing; all substances heat up at the same rate.</t>
  </si>
  <si>
    <t>Scaffolds: Specific heat lab design worksheet, Variable identification chart.</t>
  </si>
  <si>
    <t>STD-MS-PS3-5</t>
  </si>
  <si>
    <t>MS-PS3-5</t>
  </si>
  <si>
    <t>Construct, use, and present arguments to support the claim that when the kinetic energy of an object changes, energy is transferred to or from the object.</t>
  </si>
  <si>
    <t>PS3.B</t>
  </si>
  <si>
    <t>Conservation of Energy and Energy Transfer</t>
  </si>
  <si>
    <t>I can argue that a change in an object's kinetic energy means energy was transferred.</t>
  </si>
  <si>
    <t>Prior: Energy makes things happen. Future: Work-energy theorem and quantitative calculations of energy transformations and conservation.</t>
  </si>
  <si>
    <t>Clarification: Examples of arguments could include an object slowing down, a roller coaster moving down a hill, or a ball bouncing.  Assessment Boundary: Assessment does not include calculations of energy.</t>
  </si>
  <si>
    <t>When a car brakes, its motion energy decreases. Where does that energy go? When a ball bounces, why does each bounce get lower and lower?</t>
  </si>
  <si>
    <t>Tier II: construct, use, present, argument, support, claim  Tier III: Conservation of energy, energy transfer, kinetic energy, potential energy</t>
  </si>
  <si>
    <r>
      <rPr>
        <rFont val="Atkinson Hyperlegible Next"/>
        <color rgb="FF1155CC"/>
        <sz val="12.0"/>
        <u/>
      </rPr>
      <t>PhET: Energy Skate Park</t>
    </r>
    <r>
      <rPr>
        <rFont val="Atkinson Hyperlegible Next"/>
        <color rgb="FF434343"/>
        <sz val="12.0"/>
      </rPr>
      <t xml:space="preserve">, </t>
    </r>
    <r>
      <rPr>
        <rFont val="Atkinson Hyperlegible Next"/>
        <color rgb="FF1155CC"/>
        <sz val="12.0"/>
        <u/>
      </rPr>
      <t>The Physics Classroom: Conservation of Energy</t>
    </r>
  </si>
  <si>
    <t>Energy can be used up or disappear; energy is not conserved in everyday situations (like a bouncing ball).</t>
  </si>
  <si>
    <t>Visuals: Energy transfer diagrams (e.g., bouncing ball, pendulum)  Scaffolds: CER template.</t>
  </si>
  <si>
    <t>STD-MS-PS4-1</t>
  </si>
  <si>
    <t>MS-PS4-1</t>
  </si>
  <si>
    <t>Use mathematical representations to describe a simple model for waves that includes how the amplitude of a wave is related to the energy in a wave.</t>
  </si>
  <si>
    <t>PS4.A</t>
  </si>
  <si>
    <t>Wave Properties</t>
  </si>
  <si>
    <t>I can use math to describe how a wave's amplitude is related to its energy.</t>
  </si>
  <si>
    <t>6.1, 8.2</t>
  </si>
  <si>
    <t>Prior: Waves can be seen in water. Future: The universal wave equation (v=fλ) and trigonometric representations of waves.</t>
  </si>
  <si>
    <t>Clarification: Emphasis is on the relationship between amplitude and energy.  Assessment Boundary: Assessment does not include trigonometric representations of waves.</t>
  </si>
  <si>
    <t>How can a tiny ripple in a pond have less energy than a giant ocean wave?</t>
  </si>
  <si>
    <t>Tier II: use, describe, simple, model, include, relate  Tier III: Wave, amplitude, energy, mathematical representation, pattern</t>
  </si>
  <si>
    <r>
      <rPr>
        <rFont val="Atkinson Hyperlegible Next"/>
        <color rgb="FF1155CC"/>
        <sz val="12.0"/>
        <u/>
      </rPr>
      <t>PhET: Wave on a String</t>
    </r>
    <r>
      <rPr>
        <rFont val="Atkinson Hyperlegible Next"/>
        <color rgb="FF434343"/>
        <sz val="12.0"/>
      </rPr>
      <t xml:space="preserve">, </t>
    </r>
    <r>
      <rPr>
        <rFont val="Atkinson Hyperlegible Next"/>
        <color rgb="FF1155CC"/>
        <sz val="12.0"/>
        <u/>
      </rPr>
      <t>The Physics Classroom: Waves</t>
    </r>
  </si>
  <si>
    <t>Wave energy depends on speed, not amplitude; waves transport matter, not just energy.</t>
  </si>
  <si>
    <t>Labs: Slinky wave lab  Tools: Wave simulation software  Scaffolds: Calculation worksheets (for proportional reasoning).</t>
  </si>
  <si>
    <t>STD-MS-PS4-2</t>
  </si>
  <si>
    <t>MS-PS4-2</t>
  </si>
  <si>
    <t>Develop and use a model to describe that waves are reflected, absorbed, or transmitted through various materials.</t>
  </si>
  <si>
    <t>I can model how waves are reflected, absorbed, or transmitted by different materials.</t>
  </si>
  <si>
    <t>Prior: Light goes through windows but not walls. Future: Snell's Law, index of refraction, and the physics of diffraction.</t>
  </si>
  <si>
    <t>Clarification: Emphasis is on the interaction of waves with matter.  Assessment Boundary: Assessment is limited to qualitative descriptions.</t>
  </si>
  <si>
    <t>Why can you see your reflection in a mirror but not in a brick wall? Why does a black shirt get hotter in the sun than a white shirt?</t>
  </si>
  <si>
    <t>Tier II: develop, use, model, describe, various  Tier III: Reflection, absorption, transmission, wave, matter, medium</t>
  </si>
  <si>
    <r>
      <rPr>
        <rFont val="Atkinson Hyperlegible Next"/>
        <color rgb="FF1155CC"/>
        <sz val="12.0"/>
        <u/>
      </rPr>
      <t>PhET: Bending Light</t>
    </r>
    <r>
      <rPr>
        <rFont val="Atkinson Hyperlegible Next"/>
        <color rgb="FF434343"/>
        <sz val="12.0"/>
      </rPr>
      <t xml:space="preserve">, </t>
    </r>
    <r>
      <rPr>
        <rFont val="Atkinson Hyperlegible Next"/>
        <color rgb="FF1155CC"/>
        <sz val="12.0"/>
        <u/>
      </rPr>
      <t>The Physics Classroom: Reflection, Refraction, and Diffraction</t>
    </r>
  </si>
  <si>
    <t>We see objects because light travels from our eyes to the object; absorption means the wave disappears completely.</t>
  </si>
  <si>
    <t>Labs: Lightbox/prism lab, Sound absorption investigation  Scaffolds: Ray diagrams.</t>
  </si>
  <si>
    <t>STD-MS-PS4-3</t>
  </si>
  <si>
    <t>MS-PS4-3</t>
  </si>
  <si>
    <t>Integrate qualitative scientific and technical information to support the claim that digitized signals are a more reliable way to encode and transmit information than analog signals.</t>
  </si>
  <si>
    <t>PS4.C</t>
  </si>
  <si>
    <t>Information Technologies and Instrumentation</t>
  </si>
  <si>
    <t>I can combine information to support the claim that digital signals are more reliable than analog.</t>
  </si>
  <si>
    <t>Prior: Information can be stored in different ways (books, records). Future: Binary code, data compression algorithms, and signal processing.</t>
  </si>
  <si>
    <t>Clarification: Emphasis is on the advantages of digital signals.  Assessment Boundary: Assessment is limited to qualitative information.</t>
  </si>
  <si>
    <t>Why is a digital music file clearer and more reliable than an old cassette tape? How can a scratched CD still play perfectly, but a scratched vinyl record sounds terrible?</t>
  </si>
  <si>
    <t>Tier II: integrate, qualitative, technical, information, support, claim  Tier III: Digital signal, analog signal, encode, transmit, reliability, technology</t>
  </si>
  <si>
    <r>
      <rPr>
        <rFont val="Atkinson Hyperlegible Next"/>
        <color rgb="FF1155CC"/>
        <sz val="12.0"/>
        <u/>
      </rPr>
      <t>Code.org: Analog vs. Digital</t>
    </r>
    <r>
      <rPr>
        <rFont val="Atkinson Hyperlegible Next"/>
        <color rgb="FF434343"/>
        <sz val="12.0"/>
      </rPr>
      <t xml:space="preserve">, </t>
    </r>
    <r>
      <rPr>
        <rFont val="Atkinson Hyperlegible Next"/>
        <color rgb="FF1155CC"/>
        <sz val="12.0"/>
        <u/>
      </rPr>
      <t>PBS LearningMedia: Analog and Digital Signals</t>
    </r>
  </si>
  <si>
    <t>Digital signals are perfect copies with no information loss; analog is "old" and therefore bad.</t>
  </si>
  <si>
    <t>Activities: Jigsaw activity on analog vs. digital pros/cons  Media: Articles/videos comparing the technologies  Scaffolds: Pros/Cons T-chart.</t>
  </si>
  <si>
    <t>STD-MS-ETS1-1</t>
  </si>
  <si>
    <t>MS-ETS1-1</t>
  </si>
  <si>
    <t>Define the criteria and constraints of a design problem with sufficient precision to ensure a successful solution, taking into account relevant scientific principles and potential impacts on people and the natural environment that may limit possible solutions.</t>
  </si>
  <si>
    <t>ETS1.A</t>
  </si>
  <si>
    <t>Defining and Delimiting Engineering Problems</t>
  </si>
  <si>
    <t>I can clearly define the criteria and constraints of a design problem.</t>
  </si>
  <si>
    <t>Prior: Following directions to build something. Future: Application of advanced scientific principles and mathematical models in complex engineering challenges.</t>
  </si>
  <si>
    <t>1, 2, 4</t>
  </si>
  <si>
    <t>Clarification: Examples of criteria include: design must meet size constraints, cost constraints, and environmental constraints.
Assessment Boundary: N/A</t>
  </si>
  <si>
    <t>How can we design a water filter using simple materials that can provide clean drinking water for a community after a flood? Our school playground gets too hot in the summer; how can we design a shade structure that is inexpensive, safe, and uses sustainable materials?</t>
  </si>
  <si>
    <t>Tier II: define, criteria, constraints, ensure, successful, solution  Tier III: Design problem, engineering, impact, scientific principle</t>
  </si>
  <si>
    <r>
      <rPr>
        <rFont val="Atkinson Hyperlegible Next"/>
        <color rgb="FF1155CC"/>
        <sz val="12.0"/>
        <u/>
      </rPr>
      <t>The Tech Interactive: Design Challenge Lessons</t>
    </r>
    <r>
      <rPr>
        <rFont val="Atkinson Hyperlegible Next"/>
        <color rgb="FF434343"/>
        <sz val="12.0"/>
      </rPr>
      <t xml:space="preserve">, </t>
    </r>
    <r>
      <rPr>
        <rFont val="Atkinson Hyperlegible Next"/>
        <color rgb="FF1155CC"/>
        <sz val="12.0"/>
        <u/>
      </rPr>
      <t>PBS Design Squad Global</t>
    </r>
  </si>
  <si>
    <t>Engineering is just building things without a plan; there is only one right way to solve a problem.</t>
  </si>
  <si>
    <t>Scaffolds: Design brief template, Brainstorming graphic organizers (mind map, lotus diagram).</t>
  </si>
  <si>
    <t>STD-MS-ETS1-2</t>
  </si>
  <si>
    <t>MS-ETS1-2</t>
  </si>
  <si>
    <t>Evaluate competing design solutions using a systematic process to determine how well they meet the criteria and constraints of the problem.</t>
  </si>
  <si>
    <t>ETS1.B</t>
  </si>
  <si>
    <t>Developing Possible Solutions</t>
  </si>
  <si>
    <t>I can evaluate different design solutions to see how well they meet the project's goals.</t>
  </si>
  <si>
    <t>6.5, 7.6, 8.1</t>
  </si>
  <si>
    <t>Prior: Defining design problems (ETS1-1). Future: Optimizing designs through iteration (ETS1-4). This standard builds evaluation skills needed across all engineering contexts.</t>
  </si>
  <si>
    <t>Clarification: Examples of design solutions could include model cars, rockets, or structures. Systematic processes include decision matrices or weighted scoring. 
Assessment Boundary: Assessment is limited to qualitative evaluation of design solutions.</t>
  </si>
  <si>
    <t>We have three different designs for a new recycling bin for our classroom. Which one is the best, considering cost, ease of use, and the amount it can hold? Two companies have proposed different solutions to reduce traffic noise near our school. How do we decide which plan is better for the community and the environment?</t>
  </si>
  <si>
    <t>Tier II: evaluate, competing, systematic, process, determine  Tier III: Design solution, decision matrix, trade-offs, optimize</t>
  </si>
  <si>
    <r>
      <rPr>
        <rFont val="Atkinson Hyperlegible Next"/>
        <color rgb="FF1155CC"/>
        <sz val="12.0"/>
        <u/>
      </rPr>
      <t>NASA Engineering Design Process</t>
    </r>
    <r>
      <rPr>
        <rFont val="Atkinson Hyperlegible Next"/>
        <color rgb="FF434343"/>
        <sz val="12.0"/>
      </rPr>
      <t xml:space="preserve">, </t>
    </r>
    <r>
      <rPr>
        <rFont val="Atkinson Hyperlegible Next"/>
        <color rgb="FF1155CC"/>
        <sz val="12.0"/>
        <u/>
      </rPr>
      <t>TryEngineering.org</t>
    </r>
  </si>
  <si>
    <t>The best solution is always the cheapest or the fastest to build; evaluating is just picking your favorite.</t>
  </si>
  <si>
    <t>Scaffolds: Decision matrix worksheet, Rubric for evaluation, Peer feedback protocol.</t>
  </si>
  <si>
    <t>STD-MS-ETS1-3</t>
  </si>
  <si>
    <t>MS-ETS1-3</t>
  </si>
  <si>
    <t>Analyze data from tests to determine similarities and differences among several design solutions to identify the best characteristics of each that can be combined into a new solution to better meet the criteria for success.</t>
  </si>
  <si>
    <t>I can analyze test data to combine the best features of different designs into a better one.</t>
  </si>
  <si>
    <t>6.5, 7.2, 8.1</t>
  </si>
  <si>
    <t>Prior: Evaluating design solutions (ETS1-2). 
Future: Iterative testing and optimization (ETS1-4).
This standard emphasizes data-driven design improvement.</t>
  </si>
  <si>
    <t>Clarification: Examples could include testing different materials for insulation, wing designs for model airplanes, or blade designs for wind turbines. 
Assessment Boundary: Assessment is limited to qualitative analysis of test data.</t>
  </si>
  <si>
    <t>After testing three different paper airplane designs, what features from each made them fly far, straight, or do loops? How can we combine these best features into a new, "super" airplane? We tested different materials for insulating a model house. Based on the temperature data, what combination of materials would create the most energy-efficient home?</t>
  </si>
  <si>
    <t>Tier II: analyze, data, determine, similarities, differences, identify  Tier III: Prototype, iterate, optimize, test, characteristic, redesign, synthesis</t>
  </si>
  <si>
    <r>
      <rPr>
        <rFont val="Atkinson Hyperlegible Next"/>
        <color rgb="FF1155CC"/>
        <sz val="12.0"/>
        <u/>
      </rPr>
      <t>Science Buddies: Engineering Design Process</t>
    </r>
    <r>
      <rPr>
        <rFont val="Atkinson Hyperlegible Next"/>
        <color rgb="FF434343"/>
        <sz val="12.0"/>
      </rPr>
      <t xml:space="preserve">, </t>
    </r>
    <r>
      <rPr>
        <rFont val="Atkinson Hyperlegible Next"/>
        <color rgb="FF1155CC"/>
        <sz val="12.0"/>
        <u/>
      </rPr>
      <t>Instructables: Classroom Projects</t>
    </r>
  </si>
  <si>
    <t>If a design fails, it's a total loss; testing is only done at the very end of the process.</t>
  </si>
  <si>
    <t>Scaffolds: Data analysis tables, Venn diagram for comparison, Redesign worksheet.</t>
  </si>
  <si>
    <t>STD-MS-ETS1-4</t>
  </si>
  <si>
    <t>MS-ETS1-4</t>
  </si>
  <si>
    <t>Develop a model to generate data for iterative testing and modification of a proposed object, tool, or process such that an optimal design can be achieved.</t>
  </si>
  <si>
    <t>ETS1.C</t>
  </si>
  <si>
    <t>Optimizing the Design Solution</t>
  </si>
  <si>
    <t>I can develop a model to test and improve a design until it is optimal.</t>
  </si>
  <si>
    <t>Prior: Testing and evaluating designs (ETS1-2, ETS1-3).
Future: Application of iterative design in domain-specific engineering challenges.
This standard emphasizes modeling as a design tool.</t>
  </si>
  <si>
    <t>Clarification: Examples of models may include physical models, computer simulations, or mathematical models. 
Assessment Boundary: Assessment is limited to qualitative descriptions of models used for iterative testing.</t>
  </si>
  <si>
    <t>How can we use a computer simulation to test hundreds of different wing shapes for our model rocket without having to build each one? Before we build a full-size bridge, how can we build and test a small-scale model to find and fix its weak points?</t>
  </si>
  <si>
    <t>Tier II: develop, model, generate, data, iterative, modification, achieve  Tier III: Simulation, optimal design, prototype, testing</t>
  </si>
  <si>
    <r>
      <rPr>
        <rFont val="Atkinson Hyperlegible Next"/>
        <color rgb="FF1155CC"/>
        <sz val="12.0"/>
        <u/>
      </rPr>
      <t>Tinkercad: 3D Design &amp; Circuits</t>
    </r>
    <r>
      <rPr>
        <rFont val="Atkinson Hyperlegible Next"/>
        <color rgb="FF434343"/>
        <sz val="12.0"/>
      </rPr>
      <t xml:space="preserve">, </t>
    </r>
    <r>
      <rPr>
        <rFont val="Atkinson Hyperlegible Next"/>
        <color rgb="FF1155CC"/>
        <sz val="12.0"/>
        <u/>
      </rPr>
      <t>PhET Interactive Simulations</t>
    </r>
  </si>
  <si>
    <t>A model has to be a physical object; the first design should be the final design.</t>
  </si>
  <si>
    <t>Tools: Prototyping materials (cardboard, tape, etc.), Simulation software  Scaffolds: Prototype testing log, Iterative design cycle diagram.</t>
  </si>
  <si>
    <t>Number</t>
  </si>
  <si>
    <t>Discipline</t>
  </si>
  <si>
    <t>SubDiscipline</t>
  </si>
  <si>
    <t>Statement</t>
  </si>
  <si>
    <t>Physical Science</t>
  </si>
  <si>
    <t>Motion and Stability:  Forces and Interactions</t>
  </si>
  <si>
    <t>Kindergarten</t>
  </si>
  <si>
    <t>K-PS2-1</t>
  </si>
  <si>
    <t>Plan and conduct an investigation to compare the effects of different strengths or different directions of pushes and pulls on the motion of an object. [Clarification Statement:  Examples of pushes or pulls could include a string attached to an object being pulled, a person pushing an object, a person stopping a rolling ball, and two objects colliding and pushing on each other.] [Assessment Boundary:  Assessment is limited to different relative strengths or different directions, but not both at the same time. Assessment does not include non-contact pushes or pulls such as those produced by magnets.]</t>
  </si>
  <si>
    <t>K-PS2-2</t>
  </si>
  <si>
    <t>Analyze data to determine if a design solution works as intended to change the speed or direction of an object with a push or a pull.* [Clarification Statement: Examples of problems requiring a solution could include having a marble or other object move a certain distance, follow a particular path, and knock down other objects. Examples of solutions could include tools such as a ramp to increase the speed of the object and a structure that would cause an object such as a marble or ball to turn.] [Assessment Boundary: Assessment does not include friction as a mechanism for change in speed.]</t>
  </si>
  <si>
    <t>Energy</t>
  </si>
  <si>
    <t>K-PS3-1</t>
  </si>
  <si>
    <t>Make observations to determine the effect of sunlight on Earth’s surface. [Clarification Statement: Examples of Earth’s surface could include sand, soil, rocks, and water] [Assessment Boundary:  Assessment of temperature is limited to relative measures such as warmer/cooler.]</t>
  </si>
  <si>
    <t>K-PS3-2</t>
  </si>
  <si>
    <t>Use tools and materials to design and build a structure that will reduce the warming effect of sunlight on an area.*[Clarification Statement: Examples of structures could include umbrellas, canopies, and tents that minimize the warming effect of the sun.]Use tools and materials to design and build a structure that will reduce the warming effect of sunlight on an area.*[Clarification Statement: Examples of structures could include umbrellas, canopies, and tents that minimize the warming effect of the sun.]</t>
  </si>
  <si>
    <t>Life Science</t>
  </si>
  <si>
    <t>From Molecules to Organisms: Structures and Processes</t>
  </si>
  <si>
    <t>K-LS1-1</t>
  </si>
  <si>
    <t>Use observations to describe patterns of what plants and animals (including humans) need to survive. [Clarification Statement: Examples of patterns could include that animals need to take in food but plants do not; the different kinds of food needed by different types of animals; the requirement of plants to have light; and, that all living things need water.]</t>
  </si>
  <si>
    <t>Earth and Space Science</t>
  </si>
  <si>
    <t>Earth’s Systems</t>
  </si>
  <si>
    <t>K-ESS2-1</t>
  </si>
  <si>
    <t>Use and share observations of local weather conditions to describe patterns over time. [Clarification Statement: Examples of qualitative observations could include descriptions of the weather (such as sunny, cloudy, rainy, and warm); examples of quantitative observations could include numbers of sunny, windy, and rainy days in a month. Examples of patterns could include that it is usually cooler in the morning than in the afternoon and the number of sunny days versus cloudy days in different months.] [Assessment Boundary: Assessment of quantitative observations limited to whole numbers and relative measures such as warmer/cooler.]</t>
  </si>
  <si>
    <t>K-ESS2-2</t>
  </si>
  <si>
    <t>Construct an argument supported by evidence for how plants and animals (including humans) can change the environment to meet their needs. [Clarification Statement: Examples of plants and animals changing their environment could include a squirrel digs in the ground to hide its food and tree roots can break concrete.]</t>
  </si>
  <si>
    <t>Earth and Human Activity</t>
  </si>
  <si>
    <t>K-ESS3-1</t>
  </si>
  <si>
    <t>Use a model to represent the relationship between the needs of different plants or animals (including humans) and the places they live. [Clarification Statement: Examples of relationships could include that deer eat buds and leaves, therefore, they usually live in forested areas; and, grasses need sunlight so they often grow in meadows. Plants, animals, and their surroundings make up a system.]</t>
  </si>
  <si>
    <t>K-ESS3-2</t>
  </si>
  <si>
    <t>Ask questions to obtain information about the purpose of weather forecasting to prepare for, and respond to, severe weather.* [Clarification Statement: Emphasis is on local forms of severe weather.]</t>
  </si>
  <si>
    <t>K-ESS3-3</t>
  </si>
  <si>
    <t>Communicate solutions that will reduce the impact of humans on the land, water, air, and/or other living things in the local environment.*  [Clarification Statement: Examples of human impact on the land could include cutting trees to produce paper and using resources to produce bottles. Examples of solutions could include reusing paper and recycling cans and bottles.]</t>
  </si>
  <si>
    <t>Waves and their Applications in Technologies in Information Transfer</t>
  </si>
  <si>
    <t>First Grade</t>
  </si>
  <si>
    <t>1-PS4-1</t>
  </si>
  <si>
    <t>Plan and conduct investigations to provide evidence that vibrating materials can make sound and that sound can make materials vibrate. [Clarification Statement: Examples of vibrating materials that make sound could include tuning forks and plucking a stretched string. Examples of how sound can make matter vibrate could include holding a piece of paper near a speaker making sound and holding an object near a vibrating tuning fork.]</t>
  </si>
  <si>
    <t>1-PS4-2</t>
  </si>
  <si>
    <t>Make observations to construct an evidence-based account that objects can be seen only when illuminated.[Clarification Statement: Examples of observations could include those made in a completely dark room, a pinhole box, and a video of a cave explorer with a flashlight. Illumination could be from an external light source or by an object giving off its own light.]</t>
  </si>
  <si>
    <t>1-PS4-3</t>
  </si>
  <si>
    <t>Plan and conduct an investigation to determine the effect of placing objects made with different materials in the path of a beam of light. [Clarification Statement:  Examples of materials could include those that are transparent (such as clear plastic), translucent (such as wax paper), opaque (such as cardboard), and reflective (such as a mirror).] [Assessment Boundary: Assessment does not include the speed of light.]</t>
  </si>
  <si>
    <t>1-PS4-4</t>
  </si>
  <si>
    <t xml:space="preserve">Use tools and materials to design and build a device that uses light or sound to solve the problem of communicating over a distance.* [Clarification Statement: Examples of devices could include a light source to send signals, paper cup and string “telephones,” and a pattern of drum beats.] [Assessment Boundary: Assessment does not include technological details for how communication devices work.] </t>
  </si>
  <si>
    <t>1-LS1-1</t>
  </si>
  <si>
    <t>Use materials to design a solution to a human problem by mimicking how plants and/or animals use their external parts to help them survive, grow, and meet their needs.* [Clarification Statement: Examples of human problems that can be solved by mimicking plant or animal solutions could include designing clothing or equipment to protect bicyclists by mimicking turtle shells, acorn shells, and animal scales; stabilizing structures by mimicking animal tails and roots on plants; keeping out intruders by mimicking thorns on branches and animal quills; and, detecting intruders by mimicking eyes and ears.]</t>
  </si>
  <si>
    <t>1-LS1-2</t>
  </si>
  <si>
    <t>Read texts and use media to determine patterns in behavior of parents and offspring that help offspring survive.[Clarification Statement: Examples of patterns of behaviors could include the signals that offspring make (such as crying, cheeping, and other vocalizations) and the responses of the parents (such as feeding, comforting, and protecting the offspring).]</t>
  </si>
  <si>
    <t>Heredity: Inheritance and Variation of Traits</t>
  </si>
  <si>
    <t>1-LS3-1</t>
  </si>
  <si>
    <t>Make observations to construct an evidence-based account that young plants and animals are like, but not exactly like, their parents. [Clarification Statement: Examples of patterns could include features plants or animals share. Examples of observations could include leaves from the same kind of plant are the same shape but can differ in size; and, a particular breed of dog looks like its parents but is not exactly the same.] [Assessment Boundary:  Assessment does not include inheritance or animals that undergo metamorphosis or hybrids.]</t>
  </si>
  <si>
    <t>Earth's Place in the Universe</t>
  </si>
  <si>
    <t>1-ESS1-1</t>
  </si>
  <si>
    <t>Use observations of the sun, moon, and stars to describe patterns that can be predicted. [Clarification Statement: Examples of patterns could include that the sun and moon appear to rise in one part of the sky, move across the sky, and set; and stars other than our sun are visible at night but not during the day.] [Assessment Boundary: Assessment of star patterns is limited to stars being seen at night and not during the day.]</t>
  </si>
  <si>
    <t>1-ESS1-2</t>
  </si>
  <si>
    <t>Make observations at different times of year to relate the amount of daylight to the time of year. [Clarification Statement: Emphasis is on relative comparisons of the amount of daylight in the winter to the amount in the spring or fall.] [Assessment Boundary: Assessment is limited to relative amounts of daylight, not quantifying the hours or time of daylight.]</t>
  </si>
  <si>
    <t>Matter and its Interactions</t>
  </si>
  <si>
    <t>Second Grade</t>
  </si>
  <si>
    <t>2-PS1-1</t>
  </si>
  <si>
    <t>Plan and conduct an investigation to describe and classify different kinds of materials by their observable properties. [Clarification Statement: Observations could include color, texture, hardness, and flexibility. Patterns could include the similar properties that different materials share.]</t>
  </si>
  <si>
    <t>2-PS1-2</t>
  </si>
  <si>
    <t>Analyze data obtained from testing different materials to determine which materials have the properties that are best suited for an intended purpose.* [Clarification Statement: Examples of properties could include, strength, flexibility, hardness, texture, and absorbency.] [Assessment Boundary: Assessment of quantitative measurements is limited to length.]</t>
  </si>
  <si>
    <t>2-PS1-3</t>
  </si>
  <si>
    <t>Make observations to construct an evidence-based account of how an object made of a small set of pieces can be disassembled and made into a new object. [Clarification Statement: Examples of pieces could include blocks, building bricks, or other assorted small objects.]</t>
  </si>
  <si>
    <t>2-PS1-4</t>
  </si>
  <si>
    <t>Construct an argument with evidence that some changes caused by heating or cooling can be reversed and some cannot.  [Clarification Statement: Examples of reversible changes could include materials such as water and butter at different temperatures. Examples of irreversible changes could include cooking an egg, freezing a plant leaf, and heating paper.]</t>
  </si>
  <si>
    <t>Ecosystems: Interactions, Energy, and Dynamics</t>
  </si>
  <si>
    <t>2-LS2-1</t>
  </si>
  <si>
    <t>Plan and conduct an investigation to determine if plants need sunlight and water to grow. [Assessment Boundary:  Assessment is limited to testing one variable at a time.]</t>
  </si>
  <si>
    <t>2-LS2-2</t>
  </si>
  <si>
    <t>Develop a simple model that mimics the function of an animal in dispersing seeds or pollinating plants.*</t>
  </si>
  <si>
    <t>Biological Evolution: Unity and Diversity</t>
  </si>
  <si>
    <t>2- LS4-1</t>
  </si>
  <si>
    <t>Make observations of plants and animals to compare the diversity of life in different habitats. [Clarification Statement: Emphasis is on the diversity of living things in each of a variety of different habitats.] [Assessment Boundary: Assessment does not include specific animal and plant names in specific habitats.]</t>
  </si>
  <si>
    <t>2-ESS1-1</t>
  </si>
  <si>
    <t>Use information from several sources to provide evidence that Earth events can occur quickly or slowly.[Clarification Statement: Examples of events and timescales could include volcanic explosions and earthquakes, which happen quickly and erosion of rocks, which occurs slowly.] [Assessment Boundary:  Assessment does not include quantitative measurements of timescales.]</t>
  </si>
  <si>
    <t>Earth's Systems</t>
  </si>
  <si>
    <t>2-ESS2-1</t>
  </si>
  <si>
    <t>Compare multiple solutions designed to slow or prevent wind or water from changing the shape of the land.*[Clarification Statement: Examples of solutions could include different designs of dikes and windbreaks to hold back wind and water, and different designs for using shrubs, grass, and trees to hold back the land.]</t>
  </si>
  <si>
    <t>2-ESS2-2</t>
  </si>
  <si>
    <t>Develop a model to represent the shapes and kinds of land and bodies of water in an area. [Assessment Boundary: Assessment does not include quantitative scaling in models.]</t>
  </si>
  <si>
    <t>2-ESS2-3</t>
  </si>
  <si>
    <t>Obtain information to identify where water is found on Earth and that it can be solid or liquid.</t>
  </si>
  <si>
    <t>Engineering in the Sciences</t>
  </si>
  <si>
    <t>Engineering Design</t>
  </si>
  <si>
    <t>K-2-ETS1-1</t>
  </si>
  <si>
    <t>Ask questions, make observations, and gather information about a situation people want to change to define a simple problem that can be solved through the development of a new or improved object or tool.</t>
  </si>
  <si>
    <t>K-2-ETS1-2</t>
  </si>
  <si>
    <t>Develop a simple sketch, drawing, or physical model to illustrate how the shape of an object helps it function as needed to solve a given problem.</t>
  </si>
  <si>
    <t>K-2-ETS1-3</t>
  </si>
  <si>
    <t>Analyze data from tests of two objects designed to solve the same problem to compare the strengths and weaknesses of how each performs.</t>
  </si>
  <si>
    <t>Third Grade</t>
  </si>
  <si>
    <t>3-PS2-1</t>
  </si>
  <si>
    <t>Plan and conduct an investigation to provide evidence of the effects of balanced and unbalanced forces on the motion of an object. [Clarification Statement: Examples could include an unbalanced force on one side of a ball can make it start moving; and, balanced forces pushing on a box from both sides will not produce any motion at all.] [Assessment Boundary:  Assessment is limited to one variable at a time: number, size, or direction of forces. Assessment does not include quantitative force size, only qualitative and relative. Assessment is limited to gravity being addressed as a force that pulls objects down.]</t>
  </si>
  <si>
    <t>3-PS2-2</t>
  </si>
  <si>
    <t>Make observations and/or measurements of an object’s motion to provide evidence that a pattern can be used to predict future motion. [Clarification Statement:  Examples of motion with a predictable pattern could include a child swinging in a swing, a ball rolling back and forth in a bowl, and two children on a see-saw.] [Assessment Boundary:  Assessment does not include technical terms such as period and frequency.]</t>
  </si>
  <si>
    <t>3-PS2-3</t>
  </si>
  <si>
    <t>Ask questions to determine cause and effect relationships of electric or magnetic interactions between two objects not in contact with each other. [Clarification Statement: Examples of an electric force could include the force on hair from an electrically charged balloon and the electrical forces between a charged rod and pieces of paper; examples of a magnetic force could include the force between two permanent magnets, the force between an electromagnet and steel paperclips, and the force exerted by one magnet versus the force exerted by two magnets. Examples of cause and effect relationships could include how the distance between objects affects strength of the force and how the orientation of magnets affects the direction of the magnetic force.] [Assessment Boundary: Assessment is limited to forces produced by objects that can be manipulated by students, and electrical interactions are limited to static electricity.]</t>
  </si>
  <si>
    <t>3-PS2-4</t>
  </si>
  <si>
    <t>Define a simple design problem that can be solved by applying scientific ideas about magnets.* [Clarification Statement: Examples of problems could include constructing a latch to keep a door shut and creating a device to keep two moving objects from touching each other.]</t>
  </si>
  <si>
    <t>3-LS1-1</t>
  </si>
  <si>
    <t>Develop models to describe that organisms have unique and diverse life cycles but all have in common birth, growth, reproduction, and death. [Clarification Statement: Changes organisms go through during their life form a pattern.] [Assessment Boundary: Assessment of plant life cycles is limited to those of flowering plants. Assessment does not include details of human reproduction.]</t>
  </si>
  <si>
    <t>3-LS2-1</t>
  </si>
  <si>
    <t>Construct an argument that some animals form groups that help members survive.</t>
  </si>
  <si>
    <t>3-LS3-1</t>
  </si>
  <si>
    <t>Analyze and interpret data to provide evidence that plants and animals have traits inherited from parents and that variation of these traits exists in a group of similar organisms. [Clarification Statement:  Patterns are the similarities and differences in traits shared between offspring and their parents, or among siblings. Emphasis is on organisms other than humans.] [Assessment Boundary:  Assessment does not include genetic mechanisms of inheritance and prediction of traits. Assessment is limited to non-human examples.]</t>
  </si>
  <si>
    <t>3-LS3-2</t>
  </si>
  <si>
    <t>Use evidence to support the explanation that traits can be influenced by the environment. [Clarification Statement: Examples of the environment affecting a trait could include normally tall plants grown with insufficient water are stunted; and, a pet dog that is given too much food and little exercise may become overweight.]</t>
  </si>
  <si>
    <t>3-LS4-1</t>
  </si>
  <si>
    <t>Analyze and interpret data from fossils to provide evidence of the organisms and the environments in which they lived long ago. [Clarification Statement: Examples of data could include type, size, and distributions of fossil organisms. Examples of fossils and environments could include marine fossils found on dry land, tropical plant fossils found in Arctic areas, and fossils of extinct organisms.] [Assessment Boundary:  Assessment does not include identification of specific fossils or present plants and animals. Assessment is limited to major fossil types and relative ages.]</t>
  </si>
  <si>
    <t>3-LS4-2</t>
  </si>
  <si>
    <t>Use evidence to construct an explanation for how the variations in characteristics among individuals of the same species may provide advantages in surviving, finding mates, and reproducing.  [Clarification Statement: Examples of cause and effect relationships could be plants that have larger thorns than other plants may be less likely to be eaten by predators; and, animals that have better camouflage coloration than other animals may be more likely to survive and therefore more likely to leave offspring.]</t>
  </si>
  <si>
    <t>3-LS4-3</t>
  </si>
  <si>
    <t>Construct an argument with evidence that in a particular habitat some organisms can survive well, some survive less well, and some cannot survive at all. [Clarification Statement: Examples of evidence could include needs and characteristics of the organisms and habitats involved. The organisms and their habitat make up a system in which the parts depend on each other.]</t>
  </si>
  <si>
    <t>3-LS4-4</t>
  </si>
  <si>
    <t>Make a claim about the merit of a solution to a problem caused when the environment changes and the types of plants and animals that live there may change.* [Clarification Statement: Examples of environmental changes could include changes in land characteristics, water distribution, temperature, food, and other organisms.] [Assessment Boundary:  Assessment is limited to a single environmental change.Assessment does not include the greenhouse effect or climate change.]</t>
  </si>
  <si>
    <t>3-ESS2-1</t>
  </si>
  <si>
    <t>Represent data in tables and graphical displays to describe typical weather conditions expected during a particular season. [Clarification Statement: Examples of data could include average temperature, precipitation, and wind direction.] [Assessment Boundary: Assessment of graphical displays is limited to pictographs and bar graphs. Assessment does not include climate change.]</t>
  </si>
  <si>
    <t>3-ESS2-2</t>
  </si>
  <si>
    <t>Obtain and combine information to describe climates in different regions of the world.</t>
  </si>
  <si>
    <t>3-ESS3-1</t>
  </si>
  <si>
    <t>Make a claim about the merit of a design solution that reduces the impacts of a weather-related hazard.*[Clarification Statement:  Examples of design solutions to weather-related hazards could include barriers to prevent flooding, wind resistant roofs, and lightning rods.]</t>
  </si>
  <si>
    <t>Fourth Grade</t>
  </si>
  <si>
    <t>4-PS3-1</t>
  </si>
  <si>
    <t>Use evidence to construct an explanation relating the speed of an object to the energy of that object. [Assessment Boundary: Assessment does not include quantitative measures of changes in the speed of an object or on any precise or quantitative definition of energy.]</t>
  </si>
  <si>
    <t>4-PS3-2</t>
  </si>
  <si>
    <t>Make observations to provide evidence that energy can be transferred from place to place by sound, light, heat, and electric currents. [Assessment Boundary:  Assessment does not include quantitative measurements of energy.]</t>
  </si>
  <si>
    <t>4-PS3-3</t>
  </si>
  <si>
    <t>Ask questions and predict outcomes about the changes in energy that occur when objects collide. [Clarification Statement: Emphasis is on the change in the energy due to the change in speed, not on the forces, as objects interact.] [Assessment Boundary: Assessment does not include quantitative measurements of energy.]</t>
  </si>
  <si>
    <t>4-PS3-4</t>
  </si>
  <si>
    <t>Apply scientific ideas to design, test, and refine a device that converts energy from one form to another.* [Clarification Statement: Examples of devices could include electric circuits that convert electrical energy into motion energy of a vehicle, light, or sound; and, a passive solar heater that converts light into heat. Examples of constraints could include the materials, cost, or time to design the device.] [Assessment Boundary:  Devices should be limited to those that convert motion energy to electric energy or use stored energy to cause motion or produce light or sound.]</t>
  </si>
  <si>
    <t>4-PS4-1</t>
  </si>
  <si>
    <t>Develop a model of waves to describe patterns in terms of amplitude and wavelength and that waves can cause objects to move.  [Clarification Statement: Examples of models could include diagrams, analogies, and physical models using wire to illustrate wavelength and amplitude of waves.] [Assessment Boundary:  Assessment does not include interference effects, electromagnetic waves, non-periodic waves, or quantitative models of amplitude and wavelength.]</t>
  </si>
  <si>
    <t>4-PS4-2</t>
  </si>
  <si>
    <t>Develop a model to describe that light reflecting from objects and entering the eye allows objects to be seen.[Assessment Boundary:  Assessment does not include knowledge of specific colors reflected and seen, the cellular mechanisms of vision, or how the retina works.]</t>
  </si>
  <si>
    <t>4-PS4-3</t>
  </si>
  <si>
    <t>Generate and compare multiple solutions that use patterns to transfer information.* [Clarification Statement: Examples of solutions could include drums sending coded information through sound waves, using a grid of 1’s and 0’s representing black and white to send information about a picture, and using Morse code to send text.]</t>
  </si>
  <si>
    <t>4-LS1-1</t>
  </si>
  <si>
    <t>Construct an argument that plants and animals have internal and external structures that function to support survival, growth, behavior, and reproduction. [Clarification Statement: Examples of structures could include thorns, stems, roots, colored petals, heart, stomach, lung, brain, and skin.] [Assessment Boundary:  Assessment is limited to macroscopic structures within plant and animal systems.]</t>
  </si>
  <si>
    <t>4-LS1-2</t>
  </si>
  <si>
    <t>Use a model to describe that animals receive different types of information through their senses, process the information in their brain, and respond to the information in different ways. [Clarification Statement: Emphasis is on systems of information transfer.] [Assessment Boundary:  Assessment does not include the mechanisms by which the brain stores and recalls information or the mechanisms of how sensory receptors function.]</t>
  </si>
  <si>
    <t>4-ESS1-1</t>
  </si>
  <si>
    <t>Identify evidence from patterns in rock formations and fossils in rock layers to support an explanation for  changes in a landscape over time. [Clarification Statement: Examples of evidence from patterns could include rock layers with marine shell fossils above rock layers with plant fossils and no shells, indicating a change from land to water over time; and, a canyon with different rock layers in the walls and a river in the bottom, indicating that over time a river cut through the rock.] [Assessment Boundary: Assessment does not include specific knowledge of the mechanism of rock formation or memorization of specific rock formations and layers. Assessment is limited to relative time.]</t>
  </si>
  <si>
    <t>4-ESS2-1</t>
  </si>
  <si>
    <t>Make observations and/or measurements to provide evidence of the effects of weathering or the rate of erosion by water, ice, wind, or vegetation. [Clarification Statement: Examples of variables to test could include angle of slope in the downhill movement of water, amount of vegetation, speed of wind, relative rate of deposition, cycles of freezing and thawing of water, cycles of heating and cooling, and volume of water flow.] [Assessment Boundary: Assessment is limited to a single form of weathering or erosion.]</t>
  </si>
  <si>
    <t>4-ESS2-2</t>
  </si>
  <si>
    <t>Analyze and interpret data from maps to describe patterns of Earth’s features. [Clarification Statement:  Maps can include topographic maps of Earth’s land and ocean floor, as well as maps of the locations of mountains, continental boundaries, volcanoes, and earthquakes.]</t>
  </si>
  <si>
    <t>4-ESS3-1</t>
  </si>
  <si>
    <t>Obtain and combine information to describe that energy and fuels are derived from natural resources and their uses affect the environment. [Clarification Statement: Examples of renewable energy resources could include wind energy, water behind dams, and sunlight; non- renewable energy resources are fossil fuels and fissile materials. Examples of environmental effects could include loss of habitat due to dams, loss of habitat due to  surface mining, and air pollution from burning of fossil fuels.]</t>
  </si>
  <si>
    <t>4-ESS3-2</t>
  </si>
  <si>
    <t>Generate and compare multiple solutions to reduce the impacts of natural Earth processes on humans.* [Clarification Statement: Examples of solutions could include designing an earthquake resistant building and improving monitoring of volcanic activity.] [Assessment Boundary: Assessment is limited to earthquakes, floods, tsunamis, and volcanic eruptions.]</t>
  </si>
  <si>
    <t>Fifth Grade</t>
  </si>
  <si>
    <t>5-PS1-1</t>
  </si>
  <si>
    <t>Develop a model to describe that matter is made of particles too small to be seen. [Clarification Statement: Examples of evidence could include adding air to expand a basketball, compressing air in a syringe, dissolving sugar in water, and evaporating salt water.] [Assessment Boundary: Assessment does not include the atomic-scale mechanism of evaporation and condensation or defining the unseen particles.]</t>
  </si>
  <si>
    <t>5-PS1-2</t>
  </si>
  <si>
    <t>Measure and graph quantities to provide evidence that regardless of the type of change that occurs when heating, cooling, or mixing substances, the total weight of matter is conserved. [Clarification Statement: Examples of reactions or changes could include phase changes, dissolving, and mixing that form new substances.] [Assessment Boundary: Assessment does not include distinguishing mass and weight.]</t>
  </si>
  <si>
    <t>5-PS1-3</t>
  </si>
  <si>
    <t>Make observations and measurements to identify materials based on their properties. [Clarification Statement:  Examples of materials to be identified could include baking soda and other powders, metals, minerals, and liquids. Examples of properties could include color, hardness, reflectivity, electrical conductivity, thermal conductivity, response to magnetic forces, and solubility; density is not intended as an identifiable property.] [Assessment Boundary: Assessment does not include density or distinguishing mass and weight.]</t>
  </si>
  <si>
    <t>5-PS1-4</t>
  </si>
  <si>
    <t>Conduct an investigation to determine whether the mixing of two or more substances results in new substances.</t>
  </si>
  <si>
    <t>5-PS2-1</t>
  </si>
  <si>
    <t>Support an argument that the gravitational force exerted by Earth on objects is directed down. [Clarification Statement: “Down” is a local description of the direction that points toward the center of the spherical Earth.] [Assessment Boundary:  Assessment does not include mathematical representation of gravitational force.]</t>
  </si>
  <si>
    <t>5-PS3-1</t>
  </si>
  <si>
    <t>Use models to describe that energy in animals’ food (used for body repair, growth, motion, and to maintain body warmth) was once energy from the sun. [Clarification Statement: Examples of models could include diagrams, and flow charts.]</t>
  </si>
  <si>
    <t>5-LS1-1</t>
  </si>
  <si>
    <t>Support an argument that plants get the materials they need for growth chiefly from air and water. [Clarification Statement: Emphasis is on the idea that plant matter comes mostly from air and water, not from the soil.]</t>
  </si>
  <si>
    <t>5-LS2-1</t>
  </si>
  <si>
    <t>Develop a model to describe the movement of matter among plants, animals, decomposers, and the environment.[Clarification Statement: Emphasis is on the idea that matter that is not food (air, water, decomposed materials in soil) is changed by plants into matter that is food. Examples of systems could include organisms, ecosystems, and the Earth.] [Assessment Boundary:  Assessment does not include molecular explanations.]</t>
  </si>
  <si>
    <t>5-ESS1-1</t>
  </si>
  <si>
    <t>Support an argument that differences in the apparent brightness of the sun compared to other stars is due to their relative distances from Earth. [Assessment Boundary: Assessment is limited to relative distances, not sizes, of stars. Assessment does not include other factors that affect apparent brightness (such as stellar masses, age, stage).]</t>
  </si>
  <si>
    <t>5-ESS1-2</t>
  </si>
  <si>
    <t>Represent data in graphical displays to reveal patterns of daily changes in length and direction of shadows, day and night, and the seasonal appearance of some stars in the night sky. [Clarification Statement: Examples of patterns could include the position and motion of Earth with respect to the sun and selected stars that are visible only in particular months.] [Assessment Boundary:  Assessment does not include causes of seasons.]</t>
  </si>
  <si>
    <t>5-ESS2-1</t>
  </si>
  <si>
    <t>Develop a model using an example to describe ways the geosphere, biosphere, hydrosphere, and/or atmosphere interact. [Clarification Statement: Examples could include the influence of the ocean on ecosystems, landform shape, and climate; the influence of the atmosphere on landforms and ecosystems through weather and climate; and the influence of mountain ranges on winds and clouds in the atmosphere. The geosphere, hydrosphere, atmosphere, and biosphere are each a system.] [Assessment Boundary: Assessment is limited to the interactions of two systems at a time.]</t>
  </si>
  <si>
    <t>5-ESS2-2</t>
  </si>
  <si>
    <t>Describe and graph the amounts and percentages of water and fresh water in various reservoirs to provide evidence about the distribution of water on Earth. [Assessment Boundary:  Assessment is limited to oceans, lakes, rivers, glaciers, ground water, and polar ice caps, and does not include the atmosphere.]</t>
  </si>
  <si>
    <t>5-ESS3-1</t>
  </si>
  <si>
    <t>Obtain and combine information about ways individual communities use science ideas to protect the Earth’s resources and environment.</t>
  </si>
  <si>
    <t>3-5-ETS1-1</t>
  </si>
  <si>
    <t>Define a simple design problem reflecting a need or a want that includes specified criteria for success and constraints on materials, time, or cost.</t>
  </si>
  <si>
    <t>3-5-ETS1-2</t>
  </si>
  <si>
    <t>Generate and compare multiple possible solutions to a problem based on how well each is likely to meet the criteria and constraints of the problem.</t>
  </si>
  <si>
    <t>3-5-ETS1-3</t>
  </si>
  <si>
    <t>Plan and carry out fair tests in which variables are controlled and failure points are considered to identify aspects of a model or prototype that can be improved.</t>
  </si>
  <si>
    <t>Middle School</t>
  </si>
  <si>
    <t>Develop models to describe the atomic composition of simple molecules and extended structures. [Clarification Statement: Emphasis is on developing models of molecules that vary in complexity. Examples of simple molecules could include ammonia and methanol. Examples of extended structures could include sodium chloride or diamonds. Examples of molecular-level models could include drawings, 3D ball and stick structures, or computer representations showing different molecules with different types of atoms.] [Assessment Boundary: Assessment does not include valence electrons and bonding energy, discussing the ionic nature of subunits of complex structures, or a complete depiction of all individual atoms in a complex molecule or extended structure.]</t>
  </si>
  <si>
    <t>Analyze and interpret data on the properties of substances before and after the substances interact to determine if a chemical reaction has occurred. [Clarification Statement:  Examples of reactions could include burning sugar or steel wool, fat reacting with sodium hydroxide, and mixing zinc with hydrogen chloride.] [Assessment Boundary:  Assessment is limited to analysis of the following properties: density, melting point, boiling point, solubility, flammability, and odor.]</t>
  </si>
  <si>
    <t>Gather and make sense of information to describe that synthetic materials come from natural resources and impact society. [Clarification Statement: Emphasis is on natural resources that undergo a chemical process to form the synthetic material. Examples of new materials could include new medicine, foods, and alternative fuels.] [Assessment Boundary: Assessment is limited to qualitative information.]</t>
  </si>
  <si>
    <t>Develop a model that predicts and describes changes in particle motion, temperature, and state of a pure substance when thermal energy is added or removed. [Clarification Statement: Emphasis is on qualitative molecular-level models of solids, liquids, and gases to show that adding or removing thermal energy increases or decreases kinetic energy of the particles until a change of state occurs. Examples of models could include drawings and diagrams. Examples of particles could include molecules or inert atoms. Examples of pure substances could include water, carbon dioxide, and helium.]</t>
  </si>
  <si>
    <t>Develop and use a model to describe how the total number of atoms does not change in a chemical reaction and thus mass is conserved. [Clarification Statement:  Emphasis is on law of conservation of matter and on physical models or drawings, including digital forms, that represent atoms.] [Assessment Boundary: Assessment does not include the use of atomic masses, balancing symbolic equations, or intermolecular forces.]</t>
  </si>
  <si>
    <t>Undertake a design project to construct, test, and modify a device that either releases or absorbs thermal energy by chemical processes.* [Clarification Statement: Emphasis is on the design, controlling the transfer of energy to the environment, and modification of a device using factors such as type and concentration of a substance. Examples of designs could involve chemical reactions such as dissolving ammonium chloride or calcium chloride.] [Assessment Boundary:  Assessment is limited to the criteria of amount, time, and temperature of substance in testing the device.]</t>
  </si>
  <si>
    <t>Apply Newton’s Third Law to design a solution to a problem involving the motion of two colliding objects.*[Clarification Statement: Examples of practical problems could include the impact of collisions between two cars, between a car and stationary objects, and between a meteor and a space vehicle.] [Assessment Boundary:  Assessment is limited to vertical or horizontal interactions in one dimension.]</t>
  </si>
  <si>
    <t>Plan an investigation to provide evidence that the change in an object’s motion depends on the sum of the forces on the object and the mass of the object. [Clarification Statement: Emphasis is on balanced (Newton’s First Law) and unbalanced forces in a system, qualitative comparisons of forces, mass and changes in motion (Newton’s Second Law), frame of reference, and specification of units.] [Assessment Boundary:  Assessment is limited to forces and changes in motion in one-dimension in an inertial reference frame and to change in one variable at a time. Assessment does not include the use of trigonometry.]</t>
  </si>
  <si>
    <t>Ask questions about data to determine the factors that affect the strength of electric and magnetic forces.[Clarification Statement: Examples of devices that use electric and magnetic forces could include electromagnets, electric motors, or generators. Examples of data could include the effect of the number of turns of wire on the strength of an electromagnet, or the effect of increasing the number or strength of magnets on the speed of an electric motor.] [Assessment Boundary:  Assessment about questions that require quantitative answers is limited to proportional reasoning and algebraic thinking.]</t>
  </si>
  <si>
    <t>Construct and present arguments using evidence to support the claim that gravitational interactions are attractive and depend on the masses of interacting objects. [Clarification Statement: Examples of evidence for arguments could include data generated from simulations or digital tools; and charts displaying mass, strength of interaction, distance from the Sun, and orbital periods of objects within the solar system.] [Assessment Boundary: Assessment does not include Newton’s Law of Gravitation or Kepler’s Laws.]</t>
  </si>
  <si>
    <t>Conduct an investigation and evaluate the experimental design to provide evidence that fields exist between objects exerting forces on each other even though the objects are not in contact. [Clarification Statement: Examples of this phenomenon could include the interactions of magnets, electrically-charged strips of tape, and electrically-charged pith balls. Examples of investigations could include first-hand experiences or simulations.] [Assessment Boundary: Assessment is limited to electric and magnetic fields, and limited to qualitative evidence   for the existence of fields.]</t>
  </si>
  <si>
    <t>Construct and interpret graphical displays of data to describe the relationships of kinetic energy to the mass of an object and to the speed of an object. [Clarification Statement:  Emphasis is on descriptive relationships between kinetic energy and mass separately from kinetic energy and speed. Examples could include riding a bicycle at different speeds, rolling different sizes of rocks downhill, and getting hit by a wiffle ball  versus a tennis ball.]</t>
  </si>
  <si>
    <t>Develop a model to describe that when the arrangement of objects interacting at a distance changes, different amounts of potential energy are stored in the system. [Clarification Statement:  Emphasis is on relative amounts of potential energy, not on calculations of potential energy. Examples of objects within systems interacting at varying distances could include: the Earth and either a roller coaster cart at varying positions on a hill or objects at varying heights on shelves, changing the direction/orientation of a magnet, and a balloon with static electrical charge being brought closer to a classmate’s hair. Examples of models could include representations, diagrams, pictures, and written descriptions of systems.] [Assessment Boundary: Assessment is limited to two objects and electric, magnetic, and gravitational interactions.]</t>
  </si>
  <si>
    <t>Apply scientific principles to design, construct, and test a device that either minimizes or maximizes thermal energy transfer.* [Clarification Statement: Examples of devices could include an insulated box, a solar cooker, and a Styrofoam cup.] [Assessment Boundary: Assessment does not include calculating the total amount of thermal energy transferred.]</t>
  </si>
  <si>
    <t>Plan an investigation to determine the relationships among the energy transferred, the type of matter, the mass, and the change in the average kinetic energy of the particles as measured by the temperature of the sample.[Clarification Statement: Examples of experiments could include comparing final water temperatures after different masses of ice melted in the same volume of water with the same initial temperature, the temperature change of samples of different materials with the same mass as they cool or heat in the environment, or the same material with different masses when a specific amount of energy is added.] [Assessment Boundary: Assessment does not include calculating the total amount of thermal energy transferred.]</t>
  </si>
  <si>
    <t>Construct, use, and present arguments to support the claim that when the kinetic energy of an object changes, energy is transferred to or from the object. [Clarification Statement: Examples of empirical evidence used in arguments could include an inventory or other representation of the energy before and after the transfer in the form of temperature changes or motion of object.] [Assessment Boundary: Assessment does not include calculations of energy.]</t>
  </si>
  <si>
    <t>Use mathematical representations to describe a simple model for waves that includes how the amplitude of a wave is related to the energy in a wave. [Clarification Statement: Emphasis is on describing waves with both qualitative and quantitative thinking.] [Assessment Boundary: Assessment does not include electromagnetic waves and is limited to standard repeating waves.]</t>
  </si>
  <si>
    <t>Develop and use a model to describe that waves are reflected, absorbed, or transmitted through various materials.  [Clarification Statement:  Emphasis is on both light and mechanical waves. Examples of models could include drawings, simulations, and written descriptions.] [Assessment Boundary: Assessment is limited to qualitative applications pertaining to light and mechanical waves.]</t>
  </si>
  <si>
    <t>Integrate qualitative scientific and technical information to support the claim that digitized signals are a more reliable way to encode and transmit information than analog signals. [Clarification Statement: Emphasis is on a basic  understanding that waves can be used for communication purposes. Examples could include using fiber optic cable to transmit light pulses, radio wave pulses in wifi devices, and conversion of stored binary patterns to make sound or text on a computer screen.] [Assessment Boundary:  Assessment does not include binary counting. Assessment does not include the specific mechanism of any given device.]</t>
  </si>
  <si>
    <t>Conduct an investigation to provide evidence that living things are made of cells; either one cell or many different numbers and types of cells. [Clarification Statement: Emphasis is on developing evidence that living things are made of cells, distinguishing between living and non-living things, and understanding that living things may be made of one cell or many and varied cells.]</t>
  </si>
  <si>
    <t>Develop and use a model to describe the function of a cell as a whole and ways parts of cells contribute to the function.  [Clarification Statement: Emphasis is on the cell functioning as a whole system and the primary role of identified parts of the cell, specifically the nucleus, chloroplasts, mitochondria, cell membrane, and cell wall.] [Assessment Boundary:  Assessment of organelle structure/function relationships is limited to the cell wall and cell membrane. Assessment of the function of the other organelles is limited to their relationship to the whole cell. Assessment does not include the biochemical function of cells or cell parts.]</t>
  </si>
  <si>
    <t>Use argument supported by evidence for how the body is a system of interacting subsystems composed of groups of cells. [Clarification Statement: Emphasis is on the conceptual understanding that cells form tissues and tissues form organs specialized for particular body functions. Examples could include the interaction of subsystems within a system and the normal functioning of those systems.] [Assessment Boundary: Assessment does not include the mechanism of one body system independent of others. Assessment is limited to the circulatory, excretory, digestive, respiratory, muscular, and nervous systems.]</t>
  </si>
  <si>
    <t>Use argument based on empirical evidence and scientific reasoning to support an explanation for how characteristic animal behaviors and specialized plant structures affect the probability of successful reproduction of animals and plants respectively. [Clarification Statement: Examples of behaviors that affect the probability of animal reproduction could include nest building to protect young from cold, herding of animals to protect young from predators, and vocalization of animals and colorful plumage to attract mates for breeding. Examples of animal behaviors that affect the probability of plant reproduction could include transferring pollen or seeds, and creating conditions for seed germination and growth. Examples of plant structures could include bright flowers attracting butterflies that transfer pollen, flower nectar and odors that attract insects that transfer pollen, and hard shells on nuts that squirrels bury.]</t>
  </si>
  <si>
    <t>Construct a scientific explanation based on evidence for how environmental and genetic factors influence the growth of organisms. [Clarification Statement: Examples of local environmental conditions could include availability of food, light, space, and water. Examples of genetic factors could include large breed cattle and species of grass affecting growth of organisms. Examples of evidence could include drought decreasing plant growth, fertilizer increasing plant growth, different varieties of plant seeds growing at different rates in different conditions, and fish growing larger in large ponds than they do in small ponds.] [Assessment Boundary: Assessment does not include genetic mechanisms, gene regulation, or biochemical processes.]</t>
  </si>
  <si>
    <t>Construct a scientific explanation based on evidence for the role of photosynthesis in the cycling of matter and flow of energy into and out of organisms. [Clarification Statement: Emphasis is on tracing movement of matter and flow of energy.] [Assessment Boundary:  Assessment does not include the biochemical mechanisms of photosynthesis.]</t>
  </si>
  <si>
    <t>Develop a model to describe how food is rearranged through chemical reactions forming new molecules that support growth and/or release energy as this matter moves through an organism. [Clarification Statement: Emphasis is on describing that molecules are broken apart and put back together and that in this process, energy is released.] [Assessment Boundary: Assessment does not include details of the chemical reactions for photosynthesis or respiration.]</t>
  </si>
  <si>
    <t>Gather and synthesize information that sensory receptors respond to stimuli by sending messages to the brain for immediate behavior or storage as memories. [Assessment Boundary: Assessment does not include mechanisms for the transmission of this information.]</t>
  </si>
  <si>
    <t>Analyze and interpret data to provide evidence for the effects of resource availability on organisms and populations of organisms in an ecosystem. [Clarification Statement: Emphasis is on cause and effect relationships between resources and growth of individual organisms and the numbers of organisms in ecosystems during periods of abundant and scarce resources.]</t>
  </si>
  <si>
    <t>Construct an explanation that predicts patterns of interactions among organisms across multiple ecosystems.[Clarification Statement: Emphasis is on predicting consistent patterns of interactions in different ecosystems in terms of the relationships among and between organisms and abiotic components of ecosystems. Examples of types of interactions could include competitive, predatory, and mutually beneficial.]</t>
  </si>
  <si>
    <t>Develop a model to describe the cycling of matter and flow of energy among living and nonliving parts of an ecosystem. [Clarification Statement: Emphasis is on describing the conservation of matter and flow of energy into and out of various ecosystems, and on defining the boundaries of the system.] [Assessment Boundary:  Assessment does not include the use of chemical reactions to describe the processes.]</t>
  </si>
  <si>
    <t>Construct an argument supported by empirical evidence that changes to physical or biological components of an ecosystem affect populations. [Clarification Statement:  Emphasis is on recognizing patterns in data and making warranted inferences about changes in populations, and on evaluating empirical evidence supporting arguments about changes to ecosystems.]</t>
  </si>
  <si>
    <t>Evaluate competing design solutions for maintaining biodiversity and ecosystem services.* [Clarification Statement: Examples of ecosystem services could include water purification, nutrient recycling, and prevention of soil erosion. Examples of design solution constraints could include scientific, economic, and social considerations.]</t>
  </si>
  <si>
    <t>Develop and use a model to describe why structural changes to genes (mutations) located on chromosomes may affect proteins and may result in harmful, beneficial, or neutral effects to the structure and function of the organism. [Clarification Statement:  Emphasis is on conceptual understanding that changes in genetic material may result in making different proteins.] [Assessment Boundary:  Assessment does not include specific changes at the molecular level, mechanisms for protein synthesis, or specific types of mutations.]</t>
  </si>
  <si>
    <t>Develop and use a model to describe why asexual reproduction results in offspring with identical genetic information and sexual reproduction results in offspring with genetic variation. [Clarification Statement: Emphasis is on using models such as Punnett squares, diagrams, and simulations to describe the cause and effect relationship of gene transmission from parent(s) to offspring and resulting genetic variation.]</t>
  </si>
  <si>
    <t>Analyze and interpret data for patterns in the fossil record that document the existence, diversity, extinction, and change of life forms throughout the history of life on Earth under the assumption that natural laws operate today as in the past. [Clarification Statement: Emphasis is on finding patterns of changes in the level of complexity of anatomical structures in organisms and the chronological order of fossil appearance in the rock layers.] [Assessment Boundary: Assessment does not include the names of individual species or geological eras in the fossil record.]</t>
  </si>
  <si>
    <t>Apply scientific ideas to construct an explanation for the anatomical similarities and differences among modern organisms and between modern and fossil organisms to infer evolutionary relationships. [Clarification Statement: Emphasis is on explanations of the evolutionary relationships among organisms in terms of similarity or differences of the gross appearance of anatomical structures.]</t>
  </si>
  <si>
    <t>Analyze displays of pictorial data to compare patterns of similarities in the embryological development across multiple species to identify relationships not evident in the fully formed anatomy. [Clarification Statement: Emphasis is on inferring general patterns of relatedness among embryos of different organisms by comparing the macroscopic appearance of diagrams or pictures.] [Assessment Boundary: Assessment of comparisons is limited to gross appearance of anatomical structures in embryological development.]</t>
  </si>
  <si>
    <t>Construct an explanation based on evidence that describes how genetic variations of traits in a population increase some individuals’ probability of surviving and reproducing in a specific environment. [Clarification Statement: Emphasis is on using simple probability statements and proportional reasoning to construct explanations.]</t>
  </si>
  <si>
    <t>Gather and synthesize information about the technologies that have changed the way humans influence the inheritance of desired traits in organisms. [Clarification Statement: Emphasis is on synthesizing information from reliable sources about the influence of humans on genetic outcomes in artificial selection (such as genetic modification, animal husbandry, gene therapy); and, on the impacts these technologies have on society as well as the technologies leading to these scientific discoveries.]</t>
  </si>
  <si>
    <t>Use mathematical representations to support explanations of how natural selection may lead to increases and decreases of specific traits in populations over time. [Clarification Statement: Emphasis is on using mathematical models, probability statements, and proportional reasoning to support explanations of trends in changes to populations over time.] [Assessment Boundary: Assessment does not include Hardy Weinberg calculations.]</t>
  </si>
  <si>
    <t>Develop and use a model of the Earth-sun-moon system to describe the cyclic patterns of lunar phases, eclipses of the sun and moon, and seasons. [Clarification Statement: Examples of models can be physical, graphical, or conceptual.]</t>
  </si>
  <si>
    <t>Develop and use a model to describe the role of gravity in the motions within galaxies and the solar system.[Clarification Statement: Emphasis for the model is on gravity as the force that holds together the solar system and Milky Way galaxy and controls orbital motions within them. Examples of models can be physical (such as the analogy of distance along a football field or computer visualizations of elliptical orbits) or conceptual (such as mathematical proportions relative to the size of familiar objects such as students’ school or state).] [Assessment Boundary: Assessment does              not include Kepler’s Laws of orbital motion or the apparent retrograde motion of the planets as viewed from Earth.]</t>
  </si>
  <si>
    <t>Analyze and interpret data to determine scale properties of objects in the solar system.  [Clarification Statement: Emphasis is on the analysis of data from Earth-based instruments, space-based telescopes, and spacecraft to determine similarities and differences among solar system objects. Examples of scale properties include the sizes of an object’s layers (such as crust and atmosphere), surface features (such as volcanoes), and orbital radius. Examples of data include statistical information, drawings and photographs, and models.] [Assessment Boundary: Assessment does not include recalling facts about properties of the planets and other solar system bodies.]</t>
  </si>
  <si>
    <t>Construct a scientific explanation based on evidence from rock strata for how the geologic time scale is used to organize Earth’s 4.6-billion-year-old history.  [Clarification Statement: Emphasis is on how analyses of rock formations and the fossils they contain are used to establish relative ages of major events in Earth’s history. Examples of Earth’s major events could range from being very recent (such as the last Ice Age or the earliest fossils of homo sapiens) to very old (such as the formation of Earth or the earliest evidence of life). Examples can include the formation of mountain chains and ocean basins, the evolution or extinction of particular living organisms, or significant volcanic eruptions.] [Assessment Boundary: Assessment does not include recalling the names of specific periods or epochs and events within them.]</t>
  </si>
  <si>
    <t>Develop a model to describe the cycling of Earth’s materials and the flow of energy that drives this process.[Clarification Statement: Emphasis is on the processes of melting, crystallization, weathering, deformation, and sedimentation, which act together to form minerals and rocks through the cycling of Earth’s materials.] [Assessment Boundary: Assessment does not include the identification and naming of minerals.]</t>
  </si>
  <si>
    <t>Construct an explanation based on evidence for how geoscience processes have changed Earth’s surface at varying time and spatial scales. [Clarification Statement: Emphasis is on how processes change Earth’s surface at time and spatial scales that can be large (such as slow plate motions or the uplift of large mountain ranges) or small (such as rapid landslides or microscopic geochemical reactions), and how many geoscience processes (such as earthquakes, volcanoes, and meteor impacts) usually behave gradually but are punctuated by catastrophic events. Examples of geoscience processes include surface weathering and deposition by the movements of water, ice, and wind. Emphasis is on geoscience processes that shape local geographic features, where appropriate.]</t>
  </si>
  <si>
    <t>Analyze and interpret data on the distribution of fossils and rocks, continental shapes, and seafloor structures to provide evidence of the past plate motions. [Clarification Statement: Examples of data include similarities of rock and fossil types on different continents, the shapes of the continents (including continental shelves), and the locations of ocean structures (such as ridges, fracture zones, and trenches).] [Assessment Boundary:  Paleomagnetic anomalies in oceanic and continental crust are not assessed.]</t>
  </si>
  <si>
    <t>Develop a model to describe the cycling of water through Earth’s systems driven by energy from the sun and the force of gravity. [Clarification Statement: Emphasis is on the ways water changes its state as it moves through the multiple pathways of the hydrologic cycle. Examples of models can be conceptual or physical.] [Assessment Boundary: A quantitative understanding of the latent heats of vaporization and fusion is not assessed.]</t>
  </si>
  <si>
    <t>Collect data to provide evidence for how the motions and complex interactions of air masses results in changes in weather conditions. [Clarification Statement:  Emphasis is on how air masses flow from regions of high pressure to low pressure, causing weather (defined by temperature, pressure, humidity, precipitation, and wind) at a fixed location to change over time, and how sudden changes in weather can result when different air masses collide. Emphasis is on how weather can be predicted within probabilistic ranges. Examples of data can be provided to students (such as weather maps, diagrams, and visualizations) or obtained through laboratory experiments (such as with condensation).] [Assessment Boundary: Assessment does not include recalling the names of cloud types or weather symbols used on weather maps or the reported diagrams from weather stations.]</t>
  </si>
  <si>
    <t>Develop and use a model to describe how unequal heating and rotation of the Earth cause patterns of atmospheric and oceanic circulation that determine regional climates. [Clarification Statement: Emphasis is on how patterns vary by latitude, altitude, and geographic land distribution. Emphasis of atmospheric circulation is on the sunlight-driven latitudinal banding, the Coriolis effect, and resulting prevailing winds; emphasis of ocean circulation is on the transfer of heat by the global ocean convection cycle, which is constrained by the Coriolis effect and the outlines of continents. Examples of models can be diagrams, maps and globes, or digital representations.] [Assessment Boundary: Assessment does not include the dynamics of the Coriolis effect.]</t>
  </si>
  <si>
    <t>Construct a scientific explanation based on evidence for how the uneven distributions of Earth’s mineral, energy, and groundwater resources are the result of past and current geoscience processes. [Clarification Statement: Emphasis is on how these resources are limited and typically non-renewable, and how their distributions are significantly changing as a result of removal by humans. Examples of uneven distributions of resources as a result of past processes include but are not limited to petroleum (locations of the burial of organic marine sediments and subsequent geologic traps), metal ores (locations of past volcanic and hydrothermal activity associated with subduction zones), and soil (locations of active weathering and/or deposition of rock).]</t>
  </si>
  <si>
    <t>Analyze and interpret data on natural hazards to forecast future catastrophic events and inform the development of technologies to mitigate their effects. [Clarification Statement: Emphasis is on how some natural hazards, such as volcanic eruptions and severe weather, are preceded by phenomena that allow for reliable predictions, but others, such as earthquakes, occur suddenly and with no notice, and thus are not yet predictable. Examples of natural hazards can be taken from interior processes (such as earthquakes and volcanic eruptions), surface processes (such as mass wasting and tsunamis), or severe weather events (such as hurricanes, tornadoes, and floods). Examples of data can include the locations, magnitudes, and frequencies of the natural hazards. Examples of technologies can be global (such as satellite systems to monitor hurricanes or forest fires) or local (such as building basements in tornado- prone regions or reservoirs to mitigate droughts).]</t>
  </si>
  <si>
    <t>Apply scientific principles to design a method for monitoring and minimizing a human impact on the environment.*[Clarification Statement: Examples of the design process include examining human environmental impacts, assessing the kinds of solutions that are feasible, and designing and evaluating solutions that could reduce that impact. Examples of human impacts can include water usage (such as the withdrawal of water from streams and aquifers or the construction of dams and levees), land usage (such as urban development, agriculture, or the removal of wetlands), and pollution (such as of the air, water, or land).]</t>
  </si>
  <si>
    <t>Construct an argument supported by evidence for how increases in human population and per-capita consumption of natural resources impact Earth’s systems. [Clarification Statement: Examples of evidence include grade-appropriate databases on human populations and the rates of consumption of food and natural resources (such as freshwater, mineral, and energy). Examples of impacts can include changes to the appearance, composition, and structure of Earth’s systems as well as the rates at which they change. The consequences of increases in human populations and consumption of natural resources are described by science, but science does not make the decisions for the actions society takes.]</t>
  </si>
  <si>
    <t>Ask questions to clarify evidence of the factors that have caused the rise in global temperatures over the past century. [Clarification Statement: Examples of factors include human activities (such as fossil fuel combustion, cement production, and agricultural activity) and natural processes (such as changes in incoming solar radiation or volcanic activity). Examples of evidence can include tables, graphs, and maps of global and regional temperatures, atmospheric levels of gases such as carbon dioxide and methane, and the rates of human activities. Emphasis is on the major role that human activities play in causing the rise in global temperatures.]</t>
  </si>
  <si>
    <t>High School</t>
  </si>
  <si>
    <t>HS-PS1-1</t>
  </si>
  <si>
    <t>Use the periodic table as a model to predict the relative properties of elements based on the patterns of electrons in the outermost energy level of atoms. [Clarification Statement:  Examples of properties that could be predicted from patterns could include reactivity of metals, types of bonds formed, numbers of bonds formed, and reactions with oxygen.] [Assessment Boundary:  Assessment is limited to main group elements. Assessment does not include quantitative understanding of ionization energy beyond relative trends.]</t>
  </si>
  <si>
    <t>HS-PS1-2</t>
  </si>
  <si>
    <t>Construct and revise an explanation for the outcome of a simple chemical reaction based on the outermost electron states of atoms, trends in the periodic table, and knowledge of the patterns of chemical properties.[Clarification Steatement: Examples of chemical reactions could include the reaction of sodium and chlorine, of carbon and oxygen, or of carbon and hydrogen.] [Assessment Boundary:  Assessment is limited to chemical reactions involving main group elements and combustion reactions.]</t>
  </si>
  <si>
    <t>HS-PS1-3</t>
  </si>
  <si>
    <t>Plan and conduct an investigation to gather evidence to compare the structure of substances at the bulk scale to infer the strength of electrical forces between particles. [Clarification Statement: Emphasis is on understanding the strengths of forces between particles, not on naming specific intermolecular forces (such as dipole-dipole). Examples of particles could include ions, atoms, molecules, and networked materials (such as graphite). Examples of bulk properties of substances could include the melting point and boiling point, vapor pressure, and surface tension.] [Assessment Boundary: Assessment does not include Raoult’s law calculations of vapor pressure.]</t>
  </si>
  <si>
    <t>HS-PS1-4</t>
  </si>
  <si>
    <t>Develop a model to illustrate that the release or absorption of energy from a chemical reaction system depends upon the changes in total bond energy. [Clarification Statement:  Emphasis is on the idea that a chemical reaction is a system that affects the energy change. Examples of models could include molecular-level drawings and diagrams of reactions, graphs showing the relative energies of reactants and products, and representations showing energy is conserved.] [Assessment Boundary: Assessment does not include calculating the total bond energy changes during a chemical reaction from the bond energies of reactants and products.]</t>
  </si>
  <si>
    <t>HS-PS1-5</t>
  </si>
  <si>
    <t>Apply scientific principles and evidence to provide an explanation about the effects of changing the temperature or concentration of the reacting particles on the rate at which a reaction occurs. [Clarification Statement: Emphasis is on student reasoning that focuses on the number and energy of collisions between molecules.] [Assessment Boundary: Assessment is limited to simple reactions in which there are only two reactants; evidence from temperature, concentration, and rate data; and qualitative relationships between rate and temperature.]</t>
  </si>
  <si>
    <t>HS-PS1-6</t>
  </si>
  <si>
    <t>Refine the design of a chemical system by specifying a change in conditions that would produce increased amounts of products at equilibrium.* [Clarification Statement: Emphasis is on the application of Le Chatelier’s Principle and on refining designs of chemical reaction systems, including descriptions of the connection between changes made at the macroscopic level and what happens at the molecular level. Examples of designs could include different ways to increase product formation including adding reactants or removing products.] [Assessment Boundary: Assessment is limited to specifying the change in only one variable at a time. Assessment does not include calculating equilibrium constants and concentrations.]</t>
  </si>
  <si>
    <t>HS-PS1-7</t>
  </si>
  <si>
    <t>Use mathematical representations to support the claim that atoms, and therefore mass, are conserved during a chemical reaction. [Clarification Statement: Emphasis is on using mathematical ideas to communicate the proportional relationships between   masses of atoms in the reactants and the products, and the translation of these relationships to the macroscopic scale using the mole as the conversion from the atomic to the macroscopic scale. Emphasis is on assessing students’ use of mathematical thinking and not on memorization and rote application of problem- solving techniques.] [Assessment Boundary:  Assessment does not include complex chemical reactions.]</t>
  </si>
  <si>
    <t>HS-PS1-8</t>
  </si>
  <si>
    <t>Develop models to illustrate the changes in the composition of the nucleus of the atom and the energy released during the processes of fission, fusion, and radioactive decay. [Clarification Statement: Emphasis is on simple qualitative models, such as pictures or diagrams, and on the scale of energy released in nuclear processes relative to other kinds of transformations.] [Assessment Boundary:  Assessment does not include quantitative calculation of energy released. Assessment is limited to alpha, beta, and gamma radioactive decays.]</t>
  </si>
  <si>
    <t>HS-PS2-1</t>
  </si>
  <si>
    <t>Analyze data to support the claim that Newton’s second law of motion describes the mathematical relationship among the net force on a macroscopic object, its mass, and its acceleration. [Clarification Statement: Examples of data could include tables or graphs of position or velocity as a function of time for objects subject to a net unbalanced force, such as a falling object, an object rolling down a ramp, or a moving object being pulled by a constant force.] [Assessment Boundary:  Assessment is limited to one-dimensional motion and to macroscopic objects moving at non-relativistic speeds.]</t>
  </si>
  <si>
    <t>HS-PS2-2</t>
  </si>
  <si>
    <t>Use mathematical representations to support the claim that the total momentum of a system of objects is conserved when there is no net force on the system. [Clarification Statement: Emphasis is on the quantitative conservation of momentum in interactions and the qualitative meaning of this principle.] [Assessment Boundary:  Assessment is limited to systems of two macroscopic bodies moving in one dimension.]</t>
  </si>
  <si>
    <t>HS-PS2-3</t>
  </si>
  <si>
    <t>Apply scientific and engineering ideas to design, evaluate, and refine a device that minimizes the force on a macroscopic object during a collision.*  [Clarification Statement: Examples of evaluation and refinement could include determining the success of the device at protecting an object from damage and modifying the design to improve it. Examples of a device could include a football helmet or a parachute.] [Assessment Boundary:  Assessment is limited to qualitative evaluations and/or algebraic manipulations.]</t>
  </si>
  <si>
    <t>HS-PS2-4</t>
  </si>
  <si>
    <t>Use mathematical representations of Newton’s Law of Gravitation and Coulomb’s Law to describe and predict the gravitational and electrostatic forces between objects. [Clarification Statement: Emphasis is on both quantitative and conceptual descriptions of gravitational and electric fields.] [Assessment Boundary:  Assessment is limited to systems with two objects.]</t>
  </si>
  <si>
    <t>HS-PS2-5</t>
  </si>
  <si>
    <t>Plan and conduct an investigation to provide evidence that an electric current can produce a magnetic field and that a changing magnetic field can produce an electric current. [Assessment Boundary:  Assessment is limited to designing and conducting investigations with provided materials and tools.]</t>
  </si>
  <si>
    <t>HS-PS2-6</t>
  </si>
  <si>
    <t>Communicate scientific and technical information about why the molecular-level structure is important in the functioning of designed materials.* [Clarification Statement:  Emphasis is on the attractive and repulsive forces that determine the functioning of the material. Examples could include why electrically conductive materials are often made of metal, flexible but durable materials are made up of long chained molecules, and pharmaceuticals are designed to interact with specific receptors.] [Assessment Boundary:  Assessment is limited to provided molecular structures of specific designed materials.]</t>
  </si>
  <si>
    <t>HS-PS3-1</t>
  </si>
  <si>
    <t>Create a computational model to calculate the change in the energy of one component in a system when the change in energy of the other component(s) and energy flows in and out of the system are known. [Clarification Statement: Emphasis is on explaining the meaning of mathematical expressions used in the model.] [Assessment Boundary:  Assessment is limited to basic algebraic expressions or computations; to systems of two or three components; and to thermal energy, kinetic energy, and/or the energies in gravitational, magnetic, or electric fields.]</t>
  </si>
  <si>
    <t>HS-PS3-2</t>
  </si>
  <si>
    <t>Develop and use models to illustrate that energy at the macroscopic scale can be accounted for as a combination of energy associated with the motions of particles (objects) and energy associated with the relative position of particles (objects). [Clarification Statement: Examples of phenomena at the macroscopic scale could include the conversion of kinetic energy to thermal energy, the energy stored due to position of an object above the earth, and the energy stored between two electrically-charged plates. Examples of models could include diagrams, drawings, descriptions, and computer simulations.]</t>
  </si>
  <si>
    <t>HS-PS3-3</t>
  </si>
  <si>
    <t>Design, build, and refine a device that works within given constraints to convert one form of energy into another form of energy.* [Clarification Statement: Emphasis is on both qualitative and quantitative evaluations of devices. Examples of devices could include Rube Goldberg devices, wind turbines, solar cells, solar ovens, and generators. Examples of constraints could include use of renewable energy forms and efficiency.] [Assessment Boundary: Assessment for quantitative evaluations is limited to total output for a given input. Assessment is limited to devices constructed with materials provided to students.]</t>
  </si>
  <si>
    <t>HS-PS3-4</t>
  </si>
  <si>
    <t>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 [Clarification Statement: Emphasis is on analyzing data from student investigations and using mathematical thinking to describe the energy changes both quantitatively and conceptually. Examples of investigations could include mixing liquids at different initial temperatures or adding objects at different temperatures to water.] [Assessment Boundary: Assessment is limited to investigations based on materials and tools provided to students.]</t>
  </si>
  <si>
    <t>HS-PS3-5</t>
  </si>
  <si>
    <t>Develop and use a model of two objects interacting through electric or magnetic fields to illustrate the forces between objects and the changes in energy of the objects due to the interaction. [Clarification Statement: Examples of models could include drawings, diagrams, and texts, such as drawings of what happens when two charges of opposite polarity are near each other.] [Assessment Boundary: Assessment is limited to systems containing two objects.]</t>
  </si>
  <si>
    <t>HS-PS4-1</t>
  </si>
  <si>
    <t>Use mathematical representations to support a claim regarding relationships among the frequency, wavelength, and speed of waves traveling in various media. [Clarification Statement: Examples of data could include electromagnetic radiation traveling in a vacuum and glass, sound waves traveling through air and water, and seismic waves traveling through the Earth.] [Assessment Boundary:  Assessment is limited to algebraic relationships and describing those relationships qualitatively.]</t>
  </si>
  <si>
    <t>HS-PS4-2</t>
  </si>
  <si>
    <t>Evaluate questions about the advantages of using a digital transmission and storage of information. [Clarification Statement: Examples of advantages could include that digital information is stable because it can be stored reliably in computer memory, transferred easily, and copied and shared rapidly. Disadvantages could include issues of easy deletion, security, and theft.]</t>
  </si>
  <si>
    <t>HS-PS4-3</t>
  </si>
  <si>
    <t>Evaluate the claims, evidence, and reasoning behind the idea that electromagnetic radiation can be described either by a wave model or a particle model, and that for some situations one model is more useful than the other.[Clarification Statement: Emphasis is on how the experimental evidence supports the claim and how a theory is generally modified in light of new evidence. Examples of a phenomenon could include resonance, interference, diffraction, and photoelectric effect.] [Assessment Boundary: Assessment does not include using quantum theory.]</t>
  </si>
  <si>
    <t>HS-PS4-4</t>
  </si>
  <si>
    <t>Evaluate the validity and reliability of claims in published materials of the effects that different frequencies of electromagnetic radiation have when absorbed by matter. [Clarification Statement: Emphasis is on the idea that photons associated with different frequencies of light have different energies, and the damage to living tissue from electromagnetic radiation depends on the energy of the radiation. Examples of published materials could include trade books, magazines, web resources, videos, and other passages that may reflect bias.] [Assessment Boundary: Assessment is limited to qualitative descriptions.]</t>
  </si>
  <si>
    <t>HS-PS4-5</t>
  </si>
  <si>
    <t>Communicate technical information about how some technological devices use the principles of wave behavior and wave interactions with matter to transmit and capture information and energy.* [Clarification Statement: Examples could include solar cells capturing light and converting it to electricity; medical imaging; and communications technology.] [Assessment Boundary: Assessments are limited  to qualitative information. Assessments do not include band theory.]</t>
  </si>
  <si>
    <t>HS-LS1-1</t>
  </si>
  <si>
    <t>Construct an explanation based on evidence for how the structure of DNA determines the structure of proteins which carry out the essential functions of life through systems of specialized cells. [Assessment Boundary: Assessment does not include identification of specific cell or tissue types, whole body systems, specific protein structures and functions, or the biochemistry of protein synthesis.]</t>
  </si>
  <si>
    <t>HS-LS1-2</t>
  </si>
  <si>
    <t>Develop and use a model to illustrate the hierarchical organization of interacting systems that provide specific functions within multicellular organisms. [Clarification Statement: Emphasis is on functions at the organism system level such as       nutrient uptake, water delivery, and organism movement in response to neural stimuli. An example of an interacting system could be an artery depending on  the proper function of elastic tissue and smooth muscle to regulate and deliver the proper amount of blood within the circulatory system.] [Assessment Boundary: Assessment does not include interactions and functions at the molecular or chemical reaction level.]</t>
  </si>
  <si>
    <t>HS-LS1-3</t>
  </si>
  <si>
    <t>Plan and conduct an investigation to provide evidence that feedback mechanisms maintain homeostasis.[Clarification Statement: Examples of investigations could include heart rate response to exercise, stomate response to moisture and temperature, and root development in response to water levels.] [Assessment Boundary:  Assessment does not include the cellular processes involved in the feedback mechanism.]</t>
  </si>
  <si>
    <t>HS-LS1-4</t>
  </si>
  <si>
    <t>Use a model to illustrate the role of cellular division (mitosis) and differentiation in producing and maintaining complex organisms. [Assessment Boundary: Assessment does not include specific gene control mechanisms or rote memorization of the               steps of mitosis.]</t>
  </si>
  <si>
    <t>HS-LS1-5</t>
  </si>
  <si>
    <t>Use a model to illustrate how photosynthesis transforms light energy into stored chemical energy. [Clarification Statement: Emphasis is on illustrating inputs and outputs of matter and the transfer and transformation of energy in photosynthesis by plants and other photosynthesizing organisms. Examples of models could include diagrams, chemical equations, and conceptual models.] [Assessment Boundary: Assessment does not include specific biochemical steps.]</t>
  </si>
  <si>
    <t>HS-LS1-6</t>
  </si>
  <si>
    <t>Construct and revise an explanation based on evidence for how carbon, hydrogen, and oxygen from sugar molecules may combine with other elements to form amino acids and/or other large carbon-based molecules.[Clarification Statement: Emphasis is on using evidence from models and simulations to support explanations.] [Assessment Boundary:  Assessment does not include the details of the specific chemical reactions or identification of macromolecules.]</t>
  </si>
  <si>
    <t>HS-LS1-7</t>
  </si>
  <si>
    <t>Use a model to illustrate that cellular respiration is a chemical process whereby the bonds of food molecules and oxygen molecules are broken and the bonds in new compounds are formed resulting in a net transfer of energy.  [Clarification Statement: Emphasis is on the conceptual understanding of the inputs and outputs of the process of cellular respiration.] [Assessment Boundary: Assessment should not include identification of the steps or specific processes involved in cellular respiration.]</t>
  </si>
  <si>
    <t>HS-LS2-1</t>
  </si>
  <si>
    <t>Use mathematical and/or computational representations to support explanations of factors that affect carrying capacity of ecosystems at different scales. [Clarification Statement: Emphasis is on quantitative analysis and comparison of the relationships among interdependent factors including boundaries, resources, climate, and competition. Examples of mathematical comparisons could include graphs, charts, histograms, and population changes gathered from simulations or historical data sets.] [Assessment Boundary: Assessment does not include deriving mathematical equations to make comparisons.]</t>
  </si>
  <si>
    <t>HS-LS2-2</t>
  </si>
  <si>
    <t>Use mathematical representations to support and revise explanations based on evidence about factors affecting biodiversity and populations in ecosystems of different scales. [Clarification Statement:  Examples of mathematical representations include finding the average, determining trends, and using graphical comparisons of multiple sets of data.] [Assessment Boundary: Assessment is limited to provided data.]</t>
  </si>
  <si>
    <t>HS-LS2-3</t>
  </si>
  <si>
    <t>Construct and revise an explanation based on evidence for the cycling of matter and flow of energy in aerobic  and anaerobic conditions.  [Clarification Statement: Emphasis is on conceptual understanding of the role of aerobic and anaerobic respiration in different environments.] [Assessment Boundary:  Assessment does not include the specific chemical processes of either aerobic or anaerobic respiration.]</t>
  </si>
  <si>
    <t>HS-LS2-4</t>
  </si>
  <si>
    <t>Use mathematical representations to support claims for the cycling of matter and flow of energy among organisms in an ecosystem. [Clarification Statement: Emphasis is on using a mathematical model of stored energy in biomass to describe the transfer of energy from one trophic level to another and that matter and energy are conserved as matter cycles and energy flows through ecosystems. Emphasis is on atoms and molecules such as carbon, oxygen, hydrogen and nitrogen being conserved as they move through an ecosystem.] [Assessment Boundary: Assessment is limited to proportional reasoning to describe the cycling of matter and flow of energy.]</t>
  </si>
  <si>
    <t>HS-LS2-5</t>
  </si>
  <si>
    <t>Develop a model to illustrate the role of photosynthesis and cellular respiration in the cycling of carbon among the biosphere, atmosphere, hydrosphere, and geosphere. [Clarification Statement:  Examples of models could include simulations and mathematical models.] [Assessment Boundary:  Assessment does not include the specific chemical steps of photosynthesis and respiration.]</t>
  </si>
  <si>
    <t>HS-LS2-6</t>
  </si>
  <si>
    <t>Evaluate the claims, evidence, and reasoning that the complex interactions in ecosystems maintain relatively consistent numbers and types of organisms in stable conditions, but changing conditions may result in a new ecosystem. [Clarification Statement: Examples of changes in ecosystem conditions could include modest biological or physical changes, such as moderate hunting or a seasonal flood; and extreme changes, such as volcanic eruption or sea level rise.]</t>
  </si>
  <si>
    <t>HS-LS2-7</t>
  </si>
  <si>
    <t>Design, evaluate, and refine a solution for reducing the impacts of human activities on the environment and biodiversity.*  [Clarification Statement: Examples of human activities can include urbanization, building dams, and dissemination of invasive species.]</t>
  </si>
  <si>
    <t>HS-LS2-8</t>
  </si>
  <si>
    <t>Evaluate the evidence for the role of group behavior on individual and species’ chances to survive and reproduce.[Clarification Statement: Emphasis is on: (1) distinguishing between group and individual behavior, (2) identifying evidence supporting the outcomes of group behavior, and (3) developing logical and reasonable arguments based on evidence. Examples of group behaviors could include flocking, schooling, herding, and cooperative behaviors such as hunting, migrating, and swarming.]</t>
  </si>
  <si>
    <t>HS-LS3-1</t>
  </si>
  <si>
    <t>Ask questions to clarify relationships about the role of DNA and chromosomes in coding the instructions for characteristic traits passed from parents to offspring. [Assessment Boundary: Assessment does not include the phases of meiosis or the biochemical mechanism of specific steps in the process.]</t>
  </si>
  <si>
    <t>HS-LS3-2</t>
  </si>
  <si>
    <t>Make and defend a claim based on evidence that inheritable genetic variations may result from: (1) new genetic combinations through meiosis, (2) viable errors occurring during replication, and/or (3) mutations caused by environmental factors. [Clarification Statement:  Emphasis is on using data to support arguments for the way variation occurs.] [Assessment Boundary: Assessment does not include the phases of meiosis or the biochemical mechanism of specific steps in the process.]</t>
  </si>
  <si>
    <t>HS-LS3-3</t>
  </si>
  <si>
    <t>Apply concepts of statistics and probability to explain the variation and distribution of expressed traits in a population. [Clarification Statement: Emphasis is on the use of mathematics to describe the probability of traits as it relates to genetic and environmental factors in the expression of traits.] [Assessment Boundary:  Assessment does not include Hardy-Weinberg calculations.]</t>
  </si>
  <si>
    <t>HS-LS4-1</t>
  </si>
  <si>
    <t>Communicate scientific information that common ancestry and biological evolution are supported by multiple lines of empirical evidence. [Clarification Statement: Emphasis is on a conceptual understanding of the role each line of evidence has relating to common ancestry and biological evolution. Examples of evidence could include similarities in DNA sequences, anatomical structures, and order of appearance of structures in embryological development.]</t>
  </si>
  <si>
    <t>HS-LS4-2</t>
  </si>
  <si>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 [Clarification Statement: Emphasis is on using evidence to explain the influence each of the four factors has on number of organisms, behaviors, morphology, or physiology in terms of ability to compete for limited resources and subsequent survival of individuals and adaptation of species. Examples of evidence could include mathematical models such as simple distribution  graphs and proportional reasoning.] [Assessment Boundary:  Assessment does not include other mechanisms of evolution, such as genetic drift, gene flow through migration, and co-evolution.]</t>
  </si>
  <si>
    <t>HS-LS4-3</t>
  </si>
  <si>
    <t>Apply concepts of statistics and probability to support explanations that organisms with an advantageous heritable trait tend to increase in proportion to organisms lacking this trait. [Clarification Statement:  Emphasis is on analyzing shifts in numerical distribution of traits and using these shifts as evidence to support explanations.] [Assessment Boundary: Assessment is limited to basic statistical and graphical analysis. Assessment does not include allele frequency calculations.]</t>
  </si>
  <si>
    <t>HS-LS4-4</t>
  </si>
  <si>
    <t>Construct an explanation based on evidence for how natural selection leads to adaptation of populations.[Clarification Statement: Emphasis is on using data to provide evidence for how specific biotic and abiotic differences in ecosystems (such as ranges of seasonal temperature, long-term climate change, acidity, light, geographic barriers, or evolution of other organisms) contribute to a change in gene frequency over time, leading to adaptation of populations.]</t>
  </si>
  <si>
    <t>HS-LS4-5</t>
  </si>
  <si>
    <t>Evaluate the evidence supporting claims that changes in environmental conditions may result in: (1) increases in the number of individuals of some species, (2) the emergence of new species over time, and (3) the extinction of other species. [Clarification Statement: Emphasis is on determining cause and effect relationships for how changes to the environment such as deforestation, fishing, application of fertilizers, drought, flood, and the rate of change of the environment affect distribution or disappearance of traits in species.]</t>
  </si>
  <si>
    <t>HS-LS4-6</t>
  </si>
  <si>
    <t>Create or revise a simulation to test a solution to mitigate adverse impacts of human activity on biodiversity.*[Clarification Statement: Emphasis is on designing solutions for a proposed problem related to threatened or endangered species, or to genetic variation of organisms for multiple species.]</t>
  </si>
  <si>
    <t>HS-ESS1-1</t>
  </si>
  <si>
    <t>Develop a model based on evidence to illustrate the life span of the sun and the role of nuclear fusion in the sun’s core to release energy that eventually reaches Earth in the form of radiation. [Clarification Statement: Emphasis is on the energy transfer mechanisms that allow energy from nuclear fusion in the sun’s core to reach Earth. Examples of evidence for the model include observations of the masses and lifetimes of other stars, as well as the ways that the sun’s radiation varies due to sudden solar flares (“space weather”), the 11- year sunspot cycle, and non-cyclic variations over centuries.] [Assessment Boundary:  Assessment does not include details of the atomic and sub-atomic processes involved with the sun’s nuclear fusion.]</t>
  </si>
  <si>
    <t>HS-ESS1-2</t>
  </si>
  <si>
    <t>Construct an explanation of the Big Bang theory based on astronomical evidence of light spectra, motion of distant galaxies, and composition of matter in the universe. [Clarification Statement: Emphasis is on the astronomical evidence of the red shift of light from galaxies as an indication that the universe is currently expanding, the cosmic microwave background as the remnant radiation from the Big Bang, and the observed composition of ordinary matter of the universe, primarily found in stars and interstellar gases (from the spectra of electromagnetic radiation from stars), which matches that predicted by the Big Bang theory (3/4 hydrogen and 1/4 helium).]</t>
  </si>
  <si>
    <t>HS-ESS1-3</t>
  </si>
  <si>
    <t>Communicate scientific ideas about the way stars, over their life cycle, produce elements. [Clarification Statement: Emphasis is on the way nucleosynthesis, and therefore the different elements created, varies as a function of the mass of a star and the stage of its lifetime.] [Assessment Boundary:  Details of the many different nucleosynthesis pathways for stars of differing masses are not assessed.]</t>
  </si>
  <si>
    <t>HS-ESS1-4</t>
  </si>
  <si>
    <t>Use mathematical or computational representations to predict the motion of orbiting objects in the solar system. [Clarification Statement: Emphasis is on Newtonian gravitational laws governing orbital motions, which apply to human-made satellites as well as planets and moons.] [Assessment Boundary:  Mathematical representations for the gravitational attraction of bodies and Kepler’s Laws of orbital motions should not deal with more than two bodies, nor involve calculus.]</t>
  </si>
  <si>
    <t>HS-ESS1-5</t>
  </si>
  <si>
    <t>Evaluate evidence of the past and current movements of continental and oceanic crust and the theory of plate tectonics to explain the ages of crustal rocks. [Clarification Statement: Emphasis is on the ability of plate tectonics to explain the ages of crustal rocks. Examples include evidence of the ages oceanic crust increasing with distance from mid-ocean ridges (a result of plate spreading) and the ages of North American continental crust increasing with distance away from a central ancient core (a result of past plate interactions).]</t>
  </si>
  <si>
    <t>HS-ESS1-6</t>
  </si>
  <si>
    <t>Apply scientific reasoning and evidence from ancient Earth materials, meteorites, and other planetary surfaces to construct an account of Earth’s formation and early history. [Clarification Statement: Emphasis is on using                     available evidence within the solar system to reconstruct the early history of Earth, which formed along with the rest of the solar system 4.6 billion years ago. Examples of evidence include the absolute ages of ancient materials (obtained by radiometric dating of meteorites, moon rocks, and Earth’s oldest minerals), the sizes and compositions of solar system objects, and the impact cratering record of planetary surfaces.]</t>
  </si>
  <si>
    <t>HS-ESS2-1</t>
  </si>
  <si>
    <t>Develop a model to illustrate how Earth’s internal and surface processes operate at different spatial and temporal scales to form continental and ocean-floor features. [Clarification Statement: Emphasis is on how the appearance of land features (such as mountains, valleys, and plateaus) and sea-floor features (such as trenches, ridges, and seamounts) are a result of both constructive forces (such as volcanism, tectonic uplift, and orogeny) and destructive mechanisms (such as weathering, mass wasting, and coastal erosion).] [Assessment Boundary: Assessment does not include memorization of the details of the formation of specific geographic features of Earth’s surface.]</t>
  </si>
  <si>
    <t>HS-ESS2-2</t>
  </si>
  <si>
    <t>Analyze geoscience data to make the claim that one change to Earth’s surface can create feedbacks that cause changes to other Earth systems. [Clarification Statement: Examples should include climate feedbacks, such as how an increase in greenhouse gases causes a rise in global temperatures that melts glacial ice, which reduces the amount of sunlight reflected from Earth’s surface, increasing surface temperatures and further reducing the amount of ice. Examples could also be taken from other system interactions, such as how the loss of ground vegetation causes an increase in water runoff and soil erosion; how dammed rivers increase groundwater recharge, decrease sediment transport, and increase coastal erosion; or how the loss of wetlands causes a decrease in local humidity that further reduces the wetland extent.]</t>
  </si>
  <si>
    <t>HS-ESS2-3</t>
  </si>
  <si>
    <t>Develop a model based on evidence of Earth’s interior to describe the cycling of matter by thermal convection.[Clarification Statement:  Emphasis is on both a one-dimensional model of Earth, with radial layers determined by density, and a three-dimensional model, which is controlled by mantle convection and the resulting plate tectonics. Examples of evidence include maps of Earth’s three-dimensional structure obtained from seismic waves, records of the rate of change of Earth’s magnetic field (as constraints on convection in the outer core), and identification of the composition of Earth’s layers from high-pressure laboratory experiments.]</t>
  </si>
  <si>
    <t>HS-ESS2-4</t>
  </si>
  <si>
    <t>Use a model to describe how variations in the flow of energy into and out of Earth’s systems result in changes in climate. [Clarification Statement:  Examples of the causes of climate change differ by timescale, over 1-10 years: large volcanic eruption, ocean circulation; 10-100s of years: changes in human activity, ocean circulation, solar output; 10-100s of thousands of years: changes to Earth's orbit and the orientation of its axis; and 10-100s of millions of years: long-term changes in atmospheric composition.] [Assessment Boundary: Assessment of the results of changes in climate is limited to changes in surface temperatures, precipitation patterns, glacial ice volumes, sea levels, and biosphere distribution.]</t>
  </si>
  <si>
    <t>HS-ESS2-5</t>
  </si>
  <si>
    <t>Plan and conduct an investigation of the properties of water and its effects on Earth materials and surface processes. [Clarification Statement:  Emphasis is on mechanical and chemical investigations with water and a variety of solid materials to provide the evidence for connections between the hydrologic cycle and system interactions commonly known as the rock cycle. Examples of mechanical investigations include stream transportation and deposition using a stream table, erosion using variations in soil moisture content, or frost wedging by the expansion of water as it freezes. Examples of chemical investigations include chemical weathering and recrystallization (by testing the solubility of different materials) or melt generation (by examining how water lowers the melting temperature of most solids).]</t>
  </si>
  <si>
    <t>HS-ESS2-6</t>
  </si>
  <si>
    <t>Develop a quantitative model to describe the cycling of carbon among the hydrosphere, atmosphere, geosphere, and biosphere.  [Clarification Statement: Emphasis is on modeling biogeochemical cycles that include the cycling of carbon through the ocean, atmosphere, soil, and biosphere (including humans), providing the foundation for living organisms.]</t>
  </si>
  <si>
    <t>HS-ESS2-7</t>
  </si>
  <si>
    <t>Construct an argument based on evidence about the simultaneous coevolution of Earth’s systems and life on Earth. [Clarification Statement: Emphasis is on the dynamic causes, effects, and feedbacks between the biosphere and Earth’s other systems, whereby geoscience factors control the evolution of life, which in turn continuously alters Earth’s surface. Examples of include how photosynthetic life altered the atmosphere through the production of oxygen, which in turn increased weathering rates and allowed for the evolution of animal life; how microbial life on land increased the formation of soil, which in turn allowed for the evolution of land plants; or how the evolution of corals created reefs that altered patterns of erosion and deposition along coastlines and provided habitats for the evolution of new life forms.] [Assessment Boundary:  Assessment does not include a comprehensive understanding of the mechanisms of how the biosphere interacts with all of Earth’s other systems.]</t>
  </si>
  <si>
    <t>HS-ESS3-1</t>
  </si>
  <si>
    <t>Construct an explanation based on evidence for how the availability of natural resources, occurrence of natural hazards, and changes in climate have influenced human activity. [Clarification Statement: Examples of key natural resources  include access to fresh water (such as rivers, lakes, and groundwater), regions of fertile soils such as river deltas, and high concentrations of minerals and fossil fuels. Examples of natural hazards can be from interior processes (such as volcanic eruptions and earthquakes), surface processes (such as tsunamis, mass  wasting and soil erosion), and severe weather (such as hurricanes, floods, and droughts). Examples of the results of changes in climate that can affect   populations or drive mass migrations include changes to sea level, regional patterns of temperature and precipitation, and the types of crops and livestock that   can be raised.]</t>
  </si>
  <si>
    <t>HS-ESS3-2</t>
  </si>
  <si>
    <t>Evaluate competing design solutions for developing, managing, and utilizing energy and mineral resources based on cost-benefit ratios.* [Clarification Statement: Emphasis is on the conservation, recycling, and reuse of resources (such as minerals and metals) where possible, and on minimizing impacts where it is not. Examples include developing best practices for agricultural soil use, mining (for coal, tar sands, and oil shales), and pumping (for petroleum and natural gas). Science knowledge indicates what can happen in natural systems—not what should happen.]</t>
  </si>
  <si>
    <t>HS-ESS3-3</t>
  </si>
  <si>
    <t>Create a computational simulation to illustrate the relationships among management of natural resources, the sustainability of human populations, and biodiversity. [Clarification Statement: Examples of factors that affect the management of natural resources include costs of resource extraction and waste management, per-capita consumption, and the development of new technologies. Examples of factors that affect human sustainability include agricultural efficiency, levels of conservation, and urban planning.] [Assessment Boundary:  Assessment for computational simulations is limited to using provided multi-parameter programs or constructing simplified spreadsheet calculations.]</t>
  </si>
  <si>
    <t>HS-ESS3-4</t>
  </si>
  <si>
    <t>Evaluate or refine a technological solution that reduces impacts of human activities on natural systems.*[Clarification Statement: Examples of data on the impacts of human activities could include the quantities and types of pollutants released, changes to biomass and species diversity, or areal changes in land surface use (such as for urban development, agriculture and livestock, or surface mining). Examples for limiting future impacts could range from local efforts (such as reducing, reusing, and recycling resources) to large-scale geoengineering design solutions (such as altering global temperatures by making large changes to the atmosphere or ocean).]</t>
  </si>
  <si>
    <t>HS-ESS3-5</t>
  </si>
  <si>
    <t>Analyze geoscience data and the results from global climate models to make an evidence-based forecast of the current rate of global or regional climate change and associated future impacts to Earth systems. [Clarification Statement: Examples of evidence, for both data and climate model outputs, are for climate changes (such as precipitation and temperature) and their associated impacts (such as on sea level, glacial ice volumes, or atmosphere and ocean composition).] [Assessment Boundary:  Assessment is limited to one example of a climate change and its associated impacts.]</t>
  </si>
  <si>
    <t>HS-ESS3-6</t>
  </si>
  <si>
    <t>Use a computational representation to illustrate the relationships among Earth systems and how those relationships are being modified due to human activity. [Clarification Statement: Examples of Earth systems to be considered are the hydrosphere, atmosphere, cryosphere, geosphere, and/or biosphere. An example of the far-reaching impacts from a human activity is how an increase in atmospheric carbon dioxide results in an increase in photosynthetic biomass on land and an increase in ocean acidification, with resulting impacts on sea organism health and marine populations.] [Assessment Boundary: Assessment does not include running computational representations but is limited to using the published results of scientific computational models.]</t>
  </si>
  <si>
    <t>HS-ETS1-1</t>
  </si>
  <si>
    <t>Analyze a major global challenge to specify qualitative and quantitative criteria and constraints for solutions that account for societal needs and wants.</t>
  </si>
  <si>
    <t>HS-ETS1-2</t>
  </si>
  <si>
    <t>Design a solution to a complex real-world problem by breaking it down into smaller, more manageable problems that can be solved through engineering.</t>
  </si>
  <si>
    <t>HS-ETS1-3</t>
  </si>
  <si>
    <t>Evaluate a solution to a complex real-world problem based on prioritized criteria and trade-offs that account for a range of constraints, including cost, safety, reliability, and aesthetics, as well as possible social, cultural, and environmental impacts.</t>
  </si>
  <si>
    <t>HS-ETS1-4</t>
  </si>
  <si>
    <t>Use a computer simulation to model the impact of proposed solutions to a complex real-world problem with numerous criteria and constraints on interactions within and between systems relevant to the problem.</t>
  </si>
  <si>
    <t>Vocabulary Term</t>
  </si>
  <si>
    <t>Tier</t>
  </si>
  <si>
    <t>Definition</t>
  </si>
  <si>
    <t>Tier Pathways &amp; Implications</t>
  </si>
  <si>
    <t>Example Sentence</t>
  </si>
  <si>
    <t>Common Misconceptions</t>
  </si>
  <si>
    <t>Instructional Supports</t>
  </si>
  <si>
    <t>Spanish Cognate</t>
  </si>
  <si>
    <t>Force</t>
  </si>
  <si>
    <t>A push or a pull on an object.</t>
  </si>
  <si>
    <t>Implication: This Tier 2 word is the bridge from simple actions to scientific principles. Tier 1: "a push," "a pull" Tier 3: "net force," "magnitude"</t>
  </si>
  <si>
    <t>The force of the bat hitting the ball sent it flying.</t>
  </si>
  <si>
    <t>Forces are always visible or involve movement.</t>
  </si>
  <si>
    <t>Use diagrams with arrows to represent forces. Have students act out pushing and pulling objects.</t>
  </si>
  <si>
    <t>fuerza</t>
  </si>
  <si>
    <t>Contact Force</t>
  </si>
  <si>
    <t>A force that acts on an object by direct contact with it.</t>
  </si>
  <si>
    <t>Implication: This Tier 3 term adds precision to the general concept of Force. Tier 1: "touching," "bumping" Tier 2: A Force from touching.</t>
  </si>
  <si>
    <t>When you push a box, you are applying a contact force.</t>
  </si>
  <si>
    <t>All forces are contact forces.</t>
  </si>
  <si>
    <t>Contrast with non-contact forces like magnetism. Ask, "Did the objects have to touch?"</t>
  </si>
  <si>
    <t>fuerza de contacto</t>
  </si>
  <si>
    <t>Collision</t>
  </si>
  <si>
    <t>An instance of one moving object or person striking violently against another.</t>
  </si>
  <si>
    <t>Implication: This Tier 2 word names the event where Contact Forces occur. Tier 1: "a crash" Tier 3: "transfer of energy"</t>
  </si>
  <si>
    <t>The collision of the two cars caused a lot of damage.</t>
  </si>
  <si>
    <t>Collisions always result in damage or a loud noise.</t>
  </si>
  <si>
    <t>Show videos of different collisions (billiard balls, dominoes).</t>
  </si>
  <si>
    <t>colisión</t>
  </si>
  <si>
    <t>Kinetic Energy</t>
  </si>
  <si>
    <t>Energy that a body possesses by virtue of being in motion.</t>
  </si>
  <si>
    <t>Implication: This Tier 3 concept explains why a Collision has an effect. Tier 1: "moving power" Tier 2: "energy of motion"</t>
  </si>
  <si>
    <t>A fast-moving car has a lot of kinetic energy.</t>
  </si>
  <si>
    <t>Energy is the same as force.</t>
  </si>
  <si>
    <t>Compare a slowly rolled ball vs. a quickly rolled ball hitting a cup. Which has more Kinetic Energy?</t>
  </si>
  <si>
    <t>energía cinética</t>
  </si>
  <si>
    <t>Damage</t>
  </si>
  <si>
    <t>Physical harm that impairs an object's value or usefulness.</t>
  </si>
  <si>
    <t>Implication: This Tier 2 word describes the result of a Collision, linking it to Force and Energy. Tier 1: "it broke" Tier 3: "structural failure"</t>
  </si>
  <si>
    <t>The phone screen had a lot of damage after it was dropped.</t>
  </si>
  <si>
    <t>Damage is always visible or immediately apparent.</t>
  </si>
  <si>
    <t>Show pictures of objects before and after being damaged. Discuss the specific changes.</t>
  </si>
  <si>
    <t>daño</t>
  </si>
  <si>
    <t>Deformation</t>
  </si>
  <si>
    <t>The action or process of changing in shape or distorting.</t>
  </si>
  <si>
    <t>Implication: This Tier 3 term is a more precise way to describe a specific type of Damage. Tier 1: "bent," "squished" Tier 2: "changing shape"</t>
  </si>
  <si>
    <t>The clay showed deformation after being squeezed.</t>
  </si>
  <si>
    <t>Deformation is always permanent.</t>
  </si>
  <si>
    <t>Use play-doh or a spring to show temporary vs. permanent Deformation.</t>
  </si>
  <si>
    <t>deformación</t>
  </si>
  <si>
    <t>The physical substance that everything is made of; it has mass and takes up space.</t>
  </si>
  <si>
    <t>Implication: This Tier 2 word gives a scientific name to the "stuff" that everything is made of. Tier 1: "stuff," "things" Tier 3: "mass," "volume"</t>
  </si>
  <si>
    <t>Everything around us, from air to chairs, is made of matter.</t>
  </si>
  <si>
    <t>Matter is only things you can see or touch. Gases are not matter.</t>
  </si>
  <si>
    <t>Use a balance to show that an inflated balloon has more mass than an empty one.</t>
  </si>
  <si>
    <t>materia</t>
  </si>
  <si>
    <t>Matter</t>
  </si>
  <si>
    <t>A particular kind of matter with uniform properties.</t>
  </si>
  <si>
    <t>Implication: This Tier 2 term helps students categorize Matter into different kinds. Tier 1: "an ingredient" Tier 3: "pure substance," "mixture"</t>
  </si>
  <si>
    <t>Water is a substance, but salad dressing is a mixture.</t>
  </si>
  <si>
    <t>"Substance" and "mixture" are interchangeable.</t>
  </si>
  <si>
    <t>Show examples of a pure Substance (sugar) and a mixture (trail mix).</t>
  </si>
  <si>
    <t>sustancia</t>
  </si>
  <si>
    <t>Substance</t>
  </si>
  <si>
    <t>A quality or characteristic of a substance that can be observed.</t>
  </si>
  <si>
    <t>Implication: This Tier 2 word is crucial for scientific observation and differentiating Substances. Tier 1: "what it's like" Tier 3: "density," "solubility"</t>
  </si>
  <si>
    <t>We tested the properties of the unknown gas to figure out what it was.</t>
  </si>
  <si>
    <t>Properties are just how something looks.</t>
  </si>
  <si>
    <t>Give students salt and sugar. Have them list their different Properties.</t>
  </si>
  <si>
    <t>propiedades</t>
  </si>
  <si>
    <t>Properties</t>
  </si>
  <si>
    <t>A process where atoms of substances rearrange to form new substances with different properties.</t>
  </si>
  <si>
    <t>Implication: The core Tier 3 concept that defines the process of making new Substances. Tier 1: "it fizzed and changed" Tier 2: "a chemical change"</t>
  </si>
  <si>
    <t>When the bath bomb hit the water, a chemical reaction occurred.</t>
  </si>
  <si>
    <t>Bubbling or color change always means a chemical reaction.</t>
  </si>
  <si>
    <t>Contrast with a physical change like melting ice. Ask, "Did we make a totally new substance?"</t>
  </si>
  <si>
    <t>reacción química</t>
  </si>
  <si>
    <t>Chemical Reaction</t>
  </si>
  <si>
    <t>A substance that takes part in and undergoes change during a reaction.</t>
  </si>
  <si>
    <t>Implication: A Tier 3 term giving a formal name to the "before" ingredients. Tier 1: "the starting stuff" Tier 2: "the inputs"</t>
  </si>
  <si>
    <t>In the bath bomb reaction, citric acid and baking soda were the reactants.</t>
  </si>
  <si>
    <t>Reactants are always solids.</t>
  </si>
  <si>
    <t>Use a simple recipe analogy. "The flour and sugar are the Reactants."</t>
  </si>
  <si>
    <t>reactivos</t>
  </si>
  <si>
    <t>Reactants</t>
  </si>
  <si>
    <t>A substance that is formed as the result of a chemical reaction.</t>
  </si>
  <si>
    <t>Implication: A Tier 3 term giving a formal name to the "after" substances. Tier 1: "the new stuff you made" Tier 2: "the outputs"</t>
  </si>
  <si>
    <t>The gas bubbles formed from the bath bomb were the products.</t>
  </si>
  <si>
    <t>Products are always gases or liquids.</t>
  </si>
  <si>
    <t>Continue the recipe analogy. "The cake is the Product."</t>
  </si>
  <si>
    <t>productos</t>
  </si>
  <si>
    <t>Products</t>
  </si>
  <si>
    <t>Item name</t>
  </si>
  <si>
    <t>Category</t>
  </si>
  <si>
    <t>Lesson #s</t>
  </si>
  <si>
    <t>How many per class/per group/per student (preferred group size 3-4)</t>
  </si>
  <si>
    <t>Total number of individual pieces per class - based on class size of 30</t>
  </si>
  <si>
    <t>Total number of individual pieces per 6 classrooms</t>
  </si>
  <si>
    <t>Description</t>
  </si>
  <si>
    <t>Critical Item - Read Specifications Carefully</t>
  </si>
  <si>
    <t>Image of Item</t>
  </si>
  <si>
    <t>Other Units Item is Used In</t>
  </si>
  <si>
    <t>Last Modified</t>
  </si>
  <si>
    <t>Baking soda</t>
  </si>
  <si>
    <t>Consumable Items</t>
  </si>
  <si>
    <t>1,2,3,4,5</t>
  </si>
  <si>
    <t>17 oz (484 g)</t>
  </si>
  <si>
    <t>33 oz (935 g)</t>
  </si>
  <si>
    <t>Used for making bath bombs in Lesson 1 and additional quantities are used in Lessons 3 and 4 investigations.</t>
  </si>
  <si>
    <t>checked</t>
  </si>
  <si>
    <r>
      <rPr>
        <rFont val="Helvetica Neue"/>
        <color rgb="FF000000"/>
        <sz val="10.0"/>
        <u/>
      </rPr>
      <t>Baking soda.jpg (</t>
    </r>
    <r>
      <rPr>
        <rFont val="Helvetica Neue"/>
        <color rgb="FF000000"/>
        <sz val="10.0"/>
        <u/>
      </rPr>
      <t>https://v5.airtableusercontent.com/v3/u/25/25/1707415200000/Im6aPdjl30EcBIt4o1Bt4A/oUA7jMKZdFp6iuQTUQgSihvyDoTxBCDKssYRlAchDjmS6ERfmmxf_BTOjA8mfJCBgB3jauAZZeAmcXo5I_cIHiJXWENHoKHgSoWhyJX2Qq9cKNR_1ghdTVXZDIwkJVYQkz0FQHFYDbr-sk1w6urwAg/OnFoVH1gEHGRjkg7ghJQw_Bc2_wbif3lklmqJOtCYNM</t>
    </r>
    <r>
      <rPr>
        <rFont val="Helvetica Neue"/>
        <color rgb="FF000000"/>
        <sz val="10.0"/>
        <u/>
      </rPr>
      <t>)</t>
    </r>
  </si>
  <si>
    <t>10/26/2021 12:21pm</t>
  </si>
  <si>
    <t>Bath bomb</t>
  </si>
  <si>
    <t>4/teacher + 1/class</t>
  </si>
  <si>
    <t>Preferred: Dr. Teal's (lavender) because it has the ingredients we need for the corresponding label we use in Lesson 3.</t>
  </si>
  <si>
    <r>
      <rPr>
        <rFont val="Helvetica Neue"/>
        <color rgb="FF000000"/>
        <sz val="10.0"/>
        <u/>
      </rPr>
      <t>Bath bombs.jpg (</t>
    </r>
    <r>
      <rPr>
        <rFont val="Helvetica Neue"/>
        <color rgb="FF000000"/>
        <sz val="10.0"/>
        <u/>
      </rPr>
      <t>https://v5.airtableusercontent.com/v3/u/25/25/1707415200000/7oGtrj18BxV2qNSxhgmHAA/ti3ZELg4MY20YMlJevePcMI_PAKHBuK-L2j8kZqsN2Pv7s1yt0O4zo5aPG-FcIOTXsxf0vloe_NL4pIV8cWuj5ln9y89RyGkexp6uabtHOke0k1Gu8DP7M6iM7OHdN1KC9rPwr844VzeTqqjY9yKgQ/bCGrBMT0a83ToY1gYs_Hzo0sWhTOd1h7eQiAFFHKdGw</t>
    </r>
    <r>
      <rPr>
        <rFont val="Helvetica Neue"/>
        <color rgb="FF000000"/>
        <sz val="10.0"/>
        <u/>
      </rPr>
      <t>)</t>
    </r>
  </si>
  <si>
    <t>10/3/2021 3:16pm</t>
  </si>
  <si>
    <t>Battery, 9V</t>
  </si>
  <si>
    <t>9 reused across all classes</t>
  </si>
  <si>
    <r>
      <rPr>
        <rFont val="Helvetica Neue"/>
        <color rgb="FF000000"/>
        <sz val="10.0"/>
        <u/>
      </rPr>
      <t>Batteries.jpg (</t>
    </r>
    <r>
      <rPr>
        <rFont val="Helvetica Neue"/>
        <color rgb="FF000000"/>
        <sz val="10.0"/>
        <u/>
      </rPr>
      <t>https://v5.airtableusercontent.com/v3/u/25/25/1707415200000/Lm-dgIYOXVoR76U3bm5rkg/2oPU2kN-rf0hZrjTj664Hb4wKnGkeMBckBvC_JfmHI4ZPFFDEuaJbZoUf7xP3DKV5MSv2IqMJGTeDf8-zuqtb4zEAmDvZkiPhA2IaogAsT8USXlm-JxMQ4tviC1PIY-Z0qOBGkmQLtEFYQL819h-pg/YsmT9HpdM387xvbNyQZRBrrYiyM2Mg8x-gCeSV9OoJM</t>
    </r>
    <r>
      <rPr>
        <rFont val="Helvetica Neue"/>
        <color rgb="FF000000"/>
        <sz val="10.0"/>
        <u/>
      </rPr>
      <t>)</t>
    </r>
  </si>
  <si>
    <t>10/3/2021 11:34am</t>
  </si>
  <si>
    <t>Calcium carbonate powder</t>
  </si>
  <si>
    <t>1 gram/student</t>
  </si>
  <si>
    <t>30 grams</t>
  </si>
  <si>
    <t>180 grams (7 oz)</t>
  </si>
  <si>
    <t>Students will only use a small amount of this (~1g). 1 lb/teacher across 6 sections is sufficient.</t>
  </si>
  <si>
    <r>
      <rPr>
        <rFont val="Helvetica Neue"/>
        <color rgb="FF000000"/>
        <sz val="10.0"/>
        <u/>
      </rPr>
      <t>Calcium Carbonate powder.jpg (</t>
    </r>
    <r>
      <rPr>
        <rFont val="Helvetica Neue"/>
        <color rgb="FF000000"/>
        <sz val="10.0"/>
        <u/>
      </rPr>
      <t>https://v5.airtableusercontent.com/v3/u/25/25/1707415200000/FLvWmNNrfJJc2MgzGuF4Jw/-xma0XRxQsnTkgcIreSrx1ifZDNBWf6GlQTwVC1KESDUVZF25oJ-dEilP4_bEglbxU0yKUkaC94Wq5ZmuQ5QX2vrDgFpGtN7YbDV-75p_SC1J7zcP9QIyx7krUIzgIkKX-R5NE_mSiivEfeqPZW4ln1P18DWCDVGNfiyVHvTwM0/MIFkbM-2gVHGiyWAOoy2Me2AA2Ma5ClFmtL-4I2mkKY</t>
    </r>
    <r>
      <rPr>
        <rFont val="Helvetica Neue"/>
        <color rgb="FF000000"/>
        <sz val="10.0"/>
        <u/>
      </rPr>
      <t>)</t>
    </r>
  </si>
  <si>
    <t>10/26/2021 12:07pm</t>
  </si>
  <si>
    <t>Candle, tealight</t>
  </si>
  <si>
    <t>1 candle/group</t>
  </si>
  <si>
    <r>
      <rPr>
        <rFont val="Helvetica Neue"/>
        <color rgb="FF000000"/>
        <sz val="10.0"/>
        <u/>
      </rPr>
      <t>Tea candle.jpg (</t>
    </r>
    <r>
      <rPr>
        <rFont val="Helvetica Neue"/>
        <color rgb="FF000000"/>
        <sz val="10.0"/>
        <u/>
      </rPr>
      <t>https://v5.airtableusercontent.com/v3/u/25/25/1707415200000/i8sYuHJ2j0H5_JBhnDeQpw/hn93kJJgbV8-9-y8EQbG8CMjAV0ayPuhgcYsatTU8kZOYeZBXxwGdxn6Ed16iDYCb7Xv2Zp9I8nxx2zxtlWMXEBpxCDrMrHeeYshOUZu987mese8w7G9_--H7Z13SlqOg-Nc1tb9QWBvYZpTuLKZwA/tsjcj2XjGNKTnqwt-d4WTj7bHlYo56HQlBPrg29xk7E</t>
    </r>
    <r>
      <rPr>
        <rFont val="Helvetica Neue"/>
        <color rgb="FF000000"/>
        <sz val="10.0"/>
        <u/>
      </rPr>
      <t>)</t>
    </r>
  </si>
  <si>
    <t>10/4/2021 12:43pm</t>
  </si>
  <si>
    <t>Citric acid</t>
  </si>
  <si>
    <t>6 oz (170 g)</t>
  </si>
  <si>
    <t>17 oz (486 g)</t>
  </si>
  <si>
    <r>
      <rPr>
        <rFont val="Helvetica Neue"/>
        <color rgb="FF000000"/>
        <sz val="10.0"/>
        <u/>
      </rPr>
      <t>Citric acid.jpg (</t>
    </r>
    <r>
      <rPr>
        <rFont val="Helvetica Neue"/>
        <color rgb="FF000000"/>
        <sz val="10.0"/>
        <u/>
      </rPr>
      <t>https://v5.airtableusercontent.com/v3/u/25/25/1707415200000/POAKwN11q3gBuyuVjdtKww/hvqo9r9whPGs7avvQgflSFdGMsem_8Rd4u0Y2zaVZEILuGEmpngmeQH_tyCBJH6cQlvINYgwZsxI6-2LUIWUDp9o9VXZxkyUUF2p6pxs34NnbGyeeldyQdNrelZOTsycPWQcvB-BuH8XdQltbXOYJg/nzkQU8zPcIZ9ZvsxOgK8lTR3b8o4UClJTChJ8iuScOw</t>
    </r>
    <r>
      <rPr>
        <rFont val="Helvetica Neue"/>
        <color rgb="FF000000"/>
        <sz val="10.0"/>
        <u/>
      </rPr>
      <t>)</t>
    </r>
  </si>
  <si>
    <t>10/26/2021 12:23pm</t>
  </si>
  <si>
    <t>Coconut oil, unrefined</t>
  </si>
  <si>
    <t>1,2,3,4</t>
  </si>
  <si>
    <t>8 oz (221 g)</t>
  </si>
  <si>
    <t>19 oz (536 g)</t>
  </si>
  <si>
    <t>Unrefined worked best for this. Refined oil has not worked for making the homemade bath bombs. Used to make bath bombs in Lesson 1 and then additional quantities used for investigations in Lessons 3 and 4.</t>
  </si>
  <si>
    <r>
      <rPr>
        <rFont val="Helvetica Neue"/>
        <color rgb="FF000000"/>
        <sz val="10.0"/>
        <u/>
      </rPr>
      <t>"Coconut oil, unrefined.jpg (</t>
    </r>
    <r>
      <rPr>
        <rFont val="Helvetica Neue"/>
        <color rgb="FF000000"/>
        <sz val="10.0"/>
        <u/>
      </rPr>
      <t>https://v5.airtableusercontent.com/v3/u/25/25/1707415200000/eZpBdquGVSYG_MPo8kCRbA/LUR4ahXwK7I6YSHJ2TKU-XkVx8fq7knaAIpc9d3mEeBsg3uQfXtXkpX8piK5mV5qJixDU09qpsVUnpHt7ILTBZHhGRASDTJY5oWXlhIQANdEcqQ0gIcc6ud3z9AFpzGubN8bUwSQ01uKIP5Xlt0rOdnq7x2dYOnBZMCBxXnmqwA/3drYHgcbIH4He2pwsnJslMKGcGe4n9JlwXwquazZlmc</t>
    </r>
    <r>
      <rPr>
        <rFont val="Helvetica Neue"/>
        <color rgb="FF000000"/>
        <sz val="10.0"/>
        <u/>
      </rPr>
      <t>)"</t>
    </r>
  </si>
  <si>
    <t>10/26/2021 12:24pm</t>
  </si>
  <si>
    <t>Coffee stirrer, wood</t>
  </si>
  <si>
    <t>4,14</t>
  </si>
  <si>
    <t>40/class</t>
  </si>
  <si>
    <t>5-inch wood</t>
  </si>
  <si>
    <r>
      <rPr>
        <rFont val="Helvetica Neue"/>
        <color rgb="FF000000"/>
        <sz val="10.0"/>
        <u/>
      </rPr>
      <t>Wooden coffee stirrers 1.jpg (</t>
    </r>
    <r>
      <rPr>
        <rFont val="Helvetica Neue"/>
        <color rgb="FF000000"/>
        <sz val="10.0"/>
        <u/>
      </rPr>
      <t>https://v5.airtableusercontent.com/v3/u/25/25/1707415200000/BMIcU45k4Af42CzE5LAsEw/mljM6HHVzUf6ZGBbhOM6ofxFOrfBy7z1JPhmyix6D3ysiEfgCmdjAB-pflv_DQNCfJsAeI4npcJXrzadUh58zT7mlDpvlUaBX7rs2wZBvqT9pAzh4-1J44275KNuOffNRYVaq6t2UIgWvyidy82SM-GQ0CGbKVCb8UxQIvtcbRo/P2puNTKy8TAXIvrz6mMEN6cg3R3mC8SI83hNMwlHPAY</t>
    </r>
    <r>
      <rPr>
        <rFont val="Helvetica Neue"/>
        <color rgb="FF000000"/>
        <sz val="10.0"/>
        <u/>
      </rPr>
      <t>),Wooden coffee stirrers 2.jfif (</t>
    </r>
    <r>
      <rPr>
        <rFont val="Helvetica Neue"/>
        <color rgb="FF000000"/>
        <sz val="10.0"/>
        <u/>
      </rPr>
      <t>https://v5.airtableusercontent.com/v3/u/25/25/1707415200000/Ri00D5PovK7IodVyGIkqFA/qHrxMeO01sVIIw-qN6Vqx-30_6P9iEUpTyo0hPzOeOFJDz659i3gEg8azzoidnHIlZNhRzWitcfa7lOJsbQVtZPDcPexuJByIiC1_-syG31hx3NSIKsgN_VXgK7NBCEn9zdU3Czl3GtZFacLdpA5iCyYjRBqEphgesZPwPPbZIU/cttV1zpP9yQxpeGy2xemAlopkzyiSLp_1v9pZJYF-Nc</t>
    </r>
    <r>
      <rPr>
        <rFont val="Helvetica Neue"/>
        <color rgb="FF000000"/>
        <sz val="10.0"/>
        <u/>
      </rPr>
      <t>)</t>
    </r>
  </si>
  <si>
    <t>10/4/2021 12:44pm</t>
  </si>
  <si>
    <t xml:space="preserve">Corn starch    </t>
  </si>
  <si>
    <t>1,3,4</t>
  </si>
  <si>
    <t>5 oz (130 g)</t>
  </si>
  <si>
    <t>22 oz (630 g)</t>
  </si>
  <si>
    <t>10/26/2021 12:22pm</t>
  </si>
  <si>
    <t>Cotton ball</t>
  </si>
  <si>
    <t>24 balls/class</t>
  </si>
  <si>
    <r>
      <rPr>
        <rFont val="Helvetica Neue"/>
        <color rgb="FF000000"/>
        <sz val="10.0"/>
        <u/>
      </rPr>
      <t>Cotton balls.jpeg (</t>
    </r>
    <r>
      <rPr>
        <rFont val="Helvetica Neue"/>
        <color rgb="FF000000"/>
        <sz val="10.0"/>
        <u/>
      </rPr>
      <t>https://v5.airtableusercontent.com/v3/u/25/25/1707415200000/F-cFOdrHY-bgYH-U_mfg4g/5kP1dQtgkrgxTM7HLpXeDu5q7_VJ31o2AKnsdnbHIcBSbts8TXWMC5_gjvZUCtmHm_loNh6Hpb4nVj1ssydltUkN1m94CT1mRzpZkM-rTu4cvygjgGKkP11YZpgNTYmCuqiYKOJqpsBfcrAI7Nj-1w/PDzh6unO3Ne7cfetR-js6pCaoaO5fvVf8sFmJeMtNOE</t>
    </r>
    <r>
      <rPr>
        <rFont val="Helvetica Neue"/>
        <color rgb="FF000000"/>
        <sz val="10.0"/>
        <u/>
      </rPr>
      <t>)</t>
    </r>
  </si>
  <si>
    <t>11/14/2021 3:13pm</t>
  </si>
  <si>
    <t>Freezer bag, quart size, double zipper closure</t>
  </si>
  <si>
    <t>1,2</t>
  </si>
  <si>
    <t>20/teacher</t>
  </si>
  <si>
    <t xml:space="preserve">Heavy-duty, freezer, quart size. Generic sealable baggies with only one zipper row have not worked for this because they pop open easily when under pressure. Two rows of ziploc are needed. </t>
  </si>
  <si>
    <r>
      <rPr>
        <rFont val="Helvetica Neue"/>
        <color rgb="FF000000"/>
        <sz val="10.0"/>
        <u/>
      </rPr>
      <t>Sealable freezer bag - 1 Qt.jpg (</t>
    </r>
    <r>
      <rPr>
        <rFont val="Helvetica Neue"/>
        <color rgb="FF000000"/>
        <sz val="10.0"/>
        <u/>
      </rPr>
      <t>https://v5.airtableusercontent.com/v3/u/25/25/1707415200000/wFSSClWd9uC9c8qQxnkhUg/bLQxGk6XcG5TECqb_xRU4-5rGr0lqEWEYSHWQg6eLTuq7yRrejJfZxAeHYMY9PExY4MtkO91HGqm6zNH7dJbY4Gnqe_cQD7fdC1Lz4Lv41WPxdZS-R6h49cWOA4z_b-SIkKZfmBlkLOYJjPjFrpJenKCEupShbQtJZu8nhQYalc/5I9LAPiUj1LhON8rEQuvtkDOenLVp20NwM0XGikRWxc</t>
    </r>
    <r>
      <rPr>
        <rFont val="Helvetica Neue"/>
        <color rgb="FF000000"/>
        <sz val="10.0"/>
        <u/>
      </rPr>
      <t>)</t>
    </r>
  </si>
  <si>
    <t>8.5,8.3,7.2,6.3</t>
  </si>
  <si>
    <t>10/4/2021 10:53am</t>
  </si>
  <si>
    <t>Glycerin</t>
  </si>
  <si>
    <t>4 oz (114mL)/class</t>
  </si>
  <si>
    <t>4 oz</t>
  </si>
  <si>
    <t>24 oz</t>
  </si>
  <si>
    <t xml:space="preserve">Vegetable glycerine, food grade. </t>
  </si>
  <si>
    <r>
      <rPr>
        <rFont val="Helvetica Neue"/>
        <color rgb="FF000000"/>
        <sz val="10.0"/>
        <u/>
      </rPr>
      <t>Glycerine.jpg (</t>
    </r>
    <r>
      <rPr>
        <rFont val="Helvetica Neue"/>
        <color rgb="FF000000"/>
        <sz val="10.0"/>
        <u/>
      </rPr>
      <t>https://v5.airtableusercontent.com/v3/u/25/25/1707415200000/YdArSdx-n2iqZxfrvfJEqQ/XuPpywpGezIYqEIsFmLs-HOzvT1CuSZH-cpPkCX8uMeJttvx5adIoJBEMa4Mn_n-OUEX8E7s3HKFkD7w_6cC6Pe1HOqC7m8Si5nSugJkg3GmFWcNolEVn-z4pR8saPZSZOane1hEBCW3na_HeFlXRw/b4QryJaywgFy7pAPL6_0Z_kKR1fysXGBHupJntP42AE</t>
    </r>
    <r>
      <rPr>
        <rFont val="Helvetica Neue"/>
        <color rgb="FF000000"/>
        <sz val="10.0"/>
        <u/>
      </rPr>
      <t>)</t>
    </r>
  </si>
  <si>
    <t>11/17/2021 11:22am</t>
  </si>
  <si>
    <t>Index card, 3x5"</t>
  </si>
  <si>
    <t>1,4,9,14</t>
  </si>
  <si>
    <t>Varies by lesson</t>
  </si>
  <si>
    <t>Lines on one side and blank on the other. Can be white or colored paper.</t>
  </si>
  <si>
    <r>
      <rPr>
        <rFont val="Helvetica Neue"/>
        <color rgb="FF000000"/>
        <sz val="10.0"/>
        <u/>
      </rPr>
      <t>Index cards.jpg (</t>
    </r>
    <r>
      <rPr>
        <rFont val="Helvetica Neue"/>
        <color rgb="FF000000"/>
        <sz val="10.0"/>
        <u/>
      </rPr>
      <t>https://v5.airtableusercontent.com/v3/u/25/25/1707415200000/k0V2gqYHYRwadYDeDZvlMg/beavisthS6hBzjxPeVJ1bcXy8pNO3dGejX_ilhMzyr_TQUZiPQyALWcxppbfv1Zw2DFxJHDqFQ3Yd9cEnLFHh3T_lWaPMI5wfAnYk5HeImkqmNiFXrAhS8z1pEMuVuSB0jFWxmg1ybxgYPbH2RXlxg/EWGyCl07Xd_wCNiYQ8C5fDmLq32R3nXRd-t7OLN1Ur4</t>
    </r>
    <r>
      <rPr>
        <rFont val="Helvetica Neue"/>
        <color rgb="FF000000"/>
        <sz val="10.0"/>
        <u/>
      </rPr>
      <t>)</t>
    </r>
  </si>
  <si>
    <t>10/3/2021 1:36pm</t>
  </si>
  <si>
    <t>Lavender essential oil, 10 mL</t>
  </si>
  <si>
    <t>1/teacher</t>
  </si>
  <si>
    <t>6-10 drops are used each year. This can be reused for more than one year.</t>
  </si>
  <si>
    <r>
      <rPr>
        <rFont val="Helvetica Neue"/>
        <color rgb="FF000000"/>
        <sz val="10.0"/>
        <u/>
      </rPr>
      <t>Lavender essential oil.jpg (</t>
    </r>
    <r>
      <rPr>
        <rFont val="Helvetica Neue"/>
        <color rgb="FF000000"/>
        <sz val="10.0"/>
        <u/>
      </rPr>
      <t>https://v5.airtableusercontent.com/v3/u/25/25/1707415200000/u_B41wyKwcFDP17DYgUDFA/RwoXFsjzT-b7B_hJsKJDmwAkQGXnu9Ia4rM5MjAkFCx-0Owz5hm8rjvmlZ0u5LYyuI3L_aIO-hi_JjPWk1TmJTjbMCxec3VPETgvKfrz5bGb2jvKxCNvgOECyqABOld_FCh4b8b5ydKwzgHhCa1NlSd_QFQWyL6LbpPhfmcXJ4g/nzP0KbRdPIh5W3Ek8PyF1r35cl1qc94K-wFtie-WEpY</t>
    </r>
    <r>
      <rPr>
        <rFont val="Helvetica Neue"/>
        <color rgb="FF000000"/>
        <sz val="10.0"/>
        <u/>
      </rPr>
      <t>)</t>
    </r>
  </si>
  <si>
    <t>10/4/2021 10:54am</t>
  </si>
  <si>
    <t>Lemon essential oil, 10 mL</t>
  </si>
  <si>
    <t>Not lemon juice. 6-10 drops are used each year. This can be reused for more than one year.</t>
  </si>
  <si>
    <r>
      <rPr>
        <rFont val="Helvetica Neue"/>
        <color rgb="FF000000"/>
        <sz val="10.0"/>
        <u/>
      </rPr>
      <t>Lemon essential oil.jpg (</t>
    </r>
    <r>
      <rPr>
        <rFont val="Helvetica Neue"/>
        <color rgb="FF000000"/>
        <sz val="10.0"/>
        <u/>
      </rPr>
      <t>https://v5.airtableusercontent.com/v3/u/25/25/1707415200000/Se5FbAkfHlpX-uLHgm1v_A/SzLPndF_k9h9bsBj5YRgzk7hu815SE7PS2gAkJ5ZajNq_CakKuZ6S8uvBZGRR2glsPOSas-CCX6Ca9sMSxwjn82dAqRwuFL7ptI_O8fwPGxRpXRrADOf8T0t2Fr0ptlWVxy_cLZukoFCC7ei4uXW5NmjlrifmNX8b51gnsvgas8/Wvx7GmqDKJeIRZ9GvSA6bJPUZddCC7lcFuQbllQQfaU</t>
    </r>
    <r>
      <rPr>
        <rFont val="Helvetica Neue"/>
        <color rgb="FF000000"/>
        <sz val="10.0"/>
        <u/>
      </rPr>
      <t>)</t>
    </r>
  </si>
  <si>
    <t>10/26/2021 12:10pm</t>
  </si>
  <si>
    <t>Lemonade mix, sugar-based</t>
  </si>
  <si>
    <t>3 oz (91 g)</t>
  </si>
  <si>
    <t>10 oz (281 g)</t>
  </si>
  <si>
    <t>Regular lemonade is used to make Lesson 1 bath bombs (1/3-1/2 cup), plus additional amounts for Lessons 3 and 4 investigations.</t>
  </si>
  <si>
    <r>
      <rPr>
        <rFont val="Helvetica Neue"/>
        <color rgb="FF000000"/>
        <sz val="10.0"/>
        <u/>
      </rPr>
      <t>Lemonade mix.jpg (</t>
    </r>
    <r>
      <rPr>
        <rFont val="Helvetica Neue"/>
        <color rgb="FF000000"/>
        <sz val="10.0"/>
        <u/>
      </rPr>
      <t>https://v5.airtableusercontent.com/v3/u/25/25/1707415200000/ZkeUmeJjyWOB1mttc_nq4Q/8-Ukn0vqc7IfhbniXE6sR1jl71d0WNc3yYp61sSXrxke05JbOCu3hYgSV6sP4qJMtAkizhrvx1rJPNiDz4bOpbPLW-s2C3pd039xhM_1P3Mbr-e8krFFemmkMd56dqVA-yHnpF5Drjcxg1BUa5VwRQ/b12DcutZ4BL-KCVmCQ0jVJqtooaJfHmmTdd5orZE6wI</t>
    </r>
    <r>
      <rPr>
        <rFont val="Helvetica Neue"/>
        <color rgb="FF000000"/>
        <sz val="10.0"/>
        <u/>
      </rPr>
      <t>)</t>
    </r>
  </si>
  <si>
    <t>Lemonade mix, sugar-free</t>
  </si>
  <si>
    <t>3 oz (94 g)</t>
  </si>
  <si>
    <t>10 oz (289 g)</t>
  </si>
  <si>
    <t>Sugar-free lemonade is used to make Lesson 1 bath bombs (1/3-1/2 cup), plus additional amounts for Lessons 3 and 4 investigations.</t>
  </si>
  <si>
    <r>
      <rPr>
        <rFont val="Helvetica Neue"/>
        <color rgb="FF000000"/>
        <sz val="10.0"/>
        <u/>
      </rPr>
      <t>"Lemonade mix, sugar-free.jpg (</t>
    </r>
    <r>
      <rPr>
        <rFont val="Helvetica Neue"/>
        <color rgb="FF000000"/>
        <sz val="10.0"/>
        <u/>
      </rPr>
      <t>https://v5.airtableusercontent.com/v3/u/25/25/1707415200000/n4ItIVN1jdtM6aMV2BVlgQ/NdX6OPh92GkVJLgj9PIs73rF46tMEDXkhvyD4coOxpc2MpPNXPw3wnmgVJZWdbrwou6YUFPhHd-oGB-HFWQ6phg8d3U3yXKvI2RLWTyzWSGEZIf8eRdPwOeGADGG6tBUh9xR-E8xhfZlcchmk-cV0cw-kZgG76mwwhgTB_8o9-8/Jy2hQynlaFB9_GZroxx864n9GsNLBB1kn2cV6K1GbKE</t>
    </r>
    <r>
      <rPr>
        <rFont val="Helvetica Neue"/>
        <color rgb="FF000000"/>
        <sz val="10.0"/>
        <u/>
      </rPr>
      <t>)"</t>
    </r>
  </si>
  <si>
    <t>Magnesium sulfate (Epsom salt)</t>
  </si>
  <si>
    <t>1,2,3,4,5,10</t>
  </si>
  <si>
    <t>7 oz (200 g)</t>
  </si>
  <si>
    <t>19 oz (530 g)</t>
  </si>
  <si>
    <t>Prefer fragrance-free. Used for making bath bombs in Lesson 1 and then additional quantities are used in Lessons 3 and 4 investigations.</t>
  </si>
  <si>
    <r>
      <rPr>
        <rFont val="Helvetica Neue"/>
        <color rgb="FF000000"/>
        <sz val="10.0"/>
        <u/>
      </rPr>
      <t>Epsom salt.jpg (</t>
    </r>
    <r>
      <rPr>
        <rFont val="Helvetica Neue"/>
        <color rgb="FF000000"/>
        <sz val="10.0"/>
        <u/>
      </rPr>
      <t>https://v5.airtableusercontent.com/v3/u/25/25/1707415200000/-KRjQ9hIu4edJ3QDEWbGGw/7XhjZG0dqsSX639r4ajdr201gUZw07BOzI-sbII32AvBdRbE9ROCnB7hzY-ex1TMekShfcUb2Z4praoHoo1HFsDNerEAGc0j63sT9FRo-Xm7XT8cE9lN5MWVxZsLQXDH84j4oBlduEQiGndmtSqTDA/xy8CJdEMgcZF_wwxqp5bbZ8T4petEbDSOIq5vET3tvc</t>
    </r>
    <r>
      <rPr>
        <rFont val="Helvetica Neue"/>
        <color rgb="FF000000"/>
        <sz val="10.0"/>
        <u/>
      </rPr>
      <t>)</t>
    </r>
  </si>
  <si>
    <t>Malic acid</t>
  </si>
  <si>
    <t>1 capsule/student</t>
  </si>
  <si>
    <r>
      <rPr>
        <rFont val="Helvetica Neue"/>
        <color rgb="FF000000"/>
        <sz val="10.0"/>
        <u/>
      </rPr>
      <t>Malic Acid.jpg (</t>
    </r>
    <r>
      <rPr>
        <rFont val="Helvetica Neue"/>
        <color rgb="FF000000"/>
        <sz val="10.0"/>
        <u/>
      </rPr>
      <t>https://v5.airtableusercontent.com/v3/u/25/25/1707415200000/cp4Jw5tqQBJKbsdYbGpQjQ/Ah7knBTYnWo2FV6hWUdmDQyRvzO7RxWvLkhSb-fyxzrNNwcak9C390SZrM2_mbX0y6UNCpv3d-utwLo3aIDPSfycP_nx66DysTJ75aJdyKEZa3gAA8wb_jjlpGb4kye8lr-58HdBja21of2jlMi2uA/L6oyBMehMjnufkKwj3ki8ZsAdN6kgv71tQfoDqOA43Q</t>
    </r>
    <r>
      <rPr>
        <rFont val="Helvetica Neue"/>
        <color rgb="FF000000"/>
        <sz val="10.0"/>
        <u/>
      </rPr>
      <t>)</t>
    </r>
  </si>
  <si>
    <t>Menthol, 15 mL</t>
  </si>
  <si>
    <t>40 grams/teacher</t>
  </si>
  <si>
    <t>Must be in crystal form. This can be reused for more than one year.</t>
  </si>
  <si>
    <r>
      <rPr>
        <rFont val="Helvetica Neue"/>
        <color rgb="FF000000"/>
        <sz val="10.0"/>
        <u/>
      </rPr>
      <t>Menthol.jpg (</t>
    </r>
    <r>
      <rPr>
        <rFont val="Helvetica Neue"/>
        <color rgb="FF000000"/>
        <sz val="10.0"/>
        <u/>
      </rPr>
      <t>https://v5.airtableusercontent.com/v3/u/25/25/1707415200000/g0wVLP13Z7wi4FGH8xgjhA/XUrxOubMb3ZejfC0Il6IPzn1qTtr1ETF_0AF0nNHjQFkvnGJrd5g9CygOaPKJ0fViTN5kPIP2j-EXaO35tPuaNhIJfG8gmx3li7PCwD2g7hAgCmFx4mGpDeLp_l1mwXoZszQtrspW4FLKLoSFJZayQ/XqnrAN4WBJTP14LszV5v_-OHc-AT3vH-xL8wd_4rOQs</t>
    </r>
    <r>
      <rPr>
        <rFont val="Helvetica Neue"/>
        <color rgb="FF000000"/>
        <sz val="10.0"/>
        <u/>
      </rPr>
      <t>)</t>
    </r>
  </si>
  <si>
    <t>10/4/2021 10:55am</t>
  </si>
  <si>
    <t>Olive oil</t>
  </si>
  <si>
    <t>2 oz (65 g)</t>
  </si>
  <si>
    <t>11 oz (325 g)</t>
  </si>
  <si>
    <t>Used for making bath bombs in Lesson 1 and then additional quantities are used in Lessons 3 and 4 investigations.</t>
  </si>
  <si>
    <r>
      <rPr>
        <rFont val="Helvetica Neue"/>
        <color rgb="FF000000"/>
        <sz val="10.0"/>
        <u/>
      </rPr>
      <t>Olive oil.jpg (</t>
    </r>
    <r>
      <rPr>
        <rFont val="Helvetica Neue"/>
        <color rgb="FF000000"/>
        <sz val="10.0"/>
        <u/>
      </rPr>
      <t>https://v5.airtableusercontent.com/v3/u/25/25/1707415200000/db72yP5caWe69e8iqciQLw/Ot3_D0ASGl7T5xQN52WMybaus80atcct-1aDpFEubbXhqFmcKpqnX0LDh6OunrjrySmMvdQG16Ps9gXIrhXPX048whUuhP7Sc9kyA4qYGcJg_zZL-IZfycN46zjJN_hZ0QPFsY5_owPmnfhZVhkl2A/Ue4YNIowmeNYF8t04GnbphsnprJBhQzqmnbo47qSDrI</t>
    </r>
    <r>
      <rPr>
        <rFont val="Helvetica Neue"/>
        <color rgb="FF000000"/>
        <sz val="10.0"/>
        <u/>
      </rPr>
      <t>)</t>
    </r>
  </si>
  <si>
    <t>Paper plate</t>
  </si>
  <si>
    <t>1/student</t>
  </si>
  <si>
    <t>One plate per student. Used to transport and investigate one bath bomb.</t>
  </si>
  <si>
    <r>
      <rPr>
        <rFont val="Helvetica Neue"/>
        <color rgb="FF000000"/>
        <sz val="10.0"/>
        <u/>
      </rPr>
      <t>Paper plates.jpg (</t>
    </r>
    <r>
      <rPr>
        <rFont val="Helvetica Neue"/>
        <color rgb="FF000000"/>
        <sz val="10.0"/>
        <u/>
      </rPr>
      <t>https://v5.airtableusercontent.com/v3/u/25/25/1707415200000/N8qKJiqFLCZ0sQVfX2tF9A/BgxJX3F9wggWaqUBUK_VAEgss8Udx9JtuFaOlnART-hP6lop79CHblAxtzQZWO22J00iDCI_1OPIjHvXH8SP9WqNqdieZ5vnaA5FPYkF0c_UHYnQat1FGxZ2bK9RdhAaBzf2HBPSODA7eto_h6mLIw/R5cURLMQYK2MAEgJRM8_yRmn2AoYyjuOXUBEWEl5Bgc</t>
    </r>
    <r>
      <rPr>
        <rFont val="Helvetica Neue"/>
        <color rgb="FF000000"/>
        <sz val="10.0"/>
        <u/>
      </rPr>
      <t>)</t>
    </r>
  </si>
  <si>
    <t>Pipette, disposable plastic, 3 mL</t>
  </si>
  <si>
    <t>1,4</t>
  </si>
  <si>
    <t>200/teacher</t>
  </si>
  <si>
    <t>Can be reused for some lessons and disposed of for other lessons.</t>
  </si>
  <si>
    <r>
      <rPr>
        <rFont val="Helvetica Neue"/>
        <color rgb="FF000000"/>
        <sz val="10.0"/>
        <u/>
      </rPr>
      <t>Disposable pipettes.jpg (</t>
    </r>
    <r>
      <rPr>
        <rFont val="Helvetica Neue"/>
        <color rgb="FF000000"/>
        <sz val="10.0"/>
        <u/>
      </rPr>
      <t>https://v5.airtableusercontent.com/v3/u/25/25/1707415200000/p3dBk2Gb8zUIbgmQ2aUTiw/b5fgUuGSpLZxrNYRaxrqD8hKq4XHN3D_Od4PiFJOfpOqV8Dt12VLn6IXOU4AGyX3GKU671IuCwMnOF5eyVnOmP_o71KDuc4EAKWATgcWloggn9QmBJida3V8Kc2xMv_o3UPHKtWZ0jOvc0T4fuHDp4k5_5nEdWcLWDe201ewakA/Lu4bXBUverqtrpxbENQ13mceo4Xzl1ouXcu7j_VVPso</t>
    </r>
    <r>
      <rPr>
        <rFont val="Helvetica Neue"/>
        <color rgb="FF000000"/>
        <sz val="10.0"/>
        <u/>
      </rPr>
      <t>)</t>
    </r>
  </si>
  <si>
    <t>Rubbing alcohol</t>
  </si>
  <si>
    <t>4 oz (114 mL)/class</t>
  </si>
  <si>
    <t>Prefer 99% alcohol, but 91% can work.</t>
  </si>
  <si>
    <r>
      <rPr>
        <rFont val="Helvetica Neue"/>
        <color rgb="FF000000"/>
        <sz val="10.0"/>
        <u/>
      </rPr>
      <t>Rubbing alcohol.jpg (</t>
    </r>
    <r>
      <rPr>
        <rFont val="Helvetica Neue"/>
        <color rgb="FF000000"/>
        <sz val="10.0"/>
        <u/>
      </rPr>
      <t>https://v5.airtableusercontent.com/v3/u/25/25/1707415200000/IJg06isf036dfhsRiGpXhw/F5DdeFfNeWIXzuNArN_KaHjz2KDWGhhLSD0uZ_qx6e15z__xmfUGO2ZRvCkfQcHfomcsh8vM5xVQaF8HkKP_lgKBDodOfvrc0PJN4ai9RsZzg9_3mrqrH7r8fMAP24WxQMXDrw6QzpmisczSBcF9mA/FBARVzKdCoMt1dXi6S_KS0qBIzvKaMUelESzOx_-HKU</t>
    </r>
    <r>
      <rPr>
        <rFont val="Helvetica Neue"/>
        <color rgb="FF000000"/>
        <sz val="10.0"/>
        <u/>
      </rPr>
      <t>)</t>
    </r>
  </si>
  <si>
    <t>Salt (table salt)</t>
  </si>
  <si>
    <t>4 oz (102 g)</t>
  </si>
  <si>
    <t>14 oz (402 g)</t>
  </si>
  <si>
    <r>
      <rPr>
        <rFont val="Helvetica Neue"/>
        <color rgb="FF000000"/>
        <sz val="10.0"/>
        <u/>
      </rPr>
      <t>Salt.jfif (</t>
    </r>
    <r>
      <rPr>
        <rFont val="Helvetica Neue"/>
        <color rgb="FF000000"/>
        <sz val="10.0"/>
        <u/>
      </rPr>
      <t>https://v5.airtableusercontent.com/v3/u/25/25/1707415200000/5OMVxuu7-LofBpOZA5jdyQ/bCqAB3AfxZkaVtmDD9BPOL0u3PcVHhvwEJkKTx9bOpr_1t42KOBWF8MUtZJpNrSwluYpytJ6rxlmi05XMFqsEL91CCbL1OG31Al0i6YgyTnME3-m_-A7SrUvi9hz53pxcf6nlXUfuNimUKBydOzK0Q/VmJKlhdOmJoMmUGpc5gsy8LUihPNtI_4KeQqlhX8S7s</t>
    </r>
    <r>
      <rPr>
        <rFont val="Helvetica Neue"/>
        <color rgb="FF000000"/>
        <sz val="10.0"/>
        <u/>
      </rPr>
      <t>)</t>
    </r>
  </si>
  <si>
    <t>Sticky note, 3 x 3</t>
  </si>
  <si>
    <t>Throughout</t>
  </si>
  <si>
    <t>10 pads/class</t>
  </si>
  <si>
    <t>10 pads</t>
  </si>
  <si>
    <t>60 pads</t>
  </si>
  <si>
    <r>
      <rPr>
        <rFont val="Helvetica Neue"/>
        <color rgb="FF000000"/>
        <sz val="10.0"/>
        <u/>
      </rPr>
      <t>1266571.jpg (</t>
    </r>
    <r>
      <rPr>
        <rFont val="Helvetica Neue"/>
        <color rgb="FF000000"/>
        <sz val="10.0"/>
        <u/>
      </rPr>
      <t>https://v5.airtableusercontent.com/v3/u/25/25/1707415200000/zcC1KsJYSh72cCltfH-gkw/DO1sDgxu8qCIhQIO2mwBeQk2xiBcgLRiJ-iiczRNUqfl2spEe4wF2RiPmGu3n-GeL1O965oAb0bI1TVEP3ei2eiwJNeiVqvp0Bddt1qM7vrzS-7dLLmQAPx-UtTLKyN3MoyfF2bemvi9re44hXyVFw/k2Y0bPGBlDTBBshLa6cl_xQlvbWwhTCc6qjnXgVbo5g</t>
    </r>
    <r>
      <rPr>
        <rFont val="Helvetica Neue"/>
        <color rgb="FF000000"/>
        <sz val="10.0"/>
        <u/>
      </rPr>
      <t>)</t>
    </r>
  </si>
  <si>
    <t>11/17/2021 11:40am</t>
  </si>
  <si>
    <t>Sticky note, 3 x 5</t>
  </si>
  <si>
    <t>1 pad/teacher</t>
  </si>
  <si>
    <r>
      <rPr>
        <rFont val="Helvetica Neue"/>
        <color rgb="FF000000"/>
        <sz val="10.0"/>
        <u/>
      </rPr>
      <t>sticky.jpg (</t>
    </r>
    <r>
      <rPr>
        <rFont val="Helvetica Neue"/>
        <color rgb="FF000000"/>
        <sz val="10.0"/>
        <u/>
      </rPr>
      <t>https://v5.airtableusercontent.com/v3/u/25/25/1707415200000/3hfJ_WGaqDrd94e2mGSGKQ/QrlPkpJlj2uF5UlmqFLGsruKMdSgR_wHSvJ841HoOTMPnmgXKbnM5oOe-GTzc0B8LHsBIOB-RXogfECW5gJZKdtSXKFdx2htvW9pbbJClzaEJ8DSLkzCi4f1NH7OCd3YICqQ64mwQS86ipb1jpdZyA/dW95P66HuK6EAi0UB2c-bWJ8cOTbKuB4s198g1KoxXk</t>
    </r>
    <r>
      <rPr>
        <rFont val="Helvetica Neue"/>
        <color rgb="FF000000"/>
        <sz val="10.0"/>
        <u/>
      </rPr>
      <t>)</t>
    </r>
  </si>
  <si>
    <t>Sugar</t>
  </si>
  <si>
    <t>3 oz (85 g)</t>
  </si>
  <si>
    <t>12 oz (335 g)</t>
  </si>
  <si>
    <r>
      <rPr>
        <rFont val="Helvetica Neue"/>
        <color rgb="FF000000"/>
        <sz val="10.0"/>
        <u/>
      </rPr>
      <t>Sugar.jpg (</t>
    </r>
    <r>
      <rPr>
        <rFont val="Helvetica Neue"/>
        <color rgb="FF000000"/>
        <sz val="10.0"/>
        <u/>
      </rPr>
      <t>https://v5.airtableusercontent.com/v3/u/25/25/1707415200000/2Q25XWMESe_haKjvVo9Mdg/SAuEEgQoNkLu6TH-nJd7ABXgx5TSy9hcR66JQIOzl3FxnY4oaZsOVVtgo25z9iz894huZCDNXMPWgNwaW2wq2Eqaqi4vqGzL-7UYeii8TNDGBox8QPvskqJUs4DHUAfb4NO923jBjr6bY14PDQ1P_A/tCpFx9ukHbnOxe9M822jD8s4P8jBUkEP4WT7Bl9OfEk</t>
    </r>
    <r>
      <rPr>
        <rFont val="Helvetica Neue"/>
        <color rgb="FF000000"/>
        <sz val="10.0"/>
        <u/>
      </rPr>
      <t>)</t>
    </r>
  </si>
  <si>
    <t>Tape, transparent</t>
  </si>
  <si>
    <t>1,3,8</t>
  </si>
  <si>
    <t>1/class</t>
  </si>
  <si>
    <r>
      <rPr>
        <rFont val="Helvetica Neue"/>
        <color rgb="FF000000"/>
        <sz val="10.0"/>
        <u/>
      </rPr>
      <t>1267039.jpg (</t>
    </r>
    <r>
      <rPr>
        <rFont val="Helvetica Neue"/>
        <color rgb="FF000000"/>
        <sz val="10.0"/>
        <u/>
      </rPr>
      <t>https://v5.airtableusercontent.com/v3/u/25/25/1707415200000/iP-_pUE48soZLq6fBSJ-tw/JNt-w1rfRG8IH6hVnCH7Fszy0sJ0LJPfpY9sf4roJCs47TCFyj0VoLg5vkC5CFRUHkg8ssYwdBEtA768sNAutUZIz-nFgHS58a5jK4jg3TehvU7QW54Rv9outUxOPo4axgOI9Ve6rrS2D_WZNW5_0A/4FxFy93LWN4KczztPtfdHfwDuxLy-HiUhDtmXSWZ-t4</t>
    </r>
    <r>
      <rPr>
        <rFont val="Helvetica Neue"/>
        <color rgb="FF000000"/>
        <sz val="10.0"/>
        <u/>
      </rPr>
      <t>)</t>
    </r>
  </si>
  <si>
    <t>Toothpick</t>
  </si>
  <si>
    <t>1 toothpick/student</t>
  </si>
  <si>
    <t xml:space="preserve">Round toothpicks are preferred to flat toothpicks. </t>
  </si>
  <si>
    <r>
      <rPr>
        <rFont val="Helvetica Neue"/>
        <color rgb="FF000000"/>
        <sz val="10.0"/>
        <u/>
      </rPr>
      <t>Toothpicks.jpg (</t>
    </r>
    <r>
      <rPr>
        <rFont val="Helvetica Neue"/>
        <color rgb="FF000000"/>
        <sz val="10.0"/>
        <u/>
      </rPr>
      <t>https://v5.airtableusercontent.com/v3/u/25/25/1707415200000/4rwzz89Mceg7UOyRyDf1mg/y9deYBH7JhK2WUYEioNK2ZQwZgOT03uCiRln7H21T17VDNOuAsRpWO82k-Ziq_UQnhwGTEC_J5rGhJqh2mpTtTsswV48V6qdwAJ9FPiW-SFsYetBfNmjW_nLvn5HbuVQpe7l5MyJ9jIuwBx2jzf1AQ/kRDRpNJjNP86WF6EeoHQm9EVRUP5bsJYpK9IDBpzeUw</t>
    </r>
    <r>
      <rPr>
        <rFont val="Helvetica Neue"/>
        <color rgb="FF000000"/>
        <sz val="10.0"/>
        <u/>
      </rPr>
      <t>)</t>
    </r>
  </si>
  <si>
    <t>10/3/2021 2:57pm</t>
  </si>
  <si>
    <t>Vanilla essential oil, 10 mL</t>
  </si>
  <si>
    <t>Not vanilla extract. 6-10 drops are used each year. This can be reused for more than one year.</t>
  </si>
  <si>
    <r>
      <rPr>
        <rFont val="Helvetica Neue"/>
        <color rgb="FF000000"/>
        <sz val="10.0"/>
        <u/>
      </rPr>
      <t>Vanilla essential oil.jpg (</t>
    </r>
    <r>
      <rPr>
        <rFont val="Helvetica Neue"/>
        <color rgb="FF000000"/>
        <sz val="10.0"/>
        <u/>
      </rPr>
      <t>https://v5.airtableusercontent.com/v3/u/25/25/1707415200000/norcUSFclUxI-bxYDmDtxA/ITuWYRtFcGpJU9zYklmL02kmiyw0eaSCHo_Ydxs3NkvcywkJhU50P1oPY4j2SF_CAWf8431-e4hyvyesdacILAktWJFI5QuQEt9RrHnQxuYrMmTFkABB3uLc0Dw9Pz7c726a4HZTKFJBP41oY-Es6_df23LDC6b3qBUPNRE3ft8/u2Hxrk6HvCRNleRxgicx2o8OYT89mlRAwDN4FvwaBqk</t>
    </r>
    <r>
      <rPr>
        <rFont val="Helvetica Neue"/>
        <color rgb="FF000000"/>
        <sz val="10.0"/>
        <u/>
      </rPr>
      <t>)</t>
    </r>
  </si>
  <si>
    <t>10/26/2021 12:09pm</t>
  </si>
  <si>
    <t>Wax paper</t>
  </si>
  <si>
    <t>1 roll/teacher</t>
  </si>
  <si>
    <t xml:space="preserve"> </t>
  </si>
  <si>
    <r>
      <rPr>
        <rFont val="Helvetica Neue"/>
        <color rgb="FF000000"/>
        <sz val="10.0"/>
        <u/>
      </rPr>
      <t>Wax paper.jpg (</t>
    </r>
    <r>
      <rPr>
        <rFont val="Helvetica Neue"/>
        <color rgb="FF000000"/>
        <sz val="10.0"/>
        <u/>
      </rPr>
      <t>https://v5.airtableusercontent.com/v3/u/25/25/1707415200000/5p-1mlUY9CDYlo9Eax7TUg/YuwwjVN8S-sjajvH2T6Q7xgHj-N1HgUkcYDHhEYGULEyTxn0YtD15XiM-wF2AbsYR6VtcfF6YsFnEz4kF_JkY315TrBVKTqDy8V-93_5nr0LHf0YJjp-BLc1qn2xAYX8tjH39o1w5tEzwqkrG8j9iw/B1740jm3ElvKqCoiOclc2Fjlb9pclBBnitfZHFMTeLE</t>
    </r>
    <r>
      <rPr>
        <rFont val="Helvetica Neue"/>
        <color rgb="FF000000"/>
        <sz val="10.0"/>
        <u/>
      </rPr>
      <t>)</t>
    </r>
  </si>
  <si>
    <t>10/4/2021 10:57am</t>
  </si>
  <si>
    <t xml:space="preserve">Balloon, helium-filled Mylar </t>
  </si>
  <si>
    <t>Locally-sourced (perishable, heavy, etc.)</t>
  </si>
  <si>
    <t xml:space="preserve">The teacher needs one balloon per class, pre-filled from the store. </t>
  </si>
  <si>
    <r>
      <rPr>
        <rFont val="Helvetica Neue"/>
        <color rgb="FF000000"/>
        <sz val="10.0"/>
        <u/>
      </rPr>
      <t>Helium filled mylar balloon.jfif (</t>
    </r>
    <r>
      <rPr>
        <rFont val="Helvetica Neue"/>
        <color rgb="FF000000"/>
        <sz val="10.0"/>
        <u/>
      </rPr>
      <t>https://v5.airtableusercontent.com/v3/u/25/25/1707415200000/tzwkoi2xH6CWZbOHUnWNrg/mtVvNTmwCuYiyMm-PSMhtogd_EigCd0IkYzHzhnY7O2ylDgaBO-UWUx6k9CedV4_mBrPdxs6WNLg_f4Uh7IozbttNd6BREuQ7HJ-Q7p-Bz7JO5TKCkSyPrwSA1JQIVLyGWrR3jNK5LzMpfrpJ01ZsR3QEcDnHpiVGy6D8XVLfm0/nR1zk6EPy3L8NjTM-W9z2-xKx7klhoLtqbnpJaxRrDY</t>
    </r>
    <r>
      <rPr>
        <rFont val="Helvetica Neue"/>
        <color rgb="FF000000"/>
        <sz val="10.0"/>
        <u/>
      </rPr>
      <t>)</t>
    </r>
  </si>
  <si>
    <t>10/3/2021 12:28pm</t>
  </si>
  <si>
    <t>Bowl, large, clear</t>
  </si>
  <si>
    <t>Clear glass or Pyrex is preferred, but not required. Clear plastic is fine too. Large, approx. 4.75 L. Reuse the same one as unit 7.3.</t>
  </si>
  <si>
    <r>
      <rPr>
        <rFont val="Helvetica Neue"/>
        <color rgb="FF000000"/>
        <sz val="10.0"/>
        <u/>
      </rPr>
      <t>Bowl.jfif (</t>
    </r>
    <r>
      <rPr>
        <rFont val="Helvetica Neue"/>
        <color rgb="FF000000"/>
        <sz val="10.0"/>
        <u/>
      </rPr>
      <t>https://v5.airtableusercontent.com/v3/u/25/25/1707415200000/NQ-XunVx04qEZoCiNJ059w/2nLNjCHsgA_KotSoCkDzNsZ-A8gl9KB8f2ixddTRBnsgo0tUu1k9h6qpVIz_2w3mCg5_dWmD6tbWul74LXBIKjZxtpycdhR9PXCFsKF3Fdq3ZYh5nII0lWtm1R9R9yLTC0KejFwOq6fZNDv5S47qbA/YhrVCh5Fdttu2f3Ju0ze1mCzfdl4vk5bqrPpaTjXGN8</t>
    </r>
    <r>
      <rPr>
        <rFont val="Helvetica Neue"/>
        <color rgb="FF000000"/>
        <sz val="10.0"/>
        <u/>
      </rPr>
      <t>)</t>
    </r>
  </si>
  <si>
    <t>10/4/2021 1:27pm</t>
  </si>
  <si>
    <t>Chart paper</t>
  </si>
  <si>
    <t>2 pads per 6 classes</t>
  </si>
  <si>
    <t>Can be chart paper, butcher paper, or a digital method</t>
  </si>
  <si>
    <r>
      <rPr>
        <rFont val="Helvetica Neue"/>
        <color rgb="FF000000"/>
        <sz val="10.0"/>
        <u/>
      </rPr>
      <t>Chart paper.jpg (</t>
    </r>
    <r>
      <rPr>
        <rFont val="Helvetica Neue"/>
        <color rgb="FF000000"/>
        <sz val="10.0"/>
        <u/>
      </rPr>
      <t>https://v5.airtableusercontent.com/v3/u/25/25/1707415200000/CSFcJY9Utcbd1RVFp8hgVQ/v_KzIQdaPu24tg8ghcnrDoGWu4lA-gB5K3IDmI0969n1wMHVOfJytxMgvGRWBJo62_ApJnyX8hgFy7fF_QQ85igEv6I4uQtHZunZ2ERdwW7t2W7EYiOZyVFkLCrwLGIXLWCh51Dam1MJTcFUsjYVrg/OFfMmwNPTSQDOMrsvWjr4_kxDbwHWZo2NOfxxokBDqI</t>
    </r>
    <r>
      <rPr>
        <rFont val="Helvetica Neue"/>
        <color rgb="FF000000"/>
        <sz val="10.0"/>
        <u/>
      </rPr>
      <t>),Screen Shot 2021-11-03 at 10_19_09 AM.png (</t>
    </r>
    <r>
      <rPr>
        <rFont val="Helvetica Neue"/>
        <color rgb="FF000000"/>
        <sz val="10.0"/>
        <u/>
      </rPr>
      <t>https://v5.airtableusercontent.com/v3/u/25/25/1707415200000/-Pe3fbFCTQv-uAG9b8O81w/FvYEbjB09G1KweugdzPddpqQ64xpcMEcjDPqOMbZ2FyWb_pyaEEf5YlsMQbBU6Zs3Il2LO9pRpQglI-miVr1UEYhtAp9Q6v_6CaHM6Br5nKvCcpzJJf60r7KBmXsKLmQPMZtCZenFvzVfu3CpOcRRBypaeVoFnquFoOO-ryar5I/BeeScw5C_VRlTPk_s-IpW8T-ApKDnYgO7thIzLCyygY</t>
    </r>
    <r>
      <rPr>
        <rFont val="Helvetica Neue"/>
        <color rgb="FF000000"/>
        <sz val="10.0"/>
        <u/>
      </rPr>
      <t>)</t>
    </r>
  </si>
  <si>
    <t>11/3/2021 11:27am</t>
  </si>
  <si>
    <t>Glue stick</t>
  </si>
  <si>
    <t>Alternatively can use scotch tape. Used in whole-class discussion to affix paper shapes to chart paper.</t>
  </si>
  <si>
    <t>10/3/2021 1:16pm</t>
  </si>
  <si>
    <t>Highlighters, various colors</t>
  </si>
  <si>
    <t>2,4,6</t>
  </si>
  <si>
    <t>3 different colors/student</t>
  </si>
  <si>
    <t>90 highlighters (30 each of 3 different colors)</t>
  </si>
  <si>
    <r>
      <rPr>
        <rFont val="Helvetica Neue"/>
        <color rgb="FF000000"/>
        <sz val="10.0"/>
        <u/>
      </rPr>
      <t>Screen Shot 2021-11-14 at 2_48_11 PM.png (</t>
    </r>
    <r>
      <rPr>
        <rFont val="Helvetica Neue"/>
        <color rgb="FF000000"/>
        <sz val="10.0"/>
        <u/>
      </rPr>
      <t>https://v5.airtableusercontent.com/v3/u/25/25/1707415200000/vkFMay5u63qHLrbovsWqBg/RKpMl20SJX0jTBe-xzZ5Q1qCoYm2hHXVzO4JaUXGtm5d2FX3xWCttpu7wXK6ACaGgEoNF3xt0Xu_J1pZF9E3MNKD-A8WbNBePDjwk2WI68Y-1aw8CwCedyrK6dCRdziU66bQFxMXLvG60DV36u1wuwVM33SB5gUkCdnSGplfjuM/6aECsGMhQQCsz1KigVdVKjqrS162diihkFOqtrqbTok</t>
    </r>
    <r>
      <rPr>
        <rFont val="Helvetica Neue"/>
        <color rgb="FF000000"/>
        <sz val="10.0"/>
        <u/>
      </rPr>
      <t>)</t>
    </r>
  </si>
  <si>
    <t>11/14/2021 2:48pm</t>
  </si>
  <si>
    <t>Markers, black, permanent</t>
  </si>
  <si>
    <t>1,7,12</t>
  </si>
  <si>
    <t>8 per class, 16 for 6 classes</t>
  </si>
  <si>
    <r>
      <rPr>
        <rFont val="Helvetica Neue"/>
        <color rgb="FF000000"/>
        <sz val="10.0"/>
        <u/>
      </rPr>
      <t>sharpie.webp (</t>
    </r>
    <r>
      <rPr>
        <rFont val="Helvetica Neue"/>
        <color rgb="FF000000"/>
        <sz val="10.0"/>
        <u/>
      </rPr>
      <t>https://v5.airtableusercontent.com/v3/u/25/25/1707415200000/yTA4a9wwGKKpWF5sYKzOtw/nvIlTjx1xSF2_ykmy9XKY67TTSZrLR6iEZrBpGRw6Ic_xoHl85678PnBaJHdC05xE3CyHAgLnCJw46YgxKKvXumzj01tSH9UKoH7A2kcb-d1pyCJ580lZuF6JpSqK_0JP9UAdUH1dwcYW4-Sjw9u4w/VBx3JrF_-E4v3B3zUqQFJqzGUQSUUgapYWWkHDb86kE</t>
    </r>
    <r>
      <rPr>
        <rFont val="Helvetica Neue"/>
        <color rgb="FF000000"/>
        <sz val="10.0"/>
        <u/>
      </rPr>
      <t>)</t>
    </r>
  </si>
  <si>
    <t>11/14/2021 2:58pm</t>
  </si>
  <si>
    <t>Markers, colored</t>
  </si>
  <si>
    <t>1 pack/teacher</t>
  </si>
  <si>
    <r>
      <rPr>
        <rFont val="Helvetica Neue"/>
        <color rgb="FF000000"/>
        <sz val="10.0"/>
        <u/>
      </rPr>
      <t>Colored marker.jpg (</t>
    </r>
    <r>
      <rPr>
        <rFont val="Helvetica Neue"/>
        <color rgb="FF000000"/>
        <sz val="10.0"/>
        <u/>
      </rPr>
      <t>https://v5.airtableusercontent.com/v3/u/25/25/1707415200000/ftz944goFqc5py_yNz9dSw/U4yiPBFE-WUHRMjR6lZc4eSbYn9Y89QHaJcRUj9LK-YxcP0kI36u8dUmEHOR3MZP8WOBFADa9tI9smEkam4HzkdFvFyiLW74YM7V68y4pH5iUlqTrUHM7hAZUqROHRn2xyHtMmXyb5rJyU63TNQyag/an0LooNLFH6HQBjx_ZfnNbduVwe4V9SVji9Fx9p6dNs</t>
    </r>
    <r>
      <rPr>
        <rFont val="Helvetica Neue"/>
        <color rgb="FF000000"/>
        <sz val="10.0"/>
        <u/>
      </rPr>
      <t>)</t>
    </r>
  </si>
  <si>
    <t>11/14/2021 2:56pm</t>
  </si>
  <si>
    <t>Matches, wooden, long</t>
  </si>
  <si>
    <t>5,9,10</t>
  </si>
  <si>
    <t>2 boxes/teacher</t>
  </si>
  <si>
    <t xml:space="preserve">Long wooden matches are required. They are used as glowing wood splints. </t>
  </si>
  <si>
    <r>
      <rPr>
        <rFont val="Helvetica Neue"/>
        <color rgb="FF000000"/>
        <sz val="10.0"/>
        <u/>
      </rPr>
      <t>"Matches box, wooden.jpeg (</t>
    </r>
    <r>
      <rPr>
        <rFont val="Helvetica Neue"/>
        <color rgb="FF000000"/>
        <sz val="10.0"/>
        <u/>
      </rPr>
      <t>https://v5.airtableusercontent.com/v3/u/25/25/1707415200000/glsx-OHhLrrZKHfIE_yHiw/o71rYKZnTZjckgn-yLXX9dAcZC_e6q7CvQ_wfLFu5rtu0heExgm0IyukaWm_IxQFI-SYwf48cJrCHD4ZVTh8yC2HGqEw4-3V0kwsp6sWu2PGRXgrPu_TtaCT6Mg5u4IcbewwZzVbm7fxZlTYaF_OialRR3cPEijqPPKWsPcy_AA/V8vYakja2Tdvl8YrTZ-PYhQkOIpLn8SFT8bO51TgX00</t>
    </r>
    <r>
      <rPr>
        <rFont val="Helvetica Neue"/>
        <color rgb="FF000000"/>
        <sz val="10.0"/>
        <u/>
      </rPr>
      <t>)"</t>
    </r>
  </si>
  <si>
    <t>10/4/2021 12:47pm</t>
  </si>
  <si>
    <t>Paper towel</t>
  </si>
  <si>
    <t>1 roll/class</t>
  </si>
  <si>
    <r>
      <rPr>
        <rFont val="Helvetica Neue"/>
        <color rgb="FF000000"/>
        <sz val="10.0"/>
        <u/>
      </rPr>
      <t>Paper towels or tissue.jpg (</t>
    </r>
    <r>
      <rPr>
        <rFont val="Helvetica Neue"/>
        <color rgb="FF000000"/>
        <sz val="10.0"/>
        <u/>
      </rPr>
      <t>https://v5.airtableusercontent.com/v3/u/25/25/1707415200000/TKnMg1bT44lCpi2YAagRFQ/be503MYMy1OIv2JNeZmth1jiNCiC86ddGsqmRHD1CH_mrRRd3LtbNh41WZQP46FR0Rq-0Q3Ks9Eda1BjR1wd_m1erEZuQ3t2ILWH_To-2bkqVCAxCoTB3O5smM5sQKUq5lCWdPC7N0vr-P9IDKkF2UA85UHVnQdqQaGFHc2lWuo/fGbQ78A2BjXzuQNJQLQLJVlZVTYP2SLDL7_CnKkzj90</t>
    </r>
    <r>
      <rPr>
        <rFont val="Helvetica Neue"/>
        <color rgb="FF000000"/>
        <sz val="10.0"/>
        <u/>
      </rPr>
      <t>)</t>
    </r>
  </si>
  <si>
    <t>11/14/2021 3:14pm</t>
  </si>
  <si>
    <t>Sandpaper, coarse</t>
  </si>
  <si>
    <t>1 piece/teacher</t>
  </si>
  <si>
    <t>OPTIONAL: Can be used in Lesson 10 to clean alligator clip leads to prevent rusting.</t>
  </si>
  <si>
    <r>
      <rPr>
        <rFont val="Helvetica Neue"/>
        <color rgb="FF000000"/>
        <sz val="10.0"/>
        <u/>
      </rPr>
      <t>Sandpaper.jpg (</t>
    </r>
    <r>
      <rPr>
        <rFont val="Helvetica Neue"/>
        <color rgb="FF000000"/>
        <sz val="10.0"/>
        <u/>
      </rPr>
      <t>https://v5.airtableusercontent.com/v3/u/25/25/1707415200000/uMvP92gjxF7sjfvkvkVJ0Q/8w-32MwP3iC7aJr4Nmsb5UNdPp9lcgRd_VpyrV8HqWxd6l0LHX0y9W6bpjHfasQ5vPtcsC108yGFgtIKXdvQ_I_KVJhgOpgGDATQ08CtJS_BbrlggxBs6vU0VrKBPhai38ZVjxneTq_A7o5IEi7WgA/dbMqTxKbhTV5yklCCAcS_Vv73pWURV-VlhsXpfF25_o</t>
    </r>
    <r>
      <rPr>
        <rFont val="Helvetica Neue"/>
        <color rgb="FF000000"/>
        <sz val="10.0"/>
        <u/>
      </rPr>
      <t>)</t>
    </r>
  </si>
  <si>
    <t>10/4/2021 4:07pm</t>
  </si>
  <si>
    <t>Scissors</t>
  </si>
  <si>
    <r>
      <rPr>
        <rFont val="Helvetica Neue"/>
        <color rgb="FF000000"/>
        <sz val="10.0"/>
        <u/>
      </rPr>
      <t>Scissors.jpg (</t>
    </r>
    <r>
      <rPr>
        <rFont val="Helvetica Neue"/>
        <color rgb="FF000000"/>
        <sz val="10.0"/>
        <u/>
      </rPr>
      <t>https://v5.airtableusercontent.com/v3/u/25/25/1707415200000/zHDrx_m0MD5yrJg-lk3_kg/13Ke6E_b-VnMQAj2ci6daTHgvEjrRpRtIQhzOZ6IFPPgKtHpc-b2kTZnCbSV0BcwR1osHV6EeuSloqAuT08Y5lvoTL5VAlS_f7PWZFRDCs--eSyKcvbiO0c5Kd4ga3BYeWqLna8XMD7b7LRdaZfeQg/pT8VvyM-km377MvXIERMR8DK4eiMQ-2SqaREVtj41tQ</t>
    </r>
    <r>
      <rPr>
        <rFont val="Helvetica Neue"/>
        <color rgb="FF000000"/>
        <sz val="10.0"/>
        <u/>
      </rPr>
      <t>)</t>
    </r>
  </si>
  <si>
    <t>11/14/2021 2:49pm</t>
  </si>
  <si>
    <t>Soda bottle, empty, 16.9 or 20 oz. with cap</t>
  </si>
  <si>
    <t>2,5</t>
  </si>
  <si>
    <t>6/teacher</t>
  </si>
  <si>
    <t>Bottles must be from carbonated drinks because the screw-top caps are designed to withstand the pressure of the gas inside them. Rinse and re-use between classes.</t>
  </si>
  <si>
    <r>
      <rPr>
        <rFont val="Helvetica Neue"/>
        <color rgb="FF000000"/>
        <sz val="10.0"/>
        <u/>
      </rPr>
      <t>Empty 16.9 or 20 oz soda bottle with cap.jfif (</t>
    </r>
    <r>
      <rPr>
        <rFont val="Helvetica Neue"/>
        <color rgb="FF000000"/>
        <sz val="10.0"/>
        <u/>
      </rPr>
      <t>https://v5.airtableusercontent.com/v3/u/25/25/1707415200000/4baiwMPbGviolt6-xQNsDQ/pDvRDfi_dCxsw6uUlJiJ5ino_llonM3L57pWFR8CiJUpFHvdKY0MWGRNC1iOV7PUY1eU2rX-h7GzXu7Sgm3WDNfheqzzMkvifRDsg-kffpGo1xCcopy0Pnd6NlIzt9Rrvyi0IsjLVuTXxjO3imaMmhDALMQzTZKNhS5RBzBCUum894eTnalg1YETGErnbBkA/dvvVJ1hYT2cInm2I7zRwRl4n5Xsl8nwftWv_ZK9Ywt0</t>
    </r>
    <r>
      <rPr>
        <rFont val="Helvetica Neue"/>
        <color rgb="FF000000"/>
        <sz val="10.0"/>
        <u/>
      </rPr>
      <t>)</t>
    </r>
  </si>
  <si>
    <t>10/21/2021 12:27pm</t>
  </si>
  <si>
    <t>Water, distilled</t>
  </si>
  <si>
    <t>9,10</t>
  </si>
  <si>
    <t>2 gallons is enough for 6 sections</t>
  </si>
  <si>
    <t>2 gallons</t>
  </si>
  <si>
    <t xml:space="preserve">Must be distilled. </t>
  </si>
  <si>
    <t>10/4/2021 12:55pm</t>
  </si>
  <si>
    <t>Alligator cord</t>
  </si>
  <si>
    <t>Permanent Items</t>
  </si>
  <si>
    <t>6 cords/teacher</t>
  </si>
  <si>
    <t>2' long with rubber or plastic cover over the clip.</t>
  </si>
  <si>
    <r>
      <rPr>
        <rFont val="Helvetica Neue"/>
        <color rgb="FF000000"/>
        <sz val="10.0"/>
        <u/>
      </rPr>
      <t>Alligator cords.jpg (</t>
    </r>
    <r>
      <rPr>
        <rFont val="Helvetica Neue"/>
        <color rgb="FF000000"/>
        <sz val="10.0"/>
        <u/>
      </rPr>
      <t>https://v5.airtableusercontent.com/v3/u/25/25/1707415200000/grwxXuiAD3_z0f_LYe7ULw/dRQ0VJsoEBhA84ihANmAUt91STMACT9xm7okimR9IAuibBs8aDDl5wXUUeTiW-5Ez_SlJwP7cPgGzXMUCF43iKpSplW9w6V53HEvfyrXAmFcl-2DVHRFTC1biJosVoC-KJD1XIXO5Zk6KwpOmcqwGA/nim9huxV_sdRYzvRQIAIEjQeKTFrgBtJoJQXPFeVrws</t>
    </r>
    <r>
      <rPr>
        <rFont val="Helvetica Neue"/>
        <color rgb="FF000000"/>
        <sz val="10.0"/>
        <u/>
      </rPr>
      <t>)</t>
    </r>
  </si>
  <si>
    <t>10/4/2021 12:42pm</t>
  </si>
  <si>
    <t>Beaker 500-600 mL, Pyrex</t>
  </si>
  <si>
    <t>3/teacher</t>
  </si>
  <si>
    <t>500-600 mL, must be glass</t>
  </si>
  <si>
    <r>
      <rPr>
        <rFont val="Helvetica Neue"/>
        <color rgb="FF000000"/>
        <sz val="10.0"/>
        <u/>
      </rPr>
      <t>Beaker - 500-600 mL Pyrex.jpg (</t>
    </r>
    <r>
      <rPr>
        <rFont val="Helvetica Neue"/>
        <color rgb="FF000000"/>
        <sz val="10.0"/>
        <u/>
      </rPr>
      <t>https://v5.airtableusercontent.com/v3/u/25/25/1707415200000/2tllNqb41Oe37P4s5fKF_w/mXfMd5MPNzcP8XB7oUJAqRiQxN7AvVp2YWHj2D6sdg1_SMZutouQhpoCF3eqX6S8hnN_jPdajbMm4sT1LAYy4DmRm5PDiT-iP2Mz454nuVA4XJFb-hT_FZ2HTwwMYWTkA59MyghjNEUClTC1xksNXTi9DFlwN0JICnB_SDqY66k/crHnQojsolpdf5J3uZSav-viOsPCgTf5qiAdVcfdmTY</t>
    </r>
    <r>
      <rPr>
        <rFont val="Helvetica Neue"/>
        <color rgb="FF000000"/>
        <sz val="10.0"/>
        <u/>
      </rPr>
      <t>)</t>
    </r>
  </si>
  <si>
    <t>7.3,6.2,8.5</t>
  </si>
  <si>
    <t>Condiment cup, plastic, 2 oz</t>
  </si>
  <si>
    <t>6/student</t>
  </si>
  <si>
    <t>No caps; rinse and reuse for all classes.</t>
  </si>
  <si>
    <r>
      <rPr>
        <rFont val="Helvetica Neue"/>
        <color rgb="FF000000"/>
        <sz val="10.0"/>
        <u/>
      </rPr>
      <t>2 oz condiment cups.jpg (</t>
    </r>
    <r>
      <rPr>
        <rFont val="Helvetica Neue"/>
        <color rgb="FF000000"/>
        <sz val="10.0"/>
        <u/>
      </rPr>
      <t>https://v5.airtableusercontent.com/v3/u/25/25/1707415200000/JKYB1M7mb7yqRrH3MSkXHg/DLIB4vsINpwKCz0clTufcDpbu_gwQiSSiPC87vAiC0rSgdqSNpJ7rhdkAX-X6S6XspeNFPWuhiDoE7Ew_80DZjJIULMAgT5ZN-EFh-65iDW0OfRFRCpv9ZRXTj-4_itiOuqMYdP-IxkZHNYAtHn36A/YiiRB1Hy2-U_-eyXBNHlIDGzggY180lvwOmlRE33TU8</t>
    </r>
    <r>
      <rPr>
        <rFont val="Helvetica Neue"/>
        <color rgb="FF000000"/>
        <sz val="10.0"/>
        <u/>
      </rPr>
      <t>)</t>
    </r>
  </si>
  <si>
    <t>10/3/2021 12:45pm</t>
  </si>
  <si>
    <t>Cup, plastic, clear, 3 oz.</t>
  </si>
  <si>
    <t>100/teacher</t>
  </si>
  <si>
    <t xml:space="preserve">Can be rinsed and reused across sections and lessons. </t>
  </si>
  <si>
    <r>
      <rPr>
        <rFont val="Helvetica Neue"/>
        <color rgb="FF000000"/>
        <sz val="10.0"/>
        <u/>
      </rPr>
      <t>Plastic cup.jpg (</t>
    </r>
    <r>
      <rPr>
        <rFont val="Helvetica Neue"/>
        <color rgb="FF000000"/>
        <sz val="10.0"/>
        <u/>
      </rPr>
      <t>https://v5.airtableusercontent.com/v3/u/25/25/1707415200000/bCvm_PxSK8KOewZwln5gXw/MQmmW1BjSZPP0AlmkwpTQWt6vXLlvS9_lGub5mutnJGntejD7dr1oGj7r59joln5vKVhwpBLAOlZElWed-hck3YuLIPGho3-pahhjHaYSQ_cKad0P0_nPQpHTI4gNiMYfybVTr45JsVMzm6afWWogw/V-d1_gK1qdYt3xOxgFbB_SpGYwy-Sn8dHTj5WlD1GF0</t>
    </r>
    <r>
      <rPr>
        <rFont val="Helvetica Neue"/>
        <color rgb="FF000000"/>
        <sz val="10.0"/>
        <u/>
      </rPr>
      <t>)</t>
    </r>
  </si>
  <si>
    <t>10/29/2021 4:00pm</t>
  </si>
  <si>
    <t>Cups, plastic, clear, 5 oz.</t>
  </si>
  <si>
    <t>4,7</t>
  </si>
  <si>
    <t>10/teacher</t>
  </si>
  <si>
    <r>
      <rPr>
        <rFont val="Helvetica Neue"/>
        <color rgb="FF000000"/>
        <sz val="10.0"/>
        <u/>
      </rPr>
      <t>Disposable clear plastic cup - 5 oz.jpg (</t>
    </r>
    <r>
      <rPr>
        <rFont val="Helvetica Neue"/>
        <color rgb="FF000000"/>
        <sz val="10.0"/>
        <u/>
      </rPr>
      <t>https://v5.airtableusercontent.com/v3/u/25/25/1707415200000/3ww8Fvx2yb4Y5Zun1auGZg/wfMIjufdISBZf-K55wq9bQcl0S_x2boQDLdWb_RVRX0XBIHvF0DAMQupDygEbk-ZLOGqrSPRo9XNE18VgM8YKyzqN7uzJTwDmr0NJXob6iu0OJN8LBtyDeEHN2yJg08DvbTS5cuJAAvvsY8_NxbY2_7pwuuQ_JPVYZ6RJ9L9SIM/jhsbrp0F6akWVFrrVtXBsGpSQBVHEFr8PmJTeEexGZI</t>
    </r>
    <r>
      <rPr>
        <rFont val="Helvetica Neue"/>
        <color rgb="FF000000"/>
        <sz val="10.0"/>
        <u/>
      </rPr>
      <t>)</t>
    </r>
  </si>
  <si>
    <t>Digital scale</t>
  </si>
  <si>
    <t>1,2,3</t>
  </si>
  <si>
    <t>9/teacher</t>
  </si>
  <si>
    <t>stainless steel, but the 1000g with a 0.1g sensitivity</t>
  </si>
  <si>
    <r>
      <rPr>
        <rFont val="Helvetica Neue"/>
        <color rgb="FF000000"/>
        <sz val="10.0"/>
        <u/>
      </rPr>
      <t>Digital scale 1.jpg (</t>
    </r>
    <r>
      <rPr>
        <rFont val="Helvetica Neue"/>
        <color rgb="FF000000"/>
        <sz val="10.0"/>
        <u/>
      </rPr>
      <t>https://v5.airtableusercontent.com/v3/u/25/25/1707415200000/i6fsNPVnZX-BuDkxnBNbMQ/D5AzKtcetGnp_uZ4WVB_5MDchMcZP0kLZuT_aORJJRsLv6_R0GqMpAvNgK7OT3o2sq0aOG2W7gQUfqOqeZB1Fq9chH2VgZeUCCGPkKqXkAJPMStIjuENfHfJpN6gj13jitY3SyHWtMEDYsJmPV_Evg/RgXSp12CpjyFJIIK-RjEn9AbzzwfucHJEa8kpJvufFg</t>
    </r>
    <r>
      <rPr>
        <rFont val="Helvetica Neue"/>
        <color rgb="FF000000"/>
        <sz val="10.0"/>
        <u/>
      </rPr>
      <t>),Digital scale 2.jpg (</t>
    </r>
    <r>
      <rPr>
        <rFont val="Helvetica Neue"/>
        <color rgb="FF000000"/>
        <sz val="10.0"/>
        <u/>
      </rPr>
      <t>https://v5.airtableusercontent.com/v3/u/25/25/1707415200000/x_56nEBd_CawoDASe0gcXg/sHdQzOysxoG_5haJNrQaHZEG34sXFDOGXIh_RRCpV3MtGu3ni2NWlv9lvzi_2G76OYEYcdAl0VES7j82u6SpEYngpsQibh0779f-O3oMe9YSBclxgkoM2Rcl1hQGSLW6tLao7AsGk07Iz5QO7bFFZw/7mVljQpioKqr-mUHEZGIs5enr24eyGjaC7fenrKz9FA</t>
    </r>
    <r>
      <rPr>
        <rFont val="Helvetica Neue"/>
        <color rgb="FF000000"/>
        <sz val="10.0"/>
        <u/>
      </rPr>
      <t>)</t>
    </r>
  </si>
  <si>
    <t>6.2,6.3,6.4,6.6,7.2,7.3,7.4,8.1,8.5</t>
  </si>
  <si>
    <t>10/7/2022 2:11pm</t>
  </si>
  <si>
    <t xml:space="preserve">Electrode replacement </t>
  </si>
  <si>
    <t>4/teacher + 2 extra for teachers with more than 1 class</t>
  </si>
  <si>
    <t>Only electrodes are needed. This is called "stainless steel electrode wire" in the unit. However, stainless steel may corrode. Platinum will work better but is significantly more expensive.</t>
  </si>
  <si>
    <r>
      <rPr>
        <rFont val="Helvetica Neue"/>
        <color rgb="FF000000"/>
        <sz val="10.0"/>
        <u/>
      </rPr>
      <t>Electrode replacement.jpg (</t>
    </r>
    <r>
      <rPr>
        <rFont val="Helvetica Neue"/>
        <color rgb="FF000000"/>
        <sz val="10.0"/>
        <u/>
      </rPr>
      <t>https://v5.airtableusercontent.com/v3/u/25/25/1707415200000/vS4hPu52CgNIlNrskdohJw/Ftg-sxLajPf4LF6W0B6aMw3kTV07yD70VHkE9q1B9bodLnASBFcX-AAR2HvvzQ99j1FyXvV74mVcvY9EY1EU26AZCZAnVZHfjaE5N2h8JkgGQb1ItjNJGO4LA6WwAsowah4XBhRAXYaG_aC7PgiKEsI3i1UEepsotnTQF-5z9YY/oqWRa3rjfvFT7rua_eymYUNxi-W5p8zImuG2aUdSDrc</t>
    </r>
    <r>
      <rPr>
        <rFont val="Helvetica Neue"/>
        <color rgb="FF000000"/>
        <sz val="10.0"/>
        <u/>
      </rPr>
      <t>)</t>
    </r>
  </si>
  <si>
    <t>10/4/2023 4:23pm</t>
  </si>
  <si>
    <t>Erlenmeyer flask, glass, 250 mL</t>
  </si>
  <si>
    <t>5,9</t>
  </si>
  <si>
    <t>2/teacher</t>
  </si>
  <si>
    <r>
      <rPr>
        <rFont val="Helvetica Neue"/>
        <color rgb="FF000000"/>
        <sz val="10.0"/>
        <u/>
      </rPr>
      <t>Erlenmeyer flask.jpg (</t>
    </r>
    <r>
      <rPr>
        <rFont val="Helvetica Neue"/>
        <color rgb="FF000000"/>
        <sz val="10.0"/>
        <u/>
      </rPr>
      <t>https://v5.airtableusercontent.com/v3/u/25/25/1707415200000/NfrDC5ai6vIoAhRSI0f4Pg/m0ZtmqS4g1hcNweKzClvsACcDdb1woHg8nubT_J5lZGKfs-8O5Vzu_dUyoMwH18mQriGRW3coKB9Yr3EqAKpRkyGlojiRBC6VIW6d9q9PyrbS00FuHlF4gPElj-ZjhmrICI17iHy79KWRl45Q3Yitw/8So2bOmQL2cbXnFDxy6qJ3UkqryVdp-yc_QDas9tWLQ</t>
    </r>
    <r>
      <rPr>
        <rFont val="Helvetica Neue"/>
        <color rgb="FF000000"/>
        <sz val="10.0"/>
        <u/>
      </rPr>
      <t>)</t>
    </r>
  </si>
  <si>
    <t>Eyedropper, glass</t>
  </si>
  <si>
    <t>Straight body with rubber bulb</t>
  </si>
  <si>
    <r>
      <rPr>
        <rFont val="Helvetica Neue"/>
        <color rgb="FF000000"/>
        <sz val="10.0"/>
        <u/>
      </rPr>
      <t>Eyedropper.jpg (</t>
    </r>
    <r>
      <rPr>
        <rFont val="Helvetica Neue"/>
        <color rgb="FF000000"/>
        <sz val="10.0"/>
        <u/>
      </rPr>
      <t>https://v5.airtableusercontent.com/v3/u/25/25/1707415200000/0wTsUxIP6Sn27Sa6DfimiA/A3w5r0-dQz9H_GBIEQDAtzo-HJxP7ojCCLx_6kwsWaBZyxtJHmtZDIIMohrZmM-gTOLUSbjZ7MiKpPI_IET_-IkPUeyn6xAmrqfUoG3hbBx2ebZ8lfizIKIFM3PKbptMBIcrmAZPskP3M8jgFYb2-g/tM17LnXaqFIA2vFsW_qM3B17FwzE0iTICYow2YZvEY0</t>
    </r>
    <r>
      <rPr>
        <rFont val="Helvetica Neue"/>
        <color rgb="FF000000"/>
        <sz val="10.0"/>
        <u/>
      </rPr>
      <t>)</t>
    </r>
  </si>
  <si>
    <t>Graduated cylinder, 100mL</t>
  </si>
  <si>
    <t>Clear Pyrex or plastic</t>
  </si>
  <si>
    <r>
      <rPr>
        <rFont val="Helvetica Neue"/>
        <color rgb="FF000000"/>
        <sz val="10.0"/>
        <u/>
      </rPr>
      <t>"Graduated cylinder - 25, 50, or 100 mL.jpg (</t>
    </r>
    <r>
      <rPr>
        <rFont val="Helvetica Neue"/>
        <color rgb="FF000000"/>
        <sz val="10.0"/>
        <u/>
      </rPr>
      <t>https://v5.airtableusercontent.com/v3/u/25/25/1707415200000/5SHTcnHd2Auclcsw5u3PZQ/UXReqgXn1qK4IYQPO58lJD-Som4IqDIRVn5xnbcUNARzs6S9O4MYn-UaMysMnt-FwOCgquR3duNCXHOyDc6SEut-bEsfGElJAc2YlSRqVUARTmX_781ch_vBk64OWb4btFOukUr-v-BFVCU5CErm3SAHrsNJyJpkYFq-2enbDoY/2Ltmd4VBSTZBlvZPku6Y677cY_zpmUoxLHDniQWf-vg</t>
    </r>
    <r>
      <rPr>
        <rFont val="Helvetica Neue"/>
        <color rgb="FF000000"/>
        <sz val="10.0"/>
        <u/>
      </rPr>
      <t>)"</t>
    </r>
  </si>
  <si>
    <t>10/21/2021 12:22pm</t>
  </si>
  <si>
    <t>Hot mitt</t>
  </si>
  <si>
    <t>One pair for the teacher to remove a flask of boiling water. Can be heat resistant fabric or silicone. Preferred glove-style, but can be mitt-style.</t>
  </si>
  <si>
    <r>
      <rPr>
        <rFont val="Helvetica Neue"/>
        <color rgb="FF000000"/>
        <sz val="10.0"/>
        <u/>
      </rPr>
      <t>Hot mitts.jpg (</t>
    </r>
    <r>
      <rPr>
        <rFont val="Helvetica Neue"/>
        <color rgb="FF000000"/>
        <sz val="10.0"/>
        <u/>
      </rPr>
      <t>https://v5.airtableusercontent.com/v3/u/25/25/1707415200000/XHW7doPqQFEdCTYCwCORXA/FFs1zepEMklqsKxSIIuyJ-6-tzLCULlB85yUpNWL8N-faQZGW0fUTmlYtXDbFdQZ4BSax3-ww6eRx4mb04t16bTe1gvSoWSLcjUiHocDAhjjV8pjyvNZ-ZbYGWr6PuH0-2kTp2Z0RiMPU1M2UO1yew/b9wwMqiGF22F-KpPzjZDAjn5QEgd1qQLW1Z7-c7pf5M</t>
    </r>
    <r>
      <rPr>
        <rFont val="Helvetica Neue"/>
        <color rgb="FF000000"/>
        <sz val="10.0"/>
        <u/>
      </rPr>
      <t>),terrybakergloves.png (</t>
    </r>
    <r>
      <rPr>
        <rFont val="Helvetica Neue"/>
        <color rgb="FF000000"/>
        <sz val="10.0"/>
        <u/>
      </rPr>
      <t>https://v5.airtableusercontent.com/v3/u/25/25/1707415200000/TmuhNAuq1h40XEABp37nsA/pkrzh8ESNotMgCFqUYAWTx5a6NKYjBCmh-eQgXg-N0gPg2FVighzOCRihZXQmcGMwgKDi5mvOl0iwVmHnaTG8DPqEuf0iXDyc4hLdNFsNCw9I0DTSdNG3IfSIz3_wLYSf5rP6aZf6fgDM6OWg1sR3w/8t-TjxaUCrdWCc3NOs_DWyJ_ishvSn_0eDJ3V5JDDwc</t>
    </r>
    <r>
      <rPr>
        <rFont val="Helvetica Neue"/>
        <color rgb="FF000000"/>
        <sz val="10.0"/>
        <u/>
      </rPr>
      <t>)</t>
    </r>
  </si>
  <si>
    <t>Hot plate</t>
  </si>
  <si>
    <t>3,9</t>
  </si>
  <si>
    <r>
      <rPr>
        <rFont val="Helvetica Neue"/>
        <color rgb="FF000000"/>
        <sz val="10.0"/>
        <u/>
      </rPr>
      <t>Hot plate.jpg (</t>
    </r>
    <r>
      <rPr>
        <rFont val="Helvetica Neue"/>
        <color rgb="FF000000"/>
        <sz val="10.0"/>
        <u/>
      </rPr>
      <t>https://v5.airtableusercontent.com/v3/u/25/25/1707415200000/EvKBcB-WyR53sMlUQWOImw/7z2HXXTpvk3bi138Tq1YNQO806U6pfEyVl4QxpoIdeTFyvt7dDcFtyATJ8Mt580yvVu60fmbUJ5IMZ12Xxp7POwl98Ide8KpcMRGOle0jWUXsfHKCKLIuDfKOK9zOmS74VpdV4iwLf46-da_rUr9ew/VMOYStCLBwxYR0J2qAZ9kvhyFV8_Dn83anP9GujGvxA</t>
    </r>
    <r>
      <rPr>
        <rFont val="Helvetica Neue"/>
        <color rgb="FF000000"/>
        <sz val="10.0"/>
        <u/>
      </rPr>
      <t>)</t>
    </r>
  </si>
  <si>
    <t>Ice cube tray, mini</t>
  </si>
  <si>
    <t>4/teacher</t>
  </si>
  <si>
    <t>Should have 160-cube quantity.</t>
  </si>
  <si>
    <r>
      <rPr>
        <rFont val="Helvetica Neue"/>
        <color rgb="FF000000"/>
        <sz val="10.0"/>
        <u/>
      </rPr>
      <t>Ice cube tray.jpg (</t>
    </r>
    <r>
      <rPr>
        <rFont val="Helvetica Neue"/>
        <color rgb="FF000000"/>
        <sz val="10.0"/>
        <u/>
      </rPr>
      <t>https://v5.airtableusercontent.com/v3/u/25/25/1707415200000/7sjpuolj6QrRFvDbw3dEPA/HfMjhfKY7d3SKV2Swj7TlA798xAnthGWG8AvvVWtDGOjluSCrNoSpWtQSZXaoUw2_F-PbPhXOg9k7mTvEo6qiFqY2Y5nCSl_m6R2NPcKk7S_FmAH9UqqkBf8u0xk5f-pTKufzdBKNyar79F6riuS6Q/Jf7ovl0QUiG3JrRExLgSo1JUbygKOJob_5kEuvRiDLI</t>
    </r>
    <r>
      <rPr>
        <rFont val="Helvetica Neue"/>
        <color rgb="FF000000"/>
        <sz val="10.0"/>
        <u/>
      </rPr>
      <t>)</t>
    </r>
  </si>
  <si>
    <t>Ice cube tray, standard</t>
  </si>
  <si>
    <t>These are regular-sized trays that students use to combine different substances. These will be reused by class.</t>
  </si>
  <si>
    <r>
      <rPr>
        <rFont val="Helvetica Neue"/>
        <color rgb="FF000000"/>
        <sz val="10.0"/>
        <u/>
      </rPr>
      <t>Ice cube tray 2.jfif (</t>
    </r>
    <r>
      <rPr>
        <rFont val="Helvetica Neue"/>
        <color rgb="FF000000"/>
        <sz val="10.0"/>
        <u/>
      </rPr>
      <t>https://v5.airtableusercontent.com/v3/u/25/25/1707415200000/LPmwbcLCgkOYf-Etr4vspw/h79IOpuaxujeLzqCIsRPnqVgHTyD2Ypdpquasj-lbJK_Dmf3O8su_t89YdCfeaxDZ1FcCql2hRcFfO9JEJjU4lJ97899MtG3Go90fJt9nuCR1wUDP8t9FUIEA_YnLqkAh9U3iujiPG5ITayFzAVECg/FFfAT2ISglw4ynJsrEHTGMIMV25a9dVNR8FlDVgHnHs</t>
    </r>
    <r>
      <rPr>
        <rFont val="Helvetica Neue"/>
        <color rgb="FF000000"/>
        <sz val="10.0"/>
        <u/>
      </rPr>
      <t>)</t>
    </r>
  </si>
  <si>
    <t>Magnets, ceramic disc</t>
  </si>
  <si>
    <t>28/teacher</t>
  </si>
  <si>
    <t>Circular, smaller than 1" diameter</t>
  </si>
  <si>
    <r>
      <rPr>
        <rFont val="Helvetica Neue"/>
        <color rgb="FF000000"/>
        <sz val="10.0"/>
        <u/>
      </rPr>
      <t>Ceramic magnets.jpg (</t>
    </r>
    <r>
      <rPr>
        <rFont val="Helvetica Neue"/>
        <color rgb="FF000000"/>
        <sz val="10.0"/>
        <u/>
      </rPr>
      <t>https://v5.airtableusercontent.com/v3/u/25/25/1707415200000/_69I7_Wg7RyG8JDx-H6xhw/pMHQ2syUU8ZoGuk_AY97Gy5WedbjhcW60DVYHSHxNZssCTiWrCDc0Cea_AufD8l8ZGNzVOnrfY1an-A5RY2xhRccLl3VmEhGoU7xiUKqftASzBjb5ecUkrf8R3E0OOoYQAHqmOLii369QYqEJsK8Ow/3Q2DDe4HqAxKlbqmzoLmGZd6gZpNd-StsiPK0UUCpPI</t>
    </r>
    <r>
      <rPr>
        <rFont val="Helvetica Neue"/>
        <color rgb="FF000000"/>
        <sz val="10.0"/>
        <u/>
      </rPr>
      <t>)</t>
    </r>
  </si>
  <si>
    <t>10/21/2021 12:23pm</t>
  </si>
  <si>
    <t>Magnifier, small, plastic (hand lens)</t>
  </si>
  <si>
    <t>30/teacher</t>
  </si>
  <si>
    <t>Plastic magnifier, mini magnifying glass 5X and 15X</t>
  </si>
  <si>
    <r>
      <rPr>
        <rFont val="Helvetica Neue"/>
        <color rgb="FF000000"/>
        <sz val="10.0"/>
        <u/>
      </rPr>
      <t>Screen Shot 2020-06-25 at 9_03_00 AM.png (</t>
    </r>
    <r>
      <rPr>
        <rFont val="Helvetica Neue"/>
        <color rgb="FF000000"/>
        <sz val="10.0"/>
        <u/>
      </rPr>
      <t>https://v5.airtableusercontent.com/v3/u/25/25/1707415200000/i5MtOuUIHn_5cum9LYKygQ/cnOP7r4vOQ1cjhEnSdS9GoKz_uQu78IizS7oKacL_mscf_EwrMoJ3q7QxrfjJdbEPFzZo7T8wQY9zbEAjUmANbCFIX36eMZUjYTBCDQcxLvt9teCytL-X9A9LCJ_XqXpJafYcC7AZgMBctQEcqqfFtNPwJPG-l8R5GY_AfJEn-Y/FcCTdq9pVtHWBClRUs4US2V12hFB6D12OPgCP88Ldfg</t>
    </r>
    <r>
      <rPr>
        <rFont val="Helvetica Neue"/>
        <color rgb="FF000000"/>
        <sz val="10.0"/>
        <u/>
      </rPr>
      <t>)</t>
    </r>
  </si>
  <si>
    <t>Pan, aluminum (bread pan liner)</t>
  </si>
  <si>
    <t>1/group (6 groups max)</t>
  </si>
  <si>
    <t>At least 4" deep.</t>
  </si>
  <si>
    <r>
      <rPr>
        <rFont val="Helvetica Neue"/>
        <color rgb="FF000000"/>
        <sz val="10.0"/>
        <u/>
      </rPr>
      <t>Screen Shot 2020-06-23 at 10_05_42 AM.png (</t>
    </r>
    <r>
      <rPr>
        <rFont val="Helvetica Neue"/>
        <color rgb="FF000000"/>
        <sz val="10.0"/>
        <u/>
      </rPr>
      <t>https://v5.airtableusercontent.com/v3/u/25/25/1707415200000/-1GTFQhjUnFWaWBTl5keUg/7TxIjLAGzr4NkJ6umS8n8C7JZXYzOGo-6wEqRPCkcE278uAJsTt7QNtFLqYPvmvTqqmoMZWwv8VWbUhxDZl5o07-6WS8r4kEzjLW29na4eJ0bB60Jg2BsRj_q5bqee4ECnz7jSnpMff2lr2MEzHUMURlGm69IX3KKnQL-65haVI/ERjk2E109UARzuoMvCNcEDpW-SzW1jl7c4H4RvKKl4U</t>
    </r>
    <r>
      <rPr>
        <rFont val="Helvetica Neue"/>
        <color rgb="FF000000"/>
        <sz val="10.0"/>
        <u/>
      </rPr>
      <t>)</t>
    </r>
  </si>
  <si>
    <t>10/4/2021 12:52pm</t>
  </si>
  <si>
    <t>Spice jar, w/lid and sifter</t>
  </si>
  <si>
    <t>24/teacher</t>
  </si>
  <si>
    <t>Must include removable sifter cap and lid. Plastic. Prefer 1 oz. size (no larger than this). The teacher will need one set of these for all classes. They are reusable.</t>
  </si>
  <si>
    <r>
      <rPr>
        <rFont val="Helvetica Neue"/>
        <color rgb="FF000000"/>
        <sz val="10.0"/>
        <u/>
      </rPr>
      <t>Travel spice containers with sifter.jpg (</t>
    </r>
    <r>
      <rPr>
        <rFont val="Helvetica Neue"/>
        <color rgb="FF000000"/>
        <sz val="10.0"/>
        <u/>
      </rPr>
      <t>https://v5.airtableusercontent.com/v3/u/25/25/1707415200000/XCnRYMb3fnwOkG5Wl0arFw/oZGsbJ3kACIr4N4k1VuzMdauBtcoJtghGyJnKPRcPfcGGQfZfERIgTN9r1z_n-qttFRC_av5ghOaIDMSTakua0hwEGct4oyVaEnOAlODaXgCIL4V7P53bTAcSv_ofShttAqGmoHmnOPKb_MBEfrOwZ9xr5ANyojCA-bcadvN-As/p8uLlTLuycEd4OcBMiiQWgm6K56umLBSFuCe8emY190</t>
    </r>
    <r>
      <rPr>
        <rFont val="Helvetica Neue"/>
        <color rgb="FF000000"/>
        <sz val="10.0"/>
        <u/>
      </rPr>
      <t>)</t>
    </r>
  </si>
  <si>
    <t>10/16/2023 9:06am</t>
  </si>
  <si>
    <t>Spoon, plastic</t>
  </si>
  <si>
    <t>10/group (group = 2 students)</t>
  </si>
  <si>
    <t>Stopper, #6, rubber w/ hole (also called "#6 cork with hole" in unit)</t>
  </si>
  <si>
    <t>Rubber, size 6, with a hole for tubing</t>
  </si>
  <si>
    <r>
      <rPr>
        <rFont val="Helvetica Neue"/>
        <color rgb="FF000000"/>
        <sz val="10.0"/>
        <u/>
      </rPr>
      <t>Rubber stopper with hole.jpg (</t>
    </r>
    <r>
      <rPr>
        <rFont val="Helvetica Neue"/>
        <color rgb="FF000000"/>
        <sz val="10.0"/>
        <u/>
      </rPr>
      <t>https://v5.airtableusercontent.com/v3/u/25/25/1707415200000/5FfFdoD2n_tvD-x8WT0VDA/i8cl192da9sz8haHl10QgWlEmDoWPveWe1iR6ICl9VNV2yKG9hdftDTFRJwjDRN6zrdJieQfNpFTpxne0uHHw3SBdUyJSjARIDusUneX80ohCAOC9IXcxFeFlYt6egZKt97H3b_O-HKJd0c3BZjHciti48qGnKXQkfo1ur-dl9c/q9xGautyttynQ5t2qfPlgEJJQ41kuiEL6d_CSxZKUGs</t>
    </r>
    <r>
      <rPr>
        <rFont val="Helvetica Neue"/>
        <color rgb="FF000000"/>
        <sz val="10.0"/>
        <u/>
      </rPr>
      <t>)</t>
    </r>
  </si>
  <si>
    <t>10/4/2021 10:56am</t>
  </si>
  <si>
    <t>Stopper, #6, rubber w/o hole (also called "#6 cork with no hole in unit)</t>
  </si>
  <si>
    <t>Rubber, size 6, without a hole in the stopper.</t>
  </si>
  <si>
    <r>
      <rPr>
        <rFont val="Helvetica Neue"/>
        <color rgb="FF000000"/>
        <sz val="10.0"/>
        <u/>
      </rPr>
      <t>Rubber stopper with hole - no. 6.jpg (</t>
    </r>
    <r>
      <rPr>
        <rFont val="Helvetica Neue"/>
        <color rgb="FF000000"/>
        <sz val="10.0"/>
        <u/>
      </rPr>
      <t>https://v5.airtableusercontent.com/v3/u/25/25/1707415200000/AMSNTFqSPCZQ4ywd4IYBEw/WvXxWIeva3qZHDdgp4zwiMHJyT003pLq2xYd2yOCkK429CNbGodJzGHI-_uAQSz-OV4L40JjCytMNwLgzbz-ZyEbi7evGDtDD7Y8Th9coTvpgFqajzYl1g6ry5jAmK9VBTjR4wCx4quWx5YEkCNe3lItIQ1GlV37aP_xr3B_iME/fkyWZKyCQnElF0ej8CVW5rt57eMkoxu62BiC1nGQKeU</t>
    </r>
    <r>
      <rPr>
        <rFont val="Helvetica Neue"/>
        <color rgb="FF000000"/>
        <sz val="10.0"/>
        <u/>
      </rPr>
      <t>)</t>
    </r>
  </si>
  <si>
    <t>Support (ring) stand,</t>
  </si>
  <si>
    <t>Regular, 5x8"</t>
  </si>
  <si>
    <r>
      <rPr>
        <rFont val="Helvetica Neue"/>
        <color rgb="FF000000"/>
        <sz val="10.0"/>
        <u/>
      </rPr>
      <t>Ring stand.jpg (</t>
    </r>
    <r>
      <rPr>
        <rFont val="Helvetica Neue"/>
        <color rgb="FF000000"/>
        <sz val="10.0"/>
        <u/>
      </rPr>
      <t>https://v5.airtableusercontent.com/v3/u/25/25/1707415200000/GShMDE2QHtz3hU-ZV0EFnQ/VPXsAXK_TDobWI0HCTk_6RYGVJ8ikcEyne3MthRmR-LJeLfiz7ZVPrhdeeVz8BgAhj43o9alvIepR7s9IWCah_-cj_v1etmS39cfSEheeO6EX4g6E505Wnnxs8QFRIIHRxI_Ftdomr-FsXjKJPVb8A/UDrJDOrI_ZSaxQv05O9tZNLwByX0Gc5zhbDs0o5iYFg</t>
    </r>
    <r>
      <rPr>
        <rFont val="Helvetica Neue"/>
        <color rgb="FF000000"/>
        <sz val="10.0"/>
        <u/>
      </rPr>
      <t>)</t>
    </r>
  </si>
  <si>
    <t>8.1,8.2</t>
  </si>
  <si>
    <t>Test tube clamp (burette clamp), 1 3/4"</t>
  </si>
  <si>
    <t>With plastic-coated jaws</t>
  </si>
  <si>
    <r>
      <rPr>
        <rFont val="Helvetica Neue"/>
        <color rgb="FF000000"/>
        <sz val="10.0"/>
        <u/>
      </rPr>
      <t>Test tube clamp.jpg (</t>
    </r>
    <r>
      <rPr>
        <rFont val="Helvetica Neue"/>
        <color rgb="FF000000"/>
        <sz val="10.0"/>
        <u/>
      </rPr>
      <t>https://v5.airtableusercontent.com/v3/u/25/25/1707415200000/5O0S4a0tq6JtW--QAUEv2g/j0DV6vNQyWPy0e7za98wrCzSo7T2ek9o8WUUsvrnZrl_fMnHTrgwDZex04bROZoawH4-9ZLiwpYDEcDBwbpuIWCuCK9ZamGqOpocNKVfKXSQyetyyxZxkch28Kc3h79nvr3KzpDjRoL9AZioYFnGcA/-RdBWJOX_5VagBDQU7LR0KkUBP6d65oRtlqW4ypJ2fk</t>
    </r>
    <r>
      <rPr>
        <rFont val="Helvetica Neue"/>
        <color rgb="FF000000"/>
        <sz val="10.0"/>
        <u/>
      </rPr>
      <t>)</t>
    </r>
  </si>
  <si>
    <t>Test tube tongs, metal</t>
  </si>
  <si>
    <t>At least 6"</t>
  </si>
  <si>
    <r>
      <rPr>
        <rFont val="Helvetica Neue"/>
        <color rgb="FF000000"/>
        <sz val="10.0"/>
        <u/>
      </rPr>
      <t>Test tube tongs.jpg (</t>
    </r>
    <r>
      <rPr>
        <rFont val="Helvetica Neue"/>
        <color rgb="FF000000"/>
        <sz val="10.0"/>
        <u/>
      </rPr>
      <t>https://v5.airtableusercontent.com/v3/u/25/25/1707415200000/8OdmsUJVIfVpXrOKPfPwHg/VV2ldZ8MzDFJrFl2PIRzfp-uUL1vTW55Rr_M-bEZ2mT534STysEitVX1V9lZp50TSulituRW5YLQFneNfmPPZOwD9Fk6clgKj8S8yYvsXvI4LhfvBVuCGEMjvCOx3Nohx_EQdQg_ExLxwm9DttQKBg/JcUWuwJcFeH08xJ2bCu6w_S2djIWae8tMEsKV5eT79w</t>
    </r>
    <r>
      <rPr>
        <rFont val="Helvetica Neue"/>
        <color rgb="FF000000"/>
        <sz val="10.0"/>
        <u/>
      </rPr>
      <t>)</t>
    </r>
  </si>
  <si>
    <t>Test tube, 150 mm, #4 stopper no hole</t>
  </si>
  <si>
    <t>Pyrex, 150 ml, with size 4 rubber cork (without a hole). NOTE: teacher edition erroneously says #2 stopper; should be #4 stopper.</t>
  </si>
  <si>
    <r>
      <rPr>
        <rFont val="Helvetica Neue"/>
        <color rgb="FF000000"/>
        <sz val="10.0"/>
        <u/>
      </rPr>
      <t>Test tube with rubber cork.jpg (</t>
    </r>
    <r>
      <rPr>
        <rFont val="Helvetica Neue"/>
        <color rgb="FF000000"/>
        <sz val="10.0"/>
        <u/>
      </rPr>
      <t>https://v5.airtableusercontent.com/v3/u/25/25/1707415200000/94vo8oA9q53MZibkUobTsQ/I2UvQnHW6OXI5zONrlKth1cbics6WzM9BEFZAenZhC07l9FMDNlxmZLjC-L6DxC5OsHKncUlOY-qWMKH9tcsTsOtTC9x7hzVGaOl8YImBaby6BOzRuda4t7ALXQheeJR_jB4tGP0qIpMPj068AaqVU-20mzaKwGQHbnlpNpm8q8/MbQXcTRdyWXTLESYJ6MVcWlI5FhYHUGRqDGuw_Ly_K8</t>
    </r>
    <r>
      <rPr>
        <rFont val="Helvetica Neue"/>
        <color rgb="FF000000"/>
        <sz val="10.0"/>
        <u/>
      </rPr>
      <t>)</t>
    </r>
  </si>
  <si>
    <t>10/29/2021 4:44pm</t>
  </si>
  <si>
    <t>Test tube, plastic, 15 mL, 1.5 cm diameter</t>
  </si>
  <si>
    <t>Reusable. 15 mL, 1.5 cm diameter, about 11 cm long, cap not necessary. Must be this size to fit into the neck of an empty 16.9/20 oz. soda bottle.</t>
  </si>
  <si>
    <r>
      <rPr>
        <rFont val="Helvetica Neue"/>
        <color rgb="FF000000"/>
        <sz val="10.0"/>
        <u/>
      </rPr>
      <t>Screen Shot 2020-07-09 at 12_10_04 PM.png (</t>
    </r>
    <r>
      <rPr>
        <rFont val="Helvetica Neue"/>
        <color rgb="FF000000"/>
        <sz val="10.0"/>
        <u/>
      </rPr>
      <t>https://v5.airtableusercontent.com/v3/u/25/25/1707415200000/ozy3idv9x8YkbCHlEUpL_A/IjBUwtxVBXcOnuqWiYSIZeVndBnwyXZoXL4CPHMA0rH3vkqxvlg6mUecnkuy0pq6YaClfzCG4rNVtbq7CdK2f1lSzlGE-NhMRV5Akjvm793RVGVyelrp2lht4Mpl7_6j0Tbh1TF-VHz0mYO7j3R5EvMAMWiC6AdnNn6bgc6NaUo/z8HiP6uoVBfVPhi9e-4PcSVSDasgjB-wzkiTM_Bw2rI</t>
    </r>
    <r>
      <rPr>
        <rFont val="Helvetica Neue"/>
        <color rgb="FF000000"/>
        <sz val="10.0"/>
        <u/>
      </rPr>
      <t>)</t>
    </r>
  </si>
  <si>
    <t>Thermometer</t>
  </si>
  <si>
    <t>1,3,9,14</t>
  </si>
  <si>
    <t>Digital reading with temperature range: -20 °C to 110 °C, 0 °F to 230 °F (should include both). Needs a safety cap or plastic sleeve for safety and storage.</t>
  </si>
  <si>
    <r>
      <rPr>
        <rFont val="Helvetica Neue"/>
        <color rgb="FF000000"/>
        <sz val="10.0"/>
        <u/>
      </rPr>
      <t>Thermometer digital 1.jpg (</t>
    </r>
    <r>
      <rPr>
        <rFont val="Helvetica Neue"/>
        <color rgb="FF000000"/>
        <sz val="10.0"/>
        <u/>
      </rPr>
      <t>https://v5.airtableusercontent.com/v3/u/25/25/1707415200000/usYA-J1H6064yTbhekmVyw/GZ4qLjy_INt2JWGDvUnu7DnCxpCUn_cxuMhjN1NXUixreBBMbiAUUq4sJyk3ITLZpzF6YjNsaq7Wz4ADO35PZtFNfGSlzg55318CAiSEq39I1eoUAQO4Ez5Gw_E-oZKP5rr9D0YAdu8WMN4dIo7NZZkdss262A2ebsJIRcA_Lao/TiitcHyuV5Skldumdo8piyTAKmxqJkbMct9XG76Ypfg</t>
    </r>
    <r>
      <rPr>
        <rFont val="Helvetica Neue"/>
        <color rgb="FF000000"/>
        <sz val="10.0"/>
        <u/>
      </rPr>
      <t>),Thermometer digital 2.jpg (</t>
    </r>
    <r>
      <rPr>
        <rFont val="Helvetica Neue"/>
        <color rgb="FF000000"/>
        <sz val="10.0"/>
        <u/>
      </rPr>
      <t>https://v5.airtableusercontent.com/v3/u/25/25/1707415200000/vNUZTc-aYx1SkL-CGdS-ow/Sij77crf_C_g-urgjJO7ieUuEh1gq1cmvVLdUbeMBgp6HiSIzF5Be41G5UvYcfkXDljpBuPaYVjqJxRwuO07S3MuyK2zLSvG5nu9MKdosceaIv25ZWrcsJKYBo0ySk4YP8W90te08E4XOPhJZNrFqQAiNxcQcN1CJJZHb1ncoGI/OtJEtBYeaegyCqtnUgFgLh4abX1FExZxQR7reLVTmzo</t>
    </r>
    <r>
      <rPr>
        <rFont val="Helvetica Neue"/>
        <color rgb="FF000000"/>
        <sz val="10.0"/>
        <u/>
      </rPr>
      <t>)</t>
    </r>
  </si>
  <si>
    <t>6.3,6.2,7.2,8.5</t>
  </si>
  <si>
    <t>5/16/2022 12:54pm</t>
  </si>
  <si>
    <t>Tub, plastic, clear, 6 qt</t>
  </si>
  <si>
    <t>1,3</t>
  </si>
  <si>
    <t xml:space="preserve">Referred to in unit as "bins" or "shoebox bins"
</t>
  </si>
  <si>
    <r>
      <rPr>
        <rFont val="Helvetica Neue"/>
        <color rgb="FF000000"/>
        <sz val="10.0"/>
        <u/>
      </rPr>
      <t>Clear plastic tub - 6 Qt.jpg (</t>
    </r>
    <r>
      <rPr>
        <rFont val="Helvetica Neue"/>
        <color rgb="FF000000"/>
        <sz val="10.0"/>
        <u/>
      </rPr>
      <t>https://v5.airtableusercontent.com/v3/u/25/25/1707415200000/LS-X-ZmGVTXX_XU4yb8C_g/FIvIhvNBKqBRvkRNjTSqygyWQYnOGt1CupuF-fSHPfKUShrVVQPmSsfid5HD2cPFwrPvrtaMBPyngQXTwNVN9o5o-rNSB37PBWqXee5gxt9ouIxJMKpMNW0ufRvuya_PhYC3MUPvt-NHs3ljVyBSW6j_AmDTTfiTnCExsjxXLJg/uxbVw3yo2Po5SptOrNB-vY9ybQAV1LUgH3geJmmVZsk</t>
    </r>
    <r>
      <rPr>
        <rFont val="Helvetica Neue"/>
        <color rgb="FF000000"/>
        <sz val="10.0"/>
        <u/>
      </rPr>
      <t>)</t>
    </r>
  </si>
  <si>
    <t>10/4/2021 12:54pm</t>
  </si>
  <si>
    <t>Tubing, latex rubber 1/4" ID, 3 ft.</t>
  </si>
  <si>
    <t>3 ft/teacher</t>
  </si>
  <si>
    <t>1/4" inside diameter</t>
  </si>
  <si>
    <r>
      <rPr>
        <rFont val="Helvetica Neue"/>
        <color rgb="FF000000"/>
        <sz val="10.0"/>
        <u/>
      </rPr>
      <t>Screen Shot 2020-07-09 at 8_34_51 AM.png (</t>
    </r>
    <r>
      <rPr>
        <rFont val="Helvetica Neue"/>
        <color rgb="FF000000"/>
        <sz val="10.0"/>
        <u/>
      </rPr>
      <t>https://v5.airtableusercontent.com/v3/u/25/25/1707415200000/Jkwmqp_XSRXbCy200g0bBg/nxwlFaqsUC7CSTKSYSpGXKP2-2ZM4fBPva7TXaRE5zS9kTGGGnVpPArjcWXJoqVeNih-BlYcz2yZhNltwhpuEk2pdkPKrkrTK9Hq3-z0piZNtNpN_NPavTJpZpEv-6qb0UCxDeTua-DkAh9iIFuhRnv_Xkf1OxlayM_sB1bdovs/CRA2jl5wpOL1JxmwHyaOLV2n3gnlH6lbZYD0NL9g-Ig</t>
    </r>
    <r>
      <rPr>
        <rFont val="Helvetica Neue"/>
        <color rgb="FF000000"/>
        <sz val="10.0"/>
        <u/>
      </rPr>
      <t>)</t>
    </r>
  </si>
  <si>
    <t>Safety goggles</t>
  </si>
  <si>
    <t>Safety Items</t>
  </si>
  <si>
    <t>1,5,9,10,12,13,14</t>
  </si>
  <si>
    <t>Indirectly vented chemical splash goggles meeting the ANSI/ISEA Z87.1 D3 standard. Must protect from chemical, biological and physical hazards. Should be able to fit over any glasses that students may need to wear.</t>
  </si>
  <si>
    <r>
      <rPr>
        <rFont val="Helvetica Neue"/>
        <color rgb="FF000000"/>
        <sz val="10.0"/>
        <u/>
      </rPr>
      <t>Goggles 1.jpg (</t>
    </r>
    <r>
      <rPr>
        <rFont val="Helvetica Neue"/>
        <color rgb="FF000000"/>
        <sz val="10.0"/>
        <u/>
      </rPr>
      <t>https://v5.airtableusercontent.com/v3/u/25/25/1707415200000/SSU-D3cf7NwtoXZBe-NmOw/06LjA8inGx-z2GvMnFI5baHg3niPb1GI_KEkMTimgDinINJaDELpWSnwqmRZ523kGKupKoaqcNfDByWmP2xKMnP7J6en9B39a28gC0ma3WVvyrubNKX0lFgKWwkU_pzeqpXX_PsYl6iIKxqT0BM1zQ/cMUmUm-iJzmdBoCRjEfNxWt_hl6xoxYHRWqYYGG6EB8</t>
    </r>
    <r>
      <rPr>
        <rFont val="Helvetica Neue"/>
        <color rgb="FF000000"/>
        <sz val="10.0"/>
        <u/>
      </rPr>
      <t>),Goggles 2.jpg (</t>
    </r>
    <r>
      <rPr>
        <rFont val="Helvetica Neue"/>
        <color rgb="FF000000"/>
        <sz val="10.0"/>
        <u/>
      </rPr>
      <t>https://v5.airtableusercontent.com/v3/u/25/25/1707415200000/R74X0MraUNuxHWf3i6niww/PJKwzQH9LartHIuTaXINStGPzI_V_zGaWrdXXd58MPDAu3fMu6X8MzSu_0P3ur-nWNac72mBaUy9bGu67yp1DjRG_oxKBwZoGQglOLThuT1ouvcRHyitX7CjyQb4XRWCpxMHP7BomNUKy07bQ2spBA/Cv6TOiaLrxe6y1iBoyDWM1SPqfMvosF2rc0DIgV2FrU</t>
    </r>
    <r>
      <rPr>
        <rFont val="Helvetica Neue"/>
        <color rgb="FF000000"/>
        <sz val="10.0"/>
        <u/>
      </rPr>
      <t>)</t>
    </r>
  </si>
  <si>
    <t>6.2,6.3,6.4,6.6,7.2,7.3,7.4,7.6,8.1,8.5</t>
  </si>
  <si>
    <t>10/4/2021 1:46pm</t>
  </si>
  <si>
    <t>Index card, 3x5", red</t>
  </si>
  <si>
    <t>3/student</t>
  </si>
  <si>
    <t>Alternatively, these could be construction paper, colored paper, or sticky notes</t>
  </si>
  <si>
    <r>
      <rPr>
        <rFont val="Helvetica Neue"/>
        <color rgb="FF000000"/>
        <sz val="10.0"/>
        <u/>
      </rPr>
      <t>Red index cards.jpg (</t>
    </r>
    <r>
      <rPr>
        <rFont val="Helvetica Neue"/>
        <color rgb="FF000000"/>
        <sz val="10.0"/>
        <u/>
      </rPr>
      <t>https://v5.airtableusercontent.com/v3/u/25/25/1707415200000/e3sYcChMclSIK12GyTxuFg/s73a7n8gkzCif_57BHkyEK3qMRISP-ysDX0f_UWmJ7y0ouTcNnwEhYe4HZpJ5T2Ot8iIPsr4QLoPZqRTHmzJhM-4BJPcWfR20VBIfkRgmzVpaAuevNZvSAMGvUiQnaPSnT28HQfLl3bwkTbXY5qDzg/-U9QSIoOJaefUb5jnnoumDyMjGVkim53rkXUbV9xauQ</t>
    </r>
    <r>
      <rPr>
        <rFont val="Helvetica Neue"/>
        <color rgb="FF000000"/>
        <sz val="10.0"/>
        <u/>
      </rPr>
      <t>)</t>
    </r>
  </si>
  <si>
    <t>10/2/2021 5:23pm</t>
  </si>
  <si>
    <t>Index card, 3x5", green</t>
  </si>
  <si>
    <r>
      <rPr>
        <rFont val="Helvetica Neue"/>
        <color rgb="FF000000"/>
        <sz val="10.0"/>
        <u/>
      </rPr>
      <t>Green index cards.jpg (</t>
    </r>
    <r>
      <rPr>
        <rFont val="Helvetica Neue"/>
        <color rgb="FF000000"/>
        <sz val="10.0"/>
        <u/>
      </rPr>
      <t>https://v5.airtableusercontent.com/v3/u/25/25/1707415200000/yy8c-tz0fwJRG-bwMYodzg/FsaymwCExfmWR2zWZOBt6qb6WDCvQr9yVuctjlBUN6JF6MX3wrppUdJkJJoPTVBSXs7fZs_AP2sDzNuFtt1xg8N14LS7TJekKxJ3XpKdKgyK7-8w78FwexRClFBKCO55uKxzXucyHhOmd9sGFYuEFg/vE09CiHXn6Jg1344V2QzfVYM48u5KOkPbGcvbQQdZLU</t>
    </r>
    <r>
      <rPr>
        <rFont val="Helvetica Neue"/>
        <color rgb="FF000000"/>
        <sz val="10.0"/>
        <u/>
      </rPr>
      <t>)</t>
    </r>
  </si>
  <si>
    <t>Impact goggles</t>
  </si>
  <si>
    <t>1,2,4,5,7,9,12,13</t>
  </si>
  <si>
    <r>
      <rPr>
        <rFont val="Helvetica Neue"/>
        <color rgb="FF000000"/>
        <sz val="10.0"/>
        <u/>
      </rPr>
      <t>Screen Shot 2020-09-27 at 3.17.43 PM.png (</t>
    </r>
    <r>
      <rPr>
        <rFont val="Helvetica Neue"/>
        <color rgb="FF000000"/>
        <sz val="10.0"/>
        <u/>
      </rPr>
      <t>https://v5.airtableusercontent.com/v3/u/25/25/1707415200000/MwaIKEnh9QpHTsP9ERLHzA/_ojajF6siTTEr57G5pWq02I_0yAjrxdjshIfLQ38oD0O64ZOC3rzZmJdVRs-EIPPPBhFTJVFpRSLVG2UTAsPw7hp2lM7jCpYjQlAnCVtfV6cQi2mbywAQK823BRvBaXzJEX-JuoKdkdYw_gczBXjSxaQIwrByf440uJQbV43Y-I/PEFUVTmRrP1VzhiIoJHgNfmYi4CqYkJ7FA2L64YAzXo</t>
    </r>
    <r>
      <rPr>
        <rFont val="Helvetica Neue"/>
        <color rgb="FF000000"/>
        <sz val="10.0"/>
        <u/>
      </rPr>
      <t>)</t>
    </r>
  </si>
  <si>
    <t>10/2/2021 2:51pm</t>
  </si>
  <si>
    <t xml:space="preserve">CD case </t>
  </si>
  <si>
    <t>1,2,12</t>
  </si>
  <si>
    <t>26/class</t>
  </si>
  <si>
    <t>CD case thin - 5.2mm. For Lesson 12, needs to have an approximate force reduction of 0.2 Newtons.</t>
  </si>
  <si>
    <r>
      <rPr>
        <rFont val="Helvetica Neue"/>
        <color rgb="FF000000"/>
        <sz val="10.0"/>
        <u/>
      </rPr>
      <t>CD case.jpg (</t>
    </r>
    <r>
      <rPr>
        <rFont val="Helvetica Neue"/>
        <color rgb="FF000000"/>
        <sz val="10.0"/>
        <u/>
      </rPr>
      <t>https://v5.airtableusercontent.com/v3/u/25/25/1707415200000/3JTl-jM3qwjA_lSorrD9-g/6RP48Ub7J2uFutZhfvNdmXz5scCaDix1DvDIC9oCJZMIBwd6BIVbQvoMwiCaKNM2A4is4t5hSqzpoqlQSe68Iwz3UUhhajWrdHTrCIJlh7XldxlS_Tw2YwfIeFA7Iqp7uzFsBtwHvMmLIKl5jnfabg/z70lDAHSmqZCjnvzmcbUvglEIEmnyuGeEoa14PDr2w0</t>
    </r>
    <r>
      <rPr>
        <rFont val="Helvetica Neue"/>
        <color rgb="FF000000"/>
        <sz val="10.0"/>
        <u/>
      </rPr>
      <t>)</t>
    </r>
  </si>
  <si>
    <t>10/7/2021 1:28pm</t>
  </si>
  <si>
    <t>Locally sourced (perishable, heavy, etc.)</t>
  </si>
  <si>
    <t>1,3,4,5,8,13</t>
  </si>
  <si>
    <t>3 rolls/teacher</t>
  </si>
  <si>
    <r>
      <rPr>
        <rFont val="Helvetica Neue"/>
        <color rgb="FF000000"/>
        <sz val="10.0"/>
        <u/>
      </rPr>
      <t>Transparent tape.jpeg (</t>
    </r>
    <r>
      <rPr>
        <rFont val="Helvetica Neue"/>
        <color rgb="FF000000"/>
        <sz val="10.0"/>
        <u/>
      </rPr>
      <t>https://v5.airtableusercontent.com/v3/u/25/25/1707415200000/uqSe7DXjO-Mn25Y-YQSi3A/oE58ywRXFoS_gYLvtGzSQS0b5ruqiqNv0-0hZ-9l4wAjzwS2xjrmfziCCcLcSTgx3mzPqQ-44n6tahkuCguBrtu4TrvM2oQKM2LldNkEDgnh2I5EmeY0g77UvJVY6UusTnMDniHKAm6C4Laa9gnw9g/gMuFeikt1pM7wBtS24-6VZ44hAqUZXM8ncnLTfJ0qsY</t>
    </r>
    <r>
      <rPr>
        <rFont val="Helvetica Neue"/>
        <color rgb="FF000000"/>
        <sz val="10.0"/>
        <u/>
      </rPr>
      <t>)</t>
    </r>
  </si>
  <si>
    <t>11/14/2021 3:05pm</t>
  </si>
  <si>
    <t>Meter stick</t>
  </si>
  <si>
    <t>1,4,7,9,13</t>
  </si>
  <si>
    <t>Traditional wood meter stick with centimeter markings</t>
  </si>
  <si>
    <r>
      <rPr>
        <rFont val="Helvetica Neue"/>
        <color rgb="FF000000"/>
        <sz val="10.0"/>
        <u/>
      </rPr>
      <t>Meter stick.jpg (</t>
    </r>
    <r>
      <rPr>
        <rFont val="Helvetica Neue"/>
        <color rgb="FF000000"/>
        <sz val="10.0"/>
        <u/>
      </rPr>
      <t>https://v5.airtableusercontent.com/v3/u/25/25/1707415200000/pMd3hs4GSKlUyQoZ2y1m_g/z6Hvn1x_Ki_wp-1vGsfUNdZB-ye9o0WZZaDlmjuNzZQkgU77wKj1z69W5VAJE5PnJsjZPN-JojTYRq4bkez5sjuoG5MoykdkE4W7Tf7I6q3O50VJMPxq_rgsnbAPKPesVnRGnKiBBWu__3sKDqPMeA/Gs8wEsRZNaMpnErO1rPQHOIaxaQWnG8yPaCXu48O5YQ</t>
    </r>
    <r>
      <rPr>
        <rFont val="Helvetica Neue"/>
        <color rgb="FF000000"/>
        <sz val="10.0"/>
        <u/>
      </rPr>
      <t>)</t>
    </r>
  </si>
  <si>
    <t>6.4,6.2,7.3,8.1,8.2,8.3,8.4,8.5</t>
  </si>
  <si>
    <t>10/4/2021 9:29am</t>
  </si>
  <si>
    <t>Marble</t>
  </si>
  <si>
    <t>1 marble/group</t>
  </si>
  <si>
    <r>
      <rPr>
        <rFont val="Helvetica Neue"/>
        <color rgb="FF000000"/>
        <sz val="10.0"/>
        <u/>
      </rPr>
      <t>Marbles.jpg (</t>
    </r>
    <r>
      <rPr>
        <rFont val="Helvetica Neue"/>
        <color rgb="FF000000"/>
        <sz val="10.0"/>
        <u/>
      </rPr>
      <t>https://v5.airtableusercontent.com/v3/u/25/25/1707415200000/DA3wCkp-ibOI_v5iQ-r-cg/GdRmDxZwl6UVVtLrmD34uBP1oYIGub4koY5HzB6Quch7iwMkecyxsX2pPIf8jpBS7yvfKGdALTjYfxWXKWue4r9lzeWb1PAqQaz09Zc3ty58tPPX53qlDXBJ4Qyqs72Rgg1WA_t3C8h_0MfgyFKh4A/9NRJbC6cm2PORwE_vbokWh2ugAqjUs2kg0XNgZfoMfo</t>
    </r>
    <r>
      <rPr>
        <rFont val="Helvetica Neue"/>
        <color rgb="FF000000"/>
        <sz val="10.0"/>
        <u/>
      </rPr>
      <t>)</t>
    </r>
  </si>
  <si>
    <t>Tennis ball</t>
  </si>
  <si>
    <t>1/group</t>
  </si>
  <si>
    <r>
      <rPr>
        <rFont val="Helvetica Neue"/>
        <color rgb="FF000000"/>
        <sz val="10.0"/>
        <u/>
      </rPr>
      <t>Tennis balls.jpg (</t>
    </r>
    <r>
      <rPr>
        <rFont val="Helvetica Neue"/>
        <color rgb="FF000000"/>
        <sz val="10.0"/>
        <u/>
      </rPr>
      <t>https://v5.airtableusercontent.com/v3/u/25/25/1707415200000/19_GoKDtAPX590mUhN7BEQ/Du_WwbzWRxDFUx4XSHCoLFKj5plTVOvg4ir8HJ8XuqdmHRYMmYcW3tTADVW5fLHVXCuvHvoI4-i5vMrnDwM3nc-kb6XR0ynfmI9ipbsbm9FlzIQcqUy_W9DUhoNDWwn9aXFEHeDbEJaYtTtRQD1qnA/kqu12SsVL9v1kP6WP6CxhI8_chfAd5WQmn50H-zY-Ic</t>
    </r>
    <r>
      <rPr>
        <rFont val="Helvetica Neue"/>
        <color rgb="FF000000"/>
        <sz val="10.0"/>
        <u/>
      </rPr>
      <t>)</t>
    </r>
  </si>
  <si>
    <t>10/2/2021 5:24pm</t>
  </si>
  <si>
    <t>Golf ball</t>
  </si>
  <si>
    <t>2,3</t>
  </si>
  <si>
    <r>
      <rPr>
        <rFont val="Helvetica Neue"/>
        <color rgb="FF000000"/>
        <sz val="10.0"/>
        <u/>
      </rPr>
      <t>Golf balls.jpg (</t>
    </r>
    <r>
      <rPr>
        <rFont val="Helvetica Neue"/>
        <color rgb="FF000000"/>
        <sz val="10.0"/>
        <u/>
      </rPr>
      <t>https://v5.airtableusercontent.com/v3/u/25/25/1707415200000/RfMN5E1xLSGbSpsLH844jg/oZLyUbpCaLZqOZ8g4Ka20WLwn9q9xQKL2cSl0Y7biYSmPpCRocESVZju_MlIo3NjguvN4NEDe31_cI1TIl_Yah3qrIdmQgQXmpMQjAfg9nGrY8VzYPWnBiHRSGO85ihfoOgxHe5CTsp5g9yoQbB2uA/ZLc1_PZrnCly8ppfuMikux52LmlAotgl2hsiHJJFN14</t>
    </r>
    <r>
      <rPr>
        <rFont val="Helvetica Neue"/>
        <color rgb="FF000000"/>
        <sz val="10.0"/>
        <u/>
      </rPr>
      <t>)</t>
    </r>
  </si>
  <si>
    <t>Rice noodle, wide</t>
  </si>
  <si>
    <t>2,4</t>
  </si>
  <si>
    <t>.33 lb/class</t>
  </si>
  <si>
    <t>.33 lb</t>
  </si>
  <si>
    <t>2 lbs</t>
  </si>
  <si>
    <r>
      <rPr>
        <rFont val="Helvetica Neue"/>
        <color rgb="FF000000"/>
        <sz val="10.0"/>
        <u/>
      </rPr>
      <t>Wide rice noodles.jpg (</t>
    </r>
    <r>
      <rPr>
        <rFont val="Helvetica Neue"/>
        <color rgb="FF000000"/>
        <sz val="10.0"/>
        <u/>
      </rPr>
      <t>https://v5.airtableusercontent.com/v3/u/25/25/1707415200000/PQpJ2OdgeEnBPyVX8mC6Zg/g1js7ud0gnVSAK-mMjXlbMY_9VJfDVX4bOj5irBGacleuMBszqghwByfs81XZGoksIXyBkdvq3hOAKavfAeczFuDhZDhdRa-DHLtxHGVlDyiAxv4czHGWTp0EiuZ-4_YA-b-zs1x8hcU-w87yPMG2g/AozGM1D2F44yYI8rb2eFpypQmykN4lxLDSgzZIK9lR4</t>
    </r>
    <r>
      <rPr>
        <rFont val="Helvetica Neue"/>
        <color rgb="FF000000"/>
        <sz val="10.0"/>
        <u/>
      </rPr>
      <t>)</t>
    </r>
  </si>
  <si>
    <t>Brick</t>
  </si>
  <si>
    <t>2,4,7,12</t>
  </si>
  <si>
    <t>2/group</t>
  </si>
  <si>
    <t>Make sure they are at least 2.25" thick (standard dimensions: 8"x4"x2.25")</t>
  </si>
  <si>
    <r>
      <rPr>
        <rFont val="Helvetica Neue"/>
        <color rgb="FF000000"/>
        <sz val="10.0"/>
        <u/>
      </rPr>
      <t>Screen Shot 2020-09-27 at 11_21_39 AM.png (</t>
    </r>
    <r>
      <rPr>
        <rFont val="Helvetica Neue"/>
        <color rgb="FF000000"/>
        <sz val="10.0"/>
        <u/>
      </rPr>
      <t>https://v5.airtableusercontent.com/v3/u/25/25/1707415200000/6o5b7OVSPpqykmJ5ETTdMw/Hc42FVfiPNYNr1pYQ_HjPasPr4J4przvht6yeFzwK555mMfQ94NXk3fOgx8fqj8YPtAt_XfSKDeiwtWJWoSoTPlY1cI-fLTvE1n_RB_xJ-I1RDz4xBvoXFmenvTDN2S4yWzdGHvsFMSxGCYU0tWpTSBySTGkJiEzPhEiGI6D_cE/AhTupIKQoEYekCo0HY5qhHuBwv84rKWFmd4mozJoIG4</t>
    </r>
    <r>
      <rPr>
        <rFont val="Helvetica Neue"/>
        <color rgb="FF000000"/>
        <sz val="10.0"/>
        <u/>
      </rPr>
      <t>)</t>
    </r>
  </si>
  <si>
    <t>Tape, painter's</t>
  </si>
  <si>
    <t>2,5,7,9</t>
  </si>
  <si>
    <t>1 roll per 3 classes</t>
  </si>
  <si>
    <t>needs to secure track to table or floor. Don't use masking tape, which leaves residue.</t>
  </si>
  <si>
    <r>
      <rPr>
        <rFont val="Helvetica Neue"/>
        <color rgb="FF000000"/>
        <sz val="10.0"/>
        <u/>
      </rPr>
      <t>Painter's tape.jpg (</t>
    </r>
    <r>
      <rPr>
        <rFont val="Helvetica Neue"/>
        <color rgb="FF000000"/>
        <sz val="10.0"/>
        <u/>
      </rPr>
      <t>https://v5.airtableusercontent.com/v3/u/25/25/1707415200000/a04zNPASxvHdlbgzS0dO1w/tkAMQQeSqpqK180zDpM52EhgeqHsMVoZxuJBRZ66XMmD0WHa533XFbhjoH_-OA6l-NsjJIFC99K1OH4bWFcxKET_WRunq2L0CfshDUrVWctObW6aknKMdjNEhWGQ0l-9vIx410I2rrb6kRpF4lPozg/YjbEPuBkxgtf5RwDZ7ffObwXRmLphDemaOC7ZU4_AG8</t>
    </r>
    <r>
      <rPr>
        <rFont val="Helvetica Neue"/>
        <color rgb="FF000000"/>
        <sz val="10.0"/>
        <u/>
      </rPr>
      <t>)</t>
    </r>
  </si>
  <si>
    <t>10/21/2021 12:03pm</t>
  </si>
  <si>
    <t>Dynamics cart</t>
  </si>
  <si>
    <t>2,5,7,9,12,13</t>
  </si>
  <si>
    <t>2 carts/group</t>
  </si>
  <si>
    <t>small plastic cart (comes in set of 2) with space for weights; must include attachment screw, rubber stopper, and metal hoop</t>
  </si>
  <si>
    <r>
      <rPr>
        <rFont val="Helvetica Neue"/>
        <color rgb="FF000000"/>
        <sz val="10.0"/>
        <u/>
      </rPr>
      <t>Blue plastic cart.jpg (</t>
    </r>
    <r>
      <rPr>
        <rFont val="Helvetica Neue"/>
        <color rgb="FF000000"/>
        <sz val="10.0"/>
        <u/>
      </rPr>
      <t>https://v5.airtableusercontent.com/v3/u/25/25/1707415200000/jiZm23nR4bW1wPe7vcs_tA/gLiBffqAEAKgk2RBtTRmn2g5nwP3FG7nRbLn0edaR9iW45dKj09QKYeIlYLiTYHx-mOd6RgLZpzT2AexqgVZ4FIZUH39iFP2rBelCX10XdbjONK8NQygtdTVQISQKrkR4fodUHAfYCZoZgGybsQFig/Lh2xaJ8ygBgdpn1wVmJ55U2bfcr2i6-bCZ0EybpwrtA</t>
    </r>
    <r>
      <rPr>
        <rFont val="Helvetica Neue"/>
        <color rgb="FF000000"/>
        <sz val="10.0"/>
        <u/>
      </rPr>
      <t>)</t>
    </r>
  </si>
  <si>
    <t>10/7/2021 1:32pm</t>
  </si>
  <si>
    <t>Washer, large</t>
  </si>
  <si>
    <t>2,5,7,12,13</t>
  </si>
  <si>
    <t>8/group</t>
  </si>
  <si>
    <t>Large washers, thick and heavy, 2" diameter, 1/8" thick, used for weights</t>
  </si>
  <si>
    <r>
      <rPr>
        <rFont val="Helvetica Neue"/>
        <color rgb="FF000000"/>
        <sz val="10.0"/>
        <u/>
      </rPr>
      <t>Large washers for weights.jpg (</t>
    </r>
    <r>
      <rPr>
        <rFont val="Helvetica Neue"/>
        <color rgb="FF000000"/>
        <sz val="10.0"/>
        <u/>
      </rPr>
      <t>https://v5.airtableusercontent.com/v3/u/25/25/1707415200000/iEaplZucFFVn6DEB_Y_Ptw/kikawsZKcnKhdLBjaTHeZ3g99hkAHTwXpvuY6apJboD5nWJOpyQQUrejeLg5m8A85KpH6A_L-xelug3r9O2j5Tl5erFHmfpNrxUVmrymDhV_l53fNKkCRO6Nj69g2JCXG-orFZgW2J4NvHFLIcqSOuB2toL4FbKq8tiLr7HvzmI/O15BZ3YUrMxe1HTVOM8SHbvVhApa5w9jDh-Vb4BUQiU</t>
    </r>
    <r>
      <rPr>
        <rFont val="Helvetica Neue"/>
        <color rgb="FF000000"/>
        <sz val="10.0"/>
        <u/>
      </rPr>
      <t>)</t>
    </r>
  </si>
  <si>
    <t>10/2/2021 5:34pm</t>
  </si>
  <si>
    <t>Aluminum bar track</t>
  </si>
  <si>
    <t>2,5,9,7,12,13</t>
  </si>
  <si>
    <t>Must be at least 3 feet long. Must be 1.5” wide to fit the dynamics carts (any smaller and it won’t keep the cart going very straight; any wider and the cart wheels won’t sit on either side of it). Must be no more than 3/16” height (smaller is fine if the material is relatively rigid and doesn’t deform; if any higher than 3/16”, it will obstruct the cart). Does not need to be aluminum; see second example link for a plastic version that will work.</t>
  </si>
  <si>
    <r>
      <rPr>
        <rFont val="Helvetica Neue"/>
        <color rgb="FF000000"/>
        <sz val="10.0"/>
        <u/>
      </rPr>
      <t>Aluminum strip for track.jpg (</t>
    </r>
    <r>
      <rPr>
        <rFont val="Helvetica Neue"/>
        <color rgb="FF000000"/>
        <sz val="10.0"/>
        <u/>
      </rPr>
      <t>https://v5.airtableusercontent.com/v3/u/25/25/1707415200000/vrYwR-MH8wW6ZLLF9rtZ6g/B8zFgI4cERapYVPOthHfGYskfv-M_qvyumzkN-S6TvCqBuOi75vUmL4s0nImEOVHpvmLq9bNUNsvs8STsY2trEDXhAUy1Kp5OkhSUWGG0Ck99rXBEbfnCiuLogcMmIlN1J5DomLdLaYYa2wP9SDtdCkG8AKYlXGsioXGcGk1eDQ/8GZlWvk6G_ZLssYaj7FyQ2X-dRFeTEFUF9e6UmX1NLs</t>
    </r>
    <r>
      <rPr>
        <rFont val="Helvetica Neue"/>
        <color rgb="FF000000"/>
        <sz val="10.0"/>
        <u/>
      </rPr>
      <t>),Plastic bar track (</t>
    </r>
    <r>
      <rPr>
        <rFont val="Helvetica Neue"/>
        <color rgb="FF000000"/>
        <sz val="10.0"/>
        <u/>
      </rPr>
      <t>https://v5.airtableusercontent.com/v3/u/25/25/1707415200000/E0uHxeM18_iQxH6NNfTjsQ/6Rm9YCbwGZz8eM_q7TZ7K2DaXu936-UV3Cz0tEKbpmr5kiPPjeqrXvconH9Hp1L-grKjkw1Eg60ss_zcduE_miMng7a6lVqzlzxb0yAEFotXMvqsGTMw54ODwMm0PzjmGsNBGUGiJOWQ7ODGaZ8wnzqrXB5am0oCVEBiK-G_CoI/j3D9sZAl0qXy2CgWm1jX5CrGddVCGE1RExFoKXn4P-0</t>
    </r>
    <r>
      <rPr>
        <rFont val="Helvetica Neue"/>
        <color rgb="FF000000"/>
        <sz val="10.0"/>
        <u/>
      </rPr>
      <t>),"8.1 ramp, track &amp; cart.jpg (</t>
    </r>
    <r>
      <rPr>
        <rFont val="Helvetica Neue"/>
        <color rgb="FF000000"/>
        <sz val="10.0"/>
        <u/>
      </rPr>
      <t>https://v5.airtableusercontent.com/v3/u/25/25/1707415200000/IFaHNIqiK46ZqkJFkbL1Ag/KzM7-ZDi6HqYb1657Zj7vnOf6H-oIliEYgcVyWGkX85TN2w-MxvWnqE9L1OVmGcVMr785Mee7-M1YtqR3FJpbCcETjB7i0F1iutIM2G83vL8Gg7EvPgAY0Xqwh7OIkeQGulI4C6sw-qWgeGYpaC4yw/E5iwOO8kHTWobnQ3NuJtiZ2FN-Ph0KPoOxCtgRyDbJ0</t>
    </r>
    <r>
      <rPr>
        <rFont val="Helvetica Neue"/>
        <color rgb="FF000000"/>
        <sz val="10.0"/>
        <u/>
      </rPr>
      <t>)",8.1 ramp &amp; track.jpg (</t>
    </r>
    <r>
      <rPr>
        <rFont val="Helvetica Neue"/>
        <color rgb="FF000000"/>
        <sz val="10.0"/>
        <u/>
      </rPr>
      <t>https://v5.airtableusercontent.com/v3/u/25/25/1707415200000/C2P99Tt6CbM8cymNfVk0Jw/SQEundBi1rinzWgsaDoh15NpCRtfJmnpsQNcjRBlV1jbyw6p1LxDpUyXhDf5tJ0bMG0qH8JeD5NrVZ13XixNrVAdKARcNsmvedec2v45FkEtRA9xAS8E3BSdJvCSDLyCu1-FJeXV25szvxpyDpvC4g/MS8oQ6SImfLSySEkmOFmCZhfUk9GpOLWYHVo8F3TMws</t>
    </r>
    <r>
      <rPr>
        <rFont val="Helvetica Neue"/>
        <color rgb="FF000000"/>
        <sz val="10.0"/>
        <u/>
      </rPr>
      <t>),8.1 cart on track.jpg (</t>
    </r>
    <r>
      <rPr>
        <rFont val="Helvetica Neue"/>
        <color rgb="FF000000"/>
        <sz val="10.0"/>
        <u/>
      </rPr>
      <t>https://v5.airtableusercontent.com/v3/u/25/25/1707415200000/TucMj_Ctcsg6cTzJ4Wz7CQ/8pWE7Wy6tvgJI7V2Lqg7gNpfFHJyTurqAmDuNus6tp6zffWulTEsMjcjagOUWPoBxS0h9laUfbuX6nnY00FCA4tI8AA3sU9Tf1gSZfeb3LJFpWgZHzUyx8YHLnhYY3_7UNMdZeHfepk4RFGMmpxF6Q/6w7ToDYj_k1SS7jvvZkU27kftHTcvdOrPk8a-ncP1e4</t>
    </r>
    <r>
      <rPr>
        <rFont val="Helvetica Neue"/>
        <color rgb="FF000000"/>
        <sz val="10.0"/>
        <u/>
      </rPr>
      <t>),8.1 cart wheels next to track.jpg (</t>
    </r>
    <r>
      <rPr>
        <rFont val="Helvetica Neue"/>
        <color rgb="FF000000"/>
        <sz val="10.0"/>
        <u/>
      </rPr>
      <t>https://v5.airtableusercontent.com/v3/u/25/25/1707415200000/4rO754OzVTFt5dG9nUWZ5g/lTsayrj7fYUuHjcFr2zt3LwsNCACELIOcniTtS4j_Ih6mQA9bk-_98_4ampSHROi5NqmaWwCPP-ZF8JO1SYuHQVlcX4gUr-NLbEgB00vla_0HtIPj9KnyT2mQEdTxVLeeK_zMcRAX9tbtNmJeNhRkHLFIU_EIvvaSXPEN5U8C3U/Zi7U3Zyz2sPeq1O_FokIXHVO6f93180IjArtVrh7BIU</t>
    </r>
    <r>
      <rPr>
        <rFont val="Helvetica Neue"/>
        <color rgb="FF000000"/>
        <sz val="10.0"/>
        <u/>
      </rPr>
      <t>),8.1 cart &amp; track.jpg (</t>
    </r>
    <r>
      <rPr>
        <rFont val="Helvetica Neue"/>
        <color rgb="FF000000"/>
        <sz val="10.0"/>
        <u/>
      </rPr>
      <t>https://v5.airtableusercontent.com/v3/u/25/25/1707415200000/2BwGKF6UIKDdKyhA9uFFog/Lb-KJrfJ3IEdUCFl6rYCOMokaEtTHee1dw4m70S5LEu3d1x8QfM3wUIcsufPrndINcleohzRa5L4a4a2sbrhh_xTSNNrrLioJfH5bJ_g1yo_gWE-GvewM8_HwBeFU5hzsVD7CIRxbdZ5xhK9_47BwQ/LdFU1bxbBZb-mwQpsktHSBGjpWcZKbBZ2ed_IvByQg8</t>
    </r>
    <r>
      <rPr>
        <rFont val="Helvetica Neue"/>
        <color rgb="FF000000"/>
        <sz val="10.0"/>
        <u/>
      </rPr>
      <t>)</t>
    </r>
  </si>
  <si>
    <t>Clay, no-dry modeling</t>
  </si>
  <si>
    <t>2,5,12</t>
  </si>
  <si>
    <t>1/4 oz/group, 1 16-oz container per class</t>
  </si>
  <si>
    <t>reusbale, stays pliable, NOT marked "air dry"</t>
  </si>
  <si>
    <r>
      <rPr>
        <rFont val="Helvetica Neue"/>
        <color rgb="FF000000"/>
        <sz val="10.0"/>
        <u/>
      </rPr>
      <t>No-dry Modeling clay (16 oz container).jpg (</t>
    </r>
    <r>
      <rPr>
        <rFont val="Helvetica Neue"/>
        <color rgb="FF000000"/>
        <sz val="10.0"/>
        <u/>
      </rPr>
      <t>https://v5.airtableusercontent.com/v3/u/25/25/1707415200000/joMdsaOZZw2mXa7Gj9pW4A/uWt5qBT0vC8ZGXin-EVU3R-Uln0XDFzJvrr4WM7GoWisttoVBzpJ08nOtqCHxTIJUiYN4ppb0Pxb5LOtP7siFHyEJdeBe9A0GL49I01pCYHLoaYwOFSFuZyTZd3JvJVkFibH6NtyQpGvoMosPX3sKaYnryzB42Pue3E4eIkifko/GbV6UxkpYkjJGHZN1-kgKrivr_A3_gt6RPveq3dEKbo</t>
    </r>
    <r>
      <rPr>
        <rFont val="Helvetica Neue"/>
        <color rgb="FF000000"/>
        <sz val="10.0"/>
        <u/>
      </rPr>
      <t>)</t>
    </r>
  </si>
  <si>
    <t>10/4/2021 9:24am</t>
  </si>
  <si>
    <t>Soda cracker</t>
  </si>
  <si>
    <t>2,7</t>
  </si>
  <si>
    <t>~144 crackers/class</t>
  </si>
  <si>
    <t>~144</t>
  </si>
  <si>
    <t>~864</t>
  </si>
  <si>
    <r>
      <rPr>
        <rFont val="Helvetica Neue"/>
        <color rgb="FF000000"/>
        <sz val="10.0"/>
        <u/>
      </rPr>
      <t>Soda crackers.jpeg (</t>
    </r>
    <r>
      <rPr>
        <rFont val="Helvetica Neue"/>
        <color rgb="FF000000"/>
        <sz val="10.0"/>
        <u/>
      </rPr>
      <t>https://v5.airtableusercontent.com/v3/u/25/25/1707415200000/hGfAXiiYZtNjDpwXvjLODA/a4wrOpF-dfux5vIPfRVI95iDcNP1uD5JfCItqhA-DtBsD7gK3pYt0ZWR_9fm7UEIdy7be0jYNZR-9REt2eJkV4iKvQhsB1lyvNv6B3nh1uqI1AQlM63d-V8jWjiWv4Pvr0-uNryZ0Q7_FimLGUNEbw/gW2vuziwkrieqmf2_kzWppAdhQHIME7tBkMV_q1t2iY</t>
    </r>
    <r>
      <rPr>
        <rFont val="Helvetica Neue"/>
        <color rgb="FF000000"/>
        <sz val="10.0"/>
        <u/>
      </rPr>
      <t>)</t>
    </r>
  </si>
  <si>
    <t>10/21/2021 11:56am</t>
  </si>
  <si>
    <t>Sticky putty</t>
  </si>
  <si>
    <t>2,7,12,13</t>
  </si>
  <si>
    <t>1 sheet/class</t>
  </si>
  <si>
    <t>break up a 12-pack</t>
  </si>
  <si>
    <r>
      <rPr>
        <rFont val="Helvetica Neue"/>
        <color rgb="FF000000"/>
        <sz val="10.0"/>
        <u/>
      </rPr>
      <t>Loctite Fun-Tak.jpg (</t>
    </r>
    <r>
      <rPr>
        <rFont val="Helvetica Neue"/>
        <color rgb="FF000000"/>
        <sz val="10.0"/>
        <u/>
      </rPr>
      <t>https://v5.airtableusercontent.com/v3/u/25/25/1707415200000/NUnHtgGGK1BjQfwefx6-Ww/5I2la0484JDBgTh4a3hPWFTlNUByytBEtIU8vXnngsOKj2rysTbmynSA8YBXPkjDgPAvyW8gs8cqd-c4phiDMnQifjDJrf5NSIx8z_A-PVRAggMLd0EOYG8mr1NdxQQ4qVPo2rpklX_l8XCT_O7jKw/9PwoiVUcr0ruLDcssagJUM0o1vSSyknoUvxVHdTxn0g</t>
    </r>
    <r>
      <rPr>
        <rFont val="Helvetica Neue"/>
        <color rgb="FF000000"/>
        <sz val="10.0"/>
        <u/>
      </rPr>
      <t>)</t>
    </r>
  </si>
  <si>
    <t>Cooking spray</t>
  </si>
  <si>
    <t>2,16</t>
  </si>
  <si>
    <t>Nonstick cooking spray, any brand</t>
  </si>
  <si>
    <r>
      <rPr>
        <rFont val="Helvetica Neue"/>
        <color rgb="FF000000"/>
        <sz val="10.0"/>
        <u/>
      </rPr>
      <t>Cooking spray.jpeg (</t>
    </r>
    <r>
      <rPr>
        <rFont val="Helvetica Neue"/>
        <color rgb="FF000000"/>
        <sz val="10.0"/>
        <u/>
      </rPr>
      <t>https://v5.airtableusercontent.com/v3/u/25/25/1707415200000/_qeeGz-k0J437YkGB47KMw/6QkW_xlIf7UGZANiVgsEL_pLAEBSouAwDnadG-aHNl6DbsEQHkvHDpGCChf_VzxapCD_NYPecnd16K_a-9pSUe-R7f2U0Ua-5QFky7K3Jj6Ju5w4wdakKBx0odnjGBMEOXFNSbUYhOWiaMK8FwcndA/alaYr9E2an5FkOmFfVxpdr2sijrxWT9kfnmPw5-1wfc</t>
    </r>
    <r>
      <rPr>
        <rFont val="Helvetica Neue"/>
        <color rgb="FF000000"/>
        <sz val="10.0"/>
        <u/>
      </rPr>
      <t>)</t>
    </r>
  </si>
  <si>
    <t>10/2/2021 2:28pm</t>
  </si>
  <si>
    <t>used for sugar glass creation</t>
  </si>
  <si>
    <r>
      <rPr>
        <rFont val="Helvetica Neue"/>
        <color rgb="FF000000"/>
        <sz val="10.0"/>
        <u/>
      </rPr>
      <t>Wax paper.jpg (</t>
    </r>
    <r>
      <rPr>
        <rFont val="Helvetica Neue"/>
        <color rgb="FF000000"/>
        <sz val="10.0"/>
        <u/>
      </rPr>
      <t>https://v5.airtableusercontent.com/v3/u/25/25/1707415200000/neMbkACCFWqLPx6DOcsqNg/3GIh4Q1f6FbU_vXNqE71BWO63fu2b8t-Eg1V5bLZGZ8hjjDz1HPtxP75n9iJ6UMwquDL86BkZJT6ryqcxwPSNa32cvJOxDSnqvohPErl3WiuNoEPc3lxC83jzDrWZIeC2zdpacAztOvwLP4kO_nXwA/nai-KyD_lV3dJ1qFUyuecEQvQk_SwlxKQxubD1g4SUM</t>
    </r>
    <r>
      <rPr>
        <rFont val="Helvetica Neue"/>
        <color rgb="FF000000"/>
        <sz val="10.0"/>
        <u/>
      </rPr>
      <t>)</t>
    </r>
  </si>
  <si>
    <t>10/2/2021 2:41pm</t>
  </si>
  <si>
    <t xml:space="preserve">Oven, electric, gas, or toaster </t>
  </si>
  <si>
    <t>used to melt candy for sugar glass</t>
  </si>
  <si>
    <t>9/30/2021 3:15pm</t>
  </si>
  <si>
    <t>1 roll needed per classroom for sugar glass creation</t>
  </si>
  <si>
    <r>
      <rPr>
        <rFont val="Helvetica Neue"/>
        <color rgb="FF000000"/>
        <sz val="10.0"/>
        <u/>
      </rPr>
      <t>Paper towels.jpeg (</t>
    </r>
    <r>
      <rPr>
        <rFont val="Helvetica Neue"/>
        <color rgb="FF000000"/>
        <sz val="10.0"/>
        <u/>
      </rPr>
      <t>https://v5.airtableusercontent.com/v3/u/25/25/1707415200000/YsyrAh_ZgozpkvfcyjlABA/pxbc6rXo3tzoerPKAaVM1Kqlk0Q0COcX-L-Q2-yydezDsBpkk2_73RcZjwgIMCyo1lJaf9Y9iKcmvyfDS1eIO-9xx_VM0Zx5Re6I3MRIiwpZMAX4kjXZgAx0WD-MBFHWPnJPNpu2ar_8MXSXm5KMGQ/xPcMb41vJ0_xKTMs_-afSAdKfCAv3pWW9_9h7KtcmFQ</t>
    </r>
    <r>
      <rPr>
        <rFont val="Helvetica Neue"/>
        <color rgb="FF000000"/>
        <sz val="10.0"/>
        <u/>
      </rPr>
      <t>)</t>
    </r>
  </si>
  <si>
    <t>10/2/2021 5:37pm</t>
  </si>
  <si>
    <t>Hot mitts or gloves</t>
  </si>
  <si>
    <t>Can be heat resistant fabric or silicone. Preferred glove-style, but can be mitt-style. Used for sugar glass creation.</t>
  </si>
  <si>
    <r>
      <rPr>
        <rFont val="Helvetica Neue"/>
        <color rgb="FF000000"/>
        <sz val="10.0"/>
        <u/>
      </rPr>
      <t>Screen Shot 2021-10-02 at 12_03_24 PM.png (</t>
    </r>
    <r>
      <rPr>
        <rFont val="Helvetica Neue"/>
        <color rgb="FF000000"/>
        <sz val="10.0"/>
        <u/>
      </rPr>
      <t>https://v5.airtableusercontent.com/v3/u/25/25/1707415200000/-LHeNTLvqRpmBMruzN4wrg/oUL9jgjE-vqhVBVThpixhEko9v8Soa7J7o9ss02ta3SicoCXyUN3E9tgPJaY2SdzSuf8x-LQI0R_XKimBS3vHvliqzIh1w9tNeN_rVAu0LmhJXAT7ARPN30En3LyoT-DIlGmpBPhWNliOysi-5dBAbwSx0h5fYmhUXm93tAYkb0/EGuaNwHHb0-_bMMjFJiMD6l9Ga7nhlUEavRSni6RbxE</t>
    </r>
    <r>
      <rPr>
        <rFont val="Helvetica Neue"/>
        <color rgb="FF000000"/>
        <sz val="10.0"/>
        <u/>
      </rPr>
      <t>)</t>
    </r>
  </si>
  <si>
    <t>6.2,7.2,8.1</t>
  </si>
  <si>
    <t>10/4/2021 9:25am</t>
  </si>
  <si>
    <t>Storage bag, gallon</t>
  </si>
  <si>
    <t>1 box/teacher</t>
  </si>
  <si>
    <t>1 box for sugar glass storage</t>
  </si>
  <si>
    <r>
      <rPr>
        <rFont val="Helvetica Neue"/>
        <color rgb="FF000000"/>
        <sz val="10.0"/>
        <u/>
      </rPr>
      <t>Gallon storage bags.jpeg (</t>
    </r>
    <r>
      <rPr>
        <rFont val="Helvetica Neue"/>
        <color rgb="FF000000"/>
        <sz val="10.0"/>
        <u/>
      </rPr>
      <t>https://v5.airtableusercontent.com/v3/u/25/25/1707415200000/0toDCT_9m_uLNzc4yCxX2Q/4nTBk8m-HkQ5mx8Xm0naf56kPXbhgO2TBzw_DqZhvtYpFAujGY-iwThJrZ-kuhStkWez5ID8T7nCJPsUJ-GPqnZahOWuY5b3D5or32DvJqtPTAnSX0QI62ez-mvr7loFZ2nOf6ENYV4BEKwr-8Zbzg7chnj4d0jcj1spISmvJWQ/0mx0sHn2uvMA6FiI-smVM9rn8S2sYQe4yP-P5B9tR5I</t>
    </r>
    <r>
      <rPr>
        <rFont val="Helvetica Neue"/>
        <color rgb="FF000000"/>
        <sz val="10.0"/>
        <u/>
      </rPr>
      <t>)</t>
    </r>
  </si>
  <si>
    <t>Cooling rack</t>
  </si>
  <si>
    <r>
      <rPr>
        <rFont val="Helvetica Neue"/>
        <color rgb="FF000000"/>
        <sz val="10.0"/>
        <u/>
      </rPr>
      <t>Cooling rack.jpg (</t>
    </r>
    <r>
      <rPr>
        <rFont val="Helvetica Neue"/>
        <color rgb="FF000000"/>
        <sz val="10.0"/>
        <u/>
      </rPr>
      <t>https://v5.airtableusercontent.com/v3/u/25/25/1707415200000/wLfhDHKSWuss-uMJ1Ybv7w/a0-y9XWLiznDokAlFS7YuIMPQ6OHRltWmoH-7lJtnO6ytoOx-oangSvJ06j65AqPMLh_DYzAphAE9qX2eFDyNrtAm3reDLqVgjBqdOicHUggyk0dRN22xBl1eEqecNWkhNthND4AaOkPE3X4Pcga2w/tVgefmNLd4Z84lJfaq6D0pIz3LMCObYn2riHcaPf5tI</t>
    </r>
    <r>
      <rPr>
        <rFont val="Helvetica Neue"/>
        <color rgb="FF000000"/>
        <sz val="10.0"/>
        <u/>
      </rPr>
      <t>)</t>
    </r>
  </si>
  <si>
    <t>10/2/2021 5:38pm</t>
  </si>
  <si>
    <t>Silicone soap mold, 6-cavity</t>
  </si>
  <si>
    <t>Each cavity should measure approximately 3” x 2” x 1” for sugar glass creation</t>
  </si>
  <si>
    <r>
      <rPr>
        <rFont val="Helvetica Neue"/>
        <color rgb="FF000000"/>
        <sz val="10.0"/>
        <u/>
      </rPr>
      <t>6-cavity silicone soap mold.jpg (</t>
    </r>
    <r>
      <rPr>
        <rFont val="Helvetica Neue"/>
        <color rgb="FF000000"/>
        <sz val="10.0"/>
        <u/>
      </rPr>
      <t>https://v5.airtableusercontent.com/v3/u/25/25/1707415200000/ktqkg8YqeXn4L46xL3EoGg/NAE0HJMgFYk5wke4bnXtEVTpBkks6W21HtUkOqdQ2pWSkOloqmbHPu8McOkE-3pDimifnj6jX2NDgnNKwyvHFhVOIQfNDxAWgqXz1MZmFi0NgAng-Dp2CouMEnXwJ86zYRd0tlwcMKKvPhdaHk6M6DzmIC0jVLi1_XM4L5-574E/gMV3lIwr2dVOM4jFUBZakVXeWHAgo6GGoaOBffT6b7A</t>
    </r>
    <r>
      <rPr>
        <rFont val="Helvetica Neue"/>
        <color rgb="FF000000"/>
        <sz val="10.0"/>
        <u/>
      </rPr>
      <t>)</t>
    </r>
  </si>
  <si>
    <t>9/30/2021 3:32pm</t>
  </si>
  <si>
    <t>Cookie sheet</t>
  </si>
  <si>
    <r>
      <rPr>
        <rFont val="Helvetica Neue"/>
        <color rgb="FF000000"/>
        <sz val="10.0"/>
        <u/>
      </rPr>
      <t>Cookie sheet.jpg (</t>
    </r>
    <r>
      <rPr>
        <rFont val="Helvetica Neue"/>
        <color rgb="FF000000"/>
        <sz val="10.0"/>
        <u/>
      </rPr>
      <t>https://v5.airtableusercontent.com/v3/u/25/25/1707415200000/dOeDu-QZw3PI3JgXQ1DEZQ/WfrU5ApWnNjlDkryUQIrm9lYK-iudOdIPErKOBfGS0qq1vEhY1Ybher74Kg6VRlbpSODKFqPmDgqCNS1Ft8MHr-JiChVsYTpcdTCjj-edk6rGmHjvZmVmmANjVRtCX6A91-kTvMZh_Kc1VL71yBmvw/NSYD7uvTDXYbN1Z_06Qrycc2DrTZpZmrDxdqbfZgQYk</t>
    </r>
    <r>
      <rPr>
        <rFont val="Helvetica Neue"/>
        <color rgb="FF000000"/>
        <sz val="10.0"/>
        <u/>
      </rPr>
      <t>)</t>
    </r>
  </si>
  <si>
    <t>9/30/2021 2:11pm</t>
  </si>
  <si>
    <t>Arcor crystal mints</t>
  </si>
  <si>
    <t>1 lb/class</t>
  </si>
  <si>
    <t>1lb per class- 6lbs needed total for sugar glass creation. You may also use Matlow's Hard Mint Candy or Jolly Ranchers, but melting time may vary). Soda crackers are possible as an alternative to sugar glass; however, we recommend using sugar glass. Students may feel that it is wasteful to use soda crackers - an edible food source/snack - particularly in settings where they may be undernourished.</t>
  </si>
  <si>
    <r>
      <rPr>
        <rFont val="Helvetica Neue"/>
        <color rgb="FF000000"/>
        <sz val="10.0"/>
        <u/>
      </rPr>
      <t>Arcor crystal mints.jpg (</t>
    </r>
    <r>
      <rPr>
        <rFont val="Helvetica Neue"/>
        <color rgb="FF000000"/>
        <sz val="10.0"/>
        <u/>
      </rPr>
      <t>https://v5.airtableusercontent.com/v3/u/25/25/1707415200000/MuLJc7533dA8VGTeHk1gmg/uvl4lWl19_NkexyxqTemmCWS5OVvcmYRxMnPjclFH7KmEsWW16cDPn9HJyKWo47-YsNnm3CcBfVVcmL2XmuLzMGeAVAEF0wftjXQmCvhMRNVxxvwyq8tNf3lKw8qOh_K6L75XE8tcea28QDsM-NbmZ7K_pEIU1OdvG2ikGQlwKY/cPXE7nItZC3_QU2v_GzYqljC5WyokiiVYEo0qsh4jnE</t>
    </r>
    <r>
      <rPr>
        <rFont val="Helvetica Neue"/>
        <color rgb="FF000000"/>
        <sz val="10.0"/>
        <u/>
      </rPr>
      <t>)</t>
    </r>
  </si>
  <si>
    <t>11/4/2021 1:16pm</t>
  </si>
  <si>
    <t>Rock, small</t>
  </si>
  <si>
    <t>Must fit in the palm of a hand  (5-7 cm across).</t>
  </si>
  <si>
    <t>Box</t>
  </si>
  <si>
    <t>If wanted/needed, used to raise the height of a ring stand</t>
  </si>
  <si>
    <r>
      <rPr>
        <rFont val="Helvetica Neue"/>
        <color rgb="FF000000"/>
        <sz val="10.0"/>
        <u/>
      </rPr>
      <t>Box.jpg (</t>
    </r>
    <r>
      <rPr>
        <rFont val="Helvetica Neue"/>
        <color rgb="FF000000"/>
        <sz val="10.0"/>
        <u/>
      </rPr>
      <t>https://v5.airtableusercontent.com/v3/u/25/25/1707415200000/TjBeFZMp01pZ_WDv1hIM3g/Duu9127W3iK9TH9NABVKE6If77ozUxdFXUy6LACF897PBzEScbtHUWYcrk-pNB61wwrjbvrivd5oaGKWMZ7DCV964TwyVWhx9Vxr1BSxAuHLlBWpldVCsr49ASPLkWXoFDzgXthggQM8WVq1NbQ-og/qWF8La41fI5FB-xjAh_gaivxrqSITsIPJ3AVdsC0K4c</t>
    </r>
    <r>
      <rPr>
        <rFont val="Helvetica Neue"/>
        <color rgb="FF000000"/>
        <sz val="10.0"/>
        <u/>
      </rPr>
      <t>)</t>
    </r>
  </si>
  <si>
    <t>9/30/2021 1:59pm</t>
  </si>
  <si>
    <t>Rolling cart</t>
  </si>
  <si>
    <t>Any free rolling cart to put the stand on and roll about the room. A project cart would work.</t>
  </si>
  <si>
    <t>10/4/2021 9:26am</t>
  </si>
  <si>
    <t xml:space="preserve">Cup, plastic </t>
  </si>
  <si>
    <t>Will hold rocks, sand, or washers</t>
  </si>
  <si>
    <t>10/2/2021 3:21pm</t>
  </si>
  <si>
    <t>Laser pointer</t>
  </si>
  <si>
    <r>
      <rPr>
        <rFont val="Helvetica Neue"/>
        <color rgb="FF000000"/>
        <sz val="10.0"/>
        <u/>
      </rPr>
      <t>Pen laser.jpg (</t>
    </r>
    <r>
      <rPr>
        <rFont val="Helvetica Neue"/>
        <color rgb="FF000000"/>
        <sz val="10.0"/>
        <u/>
      </rPr>
      <t>https://v5.airtableusercontent.com/v3/u/25/25/1707415200000/ma_pVRGotCWqtZYLLgCXSg/_RSsAZjx2bxX6yVDNPv7FsVgdywo6rcLLGDNcOQgFyiOHnYEAW9wvq4vhPPcaCcCbclei9Ch5q3oQIlHyDPBeNbu_45OS2KOfjP-mylkNg78_z5g5fr6IW0bQHPWRan2LSdAZ7KGV92Q2p2ggb_FKg/jfImWyI9pwiEeYB161aNDzbVoFpuk9eeUSaDUl1B768</t>
    </r>
    <r>
      <rPr>
        <rFont val="Helvetica Neue"/>
        <color rgb="FF000000"/>
        <sz val="10.0"/>
        <u/>
      </rPr>
      <t>)</t>
    </r>
  </si>
  <si>
    <t>10/2/2021 3:39pm</t>
  </si>
  <si>
    <t>Test tube clamp (burette clamp)</t>
  </si>
  <si>
    <r>
      <rPr>
        <rFont val="Helvetica Neue"/>
        <color rgb="FF000000"/>
        <sz val="10.0"/>
        <u/>
      </rPr>
      <t>Burrette clamp.jpg (</t>
    </r>
    <r>
      <rPr>
        <rFont val="Helvetica Neue"/>
        <color rgb="FF000000"/>
        <sz val="10.0"/>
        <u/>
      </rPr>
      <t>https://v5.airtableusercontent.com/v3/u/25/25/1707415200000/ljOagsLrNjapPQLvnW6W0w/UF4zSK1UeBmCSmhs-oCrdQKFiyLL1J5S_bE0qdUyHVJZMLLHHxlgx5kuI1kZhzcAa9xK_b-Kuvc05rlpmxii2irZEk9Kz2lB5RNsBrDQoD1Q_3sVkVnoFup0hIRhfFMrOgfFqEKZj_mVNR0bRh-6eQ/hIutANNRdWFvRRff-0OQgNvT4LmO9e5By6x1DUP3c5g</t>
    </r>
    <r>
      <rPr>
        <rFont val="Helvetica Neue"/>
        <color rgb="FF000000"/>
        <sz val="10.0"/>
        <u/>
      </rPr>
      <t>)</t>
    </r>
  </si>
  <si>
    <t>10/2/2021 3:09pm</t>
  </si>
  <si>
    <t>Clothespin</t>
  </si>
  <si>
    <r>
      <rPr>
        <rFont val="Helvetica Neue"/>
        <color rgb="FF000000"/>
        <sz val="10.0"/>
        <u/>
      </rPr>
      <t>Clothespin.jpg (</t>
    </r>
    <r>
      <rPr>
        <rFont val="Helvetica Neue"/>
        <color rgb="FF000000"/>
        <sz val="10.0"/>
        <u/>
      </rPr>
      <t>https://v5.airtableusercontent.com/v3/u/25/25/1707415200000/AaiufYgaHNVpekCnd1XvNQ/7pBVfRfb9TxDBmT4ozEv-jvuORQI6KFv4KIJ-gf7LJrO_xAl12SbhqNT2-sRK7LVDWJ-NoSp1VAFNiSytnFxgfgXI4ngEEAF3q3Oe4eXY1SVYmpSjuEXO3f-VeC8R4toQY_LO64GklFvTe0IjfHQaw/DgfzUa0W_MfZnyCxpxg1yaFuLSonmj09UqM3p2QvM4A</t>
    </r>
    <r>
      <rPr>
        <rFont val="Helvetica Neue"/>
        <color rgb="FF000000"/>
        <sz val="10.0"/>
        <u/>
      </rPr>
      <t>)</t>
    </r>
  </si>
  <si>
    <t>10/2/2021 2:56pm</t>
  </si>
  <si>
    <t>Ring stand</t>
  </si>
  <si>
    <r>
      <rPr>
        <rFont val="Helvetica Neue"/>
        <color rgb="FF000000"/>
        <sz val="10.0"/>
        <u/>
      </rPr>
      <t>Ring stand.jpg (</t>
    </r>
    <r>
      <rPr>
        <rFont val="Helvetica Neue"/>
        <color rgb="FF000000"/>
        <sz val="10.0"/>
        <u/>
      </rPr>
      <t>https://v5.airtableusercontent.com/v3/u/25/25/1707415200000/gZ3jm2Dsl5aVP4f3JqyLtQ/Z9ryfU5EYHrfHpcpRlyYxpu4SakG74a0hnthK2bt_ydhZPvtKwF5umkRpmzbnWT8M2hP3L93VfQfXbeaSIORzP1pybvdUQ-mUCUBOduNKmpV642ocHElns-K-eKP1HnJOtxNkUutwnE4xMnvDj75Bw/6aEv2TxtHHv5a20VZ2YQOQ1YyLknzGMkae1eygWodcE</t>
    </r>
    <r>
      <rPr>
        <rFont val="Helvetica Neue"/>
        <color rgb="FF000000"/>
        <sz val="10.0"/>
        <u/>
      </rPr>
      <t>)</t>
    </r>
  </si>
  <si>
    <t>10/2/2021 4:13pm</t>
  </si>
  <si>
    <t>Glass</t>
  </si>
  <si>
    <t>1 rectangular piece of glass (15" long x 8" wide). Could purchase a picture frame with glass insert. Must be glass, not plexiglass.</t>
  </si>
  <si>
    <t>10/21/2021 11:59am</t>
  </si>
  <si>
    <t>Mirror sheet, sticky back</t>
  </si>
  <si>
    <t>1 sheet/teacher</t>
  </si>
  <si>
    <t>6 x 9" sheet</t>
  </si>
  <si>
    <r>
      <rPr>
        <rFont val="Helvetica Neue"/>
        <color rgb="FF000000"/>
        <sz val="10.0"/>
        <u/>
      </rPr>
      <t>Flexible sticky back mirror sheets 6x9.jpg (</t>
    </r>
    <r>
      <rPr>
        <rFont val="Helvetica Neue"/>
        <color rgb="FF000000"/>
        <sz val="10.0"/>
        <u/>
      </rPr>
      <t>https://v5.airtableusercontent.com/v3/u/25/25/1707415200000/wOj7FzgdMCG12thtnnKxJQ/uAy3tUHNjC1oEbIfN1VloGTmG7kuGqdhG1zOQ6znOtAbE_mRUVkhmQP3T5ci-_M3eFzAClyE2Gd0DGCoMjMwqGEP7u3aeO_m168_CtxggWEcHGlHDyDWfIoywwkSfJPlcmALQyw3Ed9HZRj7i4J8B8KnMmCZsHhbXTLOTFj8kziai4QbYZvLQjuLawrsVigF/1VJdLMhYyxwqSHST4gdkDr73a70o-ns4Z-SHxGdGPF0</t>
    </r>
    <r>
      <rPr>
        <rFont val="Helvetica Neue"/>
        <color rgb="FF000000"/>
        <sz val="10.0"/>
        <u/>
      </rPr>
      <t>)</t>
    </r>
  </si>
  <si>
    <t>Sponge</t>
  </si>
  <si>
    <t>3,12</t>
  </si>
  <si>
    <r>
      <rPr>
        <rFont val="Helvetica Neue"/>
        <color rgb="FF000000"/>
        <sz val="10.0"/>
        <u/>
      </rPr>
      <t>Sponge.jpg (</t>
    </r>
    <r>
      <rPr>
        <rFont val="Helvetica Neue"/>
        <color rgb="FF000000"/>
        <sz val="10.0"/>
        <u/>
      </rPr>
      <t>https://v5.airtableusercontent.com/v3/u/25/25/1707415200000/aqLEizquswolLg0SJcr3iw/E4hpviB5RnDaV--wfZ0WYPYowV3bJ_aSyCSr4_BdP8a03DJi19AycebWGgJZ8TcRn5KqGmUlzdY9jIMUTMBFj0tzVMFCaeRHH62aP_9upfkby6eZE7rPdTiwqN9YYTjbu54czET74yfTKNc8fsghCg/KUK7ClKwGXbj4namC2oRx0FdQeATOOqm3u1aYt2MRQ8</t>
    </r>
    <r>
      <rPr>
        <rFont val="Helvetica Neue"/>
        <color rgb="FF000000"/>
        <sz val="10.0"/>
        <u/>
      </rPr>
      <t>)</t>
    </r>
  </si>
  <si>
    <t>10/4/2021 9:27am</t>
  </si>
  <si>
    <t>Box cutter</t>
  </si>
  <si>
    <r>
      <rPr>
        <rFont val="Helvetica Neue"/>
        <color rgb="FF000000"/>
        <sz val="10.0"/>
        <u/>
      </rPr>
      <t>Screen Shot 2020-09-27 at 11.21.04 PM.png (</t>
    </r>
    <r>
      <rPr>
        <rFont val="Helvetica Neue"/>
        <color rgb="FF000000"/>
        <sz val="10.0"/>
        <u/>
      </rPr>
      <t>https://v5.airtableusercontent.com/v3/u/25/25/1707415200000/O6RlxIoVzgAEz9tI7issRQ/7zJstVlHIeQ_mHu47cPFk7bJKEGsnCnI-H0mJ4HBFeMv872STAGT8sSdWtB06oG_CsaIkQ_qjwATXsv5_wj-22LRSy3lCuKBkrTjah0Mp-HkLZ5YAWhBLUn4Wu63OAAUW4KzSSpSsOBWy6bmcNiwiuOqN5JAr03rbhIG0UKCxIs/O2c_qfd5BXRN165IZCtxFD-aW_EX6N0ic6nzMe6qIL8</t>
    </r>
    <r>
      <rPr>
        <rFont val="Helvetica Neue"/>
        <color rgb="FF000000"/>
        <sz val="10.0"/>
        <u/>
      </rPr>
      <t>)</t>
    </r>
  </si>
  <si>
    <t>11/9/2021 9:44am</t>
  </si>
  <si>
    <t>27/class</t>
  </si>
  <si>
    <t>Wood, 7" length. Must be no more than 4mm thick, so they will break easily under 10N of force in Lesson 4.</t>
  </si>
  <si>
    <r>
      <rPr>
        <rFont val="Helvetica Neue"/>
        <color rgb="FF000000"/>
        <sz val="10.0"/>
        <u/>
      </rPr>
      <t>Wood coffee stirrers.jpg (</t>
    </r>
    <r>
      <rPr>
        <rFont val="Helvetica Neue"/>
        <color rgb="FF000000"/>
        <sz val="10.0"/>
        <u/>
      </rPr>
      <t>https://v5.airtableusercontent.com/v3/u/25/25/1707415200000/hmMrT1hiR5QEw1xgf24GiA/GT0iYVwIdZuIQKVNqpIIvbXkM5U1zw84efwUXbQIUYj5T5Qylwh_5yvGeLfT9C5XZow-uOXDIUoVNZfv7CnlPfZtoAWqFInIGhEXoS4yc-A7Rd_-7qqXrEAKVUjdnLA3gadIGVO7OZZXTWVr79H-LYd97a4N9l-biRpBtziXeNU/UsQ6yU4iCN9tVjy0PNFnwpGRDsskPSRbXtrl5s_OmGs</t>
    </r>
    <r>
      <rPr>
        <rFont val="Helvetica Neue"/>
        <color rgb="FF000000"/>
        <sz val="10.0"/>
        <u/>
      </rPr>
      <t>)</t>
    </r>
  </si>
  <si>
    <t>10/7/2021 4:16pm</t>
  </si>
  <si>
    <t>Push-pull spring scale-10N</t>
  </si>
  <si>
    <t>4,5,7,12</t>
  </si>
  <si>
    <t>Delta push-pull spring scales, 1 kg gram capacity (brown)</t>
  </si>
  <si>
    <r>
      <rPr>
        <rFont val="Helvetica Neue"/>
        <color rgb="FF000000"/>
        <sz val="10.0"/>
        <u/>
      </rPr>
      <t>Push-pull spring scale-10.jpg (</t>
    </r>
    <r>
      <rPr>
        <rFont val="Helvetica Neue"/>
        <color rgb="FF000000"/>
        <sz val="10.0"/>
        <u/>
      </rPr>
      <t>https://v5.airtableusercontent.com/v3/u/25/25/1707415200000/eltoutOnqwZJT2sfNqndxQ/JhEeMdJTlF_tXSw0zXE60liO0_KYUVgXSwZDMiF1KXlpKNgwXO5KlbGgCqV4yODqmGi1eaJsdwudQisjIv3_hmaIAWoyo8HWN3S2eGHneEQrtWdNRY5pXWYgCAxExj-xFKgHWHfnJp9sMuqErTxC8CjByXr92uKTTj2CkN30Gp4/CMo8zGsfu7sfQfMgnQZtDRhjz_nMnaSTrgNR0jyyxb8</t>
    </r>
    <r>
      <rPr>
        <rFont val="Helvetica Neue"/>
        <color rgb="FF000000"/>
        <sz val="10.0"/>
        <u/>
      </rPr>
      <t>)</t>
    </r>
  </si>
  <si>
    <t>4,7,9,12,13</t>
  </si>
  <si>
    <r>
      <rPr>
        <rFont val="Helvetica Neue"/>
        <color rgb="FF000000"/>
        <sz val="10.0"/>
        <u/>
      </rPr>
      <t>Electronic scale.jpg (</t>
    </r>
    <r>
      <rPr>
        <rFont val="Helvetica Neue"/>
        <color rgb="FF000000"/>
        <sz val="10.0"/>
        <u/>
      </rPr>
      <t>https://v5.airtableusercontent.com/v3/u/25/25/1707415200000/LmJnHuBWKDDYgMCJ1TFEGw/pO7taxIiUInc2zfmtpLqvn4YqN5t-raTjzoaVj3YLhnJ5g_-_UAJIpROOgr5Frj1nbyEVkwWLVxlqkuAr_UTWY2JTibZu3gjJ6M83SsMD4I2JV27vqRacm4_TVei0mrxvX--bQbvX57_o-2IF_x3UA/wZe6E8vv_bQ9x-MYquickBahIh1qYpd1T8CDA_P83c8</t>
    </r>
    <r>
      <rPr>
        <rFont val="Helvetica Neue"/>
        <color rgb="FF000000"/>
        <sz val="10.0"/>
        <u/>
      </rPr>
      <t>)</t>
    </r>
  </si>
  <si>
    <t>6.2,7.1,7.2,6.3,7.3,8.2,8.3</t>
  </si>
  <si>
    <t>Ruler</t>
  </si>
  <si>
    <t>4,12</t>
  </si>
  <si>
    <t>12 inches in length; includes mm, cm, and inches, must have groove down the middle for Unit 8.3. Can be wood or plastic.</t>
  </si>
  <si>
    <r>
      <rPr>
        <rFont val="Helvetica Neue"/>
        <color rgb="FF000000"/>
        <sz val="10.0"/>
        <u/>
      </rPr>
      <t>Screen Shot 2020-09-28 at 4.19.20 PM.png (</t>
    </r>
    <r>
      <rPr>
        <rFont val="Helvetica Neue"/>
        <color rgb="FF000000"/>
        <sz val="10.0"/>
        <u/>
      </rPr>
      <t>https://v5.airtableusercontent.com/v3/u/25/25/1707415200000/PArqTPetInaOVX5Qn1n2ww/H2DFM2j2R7DUAvJswJGztm1OklDWQ5QtsApvO2c5ARtjaQIo5aN5c8mQ2u0bWZtfJVS0XT6HkIDZqka2fiRTuKAeaTq4WY6V4kqlFd6JFwGnzSRF1dCHjlMatiriX662JFJ75dTdyhOj6CGT0tz3zc2eWoWlPa0TzL58OzFWEZg/WkCD_pRdfaKC-xZpGAMYGqDGDNTxxv-NMzpD0nPyGcc</t>
    </r>
    <r>
      <rPr>
        <rFont val="Helvetica Neue"/>
        <color rgb="FF000000"/>
        <sz val="10.0"/>
        <u/>
      </rPr>
      <t>)</t>
    </r>
  </si>
  <si>
    <t>6.2,7.3,8.1,8.2,8.3,8.4,8.5,6.4</t>
  </si>
  <si>
    <t>Duct tape</t>
  </si>
  <si>
    <t>2 rolls/teacher</t>
  </si>
  <si>
    <t>20 yards total needed per classroom- quantity of rolls will depend on the size of the roll</t>
  </si>
  <si>
    <r>
      <rPr>
        <rFont val="Helvetica Neue"/>
        <color rgb="FF000000"/>
        <sz val="10.0"/>
        <u/>
      </rPr>
      <t>Duct tape.jpg (</t>
    </r>
    <r>
      <rPr>
        <rFont val="Helvetica Neue"/>
        <color rgb="FF000000"/>
        <sz val="10.0"/>
        <u/>
      </rPr>
      <t>https://v5.airtableusercontent.com/v3/u/25/25/1707415200000/IlF1Eyd8ELrLaJdacF5aOA/YeysHLMcPS-OTIjYro-CIMVkB4diPNw3EMvVXmiNDMyx8H0AcGF9RVzAhf7EIKXQJFkHKAoiusl5kLiVVohOKaO4k3jr7qeB2UNoaNR9cEHDBfzL0wS1aE_Nz08aK-UI-ZTUm9tAcJ0Z1jiGWeXLrA/6IXSkInmlSmNMGPr2uJ5pY-2ImtEo2tdjv-buC36lyM</t>
    </r>
    <r>
      <rPr>
        <rFont val="Helvetica Neue"/>
        <color rgb="FF000000"/>
        <sz val="10.0"/>
        <u/>
      </rPr>
      <t>)</t>
    </r>
  </si>
  <si>
    <t>10/2/2021 1:03pm</t>
  </si>
  <si>
    <t>Styrofoam sheet</t>
  </si>
  <si>
    <t>3 sheets/class</t>
  </si>
  <si>
    <t>8.5 x 11 x 1/4" sheets. For Lesson 12, needs to have an approximate force reduction of 0.5 Newtons.</t>
  </si>
  <si>
    <r>
      <rPr>
        <rFont val="Helvetica Neue"/>
        <color rgb="FF000000"/>
        <sz val="10.0"/>
        <u/>
      </rPr>
      <t>Screen Shot 2020-09-27 at 2_38_32 PM.png (</t>
    </r>
    <r>
      <rPr>
        <rFont val="Helvetica Neue"/>
        <color rgb="FF000000"/>
        <sz val="10.0"/>
        <u/>
      </rPr>
      <t>https://v5.airtableusercontent.com/v3/u/25/25/1707415200000/dq386i-rE6aQtjFYI9Tf_w/sNsTrMrqJKhY3BVkuQVIPqp22Zipoyn6vqiJwXRhYxE-lyfs28gchJu6xueY5bM9_E5upoXXUxhvCeb7Peqh8xYjjtrBWF5t9qJf89YlwOUmAOuik3pXMu8Z7ryVQlAHNfMtnxx2KGgrXAQLeo3K2PTRUhULTgaslR40LYD8P2U/WS5NE_-7fwZnTHhZDI-M5-ZE3cg8tysPisBLPrM16Dk</t>
    </r>
    <r>
      <rPr>
        <rFont val="Helvetica Neue"/>
        <color rgb="FF000000"/>
        <sz val="10.0"/>
        <u/>
      </rPr>
      <t>)</t>
    </r>
  </si>
  <si>
    <t>10/7/2021 1:31pm</t>
  </si>
  <si>
    <t>Paper, scrap</t>
  </si>
  <si>
    <t>50 sheets/class</t>
  </si>
  <si>
    <t>10/2/2021 2:03pm</t>
  </si>
  <si>
    <t>S hook</t>
  </si>
  <si>
    <t>Needed if S hooks are not included in the push-pull spring scales</t>
  </si>
  <si>
    <t>10/4/2021 9:42am</t>
  </si>
  <si>
    <t>Sticky note, 3x3</t>
  </si>
  <si>
    <t>5,7,8,11</t>
  </si>
  <si>
    <t>13 notes/student + 31/teacher</t>
  </si>
  <si>
    <r>
      <rPr>
        <rFont val="Helvetica Neue"/>
        <color rgb="FF000000"/>
        <sz val="10.0"/>
        <u/>
      </rPr>
      <t>Sticky notes.jpg (</t>
    </r>
    <r>
      <rPr>
        <rFont val="Helvetica Neue"/>
        <color rgb="FF000000"/>
        <sz val="10.0"/>
        <u/>
      </rPr>
      <t>https://v5.airtableusercontent.com/v3/u/25/25/1707415200000/7bZ0ikUuzilABHKN-jIjYQ/7q6cyIkf3GJAEiZDKAxdzCvZUq3nV3Q1nv42p7DVwPpL3UpdW915EpIX1i5FjgZRzsWjNWEI4kdC_96brBJOvf0lYujrGnDYFghbPus5PMdV73CwW_uQaT26_ss3VJ9ueUkte-N9aOC1okrvm0sjRA/qz7aa7yuE3S5Nfv2YnNphtGjqlfngiFUsypWE3SQ0JQ</t>
    </r>
    <r>
      <rPr>
        <rFont val="Helvetica Neue"/>
        <color rgb="FF000000"/>
        <sz val="10.0"/>
        <u/>
      </rPr>
      <t>)</t>
    </r>
  </si>
  <si>
    <t>10/3/2021 2:15pm</t>
  </si>
  <si>
    <t>Sticky back Velcro tape (hook and loop)</t>
  </si>
  <si>
    <t>5,7,12</t>
  </si>
  <si>
    <t>10" length/class</t>
  </si>
  <si>
    <t>10"</t>
  </si>
  <si>
    <t>60"</t>
  </si>
  <si>
    <t>Sticky Back Velcro (hooks and loops)</t>
  </si>
  <si>
    <r>
      <rPr>
        <rFont val="Helvetica Neue"/>
        <color rgb="FF000000"/>
        <sz val="10.0"/>
        <u/>
      </rPr>
      <t>Sticky Back hook and loop velcro.jpg (</t>
    </r>
    <r>
      <rPr>
        <rFont val="Helvetica Neue"/>
        <color rgb="FF000000"/>
        <sz val="10.0"/>
        <u/>
      </rPr>
      <t>https://v5.airtableusercontent.com/v3/u/25/25/1707415200000/4vtGJKZG_m7NbwZI1lyl-g/I0vntBBz5vJ3LIdJ8qnsD7d5V0R6LLxYS66_72KVFHmxkk1nLvSQcfooMRyUj_5pTqnsONI0_xcsLqWPFExcYG2ZR3SkOHpmDKYHynEMuxlxLpdMq0fQrDPYIXLiifWh1-jcELAz6Etq0XGW6F7YnUQHnZc_rhmM4zCA4nQsKXY/dpW5e1x2qpLuA9m30xHuqW6ZUnDqqi1EdoBTOB-xhdk</t>
    </r>
    <r>
      <rPr>
        <rFont val="Helvetica Neue"/>
        <color rgb="FF000000"/>
        <sz val="10.0"/>
        <u/>
      </rPr>
      <t>)</t>
    </r>
  </si>
  <si>
    <t>10/21/2021 12:01pm</t>
  </si>
  <si>
    <t>Marker, ultra-fine tip</t>
  </si>
  <si>
    <t>5,7,12,13</t>
  </si>
  <si>
    <r>
      <rPr>
        <rFont val="Helvetica Neue"/>
        <color rgb="FF000000"/>
        <sz val="10.0"/>
        <u/>
      </rPr>
      <t>Ultra fine tip marker.jpeg (</t>
    </r>
    <r>
      <rPr>
        <rFont val="Helvetica Neue"/>
        <color rgb="FF000000"/>
        <sz val="10.0"/>
        <u/>
      </rPr>
      <t>https://v5.airtableusercontent.com/v3/u/25/25/1707415200000/BqJKXPf3w0Rbc2y93lFWdQ/MXONL3NCjUseA0Wz4iHIXmRZkFojep-wZ2-hViz5Ow2hgrdUTm_U4LY5lTH059marcYsTtf2t2TdW9shtyRrQr8kfBgFCGsjsfQoVSuu78501CmkT5RcM85mG_yo20pmC8YpSmocpSrrbTapiGM-RlC6O99Flkln9YkRyf9JcFM/mW8f3PROD-RYpEJ0RDmseusgDBDp4wk31p0BPegpGR0</t>
    </r>
    <r>
      <rPr>
        <rFont val="Helvetica Neue"/>
        <color rgb="FF000000"/>
        <sz val="10.0"/>
        <u/>
      </rPr>
      <t>)</t>
    </r>
  </si>
  <si>
    <t>9/30/2021 2:36pm</t>
  </si>
  <si>
    <t>Push-pull spring scale-5N</t>
  </si>
  <si>
    <t>Delta push-pull spring scales, 500 gram capacity (green)</t>
  </si>
  <si>
    <r>
      <rPr>
        <rFont val="Helvetica Neue"/>
        <color rgb="FF000000"/>
        <sz val="10.0"/>
        <u/>
      </rPr>
      <t>Push-pull spring scale-5N.jpg (</t>
    </r>
    <r>
      <rPr>
        <rFont val="Helvetica Neue"/>
        <color rgb="FF000000"/>
        <sz val="10.0"/>
        <u/>
      </rPr>
      <t>https://v5.airtableusercontent.com/v3/u/25/25/1707415200000/XtyH5onJOvFHHVyc_glDOQ/orY3H7Ahi-u2iFrjjYXJtmuSEu_DZSG6Dkmcdn2E8ioT7f67Cs8nJIsu87gQnYxTYU1f27GL2ygUdh39UJ_tBNpdtLF9lpPdgQSZbYi97rVK-QQpkdDOWqcSFvb6eguiOKPr1q2BAApoMVmFu86W3nhDZwOsQ0TkLqUQCQgwtGk/jJ0LMF0XU4MKyZur0GHbFh1ON8mCy0xmhDjmKJZnX8Q</t>
    </r>
    <r>
      <rPr>
        <rFont val="Helvetica Neue"/>
        <color rgb="FF000000"/>
        <sz val="10.0"/>
        <u/>
      </rPr>
      <t>)</t>
    </r>
  </si>
  <si>
    <t>9/30/2021 3:22pm</t>
  </si>
  <si>
    <t>Pencils, colored</t>
  </si>
  <si>
    <t>5,8,9</t>
  </si>
  <si>
    <t>1 set/student</t>
  </si>
  <si>
    <r>
      <rPr>
        <rFont val="Helvetica Neue"/>
        <color rgb="FF000000"/>
        <sz val="10.0"/>
        <u/>
      </rPr>
      <t>Colored pencils.jpeg (</t>
    </r>
    <r>
      <rPr>
        <rFont val="Helvetica Neue"/>
        <color rgb="FF000000"/>
        <sz val="10.0"/>
        <u/>
      </rPr>
      <t>https://v5.airtableusercontent.com/v3/u/25/25/1707415200000/K2bPjZiItnBn_FZtUZNO-Q/YyeupfdZYYMVSJgspw2CzmIiuXDxaqyU8QKQXuBJ6yZa8wqTzO8-5Jd6hvXHmTq3mnghsA3AFPAhEx9oEf3MPG9k1II9_c5AcIRw7ADh62GY_wSm2juaawim7byDiipYcgzz-F_cYp8szCyAcpQ5SQ/w5gUH0qedUWSQAf-z-HbTJLDR0sAMj9zR6-Zjac-OOo</t>
    </r>
    <r>
      <rPr>
        <rFont val="Helvetica Neue"/>
        <color rgb="FF000000"/>
        <sz val="10.0"/>
        <u/>
      </rPr>
      <t>)</t>
    </r>
  </si>
  <si>
    <t>Twist ties</t>
  </si>
  <si>
    <t>5,12</t>
  </si>
  <si>
    <t>paper</t>
  </si>
  <si>
    <r>
      <rPr>
        <rFont val="Helvetica Neue"/>
        <color rgb="FF000000"/>
        <sz val="10.0"/>
        <u/>
      </rPr>
      <t>51re05oV2pL._AC_.jpg (</t>
    </r>
    <r>
      <rPr>
        <rFont val="Helvetica Neue"/>
        <color rgb="FF000000"/>
        <sz val="10.0"/>
        <u/>
      </rPr>
      <t>https://v5.airtableusercontent.com/v3/u/25/25/1707415200000/02VKScYeCepellqvauC-5Q/K1iQh4OYELYltm7jq1M4XBQbWC9MVNumS2tTgHKdnqgJGgRUdnQ_ay90B_HYwIUjCdo-etw53Tu3kPqedA3pK6EJJzawf6M6ul8yI9SRO11SKv5mbY4BRcByEagdRzlNeUC3VNMsSZSkIkFA8vFP2A/zxN-DCEf5y1gF8oTd26SqaC7qC9Cb3hDAikkyFHqdSk</t>
    </r>
    <r>
      <rPr>
        <rFont val="Helvetica Neue"/>
        <color rgb="FF000000"/>
        <sz val="10.0"/>
        <u/>
      </rPr>
      <t>)</t>
    </r>
  </si>
  <si>
    <t>4/22/2022 2:25pm</t>
  </si>
  <si>
    <t>Paper, blank, 8.5x11"</t>
  </si>
  <si>
    <t>7,8,9,13</t>
  </si>
  <si>
    <t>70 sheets/class</t>
  </si>
  <si>
    <t>blank printer paper</t>
  </si>
  <si>
    <r>
      <rPr>
        <rFont val="Helvetica Neue"/>
        <color rgb="FF000000"/>
        <sz val="10.0"/>
        <u/>
      </rPr>
      <t>Blank paper.jpg (</t>
    </r>
    <r>
      <rPr>
        <rFont val="Helvetica Neue"/>
        <color rgb="FF000000"/>
        <sz val="10.0"/>
        <u/>
      </rPr>
      <t>https://v5.airtableusercontent.com/v3/u/25/25/1707415200000/VzzbwK0vja9DUkKCalsjzQ/agQWwtGHChTKjPGrRuMo7hcuKMcuoyrUWGiDI1hzSu7Aw2QZZHwGiJQgxnr0MNNizUIxJYAPYVHEGmTK6ietSIfhhTtvZWJ7oVtT8ptpOOJxH3iYO7AmsU7D_wePzye1SBPMj8epl8q9cu07KZ_ajQ/rwJX8LjIVDdW_fM9_z4yqBaaxanfJcftMVRc0UbW5uo</t>
    </r>
    <r>
      <rPr>
        <rFont val="Helvetica Neue"/>
        <color rgb="FF000000"/>
        <sz val="10.0"/>
        <u/>
      </rPr>
      <t>)</t>
    </r>
  </si>
  <si>
    <t>10/2/2021 1:00pm</t>
  </si>
  <si>
    <t>Timer</t>
  </si>
  <si>
    <t>7,9,10,11</t>
  </si>
  <si>
    <r>
      <rPr>
        <rFont val="Helvetica Neue"/>
        <color rgb="FF000000"/>
        <sz val="10.0"/>
        <u/>
      </rPr>
      <t>Stopwatch.jpg (</t>
    </r>
    <r>
      <rPr>
        <rFont val="Helvetica Neue"/>
        <color rgb="FF000000"/>
        <sz val="10.0"/>
        <u/>
      </rPr>
      <t>https://v5.airtableusercontent.com/v3/u/25/25/1707415200000/NTxbb_eooAVbhoS7KyjCJA/YRfmuLhSuUQtqzQ1TgBVARJsfpVKXtchGXgNPKvZm8hWPmIOfZU9drHQSDJWIiVvh-c9LguKenYdqiUuJMmvlB8emykTl5FgGDsV4fOqblOTQHS2vKd961MtlGt94sglGcsLYxlcd1XVYQclgKE23Q/RxmsgG02BoPXvDZzzVLq_pMyEaTpYg7cD9d-y6LXfH0</t>
    </r>
    <r>
      <rPr>
        <rFont val="Helvetica Neue"/>
        <color rgb="FF000000"/>
        <sz val="10.0"/>
        <u/>
      </rPr>
      <t>)</t>
    </r>
  </si>
  <si>
    <t>10/4/2021 9:28am</t>
  </si>
  <si>
    <t>Calculator</t>
  </si>
  <si>
    <t>7,16</t>
  </si>
  <si>
    <r>
      <rPr>
        <rFont val="Helvetica Neue"/>
        <color rgb="FF000000"/>
        <sz val="10.0"/>
        <u/>
      </rPr>
      <t>Calculator.jpeg (</t>
    </r>
    <r>
      <rPr>
        <rFont val="Helvetica Neue"/>
        <color rgb="FF000000"/>
        <sz val="10.0"/>
        <u/>
      </rPr>
      <t>https://v5.airtableusercontent.com/v3/u/25/25/1707415200000/BeumV5evBg60dQ23hxtxxg/hoPyUzSCGhvmlHQZHfJspDL3ZqsbP2UwZxMi7hBUNPsroi_SxomMQ6Krrk5F2HRG0SUtW6fbdSPCmTozeV62BgC0FTmfc4N7FhJZrwqXaZiB_wOdB3Ga1djVT15b_hWOBwnG5jA8TmUWaxVVUc2hzQ/1x7bQS-pGFsJkLu_eqcl5kshqI7mV7MkFIjwsjq_ZTE</t>
    </r>
    <r>
      <rPr>
        <rFont val="Helvetica Neue"/>
        <color rgb="FF000000"/>
        <sz val="10.0"/>
        <u/>
      </rPr>
      <t>)</t>
    </r>
  </si>
  <si>
    <t>Rubber bands</t>
  </si>
  <si>
    <r>
      <rPr>
        <rFont val="Helvetica Neue"/>
        <color rgb="FF000000"/>
        <sz val="10.0"/>
        <u/>
      </rPr>
      <t>Rubber bands.jpg (</t>
    </r>
    <r>
      <rPr>
        <rFont val="Helvetica Neue"/>
        <color rgb="FF000000"/>
        <sz val="10.0"/>
        <u/>
      </rPr>
      <t>https://v5.airtableusercontent.com/v3/u/25/25/1707415200000/vXzFkNt2nKyN4_QAyiw_dg/I3Qb1pAOzBVPPcTpHFfodGw2LPo3ntmRvdCroPyVnFBfYfKLGNoRzsIlU5U8IjhHIfy8lToQdDO4b0xml1sw2ZfzM3n6T267mLgduF7UivvKn_iIuUomMU6jyzX8T5ICFvo3U6Le42I2ZEnEntgOeA/hkY1zZ0Bwp5OIwuyOD3F8qWuhHwhfk5mgsdJSt1oNAQ</t>
    </r>
    <r>
      <rPr>
        <rFont val="Helvetica Neue"/>
        <color rgb="FF000000"/>
        <sz val="10.0"/>
        <u/>
      </rPr>
      <t>)</t>
    </r>
  </si>
  <si>
    <t>6.2,6.3,7.2,8.1,8.4,8.5,8.6</t>
  </si>
  <si>
    <t>9/30/2021 3:28pm</t>
  </si>
  <si>
    <t>Eraser, large, pink</t>
  </si>
  <si>
    <r>
      <rPr>
        <rFont val="Helvetica Neue"/>
        <color rgb="FF000000"/>
        <sz val="10.0"/>
        <u/>
      </rPr>
      <t>Large pink eraser.jpg (</t>
    </r>
    <r>
      <rPr>
        <rFont val="Helvetica Neue"/>
        <color rgb="FF000000"/>
        <sz val="10.0"/>
        <u/>
      </rPr>
      <t>https://v5.airtableusercontent.com/v3/u/25/25/1707415200000/cXssTL-PcSDIfgQV8bmWVQ/Ag4pBGJlfKEMfruKSmYmogqPhjFrAg2m4J-CBU6gq5pPJnWBv2GJqLPFGttXAgXkOfzsw3YThauP9MhrQqElCGRoT4SoJAQUhrvpk6DvnHd8bUfklBY03-AGYqsgmjUbXxttl1YAaPb_bwprRLUTvg/ZBgC9LBeSCFNVjgn2ZgkqdxlQC8_nogJ5NYG3mvLH3U</t>
    </r>
    <r>
      <rPr>
        <rFont val="Helvetica Neue"/>
        <color rgb="FF000000"/>
        <sz val="10.0"/>
        <u/>
      </rPr>
      <t>)</t>
    </r>
  </si>
  <si>
    <t>Thermometer, infrared</t>
  </si>
  <si>
    <r>
      <rPr>
        <rFont val="Helvetica Neue"/>
        <color rgb="FF000000"/>
        <sz val="10.0"/>
        <u/>
      </rPr>
      <t>Screen Shot 2021-10-04 at 5_52_46 PM.png (</t>
    </r>
    <r>
      <rPr>
        <rFont val="Helvetica Neue"/>
        <color rgb="FF000000"/>
        <sz val="10.0"/>
        <u/>
      </rPr>
      <t>https://v5.airtableusercontent.com/v3/u/25/25/1707415200000/K3xCGGxH0dga61lTehHZjQ/rFrbizfOS9FSayIgwJ8mhrxd5TWL1ujLxuTsctdJDQBhgEASCRqbn5-nJXNdmrPOyPIo6q1bymLMm3cyEvg7d43-G_OVfJ_WPWXjnCepdTyZp08z8MYLhvQ8PuQ5hQEuNf3xWOM8n7qM5qMVZZUcU5uuEb0f6AYEXvaKNvwnf2U/Ds6bIsXYii_ePxPYMKEQKgm8i0ys3ffEzz4p3staFJY</t>
    </r>
    <r>
      <rPr>
        <rFont val="Helvetica Neue"/>
        <color rgb="FF000000"/>
        <sz val="10.0"/>
        <u/>
      </rPr>
      <t>)</t>
    </r>
  </si>
  <si>
    <t>10/4/2021 5:53pm</t>
  </si>
  <si>
    <t>Fan, handheld</t>
  </si>
  <si>
    <t>Small desk fan or handheld fan. You may need to purchase a USB wall plug block if the fan requires (the linked example needs a USB wall plug). Must be powerful enough to push one of the carts down the track (at about 2 feet from it) when you tape an index card to the front of the cart.</t>
  </si>
  <si>
    <r>
      <rPr>
        <rFont val="Helvetica Neue"/>
        <color rgb="FF000000"/>
        <sz val="10.0"/>
        <u/>
      </rPr>
      <t>Handheld fan.jpg (</t>
    </r>
    <r>
      <rPr>
        <rFont val="Helvetica Neue"/>
        <color rgb="FF000000"/>
        <sz val="10.0"/>
        <u/>
      </rPr>
      <t>https://v5.airtableusercontent.com/v3/u/25/25/1707415200000/_O2eWXo6GFx-UZU3Sw7pmg/Ypt2oQDNDJBFPNpWxCfcgXAQFdBh-cwNC6ct1QR4QfpFU9TZAVArc-dV511-mketSEw5awx7XPzBYu_HRGfnh0s7ZZc1x_t-vsdkd43fC9ouDKXg_Dh6b03joppxTvfUpHMdlBFvGPkRuhrocSj0pA/I3IEGUm8DseEfuw9Ae-P9KKOoKnImbRESGimCM1dvcw</t>
    </r>
    <r>
      <rPr>
        <rFont val="Helvetica Neue"/>
        <color rgb="FF000000"/>
        <sz val="10.0"/>
        <u/>
      </rPr>
      <t>)</t>
    </r>
  </si>
  <si>
    <t>10/7/2021 4:17pm</t>
  </si>
  <si>
    <t xml:space="preserve">Takeout food container, Styrofoam </t>
  </si>
  <si>
    <t>2/class</t>
  </si>
  <si>
    <r>
      <rPr>
        <rFont val="Helvetica Neue"/>
        <color rgb="FF000000"/>
        <sz val="10.0"/>
        <u/>
      </rPr>
      <t>Styrofoam takeaway food container.jpg (</t>
    </r>
    <r>
      <rPr>
        <rFont val="Helvetica Neue"/>
        <color rgb="FF000000"/>
        <sz val="10.0"/>
        <u/>
      </rPr>
      <t>https://v5.airtableusercontent.com/v3/u/25/25/1707415200000/eACOCVFAJvgqaHnk0L69vA/Gz9Y8wypGVhK8kBoemXbDMUmNtw5Ua0JqAfBbFQOIutTLcZwvTgh5maz9eIdngUAGJc-o_59GglBybgswhKm2yXdJVujrhkS0trxu5wwDsfKIgx-SkZeOd1yuchzFVQlboAQM4EvDiBKgIBITiA1NlWPJeRey1OgukA5mRF1cKY/ZtP_Znzgmt_AMCdb1jkjfJpOwow_9MvTbMdEfoBP3s0</t>
    </r>
    <r>
      <rPr>
        <rFont val="Helvetica Neue"/>
        <color rgb="FF000000"/>
        <sz val="10.0"/>
        <u/>
      </rPr>
      <t>)</t>
    </r>
  </si>
  <si>
    <t>Books, hardbound</t>
  </si>
  <si>
    <t>Used to elevate one end of flooring strip 8" - 12" to create a ramp</t>
  </si>
  <si>
    <t>10/2/2021 11:48am</t>
  </si>
  <si>
    <t xml:space="preserve">Cardboard, corrugated </t>
  </si>
  <si>
    <t>1 cardboard box needed, to be cut up for testing of materials</t>
  </si>
  <si>
    <r>
      <rPr>
        <rFont val="Helvetica Neue"/>
        <color rgb="FF000000"/>
        <sz val="10.0"/>
        <u/>
      </rPr>
      <t>Corrugated cardboard.jpg (</t>
    </r>
    <r>
      <rPr>
        <rFont val="Helvetica Neue"/>
        <color rgb="FF000000"/>
        <sz val="10.0"/>
        <u/>
      </rPr>
      <t>https://v5.airtableusercontent.com/v3/u/25/25/1707415200000/12KkLcksFEgmKr2tkwuL3Q/0v6waoyXvlPdxyg_jHLLJHDqiRnhZTbYmJQqD8k_iri4Z9e5zHfcC28IL0Poy0TXxfCrYFODEuB5NBTmXN9uolukZNNVtiCfaQSFIRmFI2jEW4ewSMvJCadD_NRLo4z8k762kxcAE0FHZlcBoupzUxhVg4IadMdYi3b8hwReUH8/yK75TBcqEnRxFEDzNFYWhxZ6ugKzp7i7v-T710TFDdI</t>
    </r>
    <r>
      <rPr>
        <rFont val="Helvetica Neue"/>
        <color rgb="FF000000"/>
        <sz val="10.0"/>
        <u/>
      </rPr>
      <t>)</t>
    </r>
  </si>
  <si>
    <t>Balsa wood slices, 4x4" panel</t>
  </si>
  <si>
    <t>4 4x4" panels/class</t>
  </si>
  <si>
    <t>For Lesson 12, needs to have an approximate force reduction of 0.2 Newtons</t>
  </si>
  <si>
    <r>
      <rPr>
        <rFont val="Helvetica Neue"/>
        <color rgb="FF000000"/>
        <sz val="10.0"/>
        <u/>
      </rPr>
      <t>Balsa wood slices.jpg (</t>
    </r>
    <r>
      <rPr>
        <rFont val="Helvetica Neue"/>
        <color rgb="FF000000"/>
        <sz val="10.0"/>
        <u/>
      </rPr>
      <t>https://v5.airtableusercontent.com/v3/u/25/25/1707415200000/VRNFsr9Y28xPG4ImZkURdQ/l7a4eR6aqG-loyCAIjI5CQTtmJzqB0JDfd_vqVbHxKz1qxMRFIqe_nfL0ylEcXS6xMTzFZRDuQXEaIjyqC0JROT1rt1FDAHE1eoYx73lh1JtcVb3ql-RXZOioioRzyS6UHIY4FQjKecsgBLtSnSsjA/a6-AmE3b5JJOQ7Let7lFr3iDi9qDCV0MEK9jZnPeSk0</t>
    </r>
    <r>
      <rPr>
        <rFont val="Helvetica Neue"/>
        <color rgb="FF000000"/>
        <sz val="10.0"/>
        <u/>
      </rPr>
      <t>)</t>
    </r>
  </si>
  <si>
    <t>11/9/2021 9:42am</t>
  </si>
  <si>
    <t>Rigid ramp material</t>
  </si>
  <si>
    <t>This is referred to in the teacher edition as a "vinyl flooring strip." Any type of rigid and smooth surface will work; must be 3-4 foot long ramp surface, at least 3 inches wide. Vinyl flooring strip, wood plank, or paneling will work fine.Any type of rigid and smooth surface material can be used.</t>
  </si>
  <si>
    <t>10/15/2021 10:36am</t>
  </si>
  <si>
    <t>Cotton ball, large</t>
  </si>
  <si>
    <t>1 bag per 3 classes</t>
  </si>
  <si>
    <t>Large cotton balls, any brand</t>
  </si>
  <si>
    <r>
      <rPr>
        <rFont val="Helvetica Neue"/>
        <color rgb="FF000000"/>
        <sz val="10.0"/>
        <u/>
      </rPr>
      <t>Cotton balls.jpeg (</t>
    </r>
    <r>
      <rPr>
        <rFont val="Helvetica Neue"/>
        <color rgb="FF000000"/>
        <sz val="10.0"/>
        <u/>
      </rPr>
      <t>https://v5.airtableusercontent.com/v3/u/25/25/1707415200000/F-cFOdrHY-bgYH-U_mfg4g/5kP1dQtgkrgxTM7HLpXeDu5q7_VJ31o2AKnsdnbHIcBSbts8TXWMC5_gjvZUCtmHm_loNh6Hpb4nVj1ssydltUkN1m94CT1mRzpZkM-rTu4cvygjgGKkP11YZpgNTYmCuqiYKOJqpsBfcrAI7Nj-1w/PDzh6unO3Ne7cfetR-js6pCaoaO5fvVf8sFmJeMtNOE</t>
    </r>
    <r>
      <rPr>
        <rFont val="Helvetica Neue"/>
        <color rgb="FF000000"/>
        <sz val="10.0"/>
        <u/>
      </rPr>
      <t>)</t>
    </r>
  </si>
  <si>
    <t>10/21/2021 11:57am</t>
  </si>
  <si>
    <t>Terry cloth towel</t>
  </si>
  <si>
    <t>2 towels total needed per kit</t>
  </si>
  <si>
    <r>
      <rPr>
        <rFont val="Helvetica Neue"/>
        <color rgb="FF000000"/>
        <sz val="10.0"/>
        <u/>
      </rPr>
      <t>Terry cloth towel.jpg (</t>
    </r>
    <r>
      <rPr>
        <rFont val="Helvetica Neue"/>
        <color rgb="FF000000"/>
        <sz val="10.0"/>
        <u/>
      </rPr>
      <t>https://v5.airtableusercontent.com/v3/u/25/25/1707415200000/qLWvanSWTdYXVTQ8FZv-6Q/Sq0DoPhaENPR8Q_-P3CaA8B-wiSucHK1-m4SoQzvK0rI6dKG3TukpjqzIcqv4iiif7L0HBUTSPVT0StjqnxhyX2gyTV7zn1fxjog_oTl5vQhGdSNhIjrC-uQuV56uUrNAbysJZLa03GvbdfN1YI8rQ/jSql2MHBVerYv3GfhVi1IwGzPP2gWKMhslFUUe0Fgv8</t>
    </r>
    <r>
      <rPr>
        <rFont val="Helvetica Neue"/>
        <color rgb="FF000000"/>
        <sz val="10.0"/>
        <u/>
      </rPr>
      <t>)</t>
    </r>
  </si>
  <si>
    <t>10/4/2021 9:30am</t>
  </si>
  <si>
    <t>Bubble wrap, small (1/4" thick)</t>
  </si>
  <si>
    <t>12" length/class</t>
  </si>
  <si>
    <t>12" length</t>
  </si>
  <si>
    <t>72" length</t>
  </si>
  <si>
    <t>roughly 1/4 inch bubble wrap. For Lesson 12, needs to have an approximate force reduction of 0.4 Newtons.</t>
  </si>
  <si>
    <r>
      <rPr>
        <rFont val="Helvetica Neue"/>
        <color rgb="FF000000"/>
        <sz val="10.0"/>
        <u/>
      </rPr>
      <t>Small bubble wrap.jpeg (</t>
    </r>
    <r>
      <rPr>
        <rFont val="Helvetica Neue"/>
        <color rgb="FF000000"/>
        <sz val="10.0"/>
        <u/>
      </rPr>
      <t>https://v5.airtableusercontent.com/v3/u/25/25/1707415200000/lw3w6LANRvUY-bXG0FbXKQ/H9UDkj9SdGC3zro23ffr7va-rFIW0APG5n3aLmVPp-PrN2xWVpnlBgSn4T1TVC_m2dWJ3rtvp2A9JksMyxoz024XAvZY61F8uTuNHqkbiQwg3Yk8AUmxNh6w8ZzKY6yGD2SyQipFk2K-oMuhQa1PTg/Gxj-dOa5yx6728xt-yfZOE1mhwz1kzmV6a7PKTnXCgg</t>
    </r>
    <r>
      <rPr>
        <rFont val="Helvetica Neue"/>
        <color rgb="FF000000"/>
        <sz val="10.0"/>
        <u/>
      </rPr>
      <t>)</t>
    </r>
  </si>
  <si>
    <t>11/10/2021 10:19am</t>
  </si>
  <si>
    <t>Bubble wrap, large (1/2" thick)</t>
  </si>
  <si>
    <t>1/2 inch bubble wrap-roughly 12 ft will be needed per classroom. For Lesson 12, needs to have an approximate force reduction of 0.4 Newtons.</t>
  </si>
  <si>
    <r>
      <rPr>
        <rFont val="Helvetica Neue"/>
        <color rgb="FF000000"/>
        <sz val="10.0"/>
        <u/>
      </rPr>
      <t>Large bubble wrap.jpg (</t>
    </r>
    <r>
      <rPr>
        <rFont val="Helvetica Neue"/>
        <color rgb="FF000000"/>
        <sz val="10.0"/>
        <u/>
      </rPr>
      <t>https://v5.airtableusercontent.com/v3/u/25/25/1707415200000/VB2RLZwkn6vVAOaRoj4Mfg/_yeS4aNfml3Ok6OFVq9d5qKkPhVu_yONDyYEj670zKzxAEf36AUhMO4vwK4PNu3ugOXWhSCGQ-SzwbetPNDN9QOY3xAVSeTDMWteoXsJoqz148PlsJIMwCL4Z9W7kF8WGVVGwaAfRu2QKiSm5egCmA/qVZRk9pTp2bMqnuqWjHGC2muNV8_ExIMmLVx5WB2Dtg</t>
    </r>
    <r>
      <rPr>
        <rFont val="Helvetica Neue"/>
        <color rgb="FF000000"/>
        <sz val="10.0"/>
        <u/>
      </rPr>
      <t>)</t>
    </r>
  </si>
  <si>
    <t>Electrical wall plate, blank</t>
  </si>
  <si>
    <t>12,13</t>
  </si>
  <si>
    <r>
      <rPr>
        <rFont val="Helvetica Neue"/>
        <color rgb="FF000000"/>
        <sz val="10.0"/>
        <u/>
      </rPr>
      <t>Blank electrical plate.jpg (</t>
    </r>
    <r>
      <rPr>
        <rFont val="Helvetica Neue"/>
        <color rgb="FF000000"/>
        <sz val="10.0"/>
        <u/>
      </rPr>
      <t>https://v5.airtableusercontent.com/v3/u/25/25/1707415200000/UAYvS_tPZqzqdLlki2evFg/4tscMpbFV4gH8a8qOhNfiux4yVD0tZCM58IfaX3FGzK4T7jDXF3-qWRLQh--lpKcVtXuVp9tIpzp36CuUStIq71lWynL0ygSpGCKsVmrdXlKAxobgDXdk4-qsyY21f8IDVJ4Nl_Oqyq684pfi4qUoLbTXlVcRR6B1v9esrGEVt8/rTJ_YcjAQ9zrZVAbZMHHWAbkbOr78nH-BgQ-TC9RTBM</t>
    </r>
    <r>
      <rPr>
        <rFont val="Helvetica Neue"/>
        <color rgb="FF000000"/>
        <sz val="10.0"/>
        <u/>
      </rPr>
      <t>)</t>
    </r>
  </si>
  <si>
    <t>10/2/2021 5:32pm</t>
  </si>
  <si>
    <t>Earplug, foam</t>
  </si>
  <si>
    <t>8 earplugs/class</t>
  </si>
  <si>
    <t>Foam, 50 total or 25 pair needed for testing materials. For Lesson 12, needs to have an approximate force reduction of 0.4 Newtons.</t>
  </si>
  <si>
    <r>
      <rPr>
        <rFont val="Helvetica Neue"/>
        <color rgb="FF000000"/>
        <sz val="10.0"/>
        <u/>
      </rPr>
      <t>Ear plugs.jpg (</t>
    </r>
    <r>
      <rPr>
        <rFont val="Helvetica Neue"/>
        <color rgb="FF000000"/>
        <sz val="10.0"/>
        <u/>
      </rPr>
      <t>https://v5.airtableusercontent.com/v3/u/25/25/1707415200000/o3ZVsEp7ZksdBl8OmRnwXg/0ODo8qzO6UTKFrXXRQbhnPzWyUxpWiP4O8E05P8L0BcauQGsk5CuVs5QNqAteqfCQMMKxdXQGJU-xznmtb0_VqztUxbJ-5Nhy636Mo9JxcLn26gDLhqLupFj6zBniJZcZ1mvM0121HWSuimiV6Fh3Q/YNkIQ0kRcFYbV631jTeHfFAeXoPHsFwcoZh0Ie3kdmY</t>
    </r>
    <r>
      <rPr>
        <rFont val="Helvetica Neue"/>
        <color rgb="FF000000"/>
        <sz val="10.0"/>
        <u/>
      </rPr>
      <t>)</t>
    </r>
  </si>
  <si>
    <t>10/7/2021 1:29pm</t>
  </si>
  <si>
    <t>File folder, plastic</t>
  </si>
  <si>
    <t>used for making rings</t>
  </si>
  <si>
    <r>
      <rPr>
        <rFont val="Helvetica Neue"/>
        <color rgb="FF000000"/>
        <sz val="10.0"/>
        <u/>
      </rPr>
      <t>Plastic file folder.jpg (</t>
    </r>
    <r>
      <rPr>
        <rFont val="Helvetica Neue"/>
        <color rgb="FF000000"/>
        <sz val="10.0"/>
        <u/>
      </rPr>
      <t>https://v5.airtableusercontent.com/v3/u/25/25/1707415200000/qkMFtf-bVe8X6NS_Lzi6Fg/IseYSeQP0F60IahpBJwgbqybB6s9h6x3ydnuLfIuSDL9leJctHqxi2DGAr2uCnxSHj94Ws9vow6eL5x_qijpmbPX0jbNRY36f_Y8-epOjHcAw_rjW25SCYav4ZQQp3KyarvUL86UA_jh8xeJCNdv8jl9OozPqxgPpVFJOS8Zivs/u0B_4dClb1ZJflqPGj4_nAdMA-B42w85b2hXei3XebU</t>
    </r>
    <r>
      <rPr>
        <rFont val="Helvetica Neue"/>
        <color rgb="FF000000"/>
        <sz val="10.0"/>
        <u/>
      </rPr>
      <t>)</t>
    </r>
  </si>
  <si>
    <t>9/30/2021 2:23pm</t>
  </si>
  <si>
    <t>Mini index tab flag</t>
  </si>
  <si>
    <t>20 flags/student, 10 of one color, 10 of another</t>
  </si>
  <si>
    <t>600 flags, 300 of one color, 300 of another color</t>
  </si>
  <si>
    <t>these are tiny sticky flags to be reused for the DQB between classes</t>
  </si>
  <si>
    <r>
      <rPr>
        <rFont val="Helvetica Neue"/>
        <color rgb="FF000000"/>
        <sz val="10.0"/>
        <u/>
      </rPr>
      <t>Screen Shot 2020-09-28 at 12.01.12 PM.png (</t>
    </r>
    <r>
      <rPr>
        <rFont val="Helvetica Neue"/>
        <color rgb="FF000000"/>
        <sz val="10.0"/>
        <u/>
      </rPr>
      <t>https://v5.airtableusercontent.com/v3/u/25/25/1707415200000/syAC6iR_1lbp2xCtqid0Fw/wMoZges97NlIzJ1SQeBis_g7v-OCBAc9XE7wHNl_GHdqTwF8C-73SONFItW4VUYA9RvAmP7OSygbtnsbLjZg1GhEOHikeHC1PreCU1ijtDb8BBOAntg5Sjhyj2bWmON38CqSDL5-x-apXyAoit-yv0DiUpwBfXa2T0dH59i8r1c/nx-WFYTbBT8DX6w_j_74Ik2iaP3pbne6VF6HbGcN-0s</t>
    </r>
    <r>
      <rPr>
        <rFont val="Helvetica Neue"/>
        <color rgb="FF000000"/>
        <sz val="10.0"/>
        <u/>
      </rPr>
      <t>)</t>
    </r>
  </si>
  <si>
    <t>Slingshot</t>
  </si>
  <si>
    <t>Optional Extension Items</t>
  </si>
  <si>
    <t>Any heavy duty slingshot that could be used on phone-sized items will do. The linked slingshot comes with 500 water balloons; if a different slingshot is purchased, order water balloons separately.</t>
  </si>
  <si>
    <r>
      <rPr>
        <rFont val="Helvetica Neue"/>
        <color rgb="FF000000"/>
        <sz val="10.0"/>
        <u/>
      </rPr>
      <t>Slingshot.jpg (</t>
    </r>
    <r>
      <rPr>
        <rFont val="Helvetica Neue"/>
        <color rgb="FF000000"/>
        <sz val="10.0"/>
        <u/>
      </rPr>
      <t>https://v5.airtableusercontent.com/v3/u/25/25/1707415200000/8XY50iJIHYKbnmH8nEcMrQ/ueg7aSodTw4tiCQjJFL6iOL_qpU9hEREdRsdGlxoaOBpIx2deE9Hm-zFCurl1JkdEl0LapnzfdmeI_T7YOEEBfp816h8BmG35vsUEcH32BRJ_OM95BAob8X26BRAweRSeAXVCrJ6l1iIh9v1u5t-fQ/fCnbQHO6d6GxwyyYFAiOSdZlp4OfI0z3eqtgiMDP4Cw</t>
    </r>
    <r>
      <rPr>
        <rFont val="Helvetica Neue"/>
        <color rgb="FF000000"/>
        <sz val="10.0"/>
        <u/>
      </rPr>
      <t>)</t>
    </r>
  </si>
  <si>
    <t>7/18/2022 3:39pm</t>
  </si>
  <si>
    <t>Water balloon</t>
  </si>
  <si>
    <t>1 pack of 500 balloons/teacher</t>
  </si>
  <si>
    <t>Pack of 500. This is for refill kit only- slingshot on this list comes with a package.</t>
  </si>
  <si>
    <r>
      <rPr>
        <rFont val="Helvetica Neue"/>
        <color rgb="FF000000"/>
        <sz val="10.0"/>
        <u/>
      </rPr>
      <t>Screen Shot 2021-11-14 at 3_18_50 PM.png (</t>
    </r>
    <r>
      <rPr>
        <rFont val="Helvetica Neue"/>
        <color rgb="FF000000"/>
        <sz val="10.0"/>
        <u/>
      </rPr>
      <t>https://v5.airtableusercontent.com/v3/u/25/25/1707415200000/jQfhlCMT_QbR4GxaxAP65g/PvLoE3OUflTFvWMOyDeJ-rD1PhXqMHDKkJTbuaweF65_RbS7l06qkX9Otw-E1Yo3ZLx122mb88eIokPn_ZIjAYFUfN1ohO4MrWbH5IixKsierCt78AirpHRE88StKiWoskLaqLiFtacaaBKx9pUGxBE4I6ZmxZxuepyd1RMnfqw/zyKyULEGvk-Ors3re-razIiMvVumgwIvSVedQdiyNdk</t>
    </r>
    <r>
      <rPr>
        <rFont val="Helvetica Neue"/>
        <color rgb="FF000000"/>
        <sz val="10.0"/>
        <u/>
      </rPr>
      <t>)</t>
    </r>
  </si>
  <si>
    <t>Recyclable materials</t>
  </si>
  <si>
    <t>Used for extension activity</t>
  </si>
  <si>
    <t>10/4/2021 10:07am</t>
  </si>
  <si>
    <t>Discarded items</t>
  </si>
  <si>
    <t>Eggs</t>
  </si>
  <si>
    <t>Plastic storage bags, small</t>
  </si>
  <si>
    <t>Used with eggs in extension activity</t>
  </si>
  <si>
    <t>Building materials</t>
  </si>
  <si>
    <r>
      <rPr>
        <rFont val="Helvetica Neue"/>
        <color rgb="FF000000"/>
        <sz val="10.0"/>
        <u/>
      </rPr>
      <t>Chart paper.jpg (</t>
    </r>
    <r>
      <rPr>
        <rFont val="Helvetica Neue"/>
        <color rgb="FF000000"/>
        <sz val="10.0"/>
        <u/>
      </rPr>
      <t>https://v5.airtableusercontent.com/v3/u/25/25/1707415200000/CSFcJY9Utcbd1RVFp8hgVQ/v_KzIQdaPu24tg8ghcnrDoGWu4lA-gB5K3IDmI0969n1wMHVOfJytxMgvGRWBJo62_ApJnyX8hgFy7fF_QQ85igEv6I4uQtHZunZ2ERdwW7t2W7EYiOZyVFkLCrwLGIXLWCh51Dam1MJTcFUsjYVrg/OFfMmwNPTSQDOMrsvWjr4_kxDbwHWZo2NOfxxokBDqI</t>
    </r>
    <r>
      <rPr>
        <rFont val="Helvetica Neue"/>
        <color rgb="FF000000"/>
        <sz val="10.0"/>
        <u/>
      </rPr>
      <t>),Screen Shot 2021-11-03 at 10_19_09 AM.png (</t>
    </r>
    <r>
      <rPr>
        <rFont val="Helvetica Neue"/>
        <color rgb="FF000000"/>
        <sz val="10.0"/>
        <u/>
      </rPr>
      <t>https://v5.airtableusercontent.com/v3/u/25/25/1707415200000/-Pe3fbFCTQv-uAG9b8O81w/FvYEbjB09G1KweugdzPddpqQ64xpcMEcjDPqOMbZ2FyWb_pyaEEf5YlsMQbBU6Zs3Il2LO9pRpQglI-miVr1UEYhtAp9Q6v_6CaHM6Br5nKvCcpzJJf60r7KBmXsKLmQPMZtCZenFvzVfu3CpOcRRBypaeVoFnquFoOO-ryar5I/BeeScw5C_VRlTPk_s-IpW8T-ApKDnYgO7thIzLCyygY</t>
    </r>
    <r>
      <rPr>
        <rFont val="Helvetica Neue"/>
        <color rgb="FF000000"/>
        <sz val="10.0"/>
        <u/>
      </rPr>
      <t>)</t>
    </r>
  </si>
  <si>
    <t>12/27/2021 9:00am</t>
  </si>
  <si>
    <r>
      <rPr>
        <rFont val="Helvetica Neue"/>
        <color rgb="FF000000"/>
        <sz val="10.0"/>
        <u/>
      </rPr>
      <t>Markers.jpg (</t>
    </r>
    <r>
      <rPr>
        <rFont val="Helvetica Neue"/>
        <color rgb="FF000000"/>
        <sz val="10.0"/>
        <u/>
      </rPr>
      <t>https://v5.airtableusercontent.com/v3/u/25/25/1707415200000/IwDn4sDF1ST56cg2cANm7Q/fQjr92m5_1jMOSOJKo3vAuQwr7-Gij5juptrPm0IMVyZU6qXL_vabhxxNr_pdxe7v5yJTUzLA9c-xLVpbcObbYMcIQ7yDbH2qnWYYyDqIG1FFqevjN221_9Eau4Hy9P2_kEEdDJxWKCGQMiv3lUAPw/Q12977x-hyalfNfzWJX27iwwK53PjWmBJOa2YulEq-M</t>
    </r>
    <r>
      <rPr>
        <rFont val="Helvetica Neue"/>
        <color rgb="FF000000"/>
        <sz val="10.0"/>
        <u/>
      </rPr>
      <t>)</t>
    </r>
  </si>
  <si>
    <t>6.1,6.2,7.4,7.6,8.1,8.3</t>
  </si>
  <si>
    <t>10/2/2021 1:01pm</t>
  </si>
  <si>
    <t>Primary Key: A unique, system-generated ID for the standard entry (e.g., STD-001).</t>
  </si>
  <si>
    <t>The target Depth of Knowledge (1-4) of the standard itself.</t>
  </si>
  <si>
    <t>The official NGSS identifier (e.g., MS-LS1-1).</t>
  </si>
  <si>
    <t>The full, verbatim text of the NGSS Performance Expectation.</t>
  </si>
  <si>
    <t>The NGSS Disciplinary Core Idea code (e.g., LS1.A).</t>
  </si>
  <si>
    <t>The full text of the DCI.</t>
  </si>
  <si>
    <t>The NGSS Science &amp; Engineering Practice code (e.g., SEP2).</t>
  </si>
  <si>
    <t>The full text of the SEP.</t>
  </si>
  <si>
    <t>The NGSS Crosscutting Concept code (e.g., CCC4).</t>
  </si>
  <si>
    <t>The full text of the CCC.</t>
  </si>
  <si>
    <t>The standard rewritten as a student-facing "I can..." statement.</t>
  </si>
  <si>
    <t>A comma-separated list of common supports for the standard (e.g., "Sentence stems, Graphic organizer").</t>
  </si>
  <si>
    <t>Microscope, Prepared slides, Lab worksheet, Sentence frames for observations</t>
  </si>
  <si>
    <t>3D cell model, Diagram templates, Word bank for organelles, Analogy chart</t>
  </si>
  <si>
    <t>Graphic organizer for body systems, CER template, Evidence sorting activity</t>
  </si>
  <si>
    <t>Videos of animal courtship, Plant structure diagrams, Debate prep worksheet</t>
  </si>
  <si>
    <t>Data sets on plant growth, Twin studies info graphics, CER template</t>
  </si>
  <si>
    <t>Photosynthesis diagram, Flowchart template, Key vocabulary list</t>
  </si>
  <si>
    <t>Molecular model kits, Digestive system diagram, Energy flow chart</t>
  </si>
  <si>
    <t>Videos on nervous system, Graphic organizer for senses, Research guide</t>
  </si>
  <si>
    <t>Population graphs, Simulated ecosystem data, Data analysis worksheet</t>
  </si>
  <si>
    <t>Food web diagrams, Interaction cards (symbiosis), CER template</t>
  </si>
  <si>
    <t>Diagram templates (carbon, water cycle), Energy pyramid model, Flowchart creator</t>
  </si>
  <si>
    <t>Case studies of ecosystem change, Data sets (before/after), Debate structure guide</t>
  </si>
  <si>
    <t>Design solution proposals, Pros/Cons T-chart, Rubric for evaluation</t>
  </si>
  <si>
    <t>DNA model kits, Protein synthesis diagrams, Case studies of mutations</t>
  </si>
  <si>
    <t>Punnett square practice, Coin flip simulation for heredity, Venn diagram</t>
  </si>
  <si>
    <t>Geologic time scale charts, Fossil diagrams, Data tables of fossil finds</t>
  </si>
  <si>
    <t>Homologous structures diagrams, Cladogram worksheets, CER template</t>
  </si>
  <si>
    <t>Comparative embryology diagrams, Pattern-seeking graphic organizer</t>
  </si>
  <si>
    <t>Natural selection simulations (e.g., peppered moths), Data on adaptations, CER template</t>
  </si>
  <si>
    <t>Articles on selective breeding/GMOs, Jigsaw reading activity, Summary worksheet</t>
  </si>
  <si>
    <t>Population data sets, Graphing software/paper, Calculation worksheets</t>
  </si>
  <si>
    <t>Physical models of Earth/Sun/Moon, Simulation software, Diagram templates</t>
  </si>
  <si>
    <t>Gravity well simulation (fabric/ball), Videos of orbital motion, Concept map</t>
  </si>
  <si>
    <t>Scale model calculations, Data tables of planetary properties, Infographic creator</t>
  </si>
  <si>
    <t>Rock strata diagrams, Index fossil examples, Timeline creation activity</t>
  </si>
  <si>
    <t>Rock cycle diagram, Convection current model, Flowchart template</t>
  </si>
  <si>
    <t>Before/after satellite images, Landform models, CER template</t>
  </si>
  <si>
    <t>World maps with puzzle pieces, Seafloor spreading diagrams, Data analysis worksheet</t>
  </si>
  <si>
    <t>Water cycle diagram (terrarium), Flowchart creator, Simulation software</t>
  </si>
  <si>
    <t>Weather maps, Barometer/thermometer readings, Data collection log</t>
  </si>
  <si>
    <t>Convection box demonstration, World map of currents, Climate zone map analysis</t>
  </si>
  <si>
    <t>Resource distribution maps, CER template, Case studies of resource formation</t>
  </si>
  <si>
    <t>Historical hazard data (earthquakes, volcanoes), Risk assessment worksheet</t>
  </si>
  <si>
    <t>Design brief template, Brainstorming graphic organizer, Peer review protocol</t>
  </si>
  <si>
    <t>Population growth graphs, Resource consumption data, Debate prep worksheet</t>
  </si>
  <si>
    <t>Climate data graphs (CO2, temp), Question formulation technique (QFT) worksheet</t>
  </si>
  <si>
    <t>Molecular model kits, Lewis dot structure worksheets, Digital modeling tools</t>
  </si>
  <si>
    <t>Lab observation checklist, Data tables (before/after), Evidence sorting activity</t>
  </si>
  <si>
    <t>Research guide, Product life cycle analysis, Jigsaw reading activity</t>
  </si>
  <si>
    <t>Particle motion simulation, Heating/cooling curve graphs, Diagram templates</t>
  </si>
  <si>
    <t>Balancing chemical equations worksheets, Closed system lab demonstration</t>
  </si>
  <si>
    <t>Design brief, Hot/cold pack lab, Engineering design process worksheet</t>
  </si>
  <si>
    <t>Collision cart lab, Design challenge (e.g., egg drop), Force pair diagrams</t>
  </si>
  <si>
    <t>Lab worksheet with procedures, Variable/Constant chart, Sentence frames for hypothesis</t>
  </si>
  <si>
    <t>Electromagnet lab data, QFT worksheet, Static electricity demonstrations</t>
  </si>
  <si>
    <t>Gravity simulation data, CER template, Debate prep worksheet</t>
  </si>
  <si>
    <t>Iron filings/magnet lab, Electroscope demonstration, Experimental design critique</t>
  </si>
  <si>
    <t>Ramp/ball lab data, Graphing software/paper, Data analysis worksheet</t>
  </si>
  <si>
    <t>Roller coaster simulation, Stretched rubber band model, Diagram templates</t>
  </si>
  <si>
    <t>Insulated container challenge, Engineering design process worksheet</t>
  </si>
  <si>
    <t>Specific heat lab design worksheet, Variable identification chart</t>
  </si>
  <si>
    <t>Energy transfer diagrams (e.g., bouncing ball), CER template</t>
  </si>
  <si>
    <t>Slinky wave lab, Wave simulation software, Calculation worksheets</t>
  </si>
  <si>
    <t>Lightbox/prism lab, Sound absorption investigation, Ray diagrams</t>
  </si>
  <si>
    <t>Articles/videos on analog vs. digital, Jigsaw activity, Pros/Cons T-chart</t>
  </si>
  <si>
    <t>Design brief template, Brainstorming graphic organizers</t>
  </si>
  <si>
    <t>Decision matrix worksheet, Rubric for evaluation, Peer feedback protocol</t>
  </si>
  <si>
    <t>Data analysis tables, Venn diagram for comparison, Redesign worksheet</t>
  </si>
  <si>
    <t>Prototype testing log, Iterative design cycle diagram</t>
  </si>
  <si>
    <t>task_uid</t>
  </si>
  <si>
    <t>task_title</t>
  </si>
  <si>
    <t>task_type</t>
  </si>
  <si>
    <t>dok_task</t>
  </si>
  <si>
    <t>cognitive_load_est</t>
  </si>
  <si>
    <t>mastery_threshold_pct</t>
  </si>
  <si>
    <t>exemplar_response_link</t>
  </si>
  <si>
    <t>prerequisite_task_uids</t>
  </si>
  <si>
    <t>associated_misconception_codes</t>
  </si>
  <si>
    <t>Primary Key: The unique ID for this specific task (e.g., TSK-MS-LS1-1-001).</t>
  </si>
  <si>
    <t>Linking Key: Connects this task to the corresponding entry in the Standards_Deconstruction sheet.</t>
  </si>
  <si>
    <t>A short, descriptive name for the task (e.g., "Cell Organelle Quiz").</t>
  </si>
  <si>
    <t>The category of the task (e.g., "Multiple Choice," "Constructed Response," "Performance Task").</t>
  </si>
  <si>
    <t>The actual Depth of Knowledge level of the task itself, which may differ from the standard's target DOK.</t>
  </si>
  <si>
    <t>The anticipated mental effort required (e.g., "Low," "Medium," "High").</t>
  </si>
  <si>
    <t>The percentage score required to be considered proficient (e.g., 80).</t>
  </si>
  <si>
    <t>A URL link to a document showing an ideal student response.</t>
  </si>
  <si>
    <t>A comma-separated list of task_uids for foundational skills required for this task.</t>
  </si>
  <si>
    <t>A comma-separated list of codes for common student misconceptions related to this task.</t>
  </si>
  <si>
    <t>student_id</t>
  </si>
  <si>
    <t>student_name_last</t>
  </si>
  <si>
    <t>student_name_first</t>
  </si>
  <si>
    <t>class_period</t>
  </si>
  <si>
    <t>accommodation_codes</t>
  </si>
  <si>
    <t>current_goal_internal_standard_id</t>
  </si>
  <si>
    <t>learning_modality_pref</t>
  </si>
  <si>
    <t>Primary Key: The unique, non-identifying ID for the student.</t>
  </si>
  <si>
    <t>The student's last name.</t>
  </si>
  <si>
    <t>The student's first name.</t>
  </si>
  <si>
    <t>The class period the student is in (e.g., "2", "5").</t>
  </si>
  <si>
    <t>A comma-separated list of official accommodation codes (e.g., "EXT_TIME," "READ_ALOUD").</t>
  </si>
  <si>
    <t>The internal_standard_id the student is currently focused on for growth.</t>
  </si>
  <si>
    <t>The student's preferred learning style (e.g., "Visual," "Kinesthetic," "Auditory").</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</si>
</sst>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0&quot; / 23&quot;"/>
    <numFmt numFmtId="166" formatCode="0&quot; / 22&quot;"/>
    <numFmt numFmtId="167" formatCode="yyyy-mm-dd"/>
    <numFmt numFmtId="168" formatCode="m, d"/>
    <numFmt numFmtId="169" formatCode="m/d/yyyy h:mm:ss"/>
    <numFmt numFmtId="170" formatCode="0&quot; / 60&quot;"/>
    <numFmt numFmtId="171" formatCode="0.0&quot; / 47&quot;"/>
    <numFmt numFmtId="172" formatCode="mmmd"/>
  </numFmts>
  <fonts count="51">
    <font>
      <sz val="10.0"/>
      <color rgb="FF000000"/>
      <name val="Arial"/>
      <scheme val="minor"/>
    </font>
    <font>
      <b/>
      <sz val="14.0"/>
      <color rgb="FFF3F3F3"/>
      <name val="Arial"/>
      <scheme val="minor"/>
    </font>
    <font>
      <b/>
      <sz val="18.0"/>
      <color rgb="FFFFFFFF"/>
      <name val="Arial"/>
      <scheme val="minor"/>
    </font>
    <font>
      <color theme="1"/>
      <name val="Arial"/>
      <scheme val="minor"/>
    </font>
    <font/>
    <font>
      <b/>
      <u/>
      <sz val="18.0"/>
      <color rgb="FF0000FF"/>
    </font>
    <font>
      <b/>
      <sz val="13.0"/>
      <color theme="1"/>
      <name val="Arial"/>
      <scheme val="minor"/>
    </font>
    <font>
      <u/>
      <color rgb="FF0000FF"/>
    </font>
    <font>
      <u/>
      <color rgb="FF0000FF"/>
    </font>
    <font>
      <u/>
      <color rgb="FF0000FF"/>
    </font>
    <font>
      <b/>
      <sz val="12.0"/>
      <color theme="1"/>
      <name val="Arial"/>
      <scheme val="minor"/>
    </font>
    <font>
      <u/>
      <color rgb="FF0000FF"/>
    </font>
    <font>
      <u/>
      <color rgb="FF0000FF"/>
    </font>
    <font>
      <sz val="12.0"/>
      <color theme="1"/>
      <name val="Atkinson Hyperlegible Next"/>
    </font>
    <font>
      <b/>
      <sz val="12.0"/>
      <color theme="1"/>
      <name val="Atkinson Hyperlegible Next"/>
    </font>
    <font>
      <sz val="12.0"/>
      <color rgb="FF273540"/>
      <name val="Atkinson Hyperlegible Next"/>
    </font>
    <font>
      <u/>
      <sz val="12.0"/>
      <color rgb="FF0000FF"/>
      <name val="Atkinson Hyperlegible Next"/>
    </font>
    <font>
      <u/>
      <sz val="12.0"/>
      <color rgb="FF0000FF"/>
      <name val="Atkinson Hyperlegible Next"/>
    </font>
    <font>
      <u/>
      <sz val="12.0"/>
      <color rgb="FF0000FF"/>
      <name val="Atkinson Hyperlegible Next"/>
    </font>
    <font>
      <u/>
      <color rgb="FF0000FF"/>
    </font>
    <font>
      <u/>
      <color rgb="FF0000FF"/>
    </font>
    <font>
      <u/>
      <sz val="12.0"/>
      <color rgb="FF1155CC"/>
      <name val="Atkinson Hyperlegible Next"/>
    </font>
    <font>
      <color rgb="FF273540"/>
      <name val="&quot;Lato Extended&quot;"/>
    </font>
    <font>
      <color theme="1"/>
      <name val="Arial"/>
    </font>
    <font>
      <u/>
      <color rgb="FF0000FF"/>
    </font>
    <font>
      <u/>
      <color rgb="FF0000FF"/>
    </font>
    <font>
      <u/>
      <sz val="12.0"/>
      <color rgb="FF0000FF"/>
      <name val="Atkinson Hyperlegible Next"/>
    </font>
    <font>
      <color rgb="FFABB2BF"/>
      <name val="Var(--font-mono)"/>
    </font>
    <font>
      <u/>
      <sz val="12.0"/>
      <color rgb="FF0000FF"/>
      <name val="Atkinson Hyperlegible Next"/>
    </font>
    <font>
      <u/>
      <sz val="12.0"/>
      <color rgb="FF0000FF"/>
      <name val="Atkinson Hyperlegible Next"/>
    </font>
    <font>
      <u/>
      <color rgb="FF0000FF"/>
    </font>
    <font>
      <u/>
      <color rgb="FF0000FF"/>
    </font>
    <font>
      <u/>
      <color rgb="FF0000FF"/>
    </font>
    <font>
      <u/>
      <color rgb="FF0000FF"/>
    </font>
    <font>
      <u/>
      <color rgb="FF0000FF"/>
    </font>
    <font>
      <b/>
      <sz val="14.0"/>
      <color theme="1"/>
      <name val="Atkinson Hyperlegible Next"/>
    </font>
    <font>
      <b/>
      <sz val="14.0"/>
      <color rgb="FFFFFFFF"/>
      <name val="Atkinson Hyperlegible Next"/>
    </font>
    <font>
      <sz val="12.0"/>
      <color rgb="FF1B1C1D"/>
      <name val="Atkinson Hyperlegible Next"/>
    </font>
    <font>
      <b/>
      <sz val="12.0"/>
      <color rgb="FF1B1C1D"/>
      <name val="Atkinson Hyperlegible Next"/>
    </font>
    <font>
      <u/>
      <sz val="12.0"/>
      <color rgb="FF434343"/>
      <name val="Atkinson Hyperlegible Next"/>
    </font>
    <font>
      <u/>
      <sz val="12.0"/>
      <color rgb="FF434343"/>
      <name val="Atkinson Hyperlegible Next"/>
    </font>
    <font>
      <u/>
      <sz val="12.0"/>
      <color rgb="FF434343"/>
      <name val="Atkinson Hyperlegible Next"/>
    </font>
    <font>
      <b/>
      <sz val="11.0"/>
      <color rgb="FF1B1C1D"/>
      <name val="'Google Sans Text'"/>
    </font>
    <font>
      <sz val="11.0"/>
      <color rgb="FF1B1C1D"/>
      <name val="'Google Sans Text'"/>
    </font>
    <font>
      <u/>
      <color rgb="FF0000FF"/>
    </font>
    <font>
      <b/>
      <color theme="1"/>
      <name val="Helvetica Neue"/>
    </font>
    <font>
      <color theme="1"/>
      <name val="Helvetica Neue"/>
    </font>
    <font>
      <u/>
      <color rgb="FF0000FF"/>
      <name val="Helvetica Neue"/>
    </font>
    <font>
      <u/>
      <color rgb="FF0000FF"/>
      <name val="Helvetica Neue"/>
    </font>
    <font>
      <u/>
      <color rgb="FF0000FF"/>
      <name val="Helvetica Neue"/>
    </font>
    <font>
      <u/>
      <color rgb="FF0000FF"/>
      <name val="Helvetica Neue"/>
    </font>
  </fonts>
  <fills count="23">
    <fill>
      <patternFill patternType="none"/>
    </fill>
    <fill>
      <patternFill patternType="lightGray"/>
    </fill>
    <fill>
      <patternFill patternType="solid">
        <fgColor rgb="FF000000"/>
        <bgColor rgb="FF000000"/>
      </patternFill>
    </fill>
    <fill>
      <patternFill patternType="solid">
        <fgColor theme="5"/>
        <bgColor theme="5"/>
      </patternFill>
    </fill>
    <fill>
      <patternFill patternType="solid">
        <fgColor theme="4"/>
        <bgColor theme="4"/>
      </patternFill>
    </fill>
    <fill>
      <patternFill patternType="solid">
        <fgColor theme="7"/>
        <bgColor theme="7"/>
      </patternFill>
    </fill>
    <fill>
      <patternFill patternType="solid">
        <fgColor theme="6"/>
        <bgColor theme="6"/>
      </patternFill>
    </fill>
    <fill>
      <patternFill patternType="solid">
        <fgColor theme="8"/>
        <bgColor theme="8"/>
      </patternFill>
    </fill>
    <fill>
      <patternFill patternType="solid">
        <fgColor rgb="FFD9D2E9"/>
        <bgColor rgb="FFD9D2E9"/>
      </patternFill>
    </fill>
    <fill>
      <patternFill patternType="solid">
        <fgColor rgb="FFF4CCCC"/>
        <bgColor rgb="FFF4CCCC"/>
      </patternFill>
    </fill>
    <fill>
      <patternFill patternType="solid">
        <fgColor rgb="FFB7B7B7"/>
        <bgColor rgb="FFB7B7B7"/>
      </patternFill>
    </fill>
    <fill>
      <patternFill patternType="solid">
        <fgColor rgb="FFD9EAD3"/>
        <bgColor rgb="FFD9EAD3"/>
      </patternFill>
    </fill>
    <fill>
      <patternFill patternType="solid">
        <fgColor rgb="FFFFFFFF"/>
        <bgColor rgb="FFFFFFFF"/>
      </patternFill>
    </fill>
    <fill>
      <patternFill patternType="solid">
        <fgColor rgb="FFB6D7A8"/>
        <bgColor rgb="FFB6D7A8"/>
      </patternFill>
    </fill>
    <fill>
      <patternFill patternType="solid">
        <fgColor rgb="FFA4C2F4"/>
        <bgColor rgb="FFA4C2F4"/>
      </patternFill>
    </fill>
    <fill>
      <patternFill patternType="solid">
        <fgColor rgb="FFF6F8F9"/>
        <bgColor rgb="FFF6F8F9"/>
      </patternFill>
    </fill>
    <fill>
      <patternFill patternType="solid">
        <fgColor rgb="FFD9D9D9"/>
        <bgColor rgb="FFD9D9D9"/>
      </patternFill>
    </fill>
    <fill>
      <patternFill patternType="solid">
        <fgColor rgb="FFF3F3F3"/>
        <bgColor rgb="FFF3F3F3"/>
      </patternFill>
    </fill>
    <fill>
      <patternFill patternType="solid">
        <fgColor rgb="FF5B9BD5"/>
        <bgColor rgb="FF5B9BD5"/>
      </patternFill>
    </fill>
    <fill>
      <patternFill patternType="solid">
        <fgColor rgb="FFDEEAF6"/>
        <bgColor rgb="FFDEEAF6"/>
      </patternFill>
    </fill>
    <fill>
      <patternFill patternType="solid">
        <fgColor rgb="FFBDC0BF"/>
        <bgColor rgb="FFBDC0BF"/>
      </patternFill>
    </fill>
    <fill>
      <patternFill patternType="solid">
        <fgColor rgb="FFDBDBDB"/>
        <bgColor rgb="FFDBDBDB"/>
      </patternFill>
    </fill>
    <fill>
      <patternFill patternType="solid">
        <fgColor rgb="FFF8FAFD"/>
        <bgColor rgb="FFF8FAFD"/>
      </patternFill>
    </fill>
  </fills>
  <borders count="12">
    <border/>
    <border>
      <right style="medium">
        <color rgb="FF000000"/>
      </right>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2" fontId="1" numFmtId="0" xfId="0" applyAlignment="1" applyFill="1" applyFont="1">
      <alignment horizontal="left" readingOrder="0" vertical="top"/>
    </xf>
    <xf borderId="0" fillId="3" fontId="2" numFmtId="0" xfId="0" applyAlignment="1" applyFill="1" applyFont="1">
      <alignment horizontal="left" readingOrder="0" vertical="top"/>
    </xf>
    <xf borderId="0" fillId="4" fontId="2" numFmtId="0" xfId="0" applyAlignment="1" applyFill="1" applyFont="1">
      <alignment horizontal="left" readingOrder="0" vertical="top"/>
    </xf>
    <xf borderId="0" fillId="5" fontId="2" numFmtId="0" xfId="0" applyAlignment="1" applyFill="1" applyFont="1">
      <alignment horizontal="left" readingOrder="0" vertical="top"/>
    </xf>
    <xf borderId="0" fillId="6" fontId="2" numFmtId="0" xfId="0" applyAlignment="1" applyFill="1" applyFont="1">
      <alignment horizontal="left" readingOrder="0" vertical="top"/>
    </xf>
    <xf borderId="0" fillId="7" fontId="2" numFmtId="0" xfId="0" applyAlignment="1" applyFill="1" applyFont="1">
      <alignment horizontal="left" readingOrder="0" vertical="top"/>
    </xf>
    <xf borderId="0" fillId="0" fontId="3" numFmtId="0" xfId="0" applyAlignment="1" applyFont="1">
      <alignment horizontal="left" vertical="top"/>
    </xf>
    <xf borderId="1" fillId="0" fontId="4" numFmtId="0" xfId="0" applyBorder="1" applyFont="1"/>
    <xf borderId="0" fillId="5" fontId="5" numFmtId="0" xfId="0" applyAlignment="1" applyFont="1">
      <alignment horizontal="left" readingOrder="0" vertical="top"/>
    </xf>
    <xf borderId="0" fillId="8" fontId="6" numFmtId="0" xfId="0" applyAlignment="1" applyFill="1" applyFont="1">
      <alignment horizontal="left" readingOrder="0" vertical="top"/>
    </xf>
    <xf borderId="0" fillId="0" fontId="7" numFmtId="0" xfId="0" applyAlignment="1" applyFont="1">
      <alignment horizontal="left" readingOrder="0" vertical="top"/>
    </xf>
    <xf borderId="0" fillId="0" fontId="3" numFmtId="0" xfId="0" applyAlignment="1" applyFont="1">
      <alignment horizontal="left" readingOrder="0" vertical="top"/>
    </xf>
    <xf borderId="0" fillId="0" fontId="8" numFmtId="0" xfId="0" applyAlignment="1" applyFont="1">
      <alignment horizontal="left" readingOrder="0" shrinkToFit="0" vertical="top" wrapText="1"/>
    </xf>
    <xf borderId="2" fillId="0" fontId="3" numFmtId="0" xfId="0" applyAlignment="1" applyBorder="1" applyFont="1">
      <alignment horizontal="left" readingOrder="0" vertical="top"/>
    </xf>
    <xf borderId="2" fillId="0" fontId="4" numFmtId="0" xfId="0" applyBorder="1" applyFont="1"/>
    <xf borderId="2" fillId="0" fontId="9" numFmtId="0" xfId="0" applyAlignment="1" applyBorder="1" applyFont="1">
      <alignment horizontal="left" readingOrder="0" vertical="top"/>
    </xf>
    <xf borderId="3" fillId="0" fontId="4" numFmtId="0" xfId="0" applyBorder="1" applyFont="1"/>
    <xf borderId="0" fillId="9" fontId="10" numFmtId="0" xfId="0" applyAlignment="1" applyFill="1" applyFont="1">
      <alignment horizontal="left" readingOrder="0" shrinkToFit="0" vertical="top" wrapText="1"/>
    </xf>
    <xf borderId="0" fillId="10" fontId="3" numFmtId="0" xfId="0" applyAlignment="1" applyFill="1" applyFont="1">
      <alignment horizontal="left" vertical="top"/>
    </xf>
    <xf borderId="2" fillId="10" fontId="3" numFmtId="0" xfId="0" applyAlignment="1" applyBorder="1" applyFont="1">
      <alignment horizontal="left" vertical="top"/>
    </xf>
    <xf borderId="0" fillId="11" fontId="6" numFmtId="0" xfId="0" applyAlignment="1" applyFill="1" applyFont="1">
      <alignment horizontal="left" readingOrder="0" shrinkToFit="0" vertical="top" wrapText="1"/>
    </xf>
    <xf borderId="0" fillId="12" fontId="11" numFmtId="0" xfId="0" applyAlignment="1" applyFill="1" applyFont="1">
      <alignment horizontal="left" readingOrder="0" vertical="top"/>
    </xf>
    <xf borderId="2" fillId="12" fontId="12" numFmtId="0" xfId="0" applyAlignment="1" applyBorder="1" applyFont="1">
      <alignment horizontal="left" readingOrder="0" vertical="top"/>
    </xf>
    <xf borderId="0" fillId="12" fontId="3" numFmtId="0" xfId="0" applyAlignment="1" applyFont="1">
      <alignment horizontal="left" readingOrder="0" vertical="top"/>
    </xf>
    <xf borderId="0" fillId="0" fontId="13" numFmtId="0" xfId="0" applyAlignment="1" applyFont="1">
      <alignment readingOrder="0" shrinkToFit="0" wrapText="0"/>
    </xf>
    <xf borderId="0" fillId="0" fontId="13" numFmtId="49" xfId="0" applyAlignment="1" applyFont="1" applyNumberFormat="1">
      <alignment readingOrder="0" shrinkToFit="0" wrapText="0"/>
    </xf>
    <xf borderId="0" fillId="0" fontId="13" numFmtId="0" xfId="0" applyAlignment="1" applyFont="1">
      <alignment horizontal="left" readingOrder="0" shrinkToFit="0" vertical="center" wrapText="1"/>
    </xf>
    <xf borderId="0" fillId="0" fontId="13" numFmtId="49" xfId="0" applyAlignment="1" applyFont="1" applyNumberFormat="1">
      <alignment horizontal="left" readingOrder="0" shrinkToFit="0" vertical="center" wrapText="1"/>
    </xf>
    <xf borderId="0" fillId="0" fontId="13" numFmtId="0" xfId="0" applyAlignment="1" applyFont="1">
      <alignment readingOrder="0" shrinkToFit="0" vertical="center" wrapText="0"/>
    </xf>
    <xf borderId="0" fillId="0" fontId="13" numFmtId="0" xfId="0" applyAlignment="1" applyFont="1">
      <alignment readingOrder="0" shrinkToFit="0" vertical="center" wrapText="0"/>
    </xf>
    <xf borderId="0" fillId="0" fontId="13" numFmtId="0" xfId="0" applyAlignment="1" applyFont="1">
      <alignment readingOrder="0" shrinkToFit="0" vertical="center" wrapText="0"/>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shrinkToFit="0" wrapText="0"/>
    </xf>
    <xf borderId="0" fillId="0" fontId="3" numFmtId="0" xfId="0" applyAlignment="1" applyFont="1">
      <alignment readingOrder="0" shrinkToFit="0" wrapText="1"/>
    </xf>
    <xf borderId="0" fillId="0" fontId="3" numFmtId="164" xfId="0" applyAlignment="1" applyFont="1" applyNumberFormat="1">
      <alignment readingOrder="0" shrinkToFit="0" wrapText="1"/>
    </xf>
    <xf borderId="0" fillId="0" fontId="3" numFmtId="0" xfId="0" applyAlignment="1" applyFont="1">
      <alignment shrinkToFit="0" wrapText="1"/>
    </xf>
    <xf borderId="0" fillId="0" fontId="3" numFmtId="0" xfId="0" applyAlignment="1" applyFont="1">
      <alignment readingOrder="0"/>
    </xf>
    <xf borderId="0" fillId="0" fontId="3" numFmtId="0" xfId="0" applyAlignment="1" applyFont="1">
      <alignment readingOrder="0"/>
    </xf>
    <xf borderId="0" fillId="0" fontId="3" numFmtId="14" xfId="0" applyAlignment="1" applyFont="1" applyNumberFormat="1">
      <alignment readingOrder="0"/>
    </xf>
    <xf borderId="0" fillId="0" fontId="14" numFmtId="0" xfId="0" applyAlignment="1" applyFont="1">
      <alignment readingOrder="0"/>
    </xf>
    <xf borderId="0" fillId="0" fontId="13" numFmtId="0" xfId="0" applyAlignment="1" applyFont="1">
      <alignment readingOrder="0"/>
    </xf>
    <xf borderId="0" fillId="0" fontId="13" numFmtId="0" xfId="0" applyFont="1"/>
    <xf borderId="0" fillId="0" fontId="13" numFmtId="0" xfId="0" applyAlignment="1" applyFont="1">
      <alignment readingOrder="0"/>
    </xf>
    <xf borderId="0" fillId="12" fontId="15" numFmtId="0" xfId="0" applyAlignment="1" applyFont="1">
      <alignment readingOrder="0" shrinkToFit="0" wrapText="1"/>
    </xf>
    <xf borderId="0" fillId="12" fontId="15" numFmtId="0" xfId="0" applyAlignment="1" applyFont="1">
      <alignment horizontal="center" readingOrder="0" shrinkToFit="0" wrapText="1"/>
    </xf>
    <xf borderId="0" fillId="0" fontId="16" numFmtId="0" xfId="0" applyAlignment="1" applyFont="1">
      <alignment readingOrder="0"/>
    </xf>
    <xf borderId="0" fillId="0" fontId="17" numFmtId="0" xfId="0" applyAlignment="1" applyFont="1">
      <alignment horizontal="left" readingOrder="0" shrinkToFit="0" vertical="center" wrapText="0"/>
    </xf>
    <xf borderId="0" fillId="0" fontId="18" numFmtId="0" xfId="0" applyAlignment="1" applyFont="1">
      <alignment horizontal="left" readingOrder="0" shrinkToFit="0" wrapText="0"/>
    </xf>
    <xf borderId="0" fillId="0" fontId="19"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shrinkToFit="0" vertical="bottom"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center" vertical="center"/>
    </xf>
    <xf borderId="0" fillId="12" fontId="22" numFmtId="0" xfId="0" applyAlignment="1" applyFont="1">
      <alignment horizontal="center" shrinkToFit="0" vertical="center" wrapText="1"/>
    </xf>
    <xf borderId="0" fillId="0" fontId="3" numFmtId="0" xfId="0" applyAlignment="1" applyFont="1">
      <alignment horizontal="center" readingOrder="0" vertical="center"/>
    </xf>
    <xf borderId="0" fillId="12" fontId="22" numFmtId="0" xfId="0" applyAlignment="1" applyFont="1">
      <alignment horizontal="center" readingOrder="0" shrinkToFit="0" vertical="center" wrapText="1"/>
    </xf>
    <xf borderId="0" fillId="0" fontId="23" numFmtId="0" xfId="0" applyAlignment="1" applyFont="1">
      <alignment horizontal="right" vertical="bottom"/>
    </xf>
    <xf borderId="0" fillId="0" fontId="3" numFmtId="49" xfId="0" applyAlignment="1" applyFont="1" applyNumberFormat="1">
      <alignment horizontal="center" vertical="center"/>
    </xf>
    <xf borderId="0" fillId="0" fontId="23" numFmtId="0" xfId="0" applyAlignment="1" applyFont="1">
      <alignment vertical="bottom"/>
    </xf>
    <xf borderId="0" fillId="0" fontId="3" numFmtId="165" xfId="0" applyAlignment="1" applyFont="1" applyNumberFormat="1">
      <alignment horizontal="center" vertical="center"/>
    </xf>
    <xf borderId="0" fillId="0" fontId="3" numFmtId="4" xfId="0" applyAlignment="1" applyFont="1" applyNumberFormat="1">
      <alignment horizontal="center" vertical="center"/>
    </xf>
    <xf borderId="0" fillId="0" fontId="24" numFmtId="0" xfId="0" applyAlignment="1" applyFont="1">
      <alignment readingOrder="0" shrinkToFit="0" vertical="center" wrapText="1"/>
    </xf>
    <xf borderId="0" fillId="0" fontId="25" numFmtId="0" xfId="0" applyAlignment="1" applyFont="1">
      <alignment readingOrder="0" shrinkToFit="0" wrapText="1"/>
    </xf>
    <xf borderId="0" fillId="0" fontId="3" numFmtId="0" xfId="0" applyAlignment="1" applyFont="1">
      <alignment horizontal="left" readingOrder="0" shrinkToFit="0" vertical="center" wrapText="1"/>
    </xf>
    <xf borderId="0" fillId="0" fontId="26" numFmtId="0" xfId="0" applyAlignment="1" applyFont="1">
      <alignment horizontal="left" readingOrder="0" shrinkToFit="0" wrapText="1"/>
    </xf>
    <xf borderId="0" fillId="0" fontId="3" numFmtId="0" xfId="0" applyFont="1"/>
    <xf borderId="0" fillId="0" fontId="3" numFmtId="0" xfId="0" applyFont="1"/>
    <xf borderId="0" fillId="0" fontId="23" numFmtId="0" xfId="0" applyAlignment="1" applyFont="1">
      <alignment vertical="bottom"/>
    </xf>
    <xf borderId="0" fillId="0" fontId="27" numFmtId="0" xfId="0" applyAlignment="1" applyFont="1">
      <alignment horizontal="left"/>
    </xf>
    <xf borderId="0" fillId="0" fontId="23" numFmtId="0" xfId="0" applyAlignment="1" applyFont="1">
      <alignment horizontal="right" vertical="bottom"/>
    </xf>
    <xf borderId="0" fillId="0" fontId="3" numFmtId="166" xfId="0" applyFont="1" applyNumberFormat="1"/>
    <xf borderId="0" fillId="0" fontId="27" numFmtId="0" xfId="0" applyAlignment="1" applyFont="1">
      <alignment horizontal="left"/>
    </xf>
    <xf borderId="0" fillId="0" fontId="3" numFmtId="0" xfId="0" applyAlignment="1" applyFont="1">
      <alignment shrinkToFit="0" wrapText="1"/>
    </xf>
    <xf borderId="0" fillId="0" fontId="14" numFmtId="0" xfId="0" applyAlignment="1" applyFont="1">
      <alignment horizontal="left" readingOrder="0" shrinkToFit="0" wrapText="0"/>
    </xf>
    <xf borderId="0" fillId="0" fontId="13" numFmtId="0" xfId="0" applyAlignment="1" applyFont="1">
      <alignment horizontal="left" readingOrder="0" shrinkToFit="0" wrapText="0"/>
    </xf>
    <xf borderId="0" fillId="0" fontId="13" numFmtId="0" xfId="0" applyAlignment="1" applyFont="1">
      <alignment horizontal="left" shrinkToFit="0" wrapText="0"/>
    </xf>
    <xf borderId="0" fillId="12" fontId="15" numFmtId="0" xfId="0" applyAlignment="1" applyFont="1">
      <alignment horizontal="left" readingOrder="0" shrinkToFit="0" wrapText="0"/>
    </xf>
    <xf borderId="0" fillId="12" fontId="28" numFmtId="0" xfId="0" applyAlignment="1" applyFont="1">
      <alignment horizontal="left" readingOrder="0" shrinkToFit="0" wrapText="0"/>
    </xf>
    <xf borderId="0" fillId="0" fontId="29" numFmtId="0" xfId="0" applyAlignment="1" applyFont="1">
      <alignment horizontal="left" readingOrder="0" shrinkToFit="0"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0" numFmtId="0" xfId="0" applyAlignment="1" applyFont="1">
      <alignment horizontal="left" readingOrder="0" shrinkToFit="0" vertical="center" wrapText="0"/>
    </xf>
    <xf borderId="0" fillId="0" fontId="3" numFmtId="0" xfId="0" applyAlignment="1" applyFont="1">
      <alignment readingOrder="0" shrinkToFit="0" wrapText="0"/>
    </xf>
    <xf borderId="0" fillId="0" fontId="3" numFmtId="0" xfId="0" applyAlignment="1" applyFont="1">
      <alignment readingOrder="0" shrinkToFit="0" wrapText="0"/>
    </xf>
    <xf borderId="0" fillId="0" fontId="31" numFmtId="0" xfId="0" applyAlignment="1" applyFont="1">
      <alignment readingOrder="0" shrinkToFit="0" wrapText="0"/>
    </xf>
    <xf borderId="0" fillId="0" fontId="3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3" numFmtId="0" xfId="0" applyAlignment="1" applyFont="1">
      <alignment readingOrder="0"/>
    </xf>
    <xf borderId="0" fillId="0" fontId="3" numFmtId="0" xfId="0" applyAlignment="1" applyFont="1">
      <alignment horizontal="left" shrinkToFit="0" vertical="center" wrapText="0"/>
    </xf>
    <xf borderId="0" fillId="0" fontId="34" numFmtId="0" xfId="0" applyAlignment="1" applyFont="1">
      <alignment readingOrder="0"/>
    </xf>
    <xf borderId="0" fillId="0" fontId="3" numFmtId="0" xfId="0" applyAlignment="1" applyFont="1">
      <alignment horizontal="left" shrinkToFit="0" vertical="center" wrapText="1"/>
    </xf>
    <xf borderId="0" fillId="13" fontId="13" numFmtId="0" xfId="0" applyAlignment="1" applyFill="1" applyFont="1">
      <alignment horizontal="left" readingOrder="0" shrinkToFit="0" vertical="top" wrapText="1"/>
    </xf>
    <xf borderId="0" fillId="0" fontId="13" numFmtId="167" xfId="0" applyAlignment="1" applyFont="1" applyNumberFormat="1">
      <alignment horizontal="left" readingOrder="0" shrinkToFit="0" vertical="top" wrapText="1"/>
    </xf>
    <xf borderId="0" fillId="0" fontId="13" numFmtId="0" xfId="0" applyAlignment="1" applyFont="1">
      <alignment horizontal="left" readingOrder="0" shrinkToFit="0" vertical="top" wrapText="1"/>
    </xf>
    <xf borderId="0" fillId="0" fontId="13" numFmtId="0" xfId="0" applyAlignment="1" applyFont="1">
      <alignment horizontal="left" shrinkToFit="0" vertical="top" wrapText="1"/>
    </xf>
    <xf borderId="4" fillId="0" fontId="35" numFmtId="0" xfId="0" applyAlignment="1" applyBorder="1" applyFont="1">
      <alignment horizontal="left" readingOrder="0" shrinkToFit="0" vertical="center" wrapText="1"/>
    </xf>
    <xf borderId="4" fillId="0" fontId="36" numFmtId="0" xfId="0" applyAlignment="1" applyBorder="1" applyFont="1">
      <alignment horizontal="left" readingOrder="0" shrinkToFit="0" vertical="center" wrapText="1"/>
    </xf>
    <xf borderId="4" fillId="13" fontId="13" numFmtId="0" xfId="0" applyAlignment="1" applyBorder="1" applyFont="1">
      <alignment horizontal="left" readingOrder="0" shrinkToFit="0" vertical="center" wrapText="1"/>
    </xf>
    <xf borderId="4" fillId="13" fontId="37" numFmtId="0" xfId="0" applyAlignment="1" applyBorder="1" applyFont="1">
      <alignment horizontal="left" readingOrder="0" shrinkToFit="0" vertical="center" wrapText="1"/>
    </xf>
    <xf borderId="4" fillId="14" fontId="38" numFmtId="0" xfId="0" applyAlignment="1" applyBorder="1" applyFill="1" applyFont="1">
      <alignment horizontal="left" readingOrder="0" shrinkToFit="0" vertical="center" wrapText="1"/>
    </xf>
    <xf borderId="4" fillId="0" fontId="37" numFmtId="0" xfId="0" applyAlignment="1" applyBorder="1" applyFont="1">
      <alignment horizontal="left" readingOrder="0" shrinkToFit="0" vertical="center" wrapText="1"/>
    </xf>
    <xf borderId="4" fillId="0" fontId="37" numFmtId="49" xfId="0" applyAlignment="1" applyBorder="1" applyFont="1" applyNumberFormat="1">
      <alignment horizontal="left" readingOrder="0" shrinkToFit="0" vertical="center" wrapText="1"/>
    </xf>
    <xf borderId="4" fillId="0" fontId="37" numFmtId="0" xfId="0" applyAlignment="1" applyBorder="1" applyFont="1">
      <alignment horizontal="left" readingOrder="0" shrinkToFit="0" vertical="center" wrapText="0"/>
    </xf>
    <xf borderId="4" fillId="0" fontId="37" numFmtId="168" xfId="0" applyAlignment="1" applyBorder="1" applyFont="1" applyNumberFormat="1">
      <alignment horizontal="left" readingOrder="0" shrinkToFit="0" vertical="center" wrapText="1"/>
    </xf>
    <xf borderId="4" fillId="13" fontId="37" numFmtId="0" xfId="0" applyAlignment="1" applyBorder="1" applyFont="1">
      <alignment horizontal="left" readingOrder="0" shrinkToFit="0" vertical="center" wrapText="1"/>
    </xf>
    <xf borderId="4" fillId="13" fontId="37" numFmtId="0" xfId="0" applyAlignment="1" applyBorder="1" applyFont="1">
      <alignment horizontal="left" shrinkToFit="0" vertical="center" wrapText="1"/>
    </xf>
    <xf borderId="4" fillId="13" fontId="39" numFmtId="0" xfId="0" applyAlignment="1" applyBorder="1" applyFont="1">
      <alignment horizontal="left" shrinkToFit="0" vertical="center" wrapText="1"/>
    </xf>
    <xf borderId="4" fillId="15" fontId="37" numFmtId="0" xfId="0" applyAlignment="1" applyBorder="1" applyFill="1" applyFont="1">
      <alignment horizontal="left" readingOrder="0" shrinkToFit="0" vertical="center" wrapText="1"/>
    </xf>
    <xf borderId="4" fillId="15" fontId="37" numFmtId="0" xfId="0" applyAlignment="1" applyBorder="1" applyFont="1">
      <alignment horizontal="left" shrinkToFit="0" vertical="center" wrapText="1"/>
    </xf>
    <xf borderId="4" fillId="15" fontId="40" numFmtId="0" xfId="0" applyAlignment="1" applyBorder="1" applyFont="1">
      <alignment horizontal="left" shrinkToFit="0" vertical="center" wrapText="1"/>
    </xf>
    <xf borderId="4" fillId="12" fontId="37" numFmtId="0" xfId="0" applyAlignment="1" applyBorder="1" applyFont="1">
      <alignment horizontal="left" shrinkToFit="0" vertical="center" wrapText="1"/>
    </xf>
    <xf borderId="4" fillId="12" fontId="41" numFmtId="0" xfId="0" applyAlignment="1" applyBorder="1" applyFont="1">
      <alignment horizontal="left" shrinkToFit="0" vertical="center" wrapText="1"/>
    </xf>
    <xf borderId="4" fillId="16" fontId="13" numFmtId="0" xfId="0" applyAlignment="1" applyBorder="1" applyFill="1" applyFont="1">
      <alignment horizontal="left" readingOrder="0" shrinkToFit="0" vertical="center" wrapText="1"/>
    </xf>
    <xf borderId="4" fillId="12" fontId="37" numFmtId="0" xfId="0" applyAlignment="1" applyBorder="1" applyFont="1">
      <alignment horizontal="left" readingOrder="0" shrinkToFit="0" vertical="center" wrapText="1"/>
    </xf>
    <xf borderId="4" fillId="17" fontId="13" numFmtId="0" xfId="0" applyAlignment="1" applyBorder="1" applyFill="1" applyFont="1">
      <alignment horizontal="left" readingOrder="0" shrinkToFit="0" vertical="center" wrapText="1"/>
    </xf>
    <xf borderId="0" fillId="18" fontId="3" numFmtId="0" xfId="0" applyAlignment="1" applyFill="1" applyFont="1">
      <alignment vertical="top"/>
    </xf>
    <xf borderId="0" fillId="19" fontId="3" numFmtId="0" xfId="0" applyAlignment="1" applyFill="1" applyFont="1">
      <alignment vertical="top"/>
    </xf>
    <xf borderId="0" fillId="19" fontId="3" numFmtId="0" xfId="0" applyAlignment="1" applyFont="1">
      <alignment readingOrder="0" vertical="top"/>
    </xf>
    <xf borderId="0" fillId="0" fontId="42" numFmtId="0" xfId="0" applyAlignment="1" applyFont="1">
      <alignment horizontal="center" readingOrder="0" shrinkToFit="0" vertical="center" wrapText="1"/>
    </xf>
    <xf borderId="0" fillId="0" fontId="43" numFmtId="0" xfId="0" applyAlignment="1" applyFont="1">
      <alignment horizontal="left" readingOrder="0" shrinkToFit="0" wrapText="1"/>
    </xf>
    <xf borderId="0" fillId="0" fontId="3" numFmtId="0" xfId="0" applyAlignment="1" applyFont="1">
      <alignment readingOrder="0"/>
    </xf>
    <xf borderId="0" fillId="0" fontId="3" numFmtId="0" xfId="0" applyFont="1"/>
    <xf borderId="0" fillId="0" fontId="3" numFmtId="0" xfId="0" applyAlignment="1" applyFont="1">
      <alignment horizontal="center" vertical="center"/>
    </xf>
    <xf borderId="0" fillId="0" fontId="3" numFmtId="169" xfId="0" applyFont="1" applyNumberFormat="1"/>
    <xf borderId="0" fillId="0" fontId="3" numFmtId="170" xfId="0" applyFont="1" applyNumberFormat="1"/>
    <xf borderId="0" fillId="0" fontId="44" numFmtId="0" xfId="0" applyFont="1"/>
    <xf borderId="0" fillId="0" fontId="3" numFmtId="171" xfId="0" applyFont="1" applyNumberFormat="1"/>
    <xf borderId="5" fillId="20" fontId="45" numFmtId="49" xfId="0" applyAlignment="1" applyBorder="1" applyFill="1" applyFont="1" applyNumberFormat="1">
      <alignment horizontal="center" shrinkToFit="0" vertical="center" wrapText="1"/>
    </xf>
    <xf borderId="6" fillId="21" fontId="45" numFmtId="49" xfId="0" applyAlignment="1" applyBorder="1" applyFill="1" applyFont="1" applyNumberFormat="1">
      <alignment horizontal="left" shrinkToFit="0" vertical="top" wrapText="1"/>
    </xf>
    <xf borderId="7" fillId="0" fontId="46" numFmtId="49" xfId="0" applyAlignment="1" applyBorder="1" applyFont="1" applyNumberFormat="1">
      <alignment horizontal="left" shrinkToFit="0" vertical="top" wrapText="0"/>
    </xf>
    <xf borderId="8" fillId="0" fontId="46" numFmtId="49" xfId="0" applyAlignment="1" applyBorder="1" applyFont="1" applyNumberFormat="1">
      <alignment horizontal="left" shrinkToFit="0" vertical="top" wrapText="0"/>
    </xf>
    <xf borderId="8" fillId="0" fontId="46" numFmtId="0" xfId="0" applyAlignment="1" applyBorder="1" applyFont="1">
      <alignment horizontal="left" shrinkToFit="0" vertical="top" wrapText="0"/>
    </xf>
    <xf borderId="8" fillId="0" fontId="47" numFmtId="49" xfId="0" applyAlignment="1" applyBorder="1" applyFont="1" applyNumberFormat="1">
      <alignment horizontal="left" shrinkToFit="0" vertical="top" wrapText="0"/>
    </xf>
    <xf borderId="9" fillId="21" fontId="45" numFmtId="49" xfId="0" applyAlignment="1" applyBorder="1" applyFont="1" applyNumberFormat="1">
      <alignment horizontal="left" shrinkToFit="0" vertical="top" wrapText="1"/>
    </xf>
    <xf borderId="10" fillId="0" fontId="46" numFmtId="49" xfId="0" applyAlignment="1" applyBorder="1" applyFont="1" applyNumberFormat="1">
      <alignment horizontal="left" shrinkToFit="0" vertical="top" wrapText="0"/>
    </xf>
    <xf borderId="11" fillId="0" fontId="46" numFmtId="0" xfId="0" applyAlignment="1" applyBorder="1" applyFont="1">
      <alignment horizontal="left" shrinkToFit="0" vertical="top" wrapText="0"/>
    </xf>
    <xf borderId="11" fillId="0" fontId="46" numFmtId="49" xfId="0" applyAlignment="1" applyBorder="1" applyFont="1" applyNumberFormat="1">
      <alignment horizontal="left" shrinkToFit="0" vertical="top" wrapText="0"/>
    </xf>
    <xf borderId="11" fillId="0" fontId="48" numFmtId="49" xfId="0" applyAlignment="1" applyBorder="1" applyFont="1" applyNumberFormat="1">
      <alignment horizontal="left" shrinkToFit="0" vertical="top" wrapText="0"/>
    </xf>
    <xf borderId="5" fillId="20" fontId="45" numFmtId="49" xfId="0" applyAlignment="1" applyBorder="1" applyFont="1" applyNumberFormat="1">
      <alignment horizontal="center" shrinkToFit="0" vertical="center" wrapText="0"/>
    </xf>
    <xf borderId="6" fillId="21" fontId="45" numFmtId="49" xfId="0" applyAlignment="1" applyBorder="1" applyFont="1" applyNumberFormat="1">
      <alignment shrinkToFit="0" vertical="top" wrapText="1"/>
    </xf>
    <xf borderId="7" fillId="0" fontId="46" numFmtId="49" xfId="0" applyAlignment="1" applyBorder="1" applyFont="1" applyNumberFormat="1">
      <alignment shrinkToFit="0" vertical="top" wrapText="1"/>
    </xf>
    <xf borderId="8" fillId="0" fontId="46" numFmtId="0" xfId="0" applyAlignment="1" applyBorder="1" applyFont="1">
      <alignment horizontal="right" shrinkToFit="0" vertical="top" wrapText="1"/>
    </xf>
    <xf borderId="8" fillId="0" fontId="46" numFmtId="49" xfId="0" applyAlignment="1" applyBorder="1" applyFont="1" applyNumberFormat="1">
      <alignment shrinkToFit="0" vertical="top" wrapText="1"/>
    </xf>
    <xf borderId="8" fillId="0" fontId="46" numFmtId="49" xfId="0" applyAlignment="1" applyBorder="1" applyFont="1" applyNumberFormat="1">
      <alignment shrinkToFit="0" vertical="top" wrapText="0"/>
    </xf>
    <xf borderId="8" fillId="0" fontId="46" numFmtId="0" xfId="0" applyAlignment="1" applyBorder="1" applyFont="1">
      <alignment shrinkToFit="0" vertical="top" wrapText="1"/>
    </xf>
    <xf borderId="8" fillId="0" fontId="49" numFmtId="49" xfId="0" applyAlignment="1" applyBorder="1" applyFont="1" applyNumberFormat="1">
      <alignment shrinkToFit="0" vertical="top" wrapText="0"/>
    </xf>
    <xf borderId="9" fillId="21" fontId="45" numFmtId="49" xfId="0" applyAlignment="1" applyBorder="1" applyFont="1" applyNumberFormat="1">
      <alignment shrinkToFit="0" vertical="top" wrapText="1"/>
    </xf>
    <xf borderId="10" fillId="0" fontId="46" numFmtId="49" xfId="0" applyAlignment="1" applyBorder="1" applyFont="1" applyNumberFormat="1">
      <alignment shrinkToFit="0" vertical="top" wrapText="1"/>
    </xf>
    <xf borderId="11" fillId="0" fontId="46" numFmtId="0" xfId="0" applyAlignment="1" applyBorder="1" applyFont="1">
      <alignment horizontal="right" shrinkToFit="0" vertical="top" wrapText="1"/>
    </xf>
    <xf borderId="11" fillId="0" fontId="46" numFmtId="49" xfId="0" applyAlignment="1" applyBorder="1" applyFont="1" applyNumberFormat="1">
      <alignment shrinkToFit="0" vertical="top" wrapText="1"/>
    </xf>
    <xf borderId="11" fillId="0" fontId="46" numFmtId="49" xfId="0" applyAlignment="1" applyBorder="1" applyFont="1" applyNumberFormat="1">
      <alignment shrinkToFit="0" vertical="top" wrapText="0"/>
    </xf>
    <xf borderId="11" fillId="0" fontId="46" numFmtId="0" xfId="0" applyAlignment="1" applyBorder="1" applyFont="1">
      <alignment shrinkToFit="0" vertical="top" wrapText="1"/>
    </xf>
    <xf borderId="11" fillId="0" fontId="50" numFmtId="49" xfId="0" applyAlignment="1" applyBorder="1" applyFont="1" applyNumberFormat="1">
      <alignment shrinkToFit="0" vertical="top" wrapText="0"/>
    </xf>
    <xf borderId="11" fillId="0" fontId="46" numFmtId="0" xfId="0" applyAlignment="1" applyBorder="1" applyFont="1">
      <alignment shrinkToFit="0" vertical="top" wrapText="0"/>
    </xf>
    <xf borderId="10" fillId="0" fontId="46" numFmtId="0" xfId="0" applyAlignment="1" applyBorder="1" applyFont="1">
      <alignment shrinkToFit="0" vertical="top" wrapText="1"/>
    </xf>
    <xf borderId="0" fillId="0" fontId="4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43" numFmtId="172" xfId="0" applyAlignment="1" applyFont="1" applyNumberFormat="1">
      <alignment horizontal="left" readingOrder="0" shrinkToFit="0" vertical="center" wrapText="1"/>
    </xf>
    <xf borderId="0" fillId="22" fontId="3" numFmtId="0" xfId="0" applyAlignment="1" applyFill="1" applyFont="1">
      <alignment horizontal="left" shrinkToFit="0" vertical="top" wrapText="1"/>
    </xf>
    <xf borderId="0" fillId="0" fontId="13" numFmtId="0" xfId="0" applyAlignment="1" applyFont="1">
      <alignment shrinkToFit="0" vertical="center" wrapText="1"/>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3F3F3"/>
          <bgColor rgb="FFF3F3F3"/>
        </patternFill>
      </fill>
      <border/>
    </dxf>
    <dxf>
      <font/>
      <fill>
        <patternFill patternType="solid">
          <fgColor rgb="FFD9D9D9"/>
          <bgColor rgb="FFD9D9D9"/>
        </patternFill>
      </fill>
      <border/>
    </dxf>
    <dxf>
      <font/>
      <fill>
        <patternFill patternType="solid">
          <fgColor rgb="FF5B9BD5"/>
          <bgColor rgb="FF5B9BD5"/>
        </patternFill>
      </fill>
      <border/>
    </dxf>
    <dxf>
      <font/>
      <fill>
        <patternFill patternType="solid">
          <fgColor rgb="FFDEEAF6"/>
          <bgColor rgb="FFDEEAF6"/>
        </patternFill>
      </fill>
      <border/>
    </dxf>
    <dxf>
      <font/>
      <fill>
        <patternFill patternType="solid">
          <fgColor rgb="FFBDBDBD"/>
          <bgColor rgb="FFBDBDBD"/>
        </patternFill>
      </fill>
      <border/>
    </dxf>
  </dxfs>
  <tableStyles count="7">
    <tableStyle count="4" pivot="0" name="Testing_Area-style">
      <tableStyleElement dxfId="1" type="headerRow"/>
      <tableStyleElement dxfId="2" type="firstRowStripe"/>
      <tableStyleElement dxfId="3" type="secondRowStripe"/>
      <tableStyleElement dxfId="4" size="0" type="wholeTable"/>
    </tableStyle>
    <tableStyle count="4" pivot="0" name="Standard_Deconstruction-style">
      <tableStyleElement dxfId="1" type="headerRow"/>
      <tableStyleElement dxfId="5" type="firstRowStripe"/>
      <tableStyleElement dxfId="6" type="secondRowStripe"/>
      <tableStyleElement dxfId="4" size="0" type="wholeTable"/>
    </tableStyle>
    <tableStyle count="3" pivot="0" name="NGSS_Lookup-style">
      <tableStyleElement dxfId="7" type="headerRow"/>
      <tableStyleElement dxfId="8" type="firstRowStripe"/>
      <tableStyleElement dxfId="8" type="secondRowStripe"/>
    </tableStyle>
    <tableStyle count="3" pivot="0" name="OSE_Vocabulary-style">
      <tableStyleElement dxfId="9" type="headerRow"/>
      <tableStyleElement dxfId="2" type="firstRowStripe"/>
      <tableStyleElement dxfId="5" type="secondRowStripe"/>
    </tableStyle>
    <tableStyle count="4" pivot="0" name="SD_OOD1-style">
      <tableStyleElement dxfId="1" type="headerRow"/>
      <tableStyleElement dxfId="2" type="firstRowStripe"/>
      <tableStyleElement dxfId="3" type="secondRowStripe"/>
      <tableStyleElement dxfId="4" size="0" type="wholeTable"/>
    </tableStyle>
    <tableStyle count="4" pivot="0" name="Task_Analysis_WIP-style">
      <tableStyleElement dxfId="1" type="headerRow"/>
      <tableStyleElement dxfId="2" type="firstRowStripe"/>
      <tableStyleElement dxfId="3" type="secondRowStripe"/>
      <tableStyleElement dxfId="4" size="0" type="wholeTable"/>
    </tableStyle>
    <tableStyle count="4" pivot="0" name="Student_Profile_WI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U12" displayName="Table2" name="Table2" id="1">
  <tableColumns count="21">
    <tableColumn name="Taught?" id="1"/>
    <tableColumn name="Changelog" id="2"/>
    <tableColumn name="Facilitation Links" id="3"/>
    <tableColumn name="Grade" id="4"/>
    <tableColumn name="Unit" id="5"/>
    <tableColumn name="Sequence" id="6"/>
    <tableColumn name="Weekly Key Concept &amp; Connection to Previous Learning" id="7"/>
    <tableColumn name="Learning Target(s)" id="8"/>
    <tableColumn name="Core Activity &amp; Description" id="9"/>
    <tableColumn name="Exit Ticket" id="10"/>
    <tableColumn name="Standards (MLS &amp; NGSS)" id="11"/>
    <tableColumn name="Planned Scaffolds" id="12"/>
    <tableColumn name="KEPT Rubric Alignment" id="13"/>
    <tableColumn name="Supports" id="14"/>
    <tableColumn name="&amp; Accommodations (IEPs)" id="15"/>
    <tableColumn name="Arm 1: Content" id="16"/>
    <tableColumn name="Arm 2: Culture" id="17"/>
    <tableColumn name="Arm 3: Facilitation of Learning" id="18"/>
    <tableColumn name="Arm 4: Ownership" id="19"/>
    <tableColumn name="Arm 5: Data Driven" id="20"/>
    <tableColumn name="Arm 6: Beyond the Lesson" id="21"/>
  </tableColumns>
  <tableStyleInfo name="Testing_Area-style" showColumnStripes="0" showFirstColumn="1" showLastColumn="1" showRowStripes="1"/>
</table>
</file>

<file path=xl/tables/table2.xml><?xml version="1.0" encoding="utf-8"?>
<table xmlns="http://schemas.openxmlformats.org/spreadsheetml/2006/main" ref="A1:V61" displayName="Standard_Deconstruction" name="Standard_Deconstruction" id="2">
  <tableColumns count="22">
    <tableColumn name="internal_standard_id" id="1"/>
    <tableColumn name="dok_target" id="2"/>
    <tableColumn name="ngss_standard_uid" id="3"/>
    <tableColumn name="ngss_standard_text" id="4"/>
    <tableColumn name="ngss_dci_code" id="5"/>
    <tableColumn name="ngss_dci_text" id="6"/>
    <tableColumn name="ngss_sep_code" id="7"/>
    <tableColumn name="ngss_sep_text" id="8"/>
    <tableColumn name="ngss_ccc_code" id="9"/>
    <tableColumn name="ngss_ccc_text" id="10"/>
    <tableColumn name="student_friendly_language" id="11"/>
    <tableColumn name="ngss_pe_spanning_units" id="12"/>
    <tableColumn name="dci_build_context" id="13"/>
    <tableColumn name="unit_instructional_focus" id="14"/>
    <tableColumn name="focal_sep_elements" id="15"/>
    <tableColumn name="focal_ccc_elements" id="16"/>
    <tableColumn name="assessment_boundary" id="17"/>
    <tableColumn name="anchor_phenomena" id="18"/>
    <tableColumn name="key_academic_vocabulary" id="19"/>
    <tableColumn name="resource_hyperlinks" id="20"/>
    <tableColumn name="student_misconceptions" id="21"/>
    <tableColumn name="accessibility_supports" id="22"/>
  </tableColumns>
  <tableStyleInfo name="Standard_Deconstruction-style" showColumnStripes="0" showFirstColumn="1" showLastColumn="1" showRowStripes="1"/>
</table>
</file>

<file path=xl/tables/table3.xml><?xml version="1.0" encoding="utf-8"?>
<table xmlns="http://schemas.openxmlformats.org/spreadsheetml/2006/main" ref="A1:F209" displayName="Table_1" name="Table_1" id="3">
  <tableColumns count="6">
    <tableColumn name="Number" id="1"/>
    <tableColumn name="Discipline" id="2"/>
    <tableColumn name="SubDiscipline" id="3"/>
    <tableColumn name="Grade Level" id="4"/>
    <tableColumn name="Standard" id="5"/>
    <tableColumn name="Statement" id="6"/>
  </tableColumns>
  <tableStyleInfo name="NGSS_Lookup-style" showColumnStripes="0" showFirstColumn="1" showLastColumn="1" showRowStripes="1"/>
</table>
</file>

<file path=xl/tables/table4.xml><?xml version="1.0" encoding="utf-8"?>
<table xmlns="http://schemas.openxmlformats.org/spreadsheetml/2006/main" ref="A1:J1000" displayName="Table_2" name="Table_2" id="4">
  <tableColumns count="10">
    <tableColumn name="Vocabulary Term" id="1"/>
    <tableColumn name="Grade" id="2"/>
    <tableColumn name="Unit" id="3"/>
    <tableColumn name="Tier" id="4"/>
    <tableColumn name="Definition" id="5"/>
    <tableColumn name="Tier Pathways &amp; Implications" id="6"/>
    <tableColumn name="Example Sentence" id="7"/>
    <tableColumn name="Common Misconceptions" id="8"/>
    <tableColumn name="Instructional Supports" id="9"/>
    <tableColumn name="Spanish Cognate" id="10"/>
  </tableColumns>
  <tableStyleInfo name="OSE_Vocabulary-style" showColumnStripes="0" showFirstColumn="1" showLastColumn="1" showRowStripes="1"/>
</table>
</file>

<file path=xl/tables/table5.xml><?xml version="1.0" encoding="utf-8"?>
<table xmlns="http://schemas.openxmlformats.org/spreadsheetml/2006/main" ref="A1:L61" displayName="Standard_Deconstruction_2" name="Standard_Deconstruction_2" id="5">
  <tableColumns count="12">
    <tableColumn name="internal_standard_id" id="1"/>
    <tableColumn name="dok_target" id="2"/>
    <tableColumn name="ngss_standard_uid" id="3"/>
    <tableColumn name="ngss_standard_text" id="4"/>
    <tableColumn name="ngss_dci_code" id="5"/>
    <tableColumn name="ngss_dci_text" id="6"/>
    <tableColumn name="ngss_sep_code" id="7"/>
    <tableColumn name="ngss_sep_text" id="8"/>
    <tableColumn name="ngss_ccc_code" id="9"/>
    <tableColumn name="ngss_ccc_text" id="10"/>
    <tableColumn name="student_friendly_language" id="11"/>
    <tableColumn name="accessibility_supports" id="12"/>
  </tableColumns>
  <tableStyleInfo name="SD_OOD1-style" showColumnStripes="0" showFirstColumn="1" showLastColumn="1" showRowStripes="1"/>
</table>
</file>

<file path=xl/tables/table6.xml><?xml version="1.0" encoding="utf-8"?>
<table xmlns="http://schemas.openxmlformats.org/spreadsheetml/2006/main" ref="A1:J999" displayName="Task_Analysis" name="Task_Analysis" id="6">
  <tableColumns count="10">
    <tableColumn name="task_uid" id="1"/>
    <tableColumn name="internal_standard_id" id="2"/>
    <tableColumn name="task_title" id="3"/>
    <tableColumn name="task_type" id="4"/>
    <tableColumn name="dok_task" id="5"/>
    <tableColumn name="cognitive_load_est" id="6"/>
    <tableColumn name="mastery_threshold_pct" id="7"/>
    <tableColumn name="exemplar_response_link" id="8"/>
    <tableColumn name="prerequisite_task_uids" id="9"/>
    <tableColumn name="associated_misconception_codes" id="10"/>
  </tableColumns>
  <tableStyleInfo name="Task_Analysis_WIP-style" showColumnStripes="0" showFirstColumn="1" showLastColumn="1" showRowStripes="1"/>
</table>
</file>

<file path=xl/tables/table7.xml><?xml version="1.0" encoding="utf-8"?>
<table xmlns="http://schemas.openxmlformats.org/spreadsheetml/2006/main" ref="A1:G999" displayName="Student_Profile" name="Student_Profile" id="7">
  <tableColumns count="7">
    <tableColumn name="student_id" id="1"/>
    <tableColumn name="student_name_last" id="2"/>
    <tableColumn name="student_name_first" id="3"/>
    <tableColumn name="class_period" id="4"/>
    <tableColumn name="accommodation_codes" id="5"/>
    <tableColumn name="current_goal_internal_standard_id" id="6"/>
    <tableColumn name="learning_modality_pref" id="7"/>
  </tableColumns>
  <tableStyleInfo name="Student_Profile_WI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se.mo.gov/quality-schools/assessment/media/pdf/asmt-ss-geo-g678-item-specs" TargetMode="External"/><Relationship Id="rId20" Type="http://schemas.openxmlformats.org/officeDocument/2006/relationships/hyperlink" Target="https://dese.mo.gov/media/pdf/asmt-gl-pld-ela-gr7" TargetMode="External"/><Relationship Id="rId41" Type="http://schemas.openxmlformats.org/officeDocument/2006/relationships/drawing" Target="../drawings/drawing1.xml"/><Relationship Id="rId22" Type="http://schemas.openxmlformats.org/officeDocument/2006/relationships/hyperlink" Target="https://dese.mo.gov/media/pdf/asmt-gl-sci-grade-8-pld" TargetMode="External"/><Relationship Id="rId21" Type="http://schemas.openxmlformats.org/officeDocument/2006/relationships/hyperlink" Target="https://dese.mo.gov/media/pdf/asmt-gl-pld-math-gr7" TargetMode="External"/><Relationship Id="rId24" Type="http://schemas.openxmlformats.org/officeDocument/2006/relationships/hyperlink" Target="https://dese.mo.gov/media/pdf/asmt-gl-pld-math-gr8" TargetMode="External"/><Relationship Id="rId23" Type="http://schemas.openxmlformats.org/officeDocument/2006/relationships/hyperlink" Target="https://dese.mo.gov/media/pdf/asmt-gl-pld-ela-gr8" TargetMode="External"/><Relationship Id="rId1" Type="http://schemas.openxmlformats.org/officeDocument/2006/relationships/hyperlink" Target="https://www.youtube.com/watch?v=xfKLZyHuRLA&amp;list=PLSLDxqPb5NQnOuszJ8KHVpPV4ksqGGndO" TargetMode="External"/><Relationship Id="rId2" Type="http://schemas.openxmlformats.org/officeDocument/2006/relationships/hyperlink" Target="https://www.youtube.com/watch?v=2C3MMBy_7hA&amp;list=PLSLDxqPb5NQmNV3WowHbEZIXtE63ioT_U" TargetMode="External"/><Relationship Id="rId3" Type="http://schemas.openxmlformats.org/officeDocument/2006/relationships/hyperlink" Target="https://dese.mo.gov/media/pdf/asmt-gl-practice-form-ela-gr5" TargetMode="External"/><Relationship Id="rId4" Type="http://schemas.openxmlformats.org/officeDocument/2006/relationships/hyperlink" Target="https://dese.mo.gov/media/pdf/asmt-gl-practice-form-math-gr5" TargetMode="External"/><Relationship Id="rId9" Type="http://schemas.openxmlformats.org/officeDocument/2006/relationships/hyperlink" Target="https://dese.mo.gov/media/pdf/asmt-gl-practice-form-math-gr6" TargetMode="External"/><Relationship Id="rId26" Type="http://schemas.openxmlformats.org/officeDocument/2006/relationships/hyperlink" Target="https://dese.mo.gov/quality-schools/assessment/media/pdf/asmt-math-g5-item-specs" TargetMode="External"/><Relationship Id="rId25" Type="http://schemas.openxmlformats.org/officeDocument/2006/relationships/hyperlink" Target="https://dese.mo.gov/quality-schools/assessment/media/pdf/asmt-ela-g5-item-specs" TargetMode="External"/><Relationship Id="rId28" Type="http://schemas.openxmlformats.org/officeDocument/2006/relationships/hyperlink" Target="https://dese.mo.gov/quality-schools/assessment/media/pdf/asmt-ss-g5-item-specs" TargetMode="External"/><Relationship Id="rId27" Type="http://schemas.openxmlformats.org/officeDocument/2006/relationships/hyperlink" Target="https://dese.mo.gov/quality-schools/assessment/media/pdf/asmt-sci-g5-item-specs-0617" TargetMode="External"/><Relationship Id="rId5" Type="http://schemas.openxmlformats.org/officeDocument/2006/relationships/hyperlink" Target="https://dese.mo.gov/media/pdf/asmt-gl-practice-form-sci-gr5" TargetMode="External"/><Relationship Id="rId6" Type="http://schemas.openxmlformats.org/officeDocument/2006/relationships/hyperlink" Target="https://docs.google.com/document/d/1rvf31T2R_2bosNt5M7XaaWMttQ4CDn1fYaNtqct_AO8/copy" TargetMode="External"/><Relationship Id="rId29" Type="http://schemas.openxmlformats.org/officeDocument/2006/relationships/hyperlink" Target="https://dese.mo.gov/quality-schools/assessment/media/pdf/asmt-ela-g6-item-specs" TargetMode="External"/><Relationship Id="rId7" Type="http://schemas.openxmlformats.org/officeDocument/2006/relationships/hyperlink" Target="https://docs.google.com/document/d/1AFJRhKJn2zaOc0Pfx1XcxRDhcDVryPUEFqOvKh45j98/copy" TargetMode="External"/><Relationship Id="rId8" Type="http://schemas.openxmlformats.org/officeDocument/2006/relationships/hyperlink" Target="https://dese.mo.gov/media/pdf/asmt-gl-practice-form-ela-gr6" TargetMode="External"/><Relationship Id="rId31" Type="http://schemas.openxmlformats.org/officeDocument/2006/relationships/hyperlink" Target="https://dese.mo.gov/quality-schools/assessment/media/pdf/asmt-sci-es-ms-item-specs-0617" TargetMode="External"/><Relationship Id="rId30" Type="http://schemas.openxmlformats.org/officeDocument/2006/relationships/hyperlink" Target="https://dese.mo.gov/quality-schools/assessment/media/pdf/asmt-math-g6-item-specs" TargetMode="External"/><Relationship Id="rId11" Type="http://schemas.openxmlformats.org/officeDocument/2006/relationships/hyperlink" Target="https://dese.mo.gov/media/pdf/asmt-gl-practice-form-math-gr7" TargetMode="External"/><Relationship Id="rId33" Type="http://schemas.openxmlformats.org/officeDocument/2006/relationships/hyperlink" Target="https://dese.mo.gov/quality-schools/assessment/media/pdf/asmt-ela-g7-item-specs" TargetMode="External"/><Relationship Id="rId10" Type="http://schemas.openxmlformats.org/officeDocument/2006/relationships/hyperlink" Target="https://dese.mo.gov/media/pdf/asmt-gl-practice-form-ela-gr7" TargetMode="External"/><Relationship Id="rId32" Type="http://schemas.openxmlformats.org/officeDocument/2006/relationships/hyperlink" Target="https://dese.mo.gov/quality-schools/assessment/media/pdf/asmt-ss-ah-g68-item-specs" TargetMode="External"/><Relationship Id="rId13" Type="http://schemas.openxmlformats.org/officeDocument/2006/relationships/hyperlink" Target="https://dese.mo.gov/media/pdf/asmt-gl-practice-form-ela-gr8" TargetMode="External"/><Relationship Id="rId35" Type="http://schemas.openxmlformats.org/officeDocument/2006/relationships/hyperlink" Target="https://dese.mo.gov/quality-schools/assessment/media/pdf/asmt-sci-ls-ms-item-specs-0617" TargetMode="External"/><Relationship Id="rId12" Type="http://schemas.openxmlformats.org/officeDocument/2006/relationships/hyperlink" Target="https://dese.mo.gov/media/pdf/asmt-gl-practice-form-sci-gr8" TargetMode="External"/><Relationship Id="rId34" Type="http://schemas.openxmlformats.org/officeDocument/2006/relationships/hyperlink" Target="https://dese.mo.gov/quality-schools/assessment/media/pdf/asmt-math-g7-item-specs" TargetMode="External"/><Relationship Id="rId15" Type="http://schemas.openxmlformats.org/officeDocument/2006/relationships/hyperlink" Target="https://dese.mo.gov/media/pdf/asmt-gl-pld-ela-gr5" TargetMode="External"/><Relationship Id="rId37" Type="http://schemas.openxmlformats.org/officeDocument/2006/relationships/hyperlink" Target="https://dese.mo.gov/quality-schools/assessment/media/pdf/asmt-ela-g8-item-specs" TargetMode="External"/><Relationship Id="rId14" Type="http://schemas.openxmlformats.org/officeDocument/2006/relationships/hyperlink" Target="https://dese.mo.gov/media/pdf/asmt-gl-practice-form-math-gr8" TargetMode="External"/><Relationship Id="rId36" Type="http://schemas.openxmlformats.org/officeDocument/2006/relationships/hyperlink" Target="https://dese.mo.gov/quality-schools/assessment/media/pdf/asmt-ss-wh-g678-item-specs" TargetMode="External"/><Relationship Id="rId17" Type="http://schemas.openxmlformats.org/officeDocument/2006/relationships/hyperlink" Target="https://dese.mo.gov/media/pdf/asmt-gl-sci-grade-5-pld" TargetMode="External"/><Relationship Id="rId39" Type="http://schemas.openxmlformats.org/officeDocument/2006/relationships/hyperlink" Target="https://dese.mo.gov/quality-schools/assessment/media/pdf/asmt-sci-ps-ms-item-specs-0617" TargetMode="External"/><Relationship Id="rId16" Type="http://schemas.openxmlformats.org/officeDocument/2006/relationships/hyperlink" Target="https://dese.mo.gov/media/pdf/asmt-gl-pld-math-gr5" TargetMode="External"/><Relationship Id="rId38" Type="http://schemas.openxmlformats.org/officeDocument/2006/relationships/hyperlink" Target="https://dese.mo.gov/quality-schools/assessment/media/pdf/asmt-math-g8-item-specs" TargetMode="External"/><Relationship Id="rId19" Type="http://schemas.openxmlformats.org/officeDocument/2006/relationships/hyperlink" Target="https://dese.mo.gov/media/pdf/asmt-gl-pld-math-gr6" TargetMode="External"/><Relationship Id="rId18" Type="http://schemas.openxmlformats.org/officeDocument/2006/relationships/hyperlink" Target="https://dese.mo.gov/media/pdf/asmt-gl-pld-ela-gr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WKNusCM8GAvNDFdV2AjY5sTwyti4BFZk9I1rFa74mxo/edit?resourcekey=&amp;gid=1193135507" TargetMode="External"/><Relationship Id="rId22" Type="http://schemas.openxmlformats.org/officeDocument/2006/relationships/hyperlink" Target="https://docs.google.com/spreadsheets/d/1ezPhPfgGBlZIzMnymbnrUr2FhcM_6Sv_nk0hxcbuzTQ/edit?resourcekey=&amp;gid=1960095997" TargetMode="External"/><Relationship Id="rId21" Type="http://schemas.openxmlformats.org/officeDocument/2006/relationships/hyperlink" Target="https://docs.google.com/forms/d/1D2OP97PUNEurORU5Sbiok4TDmg6UEcP1w6ZSJqDmpUM/edit" TargetMode="External"/><Relationship Id="rId24" Type="http://schemas.openxmlformats.org/officeDocument/2006/relationships/hyperlink" Target="https://docs.google.com/spreadsheets/d/1nCvx2881PQ64OQinwpUfP8HphDEhFD0vPRxp_AAAdlM/edit?resourcekey=&amp;gid=1759088364" TargetMode="External"/><Relationship Id="rId23" Type="http://schemas.openxmlformats.org/officeDocument/2006/relationships/hyperlink" Target="https://docs.google.com/forms/d/1aAmNfTChjaQfccIXKxFhvnVZyqLIb5_rdy8e4yc7Oj8/edit" TargetMode="External"/><Relationship Id="rId1" Type="http://schemas.openxmlformats.org/officeDocument/2006/relationships/hyperlink" Target="https://docs.google.com/forms/d/11hFdoUym9hJbdx1VYmY5-siSBJjLHeyxpFdLJYnqg6I/edit" TargetMode="External"/><Relationship Id="rId2" Type="http://schemas.openxmlformats.org/officeDocument/2006/relationships/hyperlink" Target="https://docs.google.com/forms/d/1XWIOaF_PjbSYsK2QQN62cmbVq3GhwnNu8NtldImFpzU/edit" TargetMode="External"/><Relationship Id="rId3" Type="http://schemas.openxmlformats.org/officeDocument/2006/relationships/hyperlink" Target="https://docs.google.com/forms/d/1D2OP97PUNEurORU5Sbiok4TDmg6UEcP1w6ZSJqDmpUM/edit" TargetMode="External"/><Relationship Id="rId4" Type="http://schemas.openxmlformats.org/officeDocument/2006/relationships/hyperlink" Target="https://docs.google.com/forms/d/1aAmNfTChjaQfccIXKxFhvnVZyqLIb5_rdy8e4yc7Oj8/edit" TargetMode="External"/><Relationship Id="rId9" Type="http://schemas.openxmlformats.org/officeDocument/2006/relationships/hyperlink" Target="https://docs.google.com/forms/d/18jK-LMtm2D_C9vzbvq4YMWIQXi29z3mV_y6UuuU7PSo/edit" TargetMode="External"/><Relationship Id="rId26" Type="http://schemas.openxmlformats.org/officeDocument/2006/relationships/hyperlink" Target="https://docs.google.com/spreadsheets/d/1cImVBctl3mh_jlEmJoy6CEEFe_DDCxRGkjB_Jp-qsU8/edit?resourcekey=&amp;gid=1242186389" TargetMode="External"/><Relationship Id="rId25" Type="http://schemas.openxmlformats.org/officeDocument/2006/relationships/hyperlink" Target="https://docs.google.com/forms/d/1KElEAqVxeA_W38iEOyvgKcruHctlOTV6mFl6dqKS3yg/edit" TargetMode="External"/><Relationship Id="rId27" Type="http://schemas.openxmlformats.org/officeDocument/2006/relationships/drawing" Target="../drawings/drawing7.xml"/><Relationship Id="rId5" Type="http://schemas.openxmlformats.org/officeDocument/2006/relationships/hyperlink" Target="https://docs.google.com/forms/d/1KElEAqVxeA_W38iEOyvgKcruHctlOTV6mFl6dqKS3yg/edit" TargetMode="External"/><Relationship Id="rId6" Type="http://schemas.openxmlformats.org/officeDocument/2006/relationships/hyperlink" Target="https://docs.google.com/forms/d/1HzkE37c56RqI8sR6hTyH_Xn2YGtMnIaqgNVqX5Cm-Gw/edit" TargetMode="External"/><Relationship Id="rId7" Type="http://schemas.openxmlformats.org/officeDocument/2006/relationships/hyperlink" Target="https://docs.google.com/forms/d/1ck8knSCazGlvMcXY7T1tzpd6YFGu1zi_pIVp1TnhkhM/edit" TargetMode="External"/><Relationship Id="rId8" Type="http://schemas.openxmlformats.org/officeDocument/2006/relationships/hyperlink" Target="https://docs.google.com/forms/d/1Kh0kQsqgl1IV0My4WntZYAs_XZf2RnDQZCJGZZ0MFy0/edit" TargetMode="External"/><Relationship Id="rId11" Type="http://schemas.openxmlformats.org/officeDocument/2006/relationships/hyperlink" Target="https://docs.google.com/forms/d/1ksiWIK5AX2dvrX7t6m83JwIk4z5S8e2xb377UudEaSQ/edit" TargetMode="External"/><Relationship Id="rId10" Type="http://schemas.openxmlformats.org/officeDocument/2006/relationships/hyperlink" Target="https://docs.google.com/forms/d/1hNG5RCVCGfBheNn0Px4hSLQ95xVfQVkvCspnMHovIek/edit" TargetMode="External"/><Relationship Id="rId13" Type="http://schemas.openxmlformats.org/officeDocument/2006/relationships/hyperlink" Target="https://docs.google.com/forms/d/1XhoAT_Yh1HdOMLiwstjfIw4JevQVVvaZrPcK5ASivgI/edit" TargetMode="External"/><Relationship Id="rId12" Type="http://schemas.openxmlformats.org/officeDocument/2006/relationships/hyperlink" Target="https://docs.google.com/forms/d/1yyIReBklxFZ2HxSdPJqugFTKivJp48eWVOq4-nNZmCY/edit" TargetMode="External"/><Relationship Id="rId15" Type="http://schemas.openxmlformats.org/officeDocument/2006/relationships/hyperlink" Target="https://docs.google.com/forms/d/1dwRhOSQEXgax1GsWUC1PIMgwHiaf1O0_9d6hXwJab9c/edit" TargetMode="External"/><Relationship Id="rId14" Type="http://schemas.openxmlformats.org/officeDocument/2006/relationships/hyperlink" Target="https://docs.google.com/forms/d/1FCv4obVhMgfVcl323-R3XJ00MlxGEjV721KsBYOLtgA/edit" TargetMode="External"/><Relationship Id="rId17" Type="http://schemas.openxmlformats.org/officeDocument/2006/relationships/hyperlink" Target="https://docs.google.com/forms/d/11hFdoUym9hJbdx1VYmY5-siSBJjLHeyxpFdLJYnqg6I/edit" TargetMode="External"/><Relationship Id="rId16" Type="http://schemas.openxmlformats.org/officeDocument/2006/relationships/hyperlink" Target="https://docs.google.com/forms/d/1sv9ehGZcQW8f60eAtuZlNhgAuuwCmifQWTdtu0cXGiM/edit" TargetMode="External"/><Relationship Id="rId19" Type="http://schemas.openxmlformats.org/officeDocument/2006/relationships/hyperlink" Target="https://docs.google.com/forms/d/1XWIOaF_PjbSYsK2QQN62cmbVq3GhwnNu8NtldImFpzU/edit" TargetMode="External"/><Relationship Id="rId18" Type="http://schemas.openxmlformats.org/officeDocument/2006/relationships/hyperlink" Target="https://docs.google.com/spreadsheets/d/1oPrvVT6QDWEUmx87GoqLd1CXTtfLo6WfrreUocg_I08/edit?resourcekey=&amp;gid=2042381355"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forms/d/18jK-LMtm2D_C9vzbvq4YMWIQXi29z3mV_y6UuuU7PSo/edit" TargetMode="External"/><Relationship Id="rId22" Type="http://schemas.openxmlformats.org/officeDocument/2006/relationships/hyperlink" Target="https://docs.google.com/forms/d/1yyIReBklxFZ2HxSdPJqugFTKivJp48eWVOq4-nNZmCY/edit" TargetMode="External"/><Relationship Id="rId21" Type="http://schemas.openxmlformats.org/officeDocument/2006/relationships/hyperlink" Target="https://docs.google.com/forms/d/1hNG5RCVCGfBheNn0Px4hSLQ95xVfQVkvCspnMHovIek/edit" TargetMode="External"/><Relationship Id="rId24" Type="http://schemas.openxmlformats.org/officeDocument/2006/relationships/hyperlink" Target="https://docs.google.com/forms/d/1FCv4obVhMgfVcl323-R3XJ00MlxGEjV721KsBYOLtgA/edit" TargetMode="External"/><Relationship Id="rId23" Type="http://schemas.openxmlformats.org/officeDocument/2006/relationships/hyperlink" Target="https://docs.google.com/forms/d/1XhoAT_Yh1HdOMLiwstjfIw4JevQVVvaZrPcK5ASivgI/edit" TargetMode="External"/><Relationship Id="rId1" Type="http://schemas.openxmlformats.org/officeDocument/2006/relationships/comments" Target="../comments1.xml"/><Relationship Id="rId2" Type="http://schemas.openxmlformats.org/officeDocument/2006/relationships/hyperlink" Target="https://docs.google.com/forms/d/1mStVu_nv5aUHVvzLVq-B2BBt9dr-S3uXZRpfGxLkQb0/edit" TargetMode="External"/><Relationship Id="rId3" Type="http://schemas.openxmlformats.org/officeDocument/2006/relationships/hyperlink" Target="https://docs.google.com/forms/d/1g3JzUc-UzN89uHXi2DpJhwFPfgcIyQK5hfovjAoDQMI/edit" TargetMode="External"/><Relationship Id="rId4" Type="http://schemas.openxmlformats.org/officeDocument/2006/relationships/hyperlink" Target="https://docs.google.com/forms/d/1nwQzjuV4unHOlZgeBKvSWeFzNmAedW3HQQNViJ_mzqw/edit" TargetMode="External"/><Relationship Id="rId9" Type="http://schemas.openxmlformats.org/officeDocument/2006/relationships/hyperlink" Target="https://docs.google.com/forms/d/1W8pjJr8qm0itOwBDoywz4FYr2NiJMa7DOJWtFjlQJzA/edit" TargetMode="External"/><Relationship Id="rId26" Type="http://schemas.openxmlformats.org/officeDocument/2006/relationships/hyperlink" Target="https://docs.google.com/forms/d/1sv9ehGZcQW8f60eAtuZlNhgAuuwCmifQWTdtu0cXGiM/edit" TargetMode="External"/><Relationship Id="rId25" Type="http://schemas.openxmlformats.org/officeDocument/2006/relationships/hyperlink" Target="https://docs.google.com/forms/d/1dwRhOSQEXgax1GsWUC1PIMgwHiaf1O0_9d6hXwJab9c/edit" TargetMode="External"/><Relationship Id="rId28" Type="http://schemas.openxmlformats.org/officeDocument/2006/relationships/hyperlink" Target="https://docs.google.com/forms/d/1XWIOaF_PjbSYsK2QQN62cmbVq3GhwnNu8NtldImFpzU/edit" TargetMode="External"/><Relationship Id="rId27" Type="http://schemas.openxmlformats.org/officeDocument/2006/relationships/hyperlink" Target="https://docs.google.com/forms/d/11hFdoUym9hJbdx1VYmY5-siSBJjLHeyxpFdLJYnqg6I/edit" TargetMode="External"/><Relationship Id="rId5" Type="http://schemas.openxmlformats.org/officeDocument/2006/relationships/hyperlink" Target="https://docs.google.com/forms/d/1b4HjqX-hqoTmqRZU261BFSK-2zQyynhg2T0LPQMbeFQ/edit" TargetMode="External"/><Relationship Id="rId6" Type="http://schemas.openxmlformats.org/officeDocument/2006/relationships/hyperlink" Target="https://docs.google.com/forms/d/1E90_Pj06AUkL92BZwm0gxPCVLzA5dKOWdxhsXVGFFPo/edit" TargetMode="External"/><Relationship Id="rId29" Type="http://schemas.openxmlformats.org/officeDocument/2006/relationships/hyperlink" Target="https://docs.google.com/forms/d/1D2OP97PUNEurORU5Sbiok4TDmg6UEcP1w6ZSJqDmpUM/edit" TargetMode="External"/><Relationship Id="rId7" Type="http://schemas.openxmlformats.org/officeDocument/2006/relationships/hyperlink" Target="https://docs.google.com/forms/d/1isP_x8x2gcba-MUXi9d_EjgfzwXl4FXEgTEu67EstFw/edit" TargetMode="External"/><Relationship Id="rId8" Type="http://schemas.openxmlformats.org/officeDocument/2006/relationships/hyperlink" Target="https://docs.google.com/forms/d/1C-UGJbKeq5Bqf6TQrt6KnQW-nG9xOMOM7kkOgjml45w/edit" TargetMode="External"/><Relationship Id="rId31" Type="http://schemas.openxmlformats.org/officeDocument/2006/relationships/hyperlink" Target="https://docs.google.com/forms/d/1KElEAqVxeA_W38iEOyvgKcruHctlOTV6mFl6dqKS3yg/edit" TargetMode="External"/><Relationship Id="rId30" Type="http://schemas.openxmlformats.org/officeDocument/2006/relationships/hyperlink" Target="https://docs.google.com/forms/d/1aAmNfTChjaQfccIXKxFhvnVZyqLIb5_rdy8e4yc7Oj8/edit" TargetMode="External"/><Relationship Id="rId11" Type="http://schemas.openxmlformats.org/officeDocument/2006/relationships/hyperlink" Target="https://docs.google.com/forms/d/1IvqjX22OFpGsZPbf5fqCP_v1VIbk5yoAw7zDLuGgQu4/edit" TargetMode="External"/><Relationship Id="rId33" Type="http://schemas.openxmlformats.org/officeDocument/2006/relationships/vmlDrawing" Target="../drawings/vmlDrawing1.vml"/><Relationship Id="rId10" Type="http://schemas.openxmlformats.org/officeDocument/2006/relationships/hyperlink" Target="https://docs.google.com/forms/d/1Njl_ieLhvxIaJXIwWzbR83m1aofkYRGPnneHBgk4th0/edit" TargetMode="External"/><Relationship Id="rId32" Type="http://schemas.openxmlformats.org/officeDocument/2006/relationships/drawing" Target="../drawings/drawing8.xml"/><Relationship Id="rId13" Type="http://schemas.openxmlformats.org/officeDocument/2006/relationships/hyperlink" Target="https://docs.google.com/forms/d/1Pa4D5-ppF3OTaubOpHgjLMKeI1P8u5Vn60TZKcj6GA8/edit" TargetMode="External"/><Relationship Id="rId12" Type="http://schemas.openxmlformats.org/officeDocument/2006/relationships/hyperlink" Target="https://docs.google.com/forms/d/1iyvr960FvkMbGfP-HNS5kNebuFk1nncq1BADJSHqn1A/edit" TargetMode="External"/><Relationship Id="rId15" Type="http://schemas.openxmlformats.org/officeDocument/2006/relationships/hyperlink" Target="https://docs.google.com/forms/d/1s9DZZ6fwgTUeNjxBsafZlor0GDnh0iMpQfTGOJktTS4/edit" TargetMode="External"/><Relationship Id="rId14" Type="http://schemas.openxmlformats.org/officeDocument/2006/relationships/hyperlink" Target="https://docs.google.com/forms/d/1YGyJbQgW3S1sAOFVC8sS5kuDuuy5p_T5CUrqilv_XTs/edit" TargetMode="External"/><Relationship Id="rId17" Type="http://schemas.openxmlformats.org/officeDocument/2006/relationships/hyperlink" Target="https://docs.google.com/forms/d/1HzkE37c56RqI8sR6hTyH_Xn2YGtMnIaqgNVqX5Cm-Gw/edit" TargetMode="External"/><Relationship Id="rId16" Type="http://schemas.openxmlformats.org/officeDocument/2006/relationships/hyperlink" Target="https://docs.google.com/forms/d/1jaoLLyCWNesBL0THQfl7taxgACso4S8S0X5ODX1CP6E/edit" TargetMode="External"/><Relationship Id="rId19" Type="http://schemas.openxmlformats.org/officeDocument/2006/relationships/hyperlink" Target="https://docs.google.com/forms/d/1Kh0kQsqgl1IV0My4WntZYAs_XZf2RnDQZCJGZZ0MFy0/edit" TargetMode="External"/><Relationship Id="rId18" Type="http://schemas.openxmlformats.org/officeDocument/2006/relationships/hyperlink" Target="https://docs.google.com/forms/d/1ck8knSCazGlvMcXY7T1tzpd6YFGu1zi_pIVp1TnhkhM/edit"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forms/d/180h5I4I2HfNRGh-Na3aKf8XQOABLXKQsXntQqE1MaXc/edit" TargetMode="External"/><Relationship Id="rId22" Type="http://schemas.openxmlformats.org/officeDocument/2006/relationships/hyperlink" Target="https://docs.google.com/forms/d/10k2XoIL4rMKk24uL7-YyKmhIDhUOAzYWwbYz4LBDuqs/edit" TargetMode="External"/><Relationship Id="rId21" Type="http://schemas.openxmlformats.org/officeDocument/2006/relationships/hyperlink" Target="https://docs.google.com/forms/d/1GvAaacOzs-wLj8ojHZSCuOV_mZxRbo9E519QXpSXJtE/edit" TargetMode="External"/><Relationship Id="rId24" Type="http://schemas.openxmlformats.org/officeDocument/2006/relationships/hyperlink" Target="https://docs.google.com/forms/d/1iq-lBbBU-m6aG6OPEjUuHEx0__Ib5IL_ysR95gBUymQ/edit" TargetMode="External"/><Relationship Id="rId23" Type="http://schemas.openxmlformats.org/officeDocument/2006/relationships/hyperlink" Target="https://docs.google.com/forms/d/1YqRl69uV49UoJZg_kQByrZ-LF3es24KljyPtRoOFuTA/edit" TargetMode="External"/><Relationship Id="rId1" Type="http://schemas.openxmlformats.org/officeDocument/2006/relationships/comments" Target="../comments2.xml"/><Relationship Id="rId2" Type="http://schemas.openxmlformats.org/officeDocument/2006/relationships/hyperlink" Target="https://docs.google.com/forms/d/12oWRGQUxzL0mwY_hRiCFxG76AtROOTpAMjwr7ayv_K0/edit" TargetMode="External"/><Relationship Id="rId3" Type="http://schemas.openxmlformats.org/officeDocument/2006/relationships/hyperlink" Target="https://docs.google.com/forms/d/1ttqgj2x1dGsbt4R_rr2eOEbDn2AzcOTg5sH8I3SZ3tM/edit" TargetMode="External"/><Relationship Id="rId4" Type="http://schemas.openxmlformats.org/officeDocument/2006/relationships/hyperlink" Target="https://docs.google.com/forms/d/1nwQzjuV4unHOlZgeBKvSWeFzNmAedW3HQQNViJ_mzqw/edit" TargetMode="External"/><Relationship Id="rId9" Type="http://schemas.openxmlformats.org/officeDocument/2006/relationships/hyperlink" Target="https://docs.google.com/forms/d/1zQaKG-sweqH_W9tXhTTEqhOauaUs8A5d1sXNGZPyTUo/edit" TargetMode="External"/><Relationship Id="rId26" Type="http://schemas.openxmlformats.org/officeDocument/2006/relationships/hyperlink" Target="https://docs.google.com/forms/d/1K7EipO5B-8fn35Azwx55YRr-waZffJv9ZW2cBSx7FbU/edit" TargetMode="External"/><Relationship Id="rId25" Type="http://schemas.openxmlformats.org/officeDocument/2006/relationships/hyperlink" Target="https://docs.google.com/forms/d/14WMegk7g1PBjIMgXBr863YpmEhyNVbLWFHdMV6QkK-4/edit" TargetMode="External"/><Relationship Id="rId28" Type="http://schemas.openxmlformats.org/officeDocument/2006/relationships/hyperlink" Target="https://docs.google.com/forms/d/1QYLFjbDfVXCOnsWEscSGGYV-cJhWTC7fe68De0dFDGo/edit" TargetMode="External"/><Relationship Id="rId27" Type="http://schemas.openxmlformats.org/officeDocument/2006/relationships/hyperlink" Target="https://docs.google.com/forms/d/1e9O-cXUT_c0rSZ2hATLounCemlKUo13_B-P-t-WWHgM/edit" TargetMode="External"/><Relationship Id="rId5" Type="http://schemas.openxmlformats.org/officeDocument/2006/relationships/hyperlink" Target="https://docs.google.com/forms/d/1b4HjqX-hqoTmqRZU261BFSK-2zQyynhg2T0LPQMbeFQ/edit" TargetMode="External"/><Relationship Id="rId6" Type="http://schemas.openxmlformats.org/officeDocument/2006/relationships/hyperlink" Target="https://docs.google.com/forms/d/1EcrHNtlIMu8A7aNxKcoZSKv775eoy181SKT1OLH7Xkk/edit" TargetMode="External"/><Relationship Id="rId29" Type="http://schemas.openxmlformats.org/officeDocument/2006/relationships/hyperlink" Target="https://docs.google.com/forms/d/1RS9Xj5uwUoeMG_QU64jGS39f8OU9EhHzOPjQkD1zPZM/edit" TargetMode="External"/><Relationship Id="rId7" Type="http://schemas.openxmlformats.org/officeDocument/2006/relationships/hyperlink" Target="https://docs.google.com/forms/d/1XKp9GVDUjbainFBlYK-BRJR2FRzAYwm4iDyIY6iW-Nk/edit" TargetMode="External"/><Relationship Id="rId8" Type="http://schemas.openxmlformats.org/officeDocument/2006/relationships/hyperlink" Target="https://docs.google.com/forms/d/1VrgdP6XrnTovMLTq2seZwfsp-wcNz0V4HwB8dnkkN-4/edit" TargetMode="External"/><Relationship Id="rId31" Type="http://schemas.openxmlformats.org/officeDocument/2006/relationships/hyperlink" Target="https://docs.google.com/forms/d/1SCwOdt2oZe1c2bOYMQjVA8axlnNAi3g0ku88pupYZZo/edit" TargetMode="External"/><Relationship Id="rId30" Type="http://schemas.openxmlformats.org/officeDocument/2006/relationships/hyperlink" Target="https://docs.google.com/forms/d/1HpEnh0aiL58quwzxtcCcgyOi5lFrvYGwkjlnxyUyepM/edit" TargetMode="External"/><Relationship Id="rId11" Type="http://schemas.openxmlformats.org/officeDocument/2006/relationships/hyperlink" Target="https://docs.google.com/forms/d/16E0wcfwylNRaVqohVZR4EeuK4iQS7enXhfB_YdTXz1g/edit" TargetMode="External"/><Relationship Id="rId33" Type="http://schemas.openxmlformats.org/officeDocument/2006/relationships/vmlDrawing" Target="../drawings/vmlDrawing2.vml"/><Relationship Id="rId10" Type="http://schemas.openxmlformats.org/officeDocument/2006/relationships/hyperlink" Target="https://docs.google.com/forms/d/1qHVJ-jXU6Q2nYKvzH_qnYbRFs9NSrU5tC3CbXLRsDos/edit" TargetMode="External"/><Relationship Id="rId32" Type="http://schemas.openxmlformats.org/officeDocument/2006/relationships/drawing" Target="../drawings/drawing9.xml"/><Relationship Id="rId13" Type="http://schemas.openxmlformats.org/officeDocument/2006/relationships/hyperlink" Target="https://docs.google.com/forms/d/1UnuMDVN9Wwz8FasFQ7He2_Xoz-RDFNfFGWxbS64y1jE/edit" TargetMode="External"/><Relationship Id="rId12" Type="http://schemas.openxmlformats.org/officeDocument/2006/relationships/hyperlink" Target="https://docs.google.com/forms/d/1Lt14-uwBYhFdUX90rDF177zxqp31WqGA3EDOYJ5G4kM/edit" TargetMode="External"/><Relationship Id="rId15" Type="http://schemas.openxmlformats.org/officeDocument/2006/relationships/hyperlink" Target="https://docs.google.com/forms/d/1cMCiUc0tUiqPqZGNj4RGbJPMrPIWpeZfT0UojwcbzSA/edit" TargetMode="External"/><Relationship Id="rId14" Type="http://schemas.openxmlformats.org/officeDocument/2006/relationships/hyperlink" Target="https://docs.google.com/forms/d/1djp72Zb_kZkGIbxr62hrs34oVH5Src2Hli01TzoU5nc/edit" TargetMode="External"/><Relationship Id="rId17" Type="http://schemas.openxmlformats.org/officeDocument/2006/relationships/hyperlink" Target="https://docs.google.com/forms/d/16B3aAejyZmX5lozk_cJjOsNIhF55TT2vgEZgTxJkjlk/edit" TargetMode="External"/><Relationship Id="rId16" Type="http://schemas.openxmlformats.org/officeDocument/2006/relationships/hyperlink" Target="https://docs.google.com/forms/d/e/1FAIpQLScIGPcVx2PIIS6gtxGIy8e58QZmMuMiop6MkYxU4x4-A_o7Sg" TargetMode="External"/><Relationship Id="rId19" Type="http://schemas.openxmlformats.org/officeDocument/2006/relationships/hyperlink" Target="https://docs.google.com/forms/d/11aR4deG9GQ_-IzSQIG3qFZlj43rzvAHa-jLtSPwX2hE/edit" TargetMode="External"/><Relationship Id="rId18" Type="http://schemas.openxmlformats.org/officeDocument/2006/relationships/hyperlink" Target="https://docs.google.com/forms/d/1kgx0TjpEH7g5UqI_nEZQDfYC15_ezIvpKK_BWy9lW-A/edit"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google.com/forms/d/1QYLFjbDfVXCOnsWEscSGGYV-cJhWTC7fe68De0dFDGo/edit" TargetMode="External"/><Relationship Id="rId22" Type="http://schemas.openxmlformats.org/officeDocument/2006/relationships/hyperlink" Target="https://docs.google.com/forms/d/1RS9Xj5uwUoeMG_QU64jGS39f8OU9EhHzOPjQkD1zPZM/edit" TargetMode="External"/><Relationship Id="rId21" Type="http://schemas.openxmlformats.org/officeDocument/2006/relationships/hyperlink" Target="https://docs.google.com/spreadsheets/d/1vDW96D0jhLp3dqfF_NhyisR2fEMt7If5PNR9LhOzyOw/edit?resourcekey=&amp;gid=84976851" TargetMode="External"/><Relationship Id="rId24" Type="http://schemas.openxmlformats.org/officeDocument/2006/relationships/hyperlink" Target="https://docs.google.com/forms/d/1HpEnh0aiL58quwzxtcCcgyOi5lFrvYGwkjlnxyUyepM/edit" TargetMode="External"/><Relationship Id="rId23" Type="http://schemas.openxmlformats.org/officeDocument/2006/relationships/hyperlink" Target="https://docs.google.com/spreadsheets/d/1zsjzVNqPw5C8UZwN1FSxr5wlhFdttH7QD016qQYC5yM/edit?resourcekey=&amp;gid=647143208" TargetMode="External"/><Relationship Id="rId1" Type="http://schemas.openxmlformats.org/officeDocument/2006/relationships/hyperlink" Target="https://docs.google.com/forms/d/1nwQzjuV4unHOlZgeBKvSWeFzNmAedW3HQQNViJ_mzqw/edit" TargetMode="External"/><Relationship Id="rId2" Type="http://schemas.openxmlformats.org/officeDocument/2006/relationships/hyperlink" Target="https://docs.google.com/forms/d/1Lt14-uwBYhFdUX90rDF177zxqp31WqGA3EDOYJ5G4kM/edit" TargetMode="External"/><Relationship Id="rId3" Type="http://schemas.openxmlformats.org/officeDocument/2006/relationships/hyperlink" Target="https://docs.google.com/forms/d/1UnuMDVN9Wwz8FasFQ7He2_Xoz-RDFNfFGWxbS64y1jE/edit" TargetMode="External"/><Relationship Id="rId4" Type="http://schemas.openxmlformats.org/officeDocument/2006/relationships/hyperlink" Target="https://docs.google.com/forms/d/1djp72Zb_kZkGIbxr62hrs34oVH5Src2Hli01TzoU5nc/edit" TargetMode="External"/><Relationship Id="rId9" Type="http://schemas.openxmlformats.org/officeDocument/2006/relationships/hyperlink" Target="https://docs.google.com/forms/d/11aR4deG9GQ_-IzSQIG3qFZlj43rzvAHa-jLtSPwX2hE/edit" TargetMode="External"/><Relationship Id="rId26" Type="http://schemas.openxmlformats.org/officeDocument/2006/relationships/hyperlink" Target="https://docs.google.com/forms/d/1SCwOdt2oZe1c2bOYMQjVA8axlnNAi3g0ku88pupYZZo/edit" TargetMode="External"/><Relationship Id="rId25" Type="http://schemas.openxmlformats.org/officeDocument/2006/relationships/hyperlink" Target="https://docs.google.com/spreadsheets/d/1Ews3nhY1U6WJEWM6wEnULZ7KkCQjH3B_JWwPaiO50V0/edit?resourcekey=&amp;gid=906553254" TargetMode="External"/><Relationship Id="rId28" Type="http://schemas.openxmlformats.org/officeDocument/2006/relationships/drawing" Target="../drawings/drawing12.xml"/><Relationship Id="rId27" Type="http://schemas.openxmlformats.org/officeDocument/2006/relationships/hyperlink" Target="https://docs.google.com/spreadsheets/d/1gEfsymJ36JBfQSLSHCdx6IG9likdyNdW5r4IPUTgAbo/edit?resourcekey=&amp;gid=1181658117" TargetMode="External"/><Relationship Id="rId5" Type="http://schemas.openxmlformats.org/officeDocument/2006/relationships/hyperlink" Target="https://docs.google.com/forms/d/1cMCiUc0tUiqPqZGNj4RGbJPMrPIWpeZfT0UojwcbzSA/edit" TargetMode="External"/><Relationship Id="rId6" Type="http://schemas.openxmlformats.org/officeDocument/2006/relationships/hyperlink" Target="https://docs.google.com/forms/d/e/1FAIpQLScIGPcVx2PIIS6gtxGIy8e58QZmMuMiop6MkYxU4x4-A_o7Sg" TargetMode="External"/><Relationship Id="rId7" Type="http://schemas.openxmlformats.org/officeDocument/2006/relationships/hyperlink" Target="https://docs.google.com/forms/d/16B3aAejyZmX5lozk_cJjOsNIhF55TT2vgEZgTxJkjlk/edit" TargetMode="External"/><Relationship Id="rId8" Type="http://schemas.openxmlformats.org/officeDocument/2006/relationships/hyperlink" Target="https://docs.google.com/forms/d/1kgx0TjpEH7g5UqI_nEZQDfYC15_ezIvpKK_BWy9lW-A/edit" TargetMode="External"/><Relationship Id="rId11" Type="http://schemas.openxmlformats.org/officeDocument/2006/relationships/hyperlink" Target="https://docs.google.com/forms/d/1GvAaacOzs-wLj8ojHZSCuOV_mZxRbo9E519QXpSXJtE/edit" TargetMode="External"/><Relationship Id="rId10" Type="http://schemas.openxmlformats.org/officeDocument/2006/relationships/hyperlink" Target="https://docs.google.com/forms/d/180h5I4I2HfNRGh-Na3aKf8XQOABLXKQsXntQqE1MaXc/edit" TargetMode="External"/><Relationship Id="rId13" Type="http://schemas.openxmlformats.org/officeDocument/2006/relationships/hyperlink" Target="https://docs.google.com/forms/d/10k2XoIL4rMKk24uL7-YyKmhIDhUOAzYWwbYz4LBDuqs/edit" TargetMode="External"/><Relationship Id="rId12" Type="http://schemas.openxmlformats.org/officeDocument/2006/relationships/hyperlink" Target="https://docs.google.com/forms/d/1EQbCFst2wrW-RpCKWzO9tl19MOQgONOoYwddhybQaeY/edit" TargetMode="External"/><Relationship Id="rId15" Type="http://schemas.openxmlformats.org/officeDocument/2006/relationships/hyperlink" Target="https://docs.google.com/forms/d/1iq-lBbBU-m6aG6OPEjUuHEx0__Ib5IL_ysR95gBUymQ/edit" TargetMode="External"/><Relationship Id="rId14" Type="http://schemas.openxmlformats.org/officeDocument/2006/relationships/hyperlink" Target="https://docs.google.com/forms/d/1YqRl69uV49UoJZg_kQByrZ-LF3es24KljyPtRoOFuTA/edit" TargetMode="External"/><Relationship Id="rId17" Type="http://schemas.openxmlformats.org/officeDocument/2006/relationships/hyperlink" Target="https://docs.google.com/forms/d/1K7EipO5B-8fn35Azwx55YRr-waZffJv9ZW2cBSx7FbU/edit" TargetMode="External"/><Relationship Id="rId16" Type="http://schemas.openxmlformats.org/officeDocument/2006/relationships/hyperlink" Target="https://docs.google.com/forms/d/14WMegk7g1PBjIMgXBr863YpmEhyNVbLWFHdMV6QkK-4/edit" TargetMode="External"/><Relationship Id="rId19" Type="http://schemas.openxmlformats.org/officeDocument/2006/relationships/hyperlink" Target="https://docs.google.com/spreadsheets/d/1FaC9t0SXGA0xGhnTamyoRZlu8hmcW1MWsCo2C4VvzXU/edit?resourcekey=&amp;gid=147070124" TargetMode="External"/><Relationship Id="rId18" Type="http://schemas.openxmlformats.org/officeDocument/2006/relationships/hyperlink" Target="https://docs.google.com/forms/d/1e9O-cXUT_c0rSZ2hATLounCemlKUo13_B-P-t-WWHgM/edit"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docs.google.com/forms/d/1qHVJ-jXU6Q2nYKvzH_qnYbRFs9NSrU5tC3CbXLRsDos/edit" TargetMode="External"/><Relationship Id="rId42" Type="http://schemas.openxmlformats.org/officeDocument/2006/relationships/hyperlink" Target="https://docs.google.com/forms/d/1IvqjX22OFpGsZPbf5fqCP_v1VIbk5yoAw7zDLuGgQu4/edit" TargetMode="External"/><Relationship Id="rId41" Type="http://schemas.openxmlformats.org/officeDocument/2006/relationships/hyperlink" Target="https://docs.google.com/spreadsheets/d/1lBH5Hghbbsr-XV8ZpAW4SFOyMpQX5vY0tEjkjRAJH48/edit?resourcekey=&amp;gid=1795574099" TargetMode="External"/><Relationship Id="rId44" Type="http://schemas.openxmlformats.org/officeDocument/2006/relationships/hyperlink" Target="https://docs.google.com/forms/d/16E0wcfwylNRaVqohVZR4EeuK4iQS7enXhfB_YdTXz1g/edit" TargetMode="External"/><Relationship Id="rId43" Type="http://schemas.openxmlformats.org/officeDocument/2006/relationships/hyperlink" Target="https://docs.google.com/spreadsheets/d/13ZZ2q5-JsneAoCxE8QLqs1Ycj8WSgN9hPRza9XUMv_4/edit?resourcekey=&amp;gid=1263441864" TargetMode="External"/><Relationship Id="rId46" Type="http://schemas.openxmlformats.org/officeDocument/2006/relationships/hyperlink" Target="https://docs.google.com/document/d/1T2ZlR5G3c170fJY-P-VAjsfZqW-yp6IVMwJxDVRdknI/edit?pli=1&amp;tab=t.jmnhuudxymeg" TargetMode="External"/><Relationship Id="rId45" Type="http://schemas.openxmlformats.org/officeDocument/2006/relationships/hyperlink" Target="https://docs.google.com/spreadsheets/d/11sIXwmK0co7YC01jkeOYS_Q9btyVErtOm8MrXzqLkm8/edit?resourcekey=&amp;gid=835282101" TargetMode="External"/><Relationship Id="rId107" Type="http://schemas.openxmlformats.org/officeDocument/2006/relationships/hyperlink" Target="https://docs.google.com/spreadsheets/d/1X2rXjxJaWCoTCv5SRdgsC_V3cXeEyqXGQY3NvE1KDUk/edit?resourcekey=&amp;gid=1738475719" TargetMode="External"/><Relationship Id="rId106" Type="http://schemas.openxmlformats.org/officeDocument/2006/relationships/hyperlink" Target="https://docs.google.com/forms/d/14WMegk7g1PBjIMgXBr863YpmEhyNVbLWFHdMV6QkK-4/edit" TargetMode="External"/><Relationship Id="rId105" Type="http://schemas.openxmlformats.org/officeDocument/2006/relationships/hyperlink" Target="https://docs.google.com/spreadsheets/d/1wfMRO2uDQNJ1PCwTpHdQ8iUrPUKVHyvbfqf8TasTViU/edit?resourcekey=&amp;gid=50002726" TargetMode="External"/><Relationship Id="rId104" Type="http://schemas.openxmlformats.org/officeDocument/2006/relationships/hyperlink" Target="https://docs.google.com/forms/d/1bfuTjKYhSZMMI-7IPJpbt7Rw3f2QTcg_4fVfN5MO0mg/edit" TargetMode="External"/><Relationship Id="rId109" Type="http://schemas.openxmlformats.org/officeDocument/2006/relationships/hyperlink" Target="https://docs.google.com/spreadsheets/d/1ZOlAPpjCs7qXcQpCvrHzmJ4FOraZ9bKV8IEd78oT7sE/edit?resourcekey=&amp;gid=208575235" TargetMode="External"/><Relationship Id="rId108" Type="http://schemas.openxmlformats.org/officeDocument/2006/relationships/hyperlink" Target="https://docs.google.com/forms/d/1dwRhOSQEXgax1GsWUC1PIMgwHiaf1O0_9d6hXwJab9c/edit" TargetMode="External"/><Relationship Id="rId48" Type="http://schemas.openxmlformats.org/officeDocument/2006/relationships/hyperlink" Target="https://docs.google.com/spreadsheets/d/1SG2BnFOinBZsm3_Rx1BzD670E652svXjlzWieKobj9o/edit?resourcekey=&amp;gid=1019807666" TargetMode="External"/><Relationship Id="rId47" Type="http://schemas.openxmlformats.org/officeDocument/2006/relationships/hyperlink" Target="https://docs.google.com/forms/d/1iyvr960FvkMbGfP-HNS5kNebuFk1nncq1BADJSHqn1A/edit" TargetMode="External"/><Relationship Id="rId49" Type="http://schemas.openxmlformats.org/officeDocument/2006/relationships/hyperlink" Target="https://docs.google.com/document/d/1T2ZlR5G3c170fJY-P-VAjsfZqW-yp6IVMwJxDVRdknI/edit?pli=1&amp;tab=t.6d9fxw9bpbsy" TargetMode="External"/><Relationship Id="rId103" Type="http://schemas.openxmlformats.org/officeDocument/2006/relationships/hyperlink" Target="https://docs.google.com/spreadsheets/d/15-YcWQKwT7GXCzNpEoDkSlrruglscDYeQTD3uXec8uQ/edit?resourcekey=&amp;gid=1031325025" TargetMode="External"/><Relationship Id="rId102" Type="http://schemas.openxmlformats.org/officeDocument/2006/relationships/hyperlink" Target="https://docs.google.com/forms/d/1iq-lBbBU-m6aG6OPEjUuHEx0__Ib5IL_ysR95gBUymQ/edit" TargetMode="External"/><Relationship Id="rId101" Type="http://schemas.openxmlformats.org/officeDocument/2006/relationships/hyperlink" Target="https://docs.google.com/spreadsheets/d/1tpV5_mFhbN6YKRuO1MZvSbUMIPr8PmwiNyIZJpY0iKs/edit?resourcekey=&amp;gid=98273372" TargetMode="External"/><Relationship Id="rId100" Type="http://schemas.openxmlformats.org/officeDocument/2006/relationships/hyperlink" Target="https://docs.google.com/forms/d/1FCv4obVhMgfVcl323-R3XJ00MlxGEjV721KsBYOLtgA/edit" TargetMode="External"/><Relationship Id="rId31" Type="http://schemas.openxmlformats.org/officeDocument/2006/relationships/hyperlink" Target="https://docs.google.com/spreadsheets/d/1PBvrHm3dgtcno-UApCGo6dIU4auKbeIJC2SC7k36T64/edit?resourcekey=&amp;gid=1861498868" TargetMode="External"/><Relationship Id="rId30" Type="http://schemas.openxmlformats.org/officeDocument/2006/relationships/hyperlink" Target="https://docs.google.com/forms/d/1C-UGJbKeq5Bqf6TQrt6KnQW-nG9xOMOM7kkOgjml45w/edit" TargetMode="External"/><Relationship Id="rId33" Type="http://schemas.openxmlformats.org/officeDocument/2006/relationships/hyperlink" Target="https://docs.google.com/spreadsheets/d/1ytv6MYmm-8DwYEf-PC6L-upnzfG4TJT_K2_Q1BobE6k/edit?resourcekey=&amp;gid=1909678374" TargetMode="External"/><Relationship Id="rId32" Type="http://schemas.openxmlformats.org/officeDocument/2006/relationships/hyperlink" Target="https://docs.google.com/forms/d/1VrgdP6XrnTovMLTq2seZwfsp-wcNz0V4HwB8dnkkN-4/edit" TargetMode="External"/><Relationship Id="rId35" Type="http://schemas.openxmlformats.org/officeDocument/2006/relationships/hyperlink" Target="https://docs.google.com/spreadsheets/d/13P_qT6pKDynUZR0_aswSscwX8dw4UhPyIL8ohovayVc/edit?resourcekey=&amp;gid=372529563" TargetMode="External"/><Relationship Id="rId34" Type="http://schemas.openxmlformats.org/officeDocument/2006/relationships/hyperlink" Target="https://docs.google.com/forms/d/1W8pjJr8qm0itOwBDoywz4FYr2NiJMa7DOJWtFjlQJzA/edit" TargetMode="External"/><Relationship Id="rId37" Type="http://schemas.openxmlformats.org/officeDocument/2006/relationships/hyperlink" Target="https://docs.google.com/spreadsheets/d/1LTj0BC6WXgHo3fEDDSQlGOM1HkEYGTw8epmIdU0RnB4/edit?resourcekey=&amp;gid=315300912" TargetMode="External"/><Relationship Id="rId36" Type="http://schemas.openxmlformats.org/officeDocument/2006/relationships/hyperlink" Target="https://docs.google.com/forms/d/1zQaKG-sweqH_W9tXhTTEqhOauaUs8A5d1sXNGZPyTUo/edit" TargetMode="External"/><Relationship Id="rId39" Type="http://schemas.openxmlformats.org/officeDocument/2006/relationships/hyperlink" Target="https://docs.google.com/spreadsheets/d/16B_HaxNdsb7BY3AQ0xKagDsjOLkfb_DjPkxPwEpn8gc/edit?resourcekey=&amp;gid=1663422420" TargetMode="External"/><Relationship Id="rId38" Type="http://schemas.openxmlformats.org/officeDocument/2006/relationships/hyperlink" Target="https://docs.google.com/forms/d/1Njl_ieLhvxIaJXIwWzbR83m1aofkYRGPnneHBgk4th0/edit" TargetMode="External"/><Relationship Id="rId20" Type="http://schemas.openxmlformats.org/officeDocument/2006/relationships/hyperlink" Target="https://docs.google.com/forms/d/1E90_Pj06AUkL92BZwm0gxPCVLzA5dKOWdxhsXVGFFPo/edit" TargetMode="External"/><Relationship Id="rId22" Type="http://schemas.openxmlformats.org/officeDocument/2006/relationships/hyperlink" Target="https://docs.google.com/forms/d/1EcrHNtlIMu8A7aNxKcoZSKv775eoy181SKT1OLH7Xkk/edit" TargetMode="External"/><Relationship Id="rId21" Type="http://schemas.openxmlformats.org/officeDocument/2006/relationships/hyperlink" Target="https://docs.google.com/spreadsheets/d/13ZZ2q5-JsneAoCxE8QLqs1Ycj8WSgN9hPRza9XUMv_4/edit?resourcekey=&amp;gid=1263441864" TargetMode="External"/><Relationship Id="rId24" Type="http://schemas.openxmlformats.org/officeDocument/2006/relationships/hyperlink" Target="https://docs.google.com/document/d/1T2ZlR5G3c170fJY-P-VAjsfZqW-yp6IVMwJxDVRdknI/edit?pli=1&amp;tab=t.2lstxl2r07up" TargetMode="External"/><Relationship Id="rId23" Type="http://schemas.openxmlformats.org/officeDocument/2006/relationships/hyperlink" Target="https://docs.google.com/spreadsheets/d/1fn2ECph_y8Uz78DhjLaiXcwgt6kh3oe-0Le36Uw0noE/edit?resourcekey=&amp;gid=1791570470" TargetMode="External"/><Relationship Id="rId26" Type="http://schemas.openxmlformats.org/officeDocument/2006/relationships/hyperlink" Target="https://docs.google.com/spreadsheets/d/1bUO_1Nv9gx3vZE_-m4w6HiuWUM1u8qsaqKByYyla14Q/edit?resourcekey=&amp;gid=1004369347" TargetMode="External"/><Relationship Id="rId25" Type="http://schemas.openxmlformats.org/officeDocument/2006/relationships/hyperlink" Target="https://docs.google.com/forms/d/1isP_x8x2gcba-MUXi9d_EjgfzwXl4FXEgTEu67EstFw/edit" TargetMode="External"/><Relationship Id="rId28" Type="http://schemas.openxmlformats.org/officeDocument/2006/relationships/hyperlink" Target="https://docs.google.com/forms/d/1XKp9GVDUjbainFBlYK-BRJR2FRzAYwm4iDyIY6iW-Nk/edit" TargetMode="External"/><Relationship Id="rId27" Type="http://schemas.openxmlformats.org/officeDocument/2006/relationships/hyperlink" Target="https://docs.google.com/document/d/1T2ZlR5G3c170fJY-P-VAjsfZqW-yp6IVMwJxDVRdknI/edit?pli=1&amp;tab=t.4sff7ws2026x" TargetMode="External"/><Relationship Id="rId29" Type="http://schemas.openxmlformats.org/officeDocument/2006/relationships/hyperlink" Target="https://docs.google.com/spreadsheets/d/1t6NbzWBtAQKR9pGjBnxm9V-bRaGdRVT_-u2ojrUkYZw/edit?resourcekey=&amp;gid=1771386835" TargetMode="External"/><Relationship Id="rId95" Type="http://schemas.openxmlformats.org/officeDocument/2006/relationships/hyperlink" Target="https://docs.google.com/spreadsheets/d/1JzBbPfIn5kXHe-RuBwssvVRSauekkTw9cwf70DsYix4/edit?resourcekey=&amp;gid=1135761601" TargetMode="External"/><Relationship Id="rId94" Type="http://schemas.openxmlformats.org/officeDocument/2006/relationships/hyperlink" Target="https://docs.google.com/forms/d/1L0jF7EY9GuRfsqxJNUXSzYGBqX5l6C9ZD0uBafZ0kYY/edit" TargetMode="External"/><Relationship Id="rId97" Type="http://schemas.openxmlformats.org/officeDocument/2006/relationships/hyperlink" Target="https://docs.google.com/spreadsheets/d/19sK-XtuOHHWpxtqshuj3o7yRcGo6sbgvlJ7oV_aWG3w/edit?resourcekey=&amp;gid=44944987" TargetMode="External"/><Relationship Id="rId96" Type="http://schemas.openxmlformats.org/officeDocument/2006/relationships/hyperlink" Target="https://docs.google.com/forms/d/1XhoAT_Yh1HdOMLiwstjfIw4JevQVVvaZrPcK5ASivgI/edit" TargetMode="External"/><Relationship Id="rId11" Type="http://schemas.openxmlformats.org/officeDocument/2006/relationships/hyperlink" Target="https://docs.google.com/spreadsheets/d/11i8IUhq_U6RRKRV3CBWIKqYed_fMvFgNUHTq1YDJfp8/edit?resourcekey=&amp;gid=643375664" TargetMode="External"/><Relationship Id="rId99" Type="http://schemas.openxmlformats.org/officeDocument/2006/relationships/hyperlink" Target="https://docs.google.com/spreadsheets/d/1JbcCdZBzu6Yag8PuyvlbtYmdvUYYQNraxAgoikGBi5w/edit?resourcekey=&amp;gid=816328279" TargetMode="External"/><Relationship Id="rId10" Type="http://schemas.openxmlformats.org/officeDocument/2006/relationships/hyperlink" Target="https://docs.google.com/forms/d/1ttqgj2x1dGsbt4R_rr2eOEbDn2AzcOTg5sH8I3SZ3tM/edit" TargetMode="External"/><Relationship Id="rId98" Type="http://schemas.openxmlformats.org/officeDocument/2006/relationships/hyperlink" Target="https://docs.google.com/forms/d/1vOiGVlSggCQlc26jnuzXS7TX9O79eIATN3Bt3bw-h44/edit" TargetMode="External"/><Relationship Id="rId13" Type="http://schemas.openxmlformats.org/officeDocument/2006/relationships/hyperlink" Target="https://docs.google.com/spreadsheets/d/1StiHxuxrFhYdrq5WLR2JMORicW0TbnJf3J-oTHeMRtM/edit?resourcekey=&amp;gid=1199324024" TargetMode="External"/><Relationship Id="rId12" Type="http://schemas.openxmlformats.org/officeDocument/2006/relationships/hyperlink" Target="https://docs.google.com/forms/d/1nwQzjuV4unHOlZgeBKvSWeFzNmAedW3HQQNViJ_mzqw/edit" TargetMode="External"/><Relationship Id="rId91" Type="http://schemas.openxmlformats.org/officeDocument/2006/relationships/hyperlink" Target="https://docs.google.com/forms/d/1yyIReBklxFZ2HxSdPJqugFTKivJp48eWVOq4-nNZmCY/edit" TargetMode="External"/><Relationship Id="rId90" Type="http://schemas.openxmlformats.org/officeDocument/2006/relationships/hyperlink" Target="https://github.com/LouisRosche/Grades7-8.Cycle3.Week1/blob/main/G7_C3_W1_Page.html" TargetMode="External"/><Relationship Id="rId93" Type="http://schemas.openxmlformats.org/officeDocument/2006/relationships/hyperlink" Target="https://github.com/LouisRosche/Grades7-8.Cycle3.Week1/blob/main/G8_C3_W1_Page.html" TargetMode="External"/><Relationship Id="rId92" Type="http://schemas.openxmlformats.org/officeDocument/2006/relationships/hyperlink" Target="https://docs.google.com/spreadsheets/d/197C8yvLyfR59JPOCjQdNv3jtQAWqA9lyzhiAtksREXI/edit?resourcekey=&amp;gid=147593900" TargetMode="External"/><Relationship Id="rId15" Type="http://schemas.openxmlformats.org/officeDocument/2006/relationships/hyperlink" Target="https://docs.google.com/spreadsheets/d/1StiHxuxrFhYdrq5WLR2JMORicW0TbnJf3J-oTHeMRtM/edit?resourcekey=&amp;gid=1199324024" TargetMode="External"/><Relationship Id="rId110" Type="http://schemas.openxmlformats.org/officeDocument/2006/relationships/hyperlink" Target="https://docs.google.com/forms/d/1K7EipO5B-8fn35Azwx55YRr-waZffJv9ZW2cBSx7FbU/edit" TargetMode="External"/><Relationship Id="rId14" Type="http://schemas.openxmlformats.org/officeDocument/2006/relationships/hyperlink" Target="https://docs.google.com/forms/d/1nwQzjuV4unHOlZgeBKvSWeFzNmAedW3HQQNViJ_mzqw/edit" TargetMode="External"/><Relationship Id="rId17" Type="http://schemas.openxmlformats.org/officeDocument/2006/relationships/hyperlink" Target="https://docs.google.com/spreadsheets/d/1QaxxyUjrDq2kgz300C1Bq1tacFk6e-xX218cSXCQUK0/edit?resourcekey=&amp;gid=2011687524" TargetMode="External"/><Relationship Id="rId16" Type="http://schemas.openxmlformats.org/officeDocument/2006/relationships/hyperlink" Target="https://docs.google.com/forms/d/1b4HjqX-hqoTmqRZU261BFSK-2zQyynhg2T0LPQMbeFQ/edit" TargetMode="External"/><Relationship Id="rId19" Type="http://schemas.openxmlformats.org/officeDocument/2006/relationships/hyperlink" Target="https://docs.google.com/spreadsheets/d/1QaxxyUjrDq2kgz300C1Bq1tacFk6e-xX218cSXCQUK0/edit?resourcekey=&amp;gid=2011687524" TargetMode="External"/><Relationship Id="rId18" Type="http://schemas.openxmlformats.org/officeDocument/2006/relationships/hyperlink" Target="https://docs.google.com/forms/d/1b4HjqX-hqoTmqRZU261BFSK-2zQyynhg2T0LPQMbeFQ/edit" TargetMode="External"/><Relationship Id="rId113" Type="http://schemas.openxmlformats.org/officeDocument/2006/relationships/vmlDrawing" Target="../drawings/vmlDrawing3.vml"/><Relationship Id="rId112" Type="http://schemas.openxmlformats.org/officeDocument/2006/relationships/drawing" Target="../drawings/drawing14.xml"/><Relationship Id="rId111" Type="http://schemas.openxmlformats.org/officeDocument/2006/relationships/hyperlink" Target="https://docs.google.com/spreadsheets/d/1zEJQnPshpdjcOtCVSP0I8nG2EXKbBMH9BJ8IeNFUEV8/edit?resourcekey=&amp;gid=823418763" TargetMode="External"/><Relationship Id="rId84" Type="http://schemas.openxmlformats.org/officeDocument/2006/relationships/hyperlink" Target="https://docs.google.com/forms/d/180h5I4I2HfNRGh-Na3aKf8XQOABLXKQsXntQqE1MaXc/edit" TargetMode="External"/><Relationship Id="rId83" Type="http://schemas.openxmlformats.org/officeDocument/2006/relationships/hyperlink" Target="https://docs.google.com/spreadsheets/d/1Urfs_Vy5SE9U8tp1-UR-7FoEAxcNy8MifWBH8GiFXd8/edit?resourcekey=&amp;gid=777646664" TargetMode="External"/><Relationship Id="rId86" Type="http://schemas.openxmlformats.org/officeDocument/2006/relationships/hyperlink" Target="https://docs.google.com/forms/d/1hNG5RCVCGfBheNn0Px4hSLQ95xVfQVkvCspnMHovIek/edit" TargetMode="External"/><Relationship Id="rId85" Type="http://schemas.openxmlformats.org/officeDocument/2006/relationships/hyperlink" Target="https://docs.google.com/spreadsheets/d/1H3cO01obd5zFULYqaT5NAqecZBFFIHeDFn4CeQLZF3w/edit?resourcekey=&amp;gid=1438041027" TargetMode="External"/><Relationship Id="rId88" Type="http://schemas.openxmlformats.org/officeDocument/2006/relationships/hyperlink" Target="https://docs.google.com/forms/d/1GvAaacOzs-wLj8ojHZSCuOV_mZxRbo9E519QXpSXJtE/edit" TargetMode="External"/><Relationship Id="rId87" Type="http://schemas.openxmlformats.org/officeDocument/2006/relationships/hyperlink" Target="https://docs.google.com/spreadsheets/d/1aXWUim-N4mxaoEzA3XAIdaDH-QYLEvzF2WdP7MGXYAE/edit?resourcekey=&amp;gid=20404890" TargetMode="External"/><Relationship Id="rId89" Type="http://schemas.openxmlformats.org/officeDocument/2006/relationships/hyperlink" Target="https://docs.google.com/spreadsheets/d/1IG9qoa6PeLdDDFzKpW39lxXshN0-M8Z25a_R1EpsYyg/edit?resourcekey=&amp;gid=1990111402" TargetMode="External"/><Relationship Id="rId80" Type="http://schemas.openxmlformats.org/officeDocument/2006/relationships/hyperlink" Target="https://docs.google.com/forms/d/11aR4deG9GQ_-IzSQIG3qFZlj43rzvAHa-jLtSPwX2hE/edit" TargetMode="External"/><Relationship Id="rId82" Type="http://schemas.openxmlformats.org/officeDocument/2006/relationships/hyperlink" Target="https://docs.google.com/forms/d/18jK-LMtm2D_C9vzbvq4YMWIQXi29z3mV_y6UuuU7PSo/edit" TargetMode="External"/><Relationship Id="rId81" Type="http://schemas.openxmlformats.org/officeDocument/2006/relationships/hyperlink" Target="https://docs.google.com/spreadsheets/d/1zxjtEKGvVIJPIDqZdnxENwVpPXYa88EihzyI44hcQUo/edit?resourcekey=&amp;gid=969014190" TargetMode="External"/><Relationship Id="rId1" Type="http://schemas.openxmlformats.org/officeDocument/2006/relationships/comments" Target="../comments3.xml"/><Relationship Id="rId2" Type="http://schemas.openxmlformats.org/officeDocument/2006/relationships/hyperlink" Target="https://docs.google.com/document/d/1T2ZlR5G3c170fJY-P-VAjsfZqW-yp6IVMwJxDVRdknI/edit?pli=1&amp;tab=t.uxismymuyfg7" TargetMode="External"/><Relationship Id="rId3" Type="http://schemas.openxmlformats.org/officeDocument/2006/relationships/hyperlink" Target="https://docs.google.com/forms/d/1mStVu_nv5aUHVvzLVq-B2BBt9dr-S3uXZRpfGxLkQb0/edit" TargetMode="External"/><Relationship Id="rId4" Type="http://schemas.openxmlformats.org/officeDocument/2006/relationships/hyperlink" Target="https://docs.google.com/spreadsheets/d/1oiajwiBxoDIOBcD_uKarGHJIrskYi3nXyI9FyWq8IFk/edit?resourcekey=&amp;gid=100946231" TargetMode="External"/><Relationship Id="rId9" Type="http://schemas.openxmlformats.org/officeDocument/2006/relationships/hyperlink" Target="https://docs.google.com/spreadsheets/d/1PRkBNvF7wRBbJGtbM1I7-V_ej5mmlgF4cwmp64ilJGQ/edit?resourcekey=&amp;gid=1156348890" TargetMode="External"/><Relationship Id="rId5" Type="http://schemas.openxmlformats.org/officeDocument/2006/relationships/hyperlink" Target="https://docs.google.com/document/d/1T2ZlR5G3c170fJY-P-VAjsfZqW-yp6IVMwJxDVRdknI/edit?pli=1&amp;tab=t.5t3qag1w7b0f" TargetMode="External"/><Relationship Id="rId6" Type="http://schemas.openxmlformats.org/officeDocument/2006/relationships/hyperlink" Target="https://docs.google.com/forms/d/12oWRGQUxzL0mwY_hRiCFxG76AtROOTpAMjwr7ayv_K0/edit" TargetMode="External"/><Relationship Id="rId7" Type="http://schemas.openxmlformats.org/officeDocument/2006/relationships/hyperlink" Target="https://docs.google.com/spreadsheets/d/1RTcwEJsI_0aJRebhNwO_H_AoKl9r46k7hWYbtciIyM4/edit?resourcekey=&amp;gid=976341501" TargetMode="External"/><Relationship Id="rId8" Type="http://schemas.openxmlformats.org/officeDocument/2006/relationships/hyperlink" Target="https://docs.google.com/forms/d/1g3JzUc-UzN89uHXi2DpJhwFPfgcIyQK5hfovjAoDQMI/edit" TargetMode="External"/><Relationship Id="rId73" Type="http://schemas.openxmlformats.org/officeDocument/2006/relationships/hyperlink" Target="https://docs.google.com/spreadsheets/d/1WjiLR_MTMxI_IZUKuvPO4Sg2rTSIqBzP3edakSRXbOA/edit?resourcekey=&amp;gid=1312841166" TargetMode="External"/><Relationship Id="rId72" Type="http://schemas.openxmlformats.org/officeDocument/2006/relationships/hyperlink" Target="https://docs.google.com/forms/d/16B3aAejyZmX5lozk_cJjOsNIhF55TT2vgEZgTxJkjlk/edit" TargetMode="External"/><Relationship Id="rId75" Type="http://schemas.openxmlformats.org/officeDocument/2006/relationships/hyperlink" Target="https://docs.google.com/spreadsheets/d/1dEvtr9f2UAemMjkvEwBFPyuEw3YQPqez4Kgo-0l7vS4/edit?resourcekey=&amp;gid=1775566294" TargetMode="External"/><Relationship Id="rId74" Type="http://schemas.openxmlformats.org/officeDocument/2006/relationships/hyperlink" Target="https://docs.google.com/forms/d/1ck8knSCazGlvMcXY7T1tzpd6YFGu1zi_pIVp1TnhkhM/edit" TargetMode="External"/><Relationship Id="rId77" Type="http://schemas.openxmlformats.org/officeDocument/2006/relationships/hyperlink" Target="https://docs.google.com/spreadsheets/d/1Ixzbal5tEbtWhozsFEppQzOYE6ZSrkNXHg_HW5k3Wt4/edit?resourcekey=&amp;gid=102018454" TargetMode="External"/><Relationship Id="rId76" Type="http://schemas.openxmlformats.org/officeDocument/2006/relationships/hyperlink" Target="https://docs.google.com/forms/d/1kgx0TjpEH7g5UqI_nEZQDfYC15_ezIvpKK_BWy9lW-A/edit" TargetMode="External"/><Relationship Id="rId79" Type="http://schemas.openxmlformats.org/officeDocument/2006/relationships/hyperlink" Target="https://docs.google.com/spreadsheets/d/1B6nP1Ts7cF60F-9DocMTsAaVFKfuimLnUoxweBavHeU/edit?resourcekey=&amp;gid=244277627" TargetMode="External"/><Relationship Id="rId78" Type="http://schemas.openxmlformats.org/officeDocument/2006/relationships/hyperlink" Target="https://docs.google.com/forms/d/1Kh0kQsqgl1IV0My4WntZYAs_XZf2RnDQZCJGZZ0MFy0/edit" TargetMode="External"/><Relationship Id="rId71" Type="http://schemas.openxmlformats.org/officeDocument/2006/relationships/hyperlink" Target="https://docs.google.com/document/d/1T2ZlR5G3c170fJY-P-VAjsfZqW-yp6IVMwJxDVRdknI/edit?pli=1&amp;tab=t.ojnr31w37o1w" TargetMode="External"/><Relationship Id="rId70" Type="http://schemas.openxmlformats.org/officeDocument/2006/relationships/hyperlink" Target="https://docs.google.com/spreadsheets/d/1ciMZmE3_Ia8QatZf9u-RYqeCzLjcP66olwhReBx-Pwc/edit?resourcekey=&amp;gid=731565695" TargetMode="External"/><Relationship Id="rId62" Type="http://schemas.openxmlformats.org/officeDocument/2006/relationships/hyperlink" Target="https://docs.google.com/forms/d/1cMCiUc0tUiqPqZGNj4RGbJPMrPIWpeZfT0UojwcbzSA/edit" TargetMode="External"/><Relationship Id="rId61" Type="http://schemas.openxmlformats.org/officeDocument/2006/relationships/hyperlink" Target="https://docs.google.com/spreadsheets/d/1kp8AvADOUteLDy1-i5F9JvR64ee_UwN5UoIn-tH5zPQ/edit?resourcekey=&amp;gid=2145974480" TargetMode="External"/><Relationship Id="rId64" Type="http://schemas.openxmlformats.org/officeDocument/2006/relationships/hyperlink" Target="https://docs.google.com/forms/d/1jaoLLyCWNesBL0THQfl7taxgACso4S8S0X5ODX1CP6E/edit" TargetMode="External"/><Relationship Id="rId63" Type="http://schemas.openxmlformats.org/officeDocument/2006/relationships/hyperlink" Target="https://docs.google.com/spreadsheets/d/15TUXUTXgRTcnnjS-jyDta7Ecw7-lv8-wZMGVKaxe8TY/edit?resourcekey=&amp;gid=1352376620" TargetMode="External"/><Relationship Id="rId66" Type="http://schemas.openxmlformats.org/officeDocument/2006/relationships/hyperlink" Target="https://docs.google.com/forms/d/1L8n8KRqdbDbhXYPD8dXfj4MWV_PtC3AJoDEvJSW3gKo/edit" TargetMode="External"/><Relationship Id="rId65" Type="http://schemas.openxmlformats.org/officeDocument/2006/relationships/hyperlink" Target="https://docs.google.com/spreadsheets/d/1PSjtsRk3dryPdI2Zls_iIpRgVVwBTGQ0ryRujA_ayZ0/edit?resourcekey=&amp;gid=1434495124" TargetMode="External"/><Relationship Id="rId68" Type="http://schemas.openxmlformats.org/officeDocument/2006/relationships/hyperlink" Target="https://docs.google.com/document/d/1T2ZlR5G3c170fJY-P-VAjsfZqW-yp6IVMwJxDVRdknI/edit?tab=t.954x7hv0y5uh" TargetMode="External"/><Relationship Id="rId67" Type="http://schemas.openxmlformats.org/officeDocument/2006/relationships/hyperlink" Target="https://docs.google.com/spreadsheets/d/1KFxxroaoSLanJBYtWVxeITrgly-aztutk24Q4y14KKU/edit?resourcekey=&amp;gid=796476088" TargetMode="External"/><Relationship Id="rId60" Type="http://schemas.openxmlformats.org/officeDocument/2006/relationships/hyperlink" Target="https://docs.google.com/forms/d/1s9DZZ6fwgTUeNjxBsafZlor0GDnh0iMpQfTGOJktTS4/edit" TargetMode="External"/><Relationship Id="rId69" Type="http://schemas.openxmlformats.org/officeDocument/2006/relationships/hyperlink" Target="https://docs.google.com/forms/d/1HzkE37c56RqI8sR6hTyH_Xn2YGtMnIaqgNVqX5Cm-Gw/edit" TargetMode="External"/><Relationship Id="rId51" Type="http://schemas.openxmlformats.org/officeDocument/2006/relationships/hyperlink" Target="https://docs.google.com/spreadsheets/d/1csqG5dOxr6mnQQeHuLyfSoVeWZspfrn9T3cQFX5jhi8/edit?resourcekey=&amp;gid=923100225" TargetMode="External"/><Relationship Id="rId50" Type="http://schemas.openxmlformats.org/officeDocument/2006/relationships/hyperlink" Target="https://docs.google.com/forms/d/1Lt14-uwBYhFdUX90rDF177zxqp31WqGA3EDOYJ5G4kM/edit" TargetMode="External"/><Relationship Id="rId53" Type="http://schemas.openxmlformats.org/officeDocument/2006/relationships/hyperlink" Target="https://docs.google.com/spreadsheets/d/1Zpz_ArqUHJZzCwyJqFKkEASeqFw0lZ4HLK4wQdLXj3w/edit?resourcekey=&amp;gid=1564462514" TargetMode="External"/><Relationship Id="rId52" Type="http://schemas.openxmlformats.org/officeDocument/2006/relationships/hyperlink" Target="https://docs.google.com/forms/d/1Pa4D5-ppF3OTaubOpHgjLMKeI1P8u5Vn60TZKcj6GA8/edit" TargetMode="External"/><Relationship Id="rId55" Type="http://schemas.openxmlformats.org/officeDocument/2006/relationships/hyperlink" Target="https://docs.google.com/spreadsheets/d/1C8QMXhp6CypS1pNA-UXlEADxmI-6nbSN9P4kujkvESI/edit?resourcekey=&amp;gid=1277786324" TargetMode="External"/><Relationship Id="rId54" Type="http://schemas.openxmlformats.org/officeDocument/2006/relationships/hyperlink" Target="https://docs.google.com/forms/d/1UnuMDVN9Wwz8FasFQ7He2_Xoz-RDFNfFGWxbS64y1jE/edit" TargetMode="External"/><Relationship Id="rId57" Type="http://schemas.openxmlformats.org/officeDocument/2006/relationships/hyperlink" Target="https://docs.google.com/spreadsheets/d/1c318JgcKMkTMtHFS6SjH7x3TAnZwddcZMI9Jx-B9VOM/edit?resourcekey=&amp;gid=553921902" TargetMode="External"/><Relationship Id="rId56" Type="http://schemas.openxmlformats.org/officeDocument/2006/relationships/hyperlink" Target="https://docs.google.com/forms/d/1YGyJbQgW3S1sAOFVC8sS5kuDuuy5p_T5CUrqilv_XTs/edit" TargetMode="External"/><Relationship Id="rId59" Type="http://schemas.openxmlformats.org/officeDocument/2006/relationships/hyperlink" Target="https://docs.google.com/spreadsheets/d/1e33dV9wgou_u1lnmBtok6Ato-q97II29uUvmeO7Juhw/edit?resourcekey=&amp;gid=1849632331" TargetMode="External"/><Relationship Id="rId58" Type="http://schemas.openxmlformats.org/officeDocument/2006/relationships/hyperlink" Target="https://docs.google.com/forms/d/1djp72Zb_kZkGIbxr62hrs34oVH5Src2Hli01TzoU5nc/edit"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6.xml"/><Relationship Id="rId3"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40" Type="http://schemas.openxmlformats.org/officeDocument/2006/relationships/hyperlink" Target="https://www.google.com/search?q=https://sciencehistory.org/education/classroom-activities/what-is-plastic" TargetMode="External"/><Relationship Id="rId42" Type="http://schemas.openxmlformats.org/officeDocument/2006/relationships/hyperlink" Target="https://phet.colorado.edu/en/simulation/reactants-products-and-leftovers" TargetMode="External"/><Relationship Id="rId41" Type="http://schemas.openxmlformats.org/officeDocument/2006/relationships/hyperlink" Target="https://phet.colorado.edu/en/simulation/states-of-matter-basics" TargetMode="External"/><Relationship Id="rId44" Type="http://schemas.openxmlformats.org/officeDocument/2006/relationships/hyperlink" Target="https://phet.colorado.edu/en/simulation/forces-and-motion-basics" TargetMode="External"/><Relationship Id="rId43" Type="http://schemas.openxmlformats.org/officeDocument/2006/relationships/hyperlink" Target="https://www.google.com/search?q=https://www.sciencebuddies.org/science-fair-projects/project-ideas/Chem_p089/chemistry/exothermic-endothermic-reactions" TargetMode="External"/><Relationship Id="rId46" Type="http://schemas.openxmlformats.org/officeDocument/2006/relationships/hyperlink" Target="https://phet.colorado.edu/en/simulation/magnets-and-electromagnets" TargetMode="External"/><Relationship Id="rId45" Type="http://schemas.openxmlformats.org/officeDocument/2006/relationships/hyperlink" Target="https://phet.colorado.edu/en/simulation/forces-and-motion-basics" TargetMode="External"/><Relationship Id="rId48" Type="http://schemas.openxmlformats.org/officeDocument/2006/relationships/hyperlink" Target="https://phet.colorado.edu/en/simulation/magnets-and-electromagnets" TargetMode="External"/><Relationship Id="rId47" Type="http://schemas.openxmlformats.org/officeDocument/2006/relationships/hyperlink" Target="https://phet.colorado.edu/en/simulation/gravity-force-lab" TargetMode="External"/><Relationship Id="rId49" Type="http://schemas.openxmlformats.org/officeDocument/2006/relationships/hyperlink" Target="https://phet.colorado.edu/en/simulation/energy-skate-park-basics" TargetMode="External"/><Relationship Id="rId31" Type="http://schemas.openxmlformats.org/officeDocument/2006/relationships/hyperlink" Target="https://www.weather.gov/jetstream/" TargetMode="External"/><Relationship Id="rId30" Type="http://schemas.openxmlformats.org/officeDocument/2006/relationships/hyperlink" Target="https://gpm.nasa.gov/education/water-cycle" TargetMode="External"/><Relationship Id="rId33" Type="http://schemas.openxmlformats.org/officeDocument/2006/relationships/hyperlink" Target="https://www.usgs.gov/energy-and-minerals/mineral-resources-program" TargetMode="External"/><Relationship Id="rId32" Type="http://schemas.openxmlformats.org/officeDocument/2006/relationships/hyperlink" Target="https://www.google.com/search?q=https://www.noaa.gov/education/resource-collections/weather-atmosphere/weather-vs-climate" TargetMode="External"/><Relationship Id="rId35" Type="http://schemas.openxmlformats.org/officeDocument/2006/relationships/hyperlink" Target="https://www.google.com/search?q=https://www.epa.gov/environmental-topics/learn-about-human-impacts-environment" TargetMode="External"/><Relationship Id="rId34" Type="http://schemas.openxmlformats.org/officeDocument/2006/relationships/hyperlink" Target="https://www.ready.gov/natural-disasters" TargetMode="External"/><Relationship Id="rId37" Type="http://schemas.openxmlformats.org/officeDocument/2006/relationships/hyperlink" Target="https://climate.nasa.gov/" TargetMode="External"/><Relationship Id="rId36" Type="http://schemas.openxmlformats.org/officeDocument/2006/relationships/hyperlink" Target="https://www.worldometers.info/world-population/" TargetMode="External"/><Relationship Id="rId39" Type="http://schemas.openxmlformats.org/officeDocument/2006/relationships/hyperlink" Target="https://www.google.com/search?q=https://mysteryscience.com/chemistry/mystery-1/chemical-reactions-matter/202" TargetMode="External"/><Relationship Id="rId38" Type="http://schemas.openxmlformats.org/officeDocument/2006/relationships/hyperlink" Target="https://phet.colorado.edu/en/simulation/build-a-molecule" TargetMode="External"/><Relationship Id="rId20" Type="http://schemas.openxmlformats.org/officeDocument/2006/relationships/hyperlink" Target="https://phet.colorado.edu/en/simulation/natural-selection" TargetMode="External"/><Relationship Id="rId22" Type="http://schemas.openxmlformats.org/officeDocument/2006/relationships/hyperlink" Target="https://www.biointeractive.org/classroom-resources/sorting-finch-species" TargetMode="External"/><Relationship Id="rId21" Type="http://schemas.openxmlformats.org/officeDocument/2006/relationships/hyperlink" Target="https://www.google.com/search?q=https://learn.genetics.utah.edu/content/evolution/artificial/" TargetMode="External"/><Relationship Id="rId24" Type="http://schemas.openxmlformats.org/officeDocument/2006/relationships/hyperlink" Target="https://phet.colorado.edu/en/simulation/my-solar-system" TargetMode="External"/><Relationship Id="rId23" Type="http://schemas.openxmlformats.org/officeDocument/2006/relationships/hyperlink" Target="https://spaceplace.nasa.gov/moon-phases/en/" TargetMode="External"/><Relationship Id="rId26" Type="http://schemas.openxmlformats.org/officeDocument/2006/relationships/hyperlink" Target="https://www.google.com/search?q=https://www.amnh.org/exhibitions/permanent/hall-of-planet-earth/how-has-earth-evolved/geologic-time" TargetMode="External"/><Relationship Id="rId25" Type="http://schemas.openxmlformats.org/officeDocument/2006/relationships/hyperlink" Target="https://joshworth.com/dev/pixelspace/pixelspace_solarsystem.html" TargetMode="External"/><Relationship Id="rId28" Type="http://schemas.openxmlformats.org/officeDocument/2006/relationships/hyperlink" Target="https://www.google.com/search?q=https://www.usgs.gov/natural-hazards/landslide-hazards/science/geologic-processes" TargetMode="External"/><Relationship Id="rId27" Type="http://schemas.openxmlformats.org/officeDocument/2006/relationships/hyperlink" Target="https://www.google.com/search?q=https://phet.colorado.edu/en/simulation/legacy/rock-cycle" TargetMode="External"/><Relationship Id="rId29" Type="http://schemas.openxmlformats.org/officeDocument/2006/relationships/hyperlink" Target="https://pubs.usgs.gov/gip/dynamic/dynamic.html" TargetMode="External"/><Relationship Id="rId11" Type="http://schemas.openxmlformats.org/officeDocument/2006/relationships/hyperlink" Target="https://www.google.com/search?q=https://www.nationalgeographic.org/activity/symbiosis-art-living-together/" TargetMode="External"/><Relationship Id="rId10" Type="http://schemas.openxmlformats.org/officeDocument/2006/relationships/hyperlink" Target="https://phet.colorado.edu/en/simulation/natural-selection" TargetMode="External"/><Relationship Id="rId13" Type="http://schemas.openxmlformats.org/officeDocument/2006/relationships/hyperlink" Target="https://www.biointeractive.org/classroom-resources/some-animals-are-more-equal-others-keystone-species-and-trophic-cascades" TargetMode="External"/><Relationship Id="rId12" Type="http://schemas.openxmlformats.org/officeDocument/2006/relationships/hyperlink" Target="https://www.google.com/search?q=https://phet.colorado.edu/en/simulation/food-chain" TargetMode="External"/><Relationship Id="rId15" Type="http://schemas.openxmlformats.org/officeDocument/2006/relationships/hyperlink" Target="https://learn.genetics.utah.edu/content/basics/mutation/" TargetMode="External"/><Relationship Id="rId14" Type="http://schemas.openxmlformats.org/officeDocument/2006/relationships/hyperlink" Target="https://www.worldwildlife.org/pages/what-is-biodiversity" TargetMode="External"/><Relationship Id="rId17" Type="http://schemas.openxmlformats.org/officeDocument/2006/relationships/hyperlink" Target="https://ucmp.berkeley.edu/education/explorations/tours/geotime/gtpage1.html" TargetMode="External"/><Relationship Id="rId16" Type="http://schemas.openxmlformats.org/officeDocument/2006/relationships/hyperlink" Target="https://learn.genetics.utah.edu/content/basics/reproduction/" TargetMode="External"/><Relationship Id="rId19" Type="http://schemas.openxmlformats.org/officeDocument/2006/relationships/hyperlink" Target="https://www.google.com/search?q=https://embryo.asu.edu/pages/comparative-embryology" TargetMode="External"/><Relationship Id="rId18" Type="http://schemas.openxmlformats.org/officeDocument/2006/relationships/hyperlink" Target="https://www.google.com/search?q=https://evolution.berkeley.edu/evolution-101/evidence-for-evolution/homologies/" TargetMode="External"/><Relationship Id="rId1" Type="http://schemas.openxmlformats.org/officeDocument/2006/relationships/comments" Target="../comments5.xml"/><Relationship Id="rId2" Type="http://schemas.openxmlformats.org/officeDocument/2006/relationships/hyperlink" Target="https://www.cellsalive.com/" TargetMode="External"/><Relationship Id="rId3" Type="http://schemas.openxmlformats.org/officeDocument/2006/relationships/hyperlink" Target="https://www.google.com/search?q=https://phet.colorado.edu/en/simulation/cell-structure" TargetMode="External"/><Relationship Id="rId4" Type="http://schemas.openxmlformats.org/officeDocument/2006/relationships/hyperlink" Target="https://kidshealth.org/en/kids/htbw/" TargetMode="External"/><Relationship Id="rId9" Type="http://schemas.openxmlformats.org/officeDocument/2006/relationships/hyperlink" Target="https://faculty.washington.edu/chudler/neurok.html" TargetMode="External"/><Relationship Id="rId5" Type="http://schemas.openxmlformats.org/officeDocument/2006/relationships/hyperlink" Target="https://www.google.com/search?q=https://www.youtube.com/watch%3Fv%3Dl-dI-vYx_bA" TargetMode="External"/><Relationship Id="rId6" Type="http://schemas.openxmlformats.org/officeDocument/2006/relationships/hyperlink" Target="https://www.google.com/search?q=httpshttps://learn.genetics.utah.edu/content/basics/oldconcepts/" TargetMode="External"/><Relationship Id="rId7" Type="http://schemas.openxmlformats.org/officeDocument/2006/relationships/hyperlink" Target="https://www.google.com/search?q=https://phet.colorado.edu/en/simulation/photosynthesis" TargetMode="External"/><Relationship Id="rId8" Type="http://schemas.openxmlformats.org/officeDocument/2006/relationships/hyperlink" Target="https://www.youtube.com/watch?v=4Eo7JtRA7lg" TargetMode="External"/><Relationship Id="rId62" Type="http://schemas.openxmlformats.org/officeDocument/2006/relationships/vmlDrawing" Target="../drawings/vmlDrawing5.vml"/><Relationship Id="rId61" Type="http://schemas.openxmlformats.org/officeDocument/2006/relationships/drawing" Target="../drawings/drawing17.xml"/><Relationship Id="rId64" Type="http://schemas.openxmlformats.org/officeDocument/2006/relationships/table" Target="../tables/table2.xml"/><Relationship Id="rId60" Type="http://schemas.openxmlformats.org/officeDocument/2006/relationships/hyperlink" Target="https://www.tinkercad.com/" TargetMode="External"/><Relationship Id="rId51" Type="http://schemas.openxmlformats.org/officeDocument/2006/relationships/hyperlink" Target="https://www.google.com/search?q=https://www.sciencebuddies.org/science-fair-projects/project-ideas/Phys_p046/physics/which-type-of-cup-is-the-best-insulator" TargetMode="External"/><Relationship Id="rId50" Type="http://schemas.openxmlformats.org/officeDocument/2006/relationships/hyperlink" Target="https://phet.colorado.edu/en/simulation/energy-skate-park-basics" TargetMode="External"/><Relationship Id="rId53" Type="http://schemas.openxmlformats.org/officeDocument/2006/relationships/hyperlink" Target="https://phet.colorado.edu/en/simulation/energy-skate-park-basics" TargetMode="External"/><Relationship Id="rId52" Type="http://schemas.openxmlformats.org/officeDocument/2006/relationships/hyperlink" Target="https://www.google.com/search?q=https://www.physicsclassroom.com/class/thermalP/Lesson-1/Heat-and-Temperature" TargetMode="External"/><Relationship Id="rId55" Type="http://schemas.openxmlformats.org/officeDocument/2006/relationships/hyperlink" Target="https://phet.colorado.edu/en/simulation/bending-light" TargetMode="External"/><Relationship Id="rId54" Type="http://schemas.openxmlformats.org/officeDocument/2006/relationships/hyperlink" Target="https://phet.colorado.edu/en/simulation/wave-on-a-string" TargetMode="External"/><Relationship Id="rId57" Type="http://schemas.openxmlformats.org/officeDocument/2006/relationships/hyperlink" Target="https://www.google.com/search?q=https://www.thetech.org/education/design-challenge-lessons" TargetMode="External"/><Relationship Id="rId56" Type="http://schemas.openxmlformats.org/officeDocument/2006/relationships/hyperlink" Target="https://code.org/curriculum/course3/13/Teacher" TargetMode="External"/><Relationship Id="rId59" Type="http://schemas.openxmlformats.org/officeDocument/2006/relationships/hyperlink" Target="https://www.sciencebuddies.org/science-fair-projects/engineering-design-process/engineering-design-process-steps" TargetMode="External"/><Relationship Id="rId58" Type="http://schemas.openxmlformats.org/officeDocument/2006/relationships/hyperlink" Target="https://www.google.com/search?q=https://www.nasa.gov/audience/foreducators/best/edp.html"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vedantu.com/question-answer/melting-of-wax-is-a-change-a-physical-b-chemical-class-7-chemistry-cbse-5f087ec0832a2662986672f8" TargetMode="External"/><Relationship Id="rId2" Type="http://schemas.openxmlformats.org/officeDocument/2006/relationships/hyperlink" Target="https://www.threebond.co.jp/en/technical/familiar-queries/hand_warmer/"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40" Type="http://schemas.openxmlformats.org/officeDocument/2006/relationships/hyperlink" Target="https://v5.airtableusercontent.com/v3/u/25/25/1707415200000/TKnMg1bT44lCpi2YAagRFQ/be503MYMy1OIv2JNeZmth1jiNCiC86ddGsqmRHD1CH_mrRRd3LtbNh41WZQP46FR0Rq-0Q3Ks9Eda1BjR1wd_m1erEZuQ3t2ILWH_To-2bkqVCAxCoTB3O5smM5sQKUq5lCWdPC7N0vr-P9IDKkF2UA85UHVnQdqQaGFHc2lWuo/fGbQ78A2BjXzuQNJQLQLJVlZVTYP2SLDL7_CnKkzj90" TargetMode="External"/><Relationship Id="rId42" Type="http://schemas.openxmlformats.org/officeDocument/2006/relationships/hyperlink" Target="https://v5.airtableusercontent.com/v3/u/25/25/1707415200000/zHDrx_m0MD5yrJg-lk3_kg/13Ke6E_b-VnMQAj2ci6daTHgvEjrRpRtIQhzOZ6IFPPgKtHpc-b2kTZnCbSV0BcwR1osHV6EeuSloqAuT08Y5lvoTL5VAlS_f7PWZFRDCs--eSyKcvbiO0c5Kd4ga3BYeWqLna8XMD7b7LRdaZfeQg/pT8VvyM-km377MvXIERMR8DK4eiMQ-2SqaREVtj41tQ" TargetMode="External"/><Relationship Id="rId41" Type="http://schemas.openxmlformats.org/officeDocument/2006/relationships/hyperlink" Target="https://v5.airtableusercontent.com/v3/u/25/25/1707415200000/uMvP92gjxF7sjfvkvkVJ0Q/8w-32MwP3iC7aJr4Nmsb5UNdPp9lcgRd_VpyrV8HqWxd6l0LHX0y9W6bpjHfasQ5vPtcsC108yGFgtIKXdvQ_I_KVJhgOpgGDATQ08CtJS_BbrlggxBs6vU0VrKBPhai38ZVjxneTq_A7o5IEi7WgA/dbMqTxKbhTV5yklCCAcS_Vv73pWURV-VlhsXpfF25_o" TargetMode="External"/><Relationship Id="rId44" Type="http://schemas.openxmlformats.org/officeDocument/2006/relationships/hyperlink" Target="https://v5.airtableusercontent.com/v3/u/25/25/1707415200000/grwxXuiAD3_z0f_LYe7ULw/dRQ0VJsoEBhA84ihANmAUt91STMACT9xm7okimR9IAuibBs8aDDl5wXUUeTiW-5Ez_SlJwP7cPgGzXMUCF43iKpSplW9w6V53HEvfyrXAmFcl-2DVHRFTC1biJosVoC-KJD1XIXO5Zk6KwpOmcqwGA/nim9huxV_sdRYzvRQIAIEjQeKTFrgBtJoJQXPFeVrws" TargetMode="External"/><Relationship Id="rId43" Type="http://schemas.openxmlformats.org/officeDocument/2006/relationships/hyperlink" Target="https://v5.airtableusercontent.com/v3/u/25/25/1707415200000/4baiwMPbGviolt6-xQNsDQ/pDvRDfi_dCxsw6uUlJiJ5ino_llonM3L57pWFR8CiJUpFHvdKY0MWGRNC1iOV7PUY1eU2rX-h7GzXu7Sgm3WDNfheqzzMkvifRDsg-kffpGo1xCcopy0Pnd6NlIzt9Rrvyi0IsjLVuTXxjO3imaMmhDALMQzTZKNhS5RBzBCUum894eTnalg1YETGErnbBkA/dvvVJ1hYT2cInm2I7zRwRl4n5Xsl8nwftWv_ZK9Ywt0" TargetMode="External"/><Relationship Id="rId46" Type="http://schemas.openxmlformats.org/officeDocument/2006/relationships/hyperlink" Target="https://v5.airtableusercontent.com/v3/u/25/25/1707415200000/JKYB1M7mb7yqRrH3MSkXHg/DLIB4vsINpwKCz0clTufcDpbu_gwQiSSiPC87vAiC0rSgdqSNpJ7rhdkAX-X6S6XspeNFPWuhiDoE7Ew_80DZjJIULMAgT5ZN-EFh-65iDW0OfRFRCpv9ZRXTj-4_itiOuqMYdP-IxkZHNYAtHn36A/YiiRB1Hy2-U_-eyXBNHlIDGzggY180lvwOmlRE33TU8" TargetMode="External"/><Relationship Id="rId45" Type="http://schemas.openxmlformats.org/officeDocument/2006/relationships/hyperlink" Target="https://v5.airtableusercontent.com/v3/u/25/25/1707415200000/2tllNqb41Oe37P4s5fKF_w/mXfMd5MPNzcP8XB7oUJAqRiQxN7AvVp2YWHj2D6sdg1_SMZutouQhpoCF3eqX6S8hnN_jPdajbMm4sT1LAYy4DmRm5PDiT-iP2Mz454nuVA4XJFb-hT_FZ2HTwwMYWTkA59MyghjNEUClTC1xksNXTi9DFlwN0JICnB_SDqY66k/crHnQojsolpdf5J3uZSav-viOsPCgTf5qiAdVcfdmTY" TargetMode="External"/><Relationship Id="rId48" Type="http://schemas.openxmlformats.org/officeDocument/2006/relationships/hyperlink" Target="https://v5.airtableusercontent.com/v3/u/25/25/1707415200000/3ww8Fvx2yb4Y5Zun1auGZg/wfMIjufdISBZf-K55wq9bQcl0S_x2boQDLdWb_RVRX0XBIHvF0DAMQupDygEbk-ZLOGqrSPRo9XNE18VgM8YKyzqN7uzJTwDmr0NJXob6iu0OJN8LBtyDeEHN2yJg08DvbTS5cuJAAvvsY8_NxbY2_7pwuuQ_JPVYZ6RJ9L9SIM/jhsbrp0F6akWVFrrVtXBsGpSQBVHEFr8PmJTeEexGZI" TargetMode="External"/><Relationship Id="rId47" Type="http://schemas.openxmlformats.org/officeDocument/2006/relationships/hyperlink" Target="https://v5.airtableusercontent.com/v3/u/25/25/1707415200000/bCvm_PxSK8KOewZwln5gXw/MQmmW1BjSZPP0AlmkwpTQWt6vXLlvS9_lGub5mutnJGntejD7dr1oGj7r59joln5vKVhwpBLAOlZElWed-hck3YuLIPGho3-pahhjHaYSQ_cKad0P0_nPQpHTI4gNiMYfybVTr45JsVMzm6afWWogw/V-d1_gK1qdYt3xOxgFbB_SpGYwy-Sn8dHTj5WlD1GF0" TargetMode="External"/><Relationship Id="rId49" Type="http://schemas.openxmlformats.org/officeDocument/2006/relationships/hyperlink" Target="https://v5.airtableusercontent.com/v3/u/25/25/1707415200000/i6fsNPVnZX-BuDkxnBNbMQ/D5AzKtcetGnp_uZ4WVB_5MDchMcZP0kLZuT_aORJJRsLv6_R0GqMpAvNgK7OT3o2sq0aOG2W7gQUfqOqeZB1Fq9chH2VgZeUCCGPkKqXkAJPMStIjuENfHfJpN6gj13jitY3SyHWtMEDYsJmPV_Evg/RgXSp12CpjyFJIIK-RjEn9AbzzwfucHJEa8kpJvufFg" TargetMode="External"/><Relationship Id="rId31" Type="http://schemas.openxmlformats.org/officeDocument/2006/relationships/hyperlink" Target="https://v5.airtableusercontent.com/v3/u/25/25/1707415200000/norcUSFclUxI-bxYDmDtxA/ITuWYRtFcGpJU9zYklmL02kmiyw0eaSCHo_Ydxs3NkvcywkJhU50P1oPY4j2SF_CAWf8431-e4hyvyesdacILAktWJFI5QuQEt9RrHnQxuYrMmTFkABB3uLc0Dw9Pz7c726a4HZTKFJBP41oY-Es6_df23LDC6b3qBUPNRE3ft8/u2Hxrk6HvCRNleRxgicx2o8OYT89mlRAwDN4FvwaBqk" TargetMode="External"/><Relationship Id="rId30" Type="http://schemas.openxmlformats.org/officeDocument/2006/relationships/hyperlink" Target="https://v5.airtableusercontent.com/v3/u/25/25/1707415200000/4rwzz89Mceg7UOyRyDf1mg/y9deYBH7JhK2WUYEioNK2ZQwZgOT03uCiRln7H21T17VDNOuAsRpWO82k-Ziq_UQnhwGTEC_J5rGhJqh2mpTtTsswV48V6qdwAJ9FPiW-SFsYetBfNmjW_nLvn5HbuVQpe7l5MyJ9jIuwBx2jzf1AQ/kRDRpNJjNP86WF6EeoHQm9EVRUP5bsJYpK9IDBpzeUw" TargetMode="External"/><Relationship Id="rId33" Type="http://schemas.openxmlformats.org/officeDocument/2006/relationships/hyperlink" Target="https://v5.airtableusercontent.com/v3/u/25/25/1707415200000/tzwkoi2xH6CWZbOHUnWNrg/mtVvNTmwCuYiyMm-PSMhtogd_EigCd0IkYzHzhnY7O2ylDgaBO-UWUx6k9CedV4_mBrPdxs6WNLg_f4Uh7IozbttNd6BREuQ7HJ-Q7p-Bz7JO5TKCkSyPrwSA1JQIVLyGWrR3jNK5LzMpfrpJ01ZsR3QEcDnHpiVGy6D8XVLfm0/nR1zk6EPy3L8NjTM-W9z2-xKx7klhoLtqbnpJaxRrDY" TargetMode="External"/><Relationship Id="rId32" Type="http://schemas.openxmlformats.org/officeDocument/2006/relationships/hyperlink" Target="https://v5.airtableusercontent.com/v3/u/25/25/1707415200000/5p-1mlUY9CDYlo9Eax7TUg/YuwwjVN8S-sjajvH2T6Q7xgHj-N1HgUkcYDHhEYGULEyTxn0YtD15XiM-wF2AbsYR6VtcfF6YsFnEz4kF_JkY315TrBVKTqDy8V-93_5nr0LHf0YJjp-BLc1qn2xAYX8tjH39o1w5tEzwqkrG8j9iw/B1740jm3ElvKqCoiOclc2Fjlb9pclBBnitfZHFMTeLE" TargetMode="External"/><Relationship Id="rId35" Type="http://schemas.openxmlformats.org/officeDocument/2006/relationships/hyperlink" Target="https://v5.airtableusercontent.com/v3/u/25/25/1707415200000/CSFcJY9Utcbd1RVFp8hgVQ/v_KzIQdaPu24tg8ghcnrDoGWu4lA-gB5K3IDmI0969n1wMHVOfJytxMgvGRWBJo62_ApJnyX8hgFy7fF_QQ85igEv6I4uQtHZunZ2ERdwW7t2W7EYiOZyVFkLCrwLGIXLWCh51Dam1MJTcFUsjYVrg/OFfMmwNPTSQDOMrsvWjr4_kxDbwHWZo2NOfxxokBDqI" TargetMode="External"/><Relationship Id="rId34" Type="http://schemas.openxmlformats.org/officeDocument/2006/relationships/hyperlink" Target="https://v5.airtableusercontent.com/v3/u/25/25/1707415200000/NQ-XunVx04qEZoCiNJ059w/2nLNjCHsgA_KotSoCkDzNsZ-A8gl9KB8f2ixddTRBnsgo0tUu1k9h6qpVIz_2w3mCg5_dWmD6tbWul74LXBIKjZxtpycdhR9PXCFsKF3Fdq3ZYh5nII0lWtm1R9R9yLTC0KejFwOq6fZNDv5S47qbA/YhrVCh5Fdttu2f3Ju0ze1mCzfdl4vk5bqrPpaTjXGN8" TargetMode="External"/><Relationship Id="rId37" Type="http://schemas.openxmlformats.org/officeDocument/2006/relationships/hyperlink" Target="https://v5.airtableusercontent.com/v3/u/25/25/1707415200000/yTA4a9wwGKKpWF5sYKzOtw/nvIlTjx1xSF2_ykmy9XKY67TTSZrLR6iEZrBpGRw6Ic_xoHl85678PnBaJHdC05xE3CyHAgLnCJw46YgxKKvXumzj01tSH9UKoH7A2kcb-d1pyCJ580lZuF6JpSqK_0JP9UAdUH1dwcYW4-Sjw9u4w/VBx3JrF_-E4v3B3zUqQFJqzGUQSUUgapYWWkHDb86kE" TargetMode="External"/><Relationship Id="rId36" Type="http://schemas.openxmlformats.org/officeDocument/2006/relationships/hyperlink" Target="https://v5.airtableusercontent.com/v3/u/25/25/1707415200000/vkFMay5u63qHLrbovsWqBg/RKpMl20SJX0jTBe-xzZ5Q1qCoYm2hHXVzO4JaUXGtm5d2FX3xWCttpu7wXK6ACaGgEoNF3xt0Xu_J1pZF9E3MNKD-A8WbNBePDjwk2WI68Y-1aw8CwCedyrK6dCRdziU66bQFxMXLvG60DV36u1wuwVM33SB5gUkCdnSGplfjuM/6aECsGMhQQCsz1KigVdVKjqrS162diihkFOqtrqbTok" TargetMode="External"/><Relationship Id="rId39" Type="http://schemas.openxmlformats.org/officeDocument/2006/relationships/hyperlink" Target="https://v5.airtableusercontent.com/v3/u/25/25/1707415200000/glsx-OHhLrrZKHfIE_yHiw/o71rYKZnTZjckgn-yLXX9dAcZC_e6q7CvQ_wfLFu5rtu0heExgm0IyukaWm_IxQFI-SYwf48cJrCHD4ZVTh8yC2HGqEw4-3V0kwsp6sWu2PGRXgrPu_TtaCT6Mg5u4IcbewwZzVbm7fxZlTYaF_OialRR3cPEijqPPKWsPcy_AA/V8vYakja2Tdvl8YrTZ-PYhQkOIpLn8SFT8bO51TgX00" TargetMode="External"/><Relationship Id="rId38" Type="http://schemas.openxmlformats.org/officeDocument/2006/relationships/hyperlink" Target="https://v5.airtableusercontent.com/v3/u/25/25/1707415200000/ftz944goFqc5py_yNz9dSw/U4yiPBFE-WUHRMjR6lZc4eSbYn9Y89QHaJcRUj9LK-YxcP0kI36u8dUmEHOR3MZP8WOBFADa9tI9smEkam4HzkdFvFyiLW74YM7V68y4pH5iUlqTrUHM7hAZUqROHRn2xyHtMmXyb5rJyU63TNQyag/an0LooNLFH6HQBjx_ZfnNbduVwe4V9SVji9Fx9p6dNs" TargetMode="External"/><Relationship Id="rId20" Type="http://schemas.openxmlformats.org/officeDocument/2006/relationships/hyperlink" Target="https://v5.airtableusercontent.com/v3/u/25/25/1707415200000/g0wVLP13Z7wi4FGH8xgjhA/XUrxOubMb3ZejfC0Il6IPzn1qTtr1ETF_0AF0nNHjQFkvnGJrd5g9CygOaPKJ0fViTN5kPIP2j-EXaO35tPuaNhIJfG8gmx3li7PCwD2g7hAgCmFx4mGpDeLp_l1mwXoZszQtrspW4FLKLoSFJZayQ/XqnrAN4WBJTP14LszV5v_-OHc-AT3vH-xL8wd_4rOQs" TargetMode="External"/><Relationship Id="rId22" Type="http://schemas.openxmlformats.org/officeDocument/2006/relationships/hyperlink" Target="https://v5.airtableusercontent.com/v3/u/25/25/1707415200000/N8qKJiqFLCZ0sQVfX2tF9A/BgxJX3F9wggWaqUBUK_VAEgss8Udx9JtuFaOlnART-hP6lop79CHblAxtzQZWO22J00iDCI_1OPIjHvXH8SP9WqNqdieZ5vnaA5FPYkF0c_UHYnQat1FGxZ2bK9RdhAaBzf2HBPSODA7eto_h6mLIw/R5cURLMQYK2MAEgJRM8_yRmn2AoYyjuOXUBEWEl5Bgc" TargetMode="External"/><Relationship Id="rId21" Type="http://schemas.openxmlformats.org/officeDocument/2006/relationships/hyperlink" Target="https://v5.airtableusercontent.com/v3/u/25/25/1707415200000/db72yP5caWe69e8iqciQLw/Ot3_D0ASGl7T5xQN52WMybaus80atcct-1aDpFEubbXhqFmcKpqnX0LDh6OunrjrySmMvdQG16Ps9gXIrhXPX048whUuhP7Sc9kyA4qYGcJg_zZL-IZfycN46zjJN_hZ0QPFsY5_owPmnfhZVhkl2A/Ue4YNIowmeNYF8t04GnbphsnprJBhQzqmnbo47qSDrI" TargetMode="External"/><Relationship Id="rId24" Type="http://schemas.openxmlformats.org/officeDocument/2006/relationships/hyperlink" Target="https://v5.airtableusercontent.com/v3/u/25/25/1707415200000/IJg06isf036dfhsRiGpXhw/F5DdeFfNeWIXzuNArN_KaHjz2KDWGhhLSD0uZ_qx6e15z__xmfUGO2ZRvCkfQcHfomcsh8vM5xVQaF8HkKP_lgKBDodOfvrc0PJN4ai9RsZzg9_3mrqrH7r8fMAP24WxQMXDrw6QzpmisczSBcF9mA/FBARVzKdCoMt1dXi6S_KS0qBIzvKaMUelESzOx_-HKU" TargetMode="External"/><Relationship Id="rId23" Type="http://schemas.openxmlformats.org/officeDocument/2006/relationships/hyperlink" Target="https://v5.airtableusercontent.com/v3/u/25/25/1707415200000/p3dBk2Gb8zUIbgmQ2aUTiw/b5fgUuGSpLZxrNYRaxrqD8hKq4XHN3D_Od4PiFJOfpOqV8Dt12VLn6IXOU4AGyX3GKU671IuCwMnOF5eyVnOmP_o71KDuc4EAKWATgcWloggn9QmBJida3V8Kc2xMv_o3UPHKtWZ0jOvc0T4fuHDp4k5_5nEdWcLWDe201ewakA/Lu4bXBUverqtrpxbENQ13mceo4Xzl1ouXcu7j_VVPso" TargetMode="External"/><Relationship Id="rId26" Type="http://schemas.openxmlformats.org/officeDocument/2006/relationships/hyperlink" Target="https://v5.airtableusercontent.com/v3/u/25/25/1707415200000/zcC1KsJYSh72cCltfH-gkw/DO1sDgxu8qCIhQIO2mwBeQk2xiBcgLRiJ-iiczRNUqfl2spEe4wF2RiPmGu3n-GeL1O965oAb0bI1TVEP3ei2eiwJNeiVqvp0Bddt1qM7vrzS-7dLLmQAPx-UtTLKyN3MoyfF2bemvi9re44hXyVFw/k2Y0bPGBlDTBBshLa6cl_xQlvbWwhTCc6qjnXgVbo5g" TargetMode="External"/><Relationship Id="rId25" Type="http://schemas.openxmlformats.org/officeDocument/2006/relationships/hyperlink" Target="https://v5.airtableusercontent.com/v3/u/25/25/1707415200000/5OMVxuu7-LofBpOZA5jdyQ/bCqAB3AfxZkaVtmDD9BPOL0u3PcVHhvwEJkKTx9bOpr_1t42KOBWF8MUtZJpNrSwluYpytJ6rxlmi05XMFqsEL91CCbL1OG31Al0i6YgyTnME3-m_-A7SrUvi9hz53pxcf6nlXUfuNimUKBydOzK0Q/VmJKlhdOmJoMmUGpc5gsy8LUihPNtI_4KeQqlhX8S7s" TargetMode="External"/><Relationship Id="rId28" Type="http://schemas.openxmlformats.org/officeDocument/2006/relationships/hyperlink" Target="https://v5.airtableusercontent.com/v3/u/25/25/1707415200000/2Q25XWMESe_haKjvVo9Mdg/SAuEEgQoNkLu6TH-nJd7ABXgx5TSy9hcR66JQIOzl3FxnY4oaZsOVVtgo25z9iz894huZCDNXMPWgNwaW2wq2Eqaqi4vqGzL-7UYeii8TNDGBox8QPvskqJUs4DHUAfb4NO923jBjr6bY14PDQ1P_A/tCpFx9ukHbnOxe9M822jD8s4P8jBUkEP4WT7Bl9OfEk" TargetMode="External"/><Relationship Id="rId27" Type="http://schemas.openxmlformats.org/officeDocument/2006/relationships/hyperlink" Target="https://v5.airtableusercontent.com/v3/u/25/25/1707415200000/3hfJ_WGaqDrd94e2mGSGKQ/QrlPkpJlj2uF5UlmqFLGsruKMdSgR_wHSvJ841HoOTMPnmgXKbnM5oOe-GTzc0B8LHsBIOB-RXogfECW5gJZKdtSXKFdx2htvW9pbbJClzaEJ8DSLkzCi4f1NH7OCd3YICqQ64mwQS86ipb1jpdZyA/dW95P66HuK6EAi0UB2c-bWJ8cOTbKuB4s198g1KoxXk" TargetMode="External"/><Relationship Id="rId29" Type="http://schemas.openxmlformats.org/officeDocument/2006/relationships/hyperlink" Target="https://v5.airtableusercontent.com/v3/u/25/25/1707415200000/iP-_pUE48soZLq6fBSJ-tw/JNt-w1rfRG8IH6hVnCH7Fszy0sJ0LJPfpY9sf4roJCs47TCFyj0VoLg5vkC5CFRUHkg8ssYwdBEtA768sNAutUZIz-nFgHS58a5jK4jg3TehvU7QW54Rv9outUxOPo4axgOI9Ve6rrS2D_WZNW5_0A/4FxFy93LWN4KczztPtfdHfwDuxLy-HiUhDtmXSWZ-t4" TargetMode="External"/><Relationship Id="rId11" Type="http://schemas.openxmlformats.org/officeDocument/2006/relationships/hyperlink" Target="https://v5.airtableusercontent.com/v3/u/25/25/1707415200000/wFSSClWd9uC9c8qQxnkhUg/bLQxGk6XcG5TECqb_xRU4-5rGr0lqEWEYSHWQg6eLTuq7yRrejJfZxAeHYMY9PExY4MtkO91HGqm6zNH7dJbY4Gnqe_cQD7fdC1Lz4Lv41WPxdZS-R6h49cWOA4z_b-SIkKZfmBlkLOYJjPjFrpJenKCEupShbQtJZu8nhQYalc/5I9LAPiUj1LhON8rEQuvtkDOenLVp20NwM0XGikRWxc" TargetMode="External"/><Relationship Id="rId10" Type="http://schemas.openxmlformats.org/officeDocument/2006/relationships/hyperlink" Target="https://v5.airtableusercontent.com/v3/u/25/25/1707415200000/F-cFOdrHY-bgYH-U_mfg4g/5kP1dQtgkrgxTM7HLpXeDu5q7_VJ31o2AKnsdnbHIcBSbts8TXWMC5_gjvZUCtmHm_loNh6Hpb4nVj1ssydltUkN1m94CT1mRzpZkM-rTu4cvygjgGKkP11YZpgNTYmCuqiYKOJqpsBfcrAI7Nj-1w/PDzh6unO3Ne7cfetR-js6pCaoaO5fvVf8sFmJeMtNOE" TargetMode="External"/><Relationship Id="rId13" Type="http://schemas.openxmlformats.org/officeDocument/2006/relationships/hyperlink" Target="https://v5.airtableusercontent.com/v3/u/25/25/1707415200000/k0V2gqYHYRwadYDeDZvlMg/beavisthS6hBzjxPeVJ1bcXy8pNO3dGejX_ilhMzyr_TQUZiPQyALWcxppbfv1Zw2DFxJHDqFQ3Yd9cEnLFHh3T_lWaPMI5wfAnYk5HeImkqmNiFXrAhS8z1pEMuVuSB0jFWxmg1ybxgYPbH2RXlxg/EWGyCl07Xd_wCNiYQ8C5fDmLq32R3nXRd-t7OLN1Ur4" TargetMode="External"/><Relationship Id="rId12" Type="http://schemas.openxmlformats.org/officeDocument/2006/relationships/hyperlink" Target="https://v5.airtableusercontent.com/v3/u/25/25/1707415200000/YdArSdx-n2iqZxfrvfJEqQ/XuPpywpGezIYqEIsFmLs-HOzvT1CuSZH-cpPkCX8uMeJttvx5adIoJBEMa4Mn_n-OUEX8E7s3HKFkD7w_6cC6Pe1HOqC7m8Si5nSugJkg3GmFWcNolEVn-z4pR8saPZSZOane1hEBCW3na_HeFlXRw/b4QryJaywgFy7pAPL6_0Z_kKR1fysXGBHupJntP42AE" TargetMode="External"/><Relationship Id="rId15" Type="http://schemas.openxmlformats.org/officeDocument/2006/relationships/hyperlink" Target="https://v5.airtableusercontent.com/v3/u/25/25/1707415200000/Se5FbAkfHlpX-uLHgm1v_A/SzLPndF_k9h9bsBj5YRgzk7hu815SE7PS2gAkJ5ZajNq_CakKuZ6S8uvBZGRR2glsPOSas-CCX6Ca9sMSxwjn82dAqRwuFL7ptI_O8fwPGxRpXRrADOf8T0t2Fr0ptlWVxy_cLZukoFCC7ei4uXW5NmjlrifmNX8b51gnsvgas8/Wvx7GmqDKJeIRZ9GvSA6bJPUZddCC7lcFuQbllQQfaU" TargetMode="External"/><Relationship Id="rId14" Type="http://schemas.openxmlformats.org/officeDocument/2006/relationships/hyperlink" Target="https://v5.airtableusercontent.com/v3/u/25/25/1707415200000/u_B41wyKwcFDP17DYgUDFA/RwoXFsjzT-b7B_hJsKJDmwAkQGXnu9Ia4rM5MjAkFCx-0Owz5hm8rjvmlZ0u5LYyuI3L_aIO-hi_JjPWk1TmJTjbMCxec3VPETgvKfrz5bGb2jvKxCNvgOECyqABOld_FCh4b8b5ydKwzgHhCa1NlSd_QFQWyL6LbpPhfmcXJ4g/nzP0KbRdPIh5W3Ek8PyF1r35cl1qc94K-wFtie-WEpY" TargetMode="External"/><Relationship Id="rId17" Type="http://schemas.openxmlformats.org/officeDocument/2006/relationships/hyperlink" Target="https://v5.airtableusercontent.com/v3/u/25/25/1707415200000/n4ItIVN1jdtM6aMV2BVlgQ/NdX6OPh92GkVJLgj9PIs73rF46tMEDXkhvyD4coOxpc2MpPNXPw3wnmgVJZWdbrwou6YUFPhHd-oGB-HFWQ6phg8d3U3yXKvI2RLWTyzWSGEZIf8eRdPwOeGADGG6tBUh9xR-E8xhfZlcchmk-cV0cw-kZgG76mwwhgTB_8o9-8/Jy2hQynlaFB9_GZroxx864n9GsNLBB1kn2cV6K1GbKE" TargetMode="External"/><Relationship Id="rId16" Type="http://schemas.openxmlformats.org/officeDocument/2006/relationships/hyperlink" Target="https://v5.airtableusercontent.com/v3/u/25/25/1707415200000/ZkeUmeJjyWOB1mttc_nq4Q/8-Ukn0vqc7IfhbniXE6sR1jl71d0WNc3yYp61sSXrxke05JbOCu3hYgSV6sP4qJMtAkizhrvx1rJPNiDz4bOpbPLW-s2C3pd039xhM_1P3Mbr-e8krFFemmkMd56dqVA-yHnpF5Drjcxg1BUa5VwRQ/b12DcutZ4BL-KCVmCQ0jVJqtooaJfHmmTdd5orZE6wI" TargetMode="External"/><Relationship Id="rId19" Type="http://schemas.openxmlformats.org/officeDocument/2006/relationships/hyperlink" Target="https://v5.airtableusercontent.com/v3/u/25/25/1707415200000/cp4Jw5tqQBJKbsdYbGpQjQ/Ah7knBTYnWo2FV6hWUdmDQyRvzO7RxWvLkhSb-fyxzrNNwcak9C390SZrM2_mbX0y6UNCpv3d-utwLo3aIDPSfycP_nx66DysTJ75aJdyKEZa3gAA8wb_jjlpGb4kye8lr-58HdBja21of2jlMi2uA/L6oyBMehMjnufkKwj3ki8ZsAdN6kgv71tQfoDqOA43Q" TargetMode="External"/><Relationship Id="rId18" Type="http://schemas.openxmlformats.org/officeDocument/2006/relationships/hyperlink" Target="https://v5.airtableusercontent.com/v3/u/25/25/1707415200000/-KRjQ9hIu4edJ3QDEWbGGw/7XhjZG0dqsSX639r4ajdr201gUZw07BOzI-sbII32AvBdRbE9ROCnB7hzY-ex1TMekShfcUb2Z4praoHoo1HFsDNerEAGc0j63sT9FRo-Xm7XT8cE9lN5MWVxZsLQXDH84j4oBlduEQiGndmtSqTDA/xy8CJdEMgcZF_wwxqp5bbZ8T4petEbDSOIq5vET3tvc" TargetMode="External"/><Relationship Id="rId1" Type="http://schemas.openxmlformats.org/officeDocument/2006/relationships/comments" Target="../comments6.xml"/><Relationship Id="rId2" Type="http://schemas.openxmlformats.org/officeDocument/2006/relationships/hyperlink" Target="https://v5.airtableusercontent.com/v3/u/25/25/1707415200000/Im6aPdjl30EcBIt4o1Bt4A/oUA7jMKZdFp6iuQTUQgSihvyDoTxBCDKssYRlAchDjmS6ERfmmxf_BTOjA8mfJCBgB3jauAZZeAmcXo5I_cIHiJXWENHoKHgSoWhyJX2Qq9cKNR_1ghdTVXZDIwkJVYQkz0FQHFYDbr-sk1w6urwAg/OnFoVH1gEHGRjkg7ghJQw_Bc2_wbif3lklmqJOtCYNM" TargetMode="External"/><Relationship Id="rId3" Type="http://schemas.openxmlformats.org/officeDocument/2006/relationships/hyperlink" Target="https://v5.airtableusercontent.com/v3/u/25/25/1707415200000/7oGtrj18BxV2qNSxhgmHAA/ti3ZELg4MY20YMlJevePcMI_PAKHBuK-L2j8kZqsN2Pv7s1yt0O4zo5aPG-FcIOTXsxf0vloe_NL4pIV8cWuj5ln9y89RyGkexp6uabtHOke0k1Gu8DP7M6iM7OHdN1KC9rPwr844VzeTqqjY9yKgQ/bCGrBMT0a83ToY1gYs_Hzo0sWhTOd1h7eQiAFFHKdGw" TargetMode="External"/><Relationship Id="rId4" Type="http://schemas.openxmlformats.org/officeDocument/2006/relationships/hyperlink" Target="https://v5.airtableusercontent.com/v3/u/25/25/1707415200000/Lm-dgIYOXVoR76U3bm5rkg/2oPU2kN-rf0hZrjTj664Hb4wKnGkeMBckBvC_JfmHI4ZPFFDEuaJbZoUf7xP3DKV5MSv2IqMJGTeDf8-zuqtb4zEAmDvZkiPhA2IaogAsT8USXlm-JxMQ4tviC1PIY-Z0qOBGkmQLtEFYQL819h-pg/YsmT9HpdM387xvbNyQZRBrrYiyM2Mg8x-gCeSV9OoJM" TargetMode="External"/><Relationship Id="rId9" Type="http://schemas.openxmlformats.org/officeDocument/2006/relationships/hyperlink" Target="https://v5.airtableusercontent.com/v3/u/25/25/1707415200000/BMIcU45k4Af42CzE5LAsEw/mljM6HHVzUf6ZGBbhOM6ofxFOrfBy7z1JPhmyix6D3ysiEfgCmdjAB-pflv_DQNCfJsAeI4npcJXrzadUh58zT7mlDpvlUaBX7rs2wZBvqT9pAzh4-1J44275KNuOffNRYVaq6t2UIgWvyidy82SM-GQ0CGbKVCb8UxQIvtcbRo/P2puNTKy8TAXIvrz6mMEN6cg3R3mC8SI83hNMwlHPAY" TargetMode="External"/><Relationship Id="rId5" Type="http://schemas.openxmlformats.org/officeDocument/2006/relationships/hyperlink" Target="https://v5.airtableusercontent.com/v3/u/25/25/1707415200000/FLvWmNNrfJJc2MgzGuF4Jw/-xma0XRxQsnTkgcIreSrx1ifZDNBWf6GlQTwVC1KESDUVZF25oJ-dEilP4_bEglbxU0yKUkaC94Wq5ZmuQ5QX2vrDgFpGtN7YbDV-75p_SC1J7zcP9QIyx7krUIzgIkKX-R5NE_mSiivEfeqPZW4ln1P18DWCDVGNfiyVHvTwM0/MIFkbM-2gVHGiyWAOoy2Me2AA2Ma5ClFmtL-4I2mkKY" TargetMode="External"/><Relationship Id="rId6" Type="http://schemas.openxmlformats.org/officeDocument/2006/relationships/hyperlink" Target="https://v5.airtableusercontent.com/v3/u/25/25/1707415200000/i8sYuHJ2j0H5_JBhnDeQpw/hn93kJJgbV8-9-y8EQbG8CMjAV0ayPuhgcYsatTU8kZOYeZBXxwGdxn6Ed16iDYCb7Xv2Zp9I8nxx2zxtlWMXEBpxCDrMrHeeYshOUZu987mese8w7G9_--H7Z13SlqOg-Nc1tb9QWBvYZpTuLKZwA/tsjcj2XjGNKTnqwt-d4WTj7bHlYo56HQlBPrg29xk7E" TargetMode="External"/><Relationship Id="rId7" Type="http://schemas.openxmlformats.org/officeDocument/2006/relationships/hyperlink" Target="https://v5.airtableusercontent.com/v3/u/25/25/1707415200000/POAKwN11q3gBuyuVjdtKww/hvqo9r9whPGs7avvQgflSFdGMsem_8Rd4u0Y2zaVZEILuGEmpngmeQH_tyCBJH6cQlvINYgwZsxI6-2LUIWUDp9o9VXZxkyUUF2p6pxs34NnbGyeeldyQdNrelZOTsycPWQcvB-BuH8XdQltbXOYJg/nzkQU8zPcIZ9ZvsxOgK8lTR3b8o4UClJTChJ8iuScOw" TargetMode="External"/><Relationship Id="rId8" Type="http://schemas.openxmlformats.org/officeDocument/2006/relationships/hyperlink" Target="https://v5.airtableusercontent.com/v3/u/25/25/1707415200000/eZpBdquGVSYG_MPo8kCRbA/LUR4ahXwK7I6YSHJ2TKU-XkVx8fq7knaAIpc9d3mEeBsg3uQfXtXkpX8piK5mV5qJixDU09qpsVUnpHt7ILTBZHhGRASDTJY5oWXlhIQANdEcqQ0gIcc6ud3z9AFpzGubN8bUwSQ01uKIP5Xlt0rOdnq7x2dYOnBZMCBxXnmqwA/3drYHgcbIH4He2pwsnJslMKGcGe4n9JlwXwquazZlmc" TargetMode="External"/><Relationship Id="rId73" Type="http://schemas.openxmlformats.org/officeDocument/2006/relationships/drawing" Target="../drawings/drawing26.xml"/><Relationship Id="rId72" Type="http://schemas.openxmlformats.org/officeDocument/2006/relationships/hyperlink" Target="https://v5.airtableusercontent.com/v3/u/25/25/1707415200000/SSU-D3cf7NwtoXZBe-NmOw/06LjA8inGx-z2GvMnFI5baHg3niPb1GI_KEkMTimgDinINJaDELpWSnwqmRZ523kGKupKoaqcNfDByWmP2xKMnP7J6en9B39a28gC0ma3WVvyrubNKX0lFgKWwkU_pzeqpXX_PsYl6iIKxqT0BM1zQ/cMUmUm-iJzmdBoCRjEfNxWt_hl6xoxYHRWqYYGG6EB8" TargetMode="External"/><Relationship Id="rId74" Type="http://schemas.openxmlformats.org/officeDocument/2006/relationships/vmlDrawing" Target="../drawings/vmlDrawing6.vml"/><Relationship Id="rId71" Type="http://schemas.openxmlformats.org/officeDocument/2006/relationships/hyperlink" Target="https://v5.airtableusercontent.com/v3/u/25/25/1707415200000/Jkwmqp_XSRXbCy200g0bBg/nxwlFaqsUC7CSTKSYSpGXKP2-2ZM4fBPva7TXaRE5zS9kTGGGnVpPArjcWXJoqVeNih-BlYcz2yZhNltwhpuEk2pdkPKrkrTK9Hq3-z0piZNtNpN_NPavTJpZpEv-6qb0UCxDeTua-DkAh9iIFuhRnv_Xkf1OxlayM_sB1bdovs/CRA2jl5wpOL1JxmwHyaOLV2n3gnlH6lbZYD0NL9g-Ig" TargetMode="External"/><Relationship Id="rId70" Type="http://schemas.openxmlformats.org/officeDocument/2006/relationships/hyperlink" Target="https://v5.airtableusercontent.com/v3/u/25/25/1707415200000/LS-X-ZmGVTXX_XU4yb8C_g/FIvIhvNBKqBRvkRNjTSqygyWQYnOGt1CupuF-fSHPfKUShrVVQPmSsfid5HD2cPFwrPvrtaMBPyngQXTwNVN9o5o-rNSB37PBWqXee5gxt9ouIxJMKpMNW0ufRvuya_PhYC3MUPvt-NHs3ljVyBSW6j_AmDTTfiTnCExsjxXLJg/uxbVw3yo2Po5SptOrNB-vY9ybQAV1LUgH3geJmmVZsk" TargetMode="External"/><Relationship Id="rId62" Type="http://schemas.openxmlformats.org/officeDocument/2006/relationships/hyperlink" Target="https://v5.airtableusercontent.com/v3/u/25/25/1707415200000/5FfFdoD2n_tvD-x8WT0VDA/i8cl192da9sz8haHl10QgWlEmDoWPveWe1iR6ICl9VNV2yKG9hdftDTFRJwjDRN6zrdJieQfNpFTpxne0uHHw3SBdUyJSjARIDusUneX80ohCAOC9IXcxFeFlYt6egZKt97H3b_O-HKJd0c3BZjHciti48qGnKXQkfo1ur-dl9c/q9xGautyttynQ5t2qfPlgEJJQ41kuiEL6d_CSxZKUGs" TargetMode="External"/><Relationship Id="rId61" Type="http://schemas.openxmlformats.org/officeDocument/2006/relationships/hyperlink" Target="https://v5.airtableusercontent.com/v3/u/25/25/1707415200000/XCnRYMb3fnwOkG5Wl0arFw/oZGsbJ3kACIr4N4k1VuzMdauBtcoJtghGyJnKPRcPfcGGQfZfERIgTN9r1z_n-qttFRC_av5ghOaIDMSTakua0hwEGct4oyVaEnOAlODaXgCIL4V7P53bTAcSv_ofShttAqGmoHmnOPKb_MBEfrOwZ9xr5ANyojCA-bcadvN-As/p8uLlTLuycEd4OcBMiiQWgm6K56umLBSFuCe8emY190" TargetMode="External"/><Relationship Id="rId64" Type="http://schemas.openxmlformats.org/officeDocument/2006/relationships/hyperlink" Target="https://v5.airtableusercontent.com/v3/u/25/25/1707415200000/GShMDE2QHtz3hU-ZV0EFnQ/VPXsAXK_TDobWI0HCTk_6RYGVJ8ikcEyne3MthRmR-LJeLfiz7ZVPrhdeeVz8BgAhj43o9alvIepR7s9IWCah_-cj_v1etmS39cfSEheeO6EX4g6E505Wnnxs8QFRIIHRxI_Ftdomr-FsXjKJPVb8A/UDrJDOrI_ZSaxQv05O9tZNLwByX0Gc5zhbDs0o5iYFg" TargetMode="External"/><Relationship Id="rId63" Type="http://schemas.openxmlformats.org/officeDocument/2006/relationships/hyperlink" Target="https://v5.airtableusercontent.com/v3/u/25/25/1707415200000/AMSNTFqSPCZQ4ywd4IYBEw/WvXxWIeva3qZHDdgp4zwiMHJyT003pLq2xYd2yOCkK429CNbGodJzGHI-_uAQSz-OV4L40JjCytMNwLgzbz-ZyEbi7evGDtDD7Y8Th9coTvpgFqajzYl1g6ry5jAmK9VBTjR4wCx4quWx5YEkCNe3lItIQ1GlV37aP_xr3B_iME/fkyWZKyCQnElF0ej8CVW5rt57eMkoxu62BiC1nGQKeU" TargetMode="External"/><Relationship Id="rId66" Type="http://schemas.openxmlformats.org/officeDocument/2006/relationships/hyperlink" Target="https://v5.airtableusercontent.com/v3/u/25/25/1707415200000/8OdmsUJVIfVpXrOKPfPwHg/VV2ldZ8MzDFJrFl2PIRzfp-uUL1vTW55Rr_M-bEZ2mT534STysEitVX1V9lZp50TSulituRW5YLQFneNfmPPZOwD9Fk6clgKj8S8yYvsXvI4LhfvBVuCGEMjvCOx3Nohx_EQdQg_ExLxwm9DttQKBg/JcUWuwJcFeH08xJ2bCu6w_S2djIWae8tMEsKV5eT79w" TargetMode="External"/><Relationship Id="rId65" Type="http://schemas.openxmlformats.org/officeDocument/2006/relationships/hyperlink" Target="https://v5.airtableusercontent.com/v3/u/25/25/1707415200000/5O0S4a0tq6JtW--QAUEv2g/j0DV6vNQyWPy0e7za98wrCzSo7T2ek9o8WUUsvrnZrl_fMnHTrgwDZex04bROZoawH4-9ZLiwpYDEcDBwbpuIWCuCK9ZamGqOpocNKVfKXSQyetyyxZxkch28Kc3h79nvr3KzpDjRoL9AZioYFnGcA/-RdBWJOX_5VagBDQU7LR0KkUBP6d65oRtlqW4ypJ2fk" TargetMode="External"/><Relationship Id="rId68" Type="http://schemas.openxmlformats.org/officeDocument/2006/relationships/hyperlink" Target="https://v5.airtableusercontent.com/v3/u/25/25/1707415200000/ozy3idv9x8YkbCHlEUpL_A/IjBUwtxVBXcOnuqWiYSIZeVndBnwyXZoXL4CPHMA0rH3vkqxvlg6mUecnkuy0pq6YaClfzCG4rNVtbq7CdK2f1lSzlGE-NhMRV5Akjvm793RVGVyelrp2lht4Mpl7_6j0Tbh1TF-VHz0mYO7j3R5EvMAMWiC6AdnNn6bgc6NaUo/z8HiP6uoVBfVPhi9e-4PcSVSDasgjB-wzkiTM_Bw2rI" TargetMode="External"/><Relationship Id="rId67" Type="http://schemas.openxmlformats.org/officeDocument/2006/relationships/hyperlink" Target="https://v5.airtableusercontent.com/v3/u/25/25/1707415200000/94vo8oA9q53MZibkUobTsQ/I2UvQnHW6OXI5zONrlKth1cbics6WzM9BEFZAenZhC07l9FMDNlxmZLjC-L6DxC5OsHKncUlOY-qWMKH9tcsTsOtTC9x7hzVGaOl8YImBaby6BOzRuda4t7ALXQheeJR_jB4tGP0qIpMPj068AaqVU-20mzaKwGQHbnlpNpm8q8/MbQXcTRdyWXTLESYJ6MVcWlI5FhYHUGRqDGuw_Ly_K8" TargetMode="External"/><Relationship Id="rId60" Type="http://schemas.openxmlformats.org/officeDocument/2006/relationships/hyperlink" Target="https://v5.airtableusercontent.com/v3/u/25/25/1707415200000/-1GTFQhjUnFWaWBTl5keUg/7TxIjLAGzr4NkJ6umS8n8C7JZXYzOGo-6wEqRPCkcE278uAJsTt7QNtFLqYPvmvTqqmoMZWwv8VWbUhxDZl5o07-6WS8r4kEzjLW29na4eJ0bB60Jg2BsRj_q5bqee4ECnz7jSnpMff2lr2MEzHUMURlGm69IX3KKnQL-65haVI/ERjk2E109UARzuoMvCNcEDpW-SzW1jl7c4H4RvKKl4U" TargetMode="External"/><Relationship Id="rId69" Type="http://schemas.openxmlformats.org/officeDocument/2006/relationships/hyperlink" Target="https://v5.airtableusercontent.com/v3/u/25/25/1707415200000/usYA-J1H6064yTbhekmVyw/GZ4qLjy_INt2JWGDvUnu7DnCxpCUn_cxuMhjN1NXUixreBBMbiAUUq4sJyk3ITLZpzF6YjNsaq7Wz4ADO35PZtFNfGSlzg55318CAiSEq39I1eoUAQO4Ez5Gw_E-oZKP5rr9D0YAdu8WMN4dIo7NZZkdss262A2ebsJIRcA_Lao/TiitcHyuV5Skldumdo8piyTAKmxqJkbMct9XG76Ypfg" TargetMode="External"/><Relationship Id="rId51" Type="http://schemas.openxmlformats.org/officeDocument/2006/relationships/hyperlink" Target="https://v5.airtableusercontent.com/v3/u/25/25/1707415200000/NfrDC5ai6vIoAhRSI0f4Pg/m0ZtmqS4g1hcNweKzClvsACcDdb1woHg8nubT_J5lZGKfs-8O5Vzu_dUyoMwH18mQriGRW3coKB9Yr3EqAKpRkyGlojiRBC6VIW6d9q9PyrbS00FuHlF4gPElj-ZjhmrICI17iHy79KWRl45Q3Yitw/8So2bOmQL2cbXnFDxy6qJ3UkqryVdp-yc_QDas9tWLQ" TargetMode="External"/><Relationship Id="rId50" Type="http://schemas.openxmlformats.org/officeDocument/2006/relationships/hyperlink" Target="https://v5.airtableusercontent.com/v3/u/25/25/1707415200000/vS4hPu52CgNIlNrskdohJw/Ftg-sxLajPf4LF6W0B6aMw3kTV07yD70VHkE9q1B9bodLnASBFcX-AAR2HvvzQ99j1FyXvV74mVcvY9EY1EU26AZCZAnVZHfjaE5N2h8JkgGQb1ItjNJGO4LA6WwAsowah4XBhRAXYaG_aC7PgiKEsI3i1UEepsotnTQF-5z9YY/oqWRa3rjfvFT7rua_eymYUNxi-W5p8zImuG2aUdSDrc" TargetMode="External"/><Relationship Id="rId53" Type="http://schemas.openxmlformats.org/officeDocument/2006/relationships/hyperlink" Target="https://v5.airtableusercontent.com/v3/u/25/25/1707415200000/5SHTcnHd2Auclcsw5u3PZQ/UXReqgXn1qK4IYQPO58lJD-Som4IqDIRVn5xnbcUNARzs6S9O4MYn-UaMysMnt-FwOCgquR3duNCXHOyDc6SEut-bEsfGElJAc2YlSRqVUARTmX_781ch_vBk64OWb4btFOukUr-v-BFVCU5CErm3SAHrsNJyJpkYFq-2enbDoY/2Ltmd4VBSTZBlvZPku6Y677cY_zpmUoxLHDniQWf-vg" TargetMode="External"/><Relationship Id="rId52" Type="http://schemas.openxmlformats.org/officeDocument/2006/relationships/hyperlink" Target="https://v5.airtableusercontent.com/v3/u/25/25/1707415200000/0wTsUxIP6Sn27Sa6DfimiA/A3w5r0-dQz9H_GBIEQDAtzo-HJxP7ojCCLx_6kwsWaBZyxtJHmtZDIIMohrZmM-gTOLUSbjZ7MiKpPI_IET_-IkPUeyn6xAmrqfUoG3hbBx2ebZ8lfizIKIFM3PKbptMBIcrmAZPskP3M8jgFYb2-g/tM17LnXaqFIA2vFsW_qM3B17FwzE0iTICYow2YZvEY0" TargetMode="External"/><Relationship Id="rId55" Type="http://schemas.openxmlformats.org/officeDocument/2006/relationships/hyperlink" Target="https://v5.airtableusercontent.com/v3/u/25/25/1707415200000/EvKBcB-WyR53sMlUQWOImw/7z2HXXTpvk3bi138Tq1YNQO806U6pfEyVl4QxpoIdeTFyvt7dDcFtyATJ8Mt580yvVu60fmbUJ5IMZ12Xxp7POwl98Ide8KpcMRGOle0jWUXsfHKCKLIuDfKOK9zOmS74VpdV4iwLf46-da_rUr9ew/VMOYStCLBwxYR0J2qAZ9kvhyFV8_Dn83anP9GujGvxA" TargetMode="External"/><Relationship Id="rId54" Type="http://schemas.openxmlformats.org/officeDocument/2006/relationships/hyperlink" Target="https://v5.airtableusercontent.com/v3/u/25/25/1707415200000/XHW7doPqQFEdCTYCwCORXA/FFs1zepEMklqsKxSIIuyJ-6-tzLCULlB85yUpNWL8N-faQZGW0fUTmlYtXDbFdQZ4BSax3-ww6eRx4mb04t16bTe1gvSoWSLcjUiHocDAhjjV8pjyvNZ-ZbYGWr6PuH0-2kTp2Z0RiMPU1M2UO1yew/b9wwMqiGF22F-KpPzjZDAjn5QEgd1qQLW1Z7-c7pf5M" TargetMode="External"/><Relationship Id="rId57" Type="http://schemas.openxmlformats.org/officeDocument/2006/relationships/hyperlink" Target="https://v5.airtableusercontent.com/v3/u/25/25/1707415200000/LPmwbcLCgkOYf-Etr4vspw/h79IOpuaxujeLzqCIsRPnqVgHTyD2Ypdpquasj-lbJK_Dmf3O8su_t89YdCfeaxDZ1FcCql2hRcFfO9JEJjU4lJ97899MtG3Go90fJt9nuCR1wUDP8t9FUIEA_YnLqkAh9U3iujiPG5ITayFzAVECg/FFfAT2ISglw4ynJsrEHTGMIMV25a9dVNR8FlDVgHnHs" TargetMode="External"/><Relationship Id="rId56" Type="http://schemas.openxmlformats.org/officeDocument/2006/relationships/hyperlink" Target="https://v5.airtableusercontent.com/v3/u/25/25/1707415200000/7sjpuolj6QrRFvDbw3dEPA/HfMjhfKY7d3SKV2Swj7TlA798xAnthGWG8AvvVWtDGOjluSCrNoSpWtQSZXaoUw2_F-PbPhXOg9k7mTvEo6qiFqY2Y5nCSl_m6R2NPcKk7S_FmAH9UqqkBf8u0xk5f-pTKufzdBKNyar79F6riuS6Q/Jf7ovl0QUiG3JrRExLgSo1JUbygKOJob_5kEuvRiDLI" TargetMode="External"/><Relationship Id="rId59" Type="http://schemas.openxmlformats.org/officeDocument/2006/relationships/hyperlink" Target="https://v5.airtableusercontent.com/v3/u/25/25/1707415200000/i5MtOuUIHn_5cum9LYKygQ/cnOP7r4vOQ1cjhEnSdS9GoKz_uQu78IizS7oKacL_mscf_EwrMoJ3q7QxrfjJdbEPFzZo7T8wQY9zbEAjUmANbCFIX36eMZUjYTBCDQcxLvt9teCytL-X9A9LCJ_XqXpJafYcC7AZgMBctQEcqqfFtNPwJPG-l8R5GY_AfJEn-Y/FcCTdq9pVtHWBClRUs4US2V12hFB6D12OPgCP88Ldfg" TargetMode="External"/><Relationship Id="rId58" Type="http://schemas.openxmlformats.org/officeDocument/2006/relationships/hyperlink" Target="https://v5.airtableusercontent.com/v3/u/25/25/1707415200000/_69I7_Wg7RyG8JDx-H6xhw/pMHQ2syUU8ZoGuk_AY97Gy5WedbjhcW60DVYHSHxNZssCTiWrCDc0Cea_AufD8l8ZGNzVOnrfY1an-A5RY2xhRccLl3VmEhGoU7xiUKqftASzBjb5ecUkrf8R3E0OOoYQAHqmOLii369QYqEJsK8Ow/3Q2DDe4HqAxKlbqmzoLmGZd6gZpNd-StsiPK0UUCpPI"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s://v5.airtableusercontent.com/v3/u/25/25/1707415200000/IlF1Eyd8ELrLaJdacF5aOA/YeysHLMcPS-OTIjYro-CIMVkB4diPNw3EMvVXmiNDMyx8H0AcGF9RVzAhf7EIKXQJFkHKAoiusl5kLiVVohOKaO4k3jr7qeB2UNoaNR9cEHDBfzL0wS1aE_Nz08aK-UI-ZTUm9tAcJ0Z1jiGWeXLrA/6IXSkInmlSmNMGPr2uJ5pY-2ImtEo2tdjv-buC36lyM" TargetMode="External"/><Relationship Id="rId42" Type="http://schemas.openxmlformats.org/officeDocument/2006/relationships/hyperlink" Target="https://v5.airtableusercontent.com/v3/u/25/25/1707415200000/7bZ0ikUuzilABHKN-jIjYQ/7q6cyIkf3GJAEiZDKAxdzCvZUq3nV3Q1nv42p7DVwPpL3UpdW915EpIX1i5FjgZRzsWjNWEI4kdC_96brBJOvf0lYujrGnDYFghbPus5PMdV73CwW_uQaT26_ss3VJ9ueUkte-N9aOC1okrvm0sjRA/qz7aa7yuE3S5Nfv2YnNphtGjqlfngiFUsypWE3SQ0JQ" TargetMode="External"/><Relationship Id="rId41" Type="http://schemas.openxmlformats.org/officeDocument/2006/relationships/hyperlink" Target="https://v5.airtableusercontent.com/v3/u/25/25/1707415200000/dq386i-rE6aQtjFYI9Tf_w/sNsTrMrqJKhY3BVkuQVIPqp22Zipoyn6vqiJwXRhYxE-lyfs28gchJu6xueY5bM9_E5upoXXUxhvCeb7Peqh8xYjjtrBWF5t9qJf89YlwOUmAOuik3pXMu8Z7ryVQlAHNfMtnxx2KGgrXAQLeo3K2PTRUhULTgaslR40LYD8P2U/WS5NE_-7fwZnTHhZDI-M5-ZE3cg8tysPisBLPrM16Dk" TargetMode="External"/><Relationship Id="rId44" Type="http://schemas.openxmlformats.org/officeDocument/2006/relationships/hyperlink" Target="https://v5.airtableusercontent.com/v3/u/25/25/1707415200000/BqJKXPf3w0Rbc2y93lFWdQ/MXONL3NCjUseA0Wz4iHIXmRZkFojep-wZ2-hViz5Ow2hgrdUTm_U4LY5lTH059marcYsTtf2t2TdW9shtyRrQr8kfBgFCGsjsfQoVSuu78501CmkT5RcM85mG_yo20pmC8YpSmocpSrrbTapiGM-RlC6O99Flkln9YkRyf9JcFM/mW8f3PROD-RYpEJ0RDmseusgDBDp4wk31p0BPegpGR0" TargetMode="External"/><Relationship Id="rId43" Type="http://schemas.openxmlformats.org/officeDocument/2006/relationships/hyperlink" Target="https://v5.airtableusercontent.com/v3/u/25/25/1707415200000/4vtGJKZG_m7NbwZI1lyl-g/I0vntBBz5vJ3LIdJ8qnsD7d5V0R6LLxYS66_72KVFHmxkk1nLvSQcfooMRyUj_5pTqnsONI0_xcsLqWPFExcYG2ZR3SkOHpmDKYHynEMuxlxLpdMq0fQrDPYIXLiifWh1-jcELAz6Etq0XGW6F7YnUQHnZc_rhmM4zCA4nQsKXY/dpW5e1x2qpLuA9m30xHuqW6ZUnDqqi1EdoBTOB-xhdk" TargetMode="External"/><Relationship Id="rId46" Type="http://schemas.openxmlformats.org/officeDocument/2006/relationships/hyperlink" Target="https://v5.airtableusercontent.com/v3/u/25/25/1707415200000/K2bPjZiItnBn_FZtUZNO-Q/YyeupfdZYYMVSJgspw2CzmIiuXDxaqyU8QKQXuBJ6yZa8wqTzO8-5Jd6hvXHmTq3mnghsA3AFPAhEx9oEf3MPG9k1II9_c5AcIRw7ADh62GY_wSm2juaawim7byDiipYcgzz-F_cYp8szCyAcpQ5SQ/w5gUH0qedUWSQAf-z-HbTJLDR0sAMj9zR6-Zjac-OOo" TargetMode="External"/><Relationship Id="rId45" Type="http://schemas.openxmlformats.org/officeDocument/2006/relationships/hyperlink" Target="https://v5.airtableusercontent.com/v3/u/25/25/1707415200000/XtyH5onJOvFHHVyc_glDOQ/orY3H7Ahi-u2iFrjjYXJtmuSEu_DZSG6Dkmcdn2E8ioT7f67Cs8nJIsu87gQnYxTYU1f27GL2ygUdh39UJ_tBNpdtLF9lpPdgQSZbYi97rVK-QQpkdDOWqcSFvb6eguiOKPr1q2BAApoMVmFu86W3nhDZwOsQ0TkLqUQCQgwtGk/jJ0LMF0XU4MKyZur0GHbFh1ON8mCy0xmhDjmKJZnX8Q" TargetMode="External"/><Relationship Id="rId48" Type="http://schemas.openxmlformats.org/officeDocument/2006/relationships/hyperlink" Target="https://v5.airtableusercontent.com/v3/u/25/25/1707415200000/VzzbwK0vja9DUkKCalsjzQ/agQWwtGHChTKjPGrRuMo7hcuKMcuoyrUWGiDI1hzSu7Aw2QZZHwGiJQgxnr0MNNizUIxJYAPYVHEGmTK6ietSIfhhTtvZWJ7oVtT8ptpOOJxH3iYO7AmsU7D_wePzye1SBPMj8epl8q9cu07KZ_ajQ/rwJX8LjIVDdW_fM9_z4yqBaaxanfJcftMVRc0UbW5uo" TargetMode="External"/><Relationship Id="rId47" Type="http://schemas.openxmlformats.org/officeDocument/2006/relationships/hyperlink" Target="https://v5.airtableusercontent.com/v3/u/25/25/1707415200000/02VKScYeCepellqvauC-5Q/K1iQh4OYELYltm7jq1M4XBQbWC9MVNumS2tTgHKdnqgJGgRUdnQ_ay90B_HYwIUjCdo-etw53Tu3kPqedA3pK6EJJzawf6M6ul8yI9SRO11SKv5mbY4BRcByEagdRzlNeUC3VNMsSZSkIkFA8vFP2A/zxN-DCEf5y1gF8oTd26SqaC7qC9Cb3hDAikkyFHqdSk" TargetMode="External"/><Relationship Id="rId49" Type="http://schemas.openxmlformats.org/officeDocument/2006/relationships/hyperlink" Target="https://v5.airtableusercontent.com/v3/u/25/25/1707415200000/NTxbb_eooAVbhoS7KyjCJA/YRfmuLhSuUQtqzQ1TgBVARJsfpVKXtchGXgNPKvZm8hWPmIOfZU9drHQSDJWIiVvh-c9LguKenYdqiUuJMmvlB8emykTl5FgGDsV4fOqblOTQHS2vKd961MtlGt94sglGcsLYxlcd1XVYQclgKE23Q/RxmsgG02BoPXvDZzzVLq_pMyEaTpYg7cD9d-y6LXfH0" TargetMode="External"/><Relationship Id="rId31" Type="http://schemas.openxmlformats.org/officeDocument/2006/relationships/hyperlink" Target="https://v5.airtableusercontent.com/v3/u/25/25/1707415200000/AaiufYgaHNVpekCnd1XvNQ/7pBVfRfb9TxDBmT4ozEv-jvuORQI6KFv4KIJ-gf7LJrO_xAl12SbhqNT2-sRK7LVDWJ-NoSp1VAFNiSytnFxgfgXI4ngEEAF3q3Oe4eXY1SVYmpSjuEXO3f-VeC8R4toQY_LO64GklFvTe0IjfHQaw/DgfzUa0W_MfZnyCxpxg1yaFuLSonmj09UqM3p2QvM4A" TargetMode="External"/><Relationship Id="rId30" Type="http://schemas.openxmlformats.org/officeDocument/2006/relationships/hyperlink" Target="https://v5.airtableusercontent.com/v3/u/25/25/1707415200000/ljOagsLrNjapPQLvnW6W0w/UF4zSK1UeBmCSmhs-oCrdQKFiyLL1J5S_bE0qdUyHVJZMLLHHxlgx5kuI1kZhzcAa9xK_b-Kuvc05rlpmxii2irZEk9Kz2lB5RNsBrDQoD1Q_3sVkVnoFup0hIRhfFMrOgfFqEKZj_mVNR0bRh-6eQ/hIutANNRdWFvRRff-0OQgNvT4LmO9e5By6x1DUP3c5g" TargetMode="External"/><Relationship Id="rId33" Type="http://schemas.openxmlformats.org/officeDocument/2006/relationships/hyperlink" Target="https://v5.airtableusercontent.com/v3/u/25/25/1707415200000/wOj7FzgdMCG12thtnnKxJQ/uAy3tUHNjC1oEbIfN1VloGTmG7kuGqdhG1zOQ6znOtAbE_mRUVkhmQP3T5ci-_M3eFzAClyE2Gd0DGCoMjMwqGEP7u3aeO_m168_CtxggWEcHGlHDyDWfIoywwkSfJPlcmALQyw3Ed9HZRj7i4J8B8KnMmCZsHhbXTLOTFj8kziai4QbYZvLQjuLawrsVigF/1VJdLMhYyxwqSHST4gdkDr73a70o-ns4Z-SHxGdGPF0" TargetMode="External"/><Relationship Id="rId32" Type="http://schemas.openxmlformats.org/officeDocument/2006/relationships/hyperlink" Target="https://v5.airtableusercontent.com/v3/u/25/25/1707415200000/gZ3jm2Dsl5aVP4f3JqyLtQ/Z9ryfU5EYHrfHpcpRlyYxpu4SakG74a0hnthK2bt_ydhZPvtKwF5umkRpmzbnWT8M2hP3L93VfQfXbeaSIORzP1pybvdUQ-mUCUBOduNKmpV642ocHElns-K-eKP1HnJOtxNkUutwnE4xMnvDj75Bw/6aEv2TxtHHv5a20VZ2YQOQ1YyLknzGMkae1eygWodcE" TargetMode="External"/><Relationship Id="rId35" Type="http://schemas.openxmlformats.org/officeDocument/2006/relationships/hyperlink" Target="https://v5.airtableusercontent.com/v3/u/25/25/1707415200000/O6RlxIoVzgAEz9tI7issRQ/7zJstVlHIeQ_mHu47cPFk7bJKEGsnCnI-H0mJ4HBFeMv872STAGT8sSdWtB06oG_CsaIkQ_qjwATXsv5_wj-22LRSy3lCuKBkrTjah0Mp-HkLZ5YAWhBLUn4Wu63OAAUW4KzSSpSsOBWy6bmcNiwiuOqN5JAr03rbhIG0UKCxIs/O2c_qfd5BXRN165IZCtxFD-aW_EX6N0ic6nzMe6qIL8" TargetMode="External"/><Relationship Id="rId34" Type="http://schemas.openxmlformats.org/officeDocument/2006/relationships/hyperlink" Target="https://v5.airtableusercontent.com/v3/u/25/25/1707415200000/aqLEizquswolLg0SJcr3iw/E4hpviB5RnDaV--wfZ0WYPYowV3bJ_aSyCSr4_BdP8a03DJi19AycebWGgJZ8TcRn5KqGmUlzdY9jIMUTMBFj0tzVMFCaeRHH62aP_9upfkby6eZE7rPdTiwqN9YYTjbu54czET74yfTKNc8fsghCg/KUK7ClKwGXbj4namC2oRx0FdQeATOOqm3u1aYt2MRQ8" TargetMode="External"/><Relationship Id="rId37" Type="http://schemas.openxmlformats.org/officeDocument/2006/relationships/hyperlink" Target="https://v5.airtableusercontent.com/v3/u/25/25/1707415200000/eltoutOnqwZJT2sfNqndxQ/JhEeMdJTlF_tXSw0zXE60liO0_KYUVgXSwZDMiF1KXlpKNgwXO5KlbGgCqV4yODqmGi1eaJsdwudQisjIv3_hmaIAWoyo8HWN3S2eGHneEQrtWdNRY5pXWYgCAxExj-xFKgHWHfnJp9sMuqErTxC8CjByXr92uKTTj2CkN30Gp4/CMo8zGsfu7sfQfMgnQZtDRhjz_nMnaSTrgNR0jyyxb8" TargetMode="External"/><Relationship Id="rId36" Type="http://schemas.openxmlformats.org/officeDocument/2006/relationships/hyperlink" Target="https://v5.airtableusercontent.com/v3/u/25/25/1707415200000/hmMrT1hiR5QEw1xgf24GiA/GT0iYVwIdZuIQKVNqpIIvbXkM5U1zw84efwUXbQIUYj5T5Qylwh_5yvGeLfT9C5XZow-uOXDIUoVNZfv7CnlPfZtoAWqFInIGhEXoS4yc-A7Rd_-7qqXrEAKVUjdnLA3gadIGVO7OZZXTWVr79H-LYd97a4N9l-biRpBtziXeNU/UsQ6yU4iCN9tVjy0PNFnwpGRDsskPSRbXtrl5s_OmGs" TargetMode="External"/><Relationship Id="rId39" Type="http://schemas.openxmlformats.org/officeDocument/2006/relationships/hyperlink" Target="https://v5.airtableusercontent.com/v3/u/25/25/1707415200000/PArqTPetInaOVX5Qn1n2ww/H2DFM2j2R7DUAvJswJGztm1OklDWQ5QtsApvO2c5ARtjaQIo5aN5c8mQ2u0bWZtfJVS0XT6HkIDZqka2fiRTuKAeaTq4WY6V4kqlFd6JFwGnzSRF1dCHjlMatiriX662JFJ75dTdyhOj6CGT0tz3zc2eWoWlPa0TzL58OzFWEZg/WkCD_pRdfaKC-xZpGAMYGqDGDNTxxv-NMzpD0nPyGcc" TargetMode="External"/><Relationship Id="rId38" Type="http://schemas.openxmlformats.org/officeDocument/2006/relationships/hyperlink" Target="https://v5.airtableusercontent.com/v3/u/25/25/1707415200000/LmJnHuBWKDDYgMCJ1TFEGw/pO7taxIiUInc2zfmtpLqvn4YqN5t-raTjzoaVj3YLhnJ5g_-_UAJIpROOgr5Frj1nbyEVkwWLVxlqkuAr_UTWY2JTibZu3gjJ6M83SsMD4I2JV27vqRacm4_TVei0mrxvX--bQbvX57_o-2IF_x3UA/wZe6E8vv_bQ9x-MYquickBahIh1qYpd1T8CDA_P83c8" TargetMode="External"/><Relationship Id="rId20" Type="http://schemas.openxmlformats.org/officeDocument/2006/relationships/hyperlink" Target="https://v5.airtableusercontent.com/v3/u/25/25/1707415200000/neMbkACCFWqLPx6DOcsqNg/3GIh4Q1f6FbU_vXNqE71BWO63fu2b8t-Eg1V5bLZGZ8hjjDz1HPtxP75n9iJ6UMwquDL86BkZJT6ryqcxwPSNa32cvJOxDSnqvohPErl3WiuNoEPc3lxC83jzDrWZIeC2zdpacAztOvwLP4kO_nXwA/nai-KyD_lV3dJ1qFUyuecEQvQk_SwlxKQxubD1g4SUM" TargetMode="External"/><Relationship Id="rId22" Type="http://schemas.openxmlformats.org/officeDocument/2006/relationships/hyperlink" Target="https://v5.airtableusercontent.com/v3/u/25/25/1707415200000/-LHeNTLvqRpmBMruzN4wrg/oUL9jgjE-vqhVBVThpixhEko9v8Soa7J7o9ss02ta3SicoCXyUN3E9tgPJaY2SdzSuf8x-LQI0R_XKimBS3vHvliqzIh1w9tNeN_rVAu0LmhJXAT7ARPN30En3LyoT-DIlGmpBPhWNliOysi-5dBAbwSx0h5fYmhUXm93tAYkb0/EGuaNwHHb0-_bMMjFJiMD6l9Ga7nhlUEavRSni6RbxE" TargetMode="External"/><Relationship Id="rId21" Type="http://schemas.openxmlformats.org/officeDocument/2006/relationships/hyperlink" Target="https://v5.airtableusercontent.com/v3/u/25/25/1707415200000/YsyrAh_ZgozpkvfcyjlABA/pxbc6rXo3tzoerPKAaVM1Kqlk0Q0COcX-L-Q2-yydezDsBpkk2_73RcZjwgIMCyo1lJaf9Y9iKcmvyfDS1eIO-9xx_VM0Zx5Re6I3MRIiwpZMAX4kjXZgAx0WD-MBFHWPnJPNpu2ar_8MXSXm5KMGQ/xPcMb41vJ0_xKTMs_-afSAdKfCAv3pWW9_9h7KtcmFQ" TargetMode="External"/><Relationship Id="rId24" Type="http://schemas.openxmlformats.org/officeDocument/2006/relationships/hyperlink" Target="https://v5.airtableusercontent.com/v3/u/25/25/1707415200000/wLfhDHKSWuss-uMJ1Ybv7w/a0-y9XWLiznDokAlFS7YuIMPQ6OHRltWmoH-7lJtnO6ytoOx-oangSvJ06j65AqPMLh_DYzAphAE9qX2eFDyNrtAm3reDLqVgjBqdOicHUggyk0dRN22xBl1eEqecNWkhNthND4AaOkPE3X4Pcga2w/tVgefmNLd4Z84lJfaq6D0pIz3LMCObYn2riHcaPf5tI" TargetMode="External"/><Relationship Id="rId23" Type="http://schemas.openxmlformats.org/officeDocument/2006/relationships/hyperlink" Target="https://v5.airtableusercontent.com/v3/u/25/25/1707415200000/0toDCT_9m_uLNzc4yCxX2Q/4nTBk8m-HkQ5mx8Xm0naf56kPXbhgO2TBzw_DqZhvtYpFAujGY-iwThJrZ-kuhStkWez5ID8T7nCJPsUJ-GPqnZahOWuY5b3D5or32DvJqtPTAnSX0QI62ez-mvr7loFZ2nOf6ENYV4BEKwr-8Zbzg7chnj4d0jcj1spISmvJWQ/0mx0sHn2uvMA6FiI-smVM9rn8S2sYQe4yP-P5B9tR5I" TargetMode="External"/><Relationship Id="rId26" Type="http://schemas.openxmlformats.org/officeDocument/2006/relationships/hyperlink" Target="https://v5.airtableusercontent.com/v3/u/25/25/1707415200000/dOeDu-QZw3PI3JgXQ1DEZQ/WfrU5ApWnNjlDkryUQIrm9lYK-iudOdIPErKOBfGS0qq1vEhY1Ybher74Kg6VRlbpSODKFqPmDgqCNS1Ft8MHr-JiChVsYTpcdTCjj-edk6rGmHjvZmVmmANjVRtCX6A91-kTvMZh_Kc1VL71yBmvw/NSYD7uvTDXYbN1Z_06Qrycc2DrTZpZmrDxdqbfZgQYk" TargetMode="External"/><Relationship Id="rId25" Type="http://schemas.openxmlformats.org/officeDocument/2006/relationships/hyperlink" Target="https://v5.airtableusercontent.com/v3/u/25/25/1707415200000/ktqkg8YqeXn4L46xL3EoGg/NAE0HJMgFYk5wke4bnXtEVTpBkks6W21HtUkOqdQ2pWSkOloqmbHPu8McOkE-3pDimifnj6jX2NDgnNKwyvHFhVOIQfNDxAWgqXz1MZmFi0NgAng-Dp2CouMEnXwJ86zYRd0tlwcMKKvPhdaHk6M6DzmIC0jVLi1_XM4L5-574E/gMV3lIwr2dVOM4jFUBZakVXeWHAgo6GGoaOBffT6b7A" TargetMode="External"/><Relationship Id="rId28" Type="http://schemas.openxmlformats.org/officeDocument/2006/relationships/hyperlink" Target="https://v5.airtableusercontent.com/v3/u/25/25/1707415200000/TjBeFZMp01pZ_WDv1hIM3g/Duu9127W3iK9TH9NABVKE6If77ozUxdFXUy6LACF897PBzEScbtHUWYcrk-pNB61wwrjbvrivd5oaGKWMZ7DCV964TwyVWhx9Vxr1BSxAuHLlBWpldVCsr49ASPLkWXoFDzgXthggQM8WVq1NbQ-og/qWF8La41fI5FB-xjAh_gaivxrqSITsIPJ3AVdsC0K4c" TargetMode="External"/><Relationship Id="rId27" Type="http://schemas.openxmlformats.org/officeDocument/2006/relationships/hyperlink" Target="https://v5.airtableusercontent.com/v3/u/25/25/1707415200000/MuLJc7533dA8VGTeHk1gmg/uvl4lWl19_NkexyxqTemmCWS5OVvcmYRxMnPjclFH7KmEsWW16cDPn9HJyKWo47-YsNnm3CcBfVVcmL2XmuLzMGeAVAEF0wftjXQmCvhMRNVxxvwyq8tNf3lKw8qOh_K6L75XE8tcea28QDsM-NbmZ7K_pEIU1OdvG2ikGQlwKY/cPXE7nItZC3_QU2v_GzYqljC5WyokiiVYEo0qsh4jnE" TargetMode="External"/><Relationship Id="rId29" Type="http://schemas.openxmlformats.org/officeDocument/2006/relationships/hyperlink" Target="https://v5.airtableusercontent.com/v3/u/25/25/1707415200000/ma_pVRGotCWqtZYLLgCXSg/_RSsAZjx2bxX6yVDNPv7FsVgdywo6rcLLGDNcOQgFyiOHnYEAW9wvq4vhPPcaCcCbclei9Ch5q3oQIlHyDPBeNbu_45OS2KOfjP-mylkNg78_z5g5fr6IW0bQHPWRan2LSdAZ7KGV92Q2p2ggb_FKg/jfImWyI9pwiEeYB161aNDzbVoFpuk9eeUSaDUl1B768" TargetMode="External"/><Relationship Id="rId11" Type="http://schemas.openxmlformats.org/officeDocument/2006/relationships/hyperlink" Target="https://v5.airtableusercontent.com/v3/u/25/25/1707415200000/6o5b7OVSPpqykmJ5ETTdMw/Hc42FVfiPNYNr1pYQ_HjPasPr4J4przvht6yeFzwK555mMfQ94NXk3fOgx8fqj8YPtAt_XfSKDeiwtWJWoSoTPlY1cI-fLTvE1n_RB_xJ-I1RDz4xBvoXFmenvTDN2S4yWzdGHvsFMSxGCYU0tWpTSBySTGkJiEzPhEiGI6D_cE/AhTupIKQoEYekCo0HY5qhHuBwv84rKWFmd4mozJoIG4" TargetMode="External"/><Relationship Id="rId10" Type="http://schemas.openxmlformats.org/officeDocument/2006/relationships/hyperlink" Target="https://v5.airtableusercontent.com/v3/u/25/25/1707415200000/PQpJ2OdgeEnBPyVX8mC6Zg/g1js7ud0gnVSAK-mMjXlbMY_9VJfDVX4bOj5irBGacleuMBszqghwByfs81XZGoksIXyBkdvq3hOAKavfAeczFuDhZDhdRa-DHLtxHGVlDyiAxv4czHGWTp0EiuZ-4_YA-b-zs1x8hcU-w87yPMG2g/AozGM1D2F44yYI8rb2eFpypQmykN4lxLDSgzZIK9lR4" TargetMode="External"/><Relationship Id="rId13" Type="http://schemas.openxmlformats.org/officeDocument/2006/relationships/hyperlink" Target="https://v5.airtableusercontent.com/v3/u/25/25/1707415200000/jiZm23nR4bW1wPe7vcs_tA/gLiBffqAEAKgk2RBtTRmn2g5nwP3FG7nRbLn0edaR9iW45dKj09QKYeIlYLiTYHx-mOd6RgLZpzT2AexqgVZ4FIZUH39iFP2rBelCX10XdbjONK8NQygtdTVQISQKrkR4fodUHAfYCZoZgGybsQFig/Lh2xaJ8ygBgdpn1wVmJ55U2bfcr2i6-bCZ0EybpwrtA" TargetMode="External"/><Relationship Id="rId12" Type="http://schemas.openxmlformats.org/officeDocument/2006/relationships/hyperlink" Target="https://v5.airtableusercontent.com/v3/u/25/25/1707415200000/a04zNPASxvHdlbgzS0dO1w/tkAMQQeSqpqK180zDpM52EhgeqHsMVoZxuJBRZ66XMmD0WHa533XFbhjoH_-OA6l-NsjJIFC99K1OH4bWFcxKET_WRunq2L0CfshDUrVWctObW6aknKMdjNEhWGQ0l-9vIx410I2rrb6kRpF4lPozg/YjbEPuBkxgtf5RwDZ7ffObwXRmLphDemaOC7ZU4_AG8" TargetMode="External"/><Relationship Id="rId15" Type="http://schemas.openxmlformats.org/officeDocument/2006/relationships/hyperlink" Target="https://v5.airtableusercontent.com/v3/u/25/25/1707415200000/vrYwR-MH8wW6ZLLF9rtZ6g/B8zFgI4cERapYVPOthHfGYskfv-M_qvyumzkN-S6TvCqBuOi75vUmL4s0nImEOVHpvmLq9bNUNsvs8STsY2trEDXhAUy1Kp5OkhSUWGG0Ck99rXBEbfnCiuLogcMmIlN1J5DomLdLaYYa2wP9SDtdCkG8AKYlXGsioXGcGk1eDQ/8GZlWvk6G_ZLssYaj7FyQ2X-dRFeTEFUF9e6UmX1NLs" TargetMode="External"/><Relationship Id="rId14" Type="http://schemas.openxmlformats.org/officeDocument/2006/relationships/hyperlink" Target="https://v5.airtableusercontent.com/v3/u/25/25/1707415200000/iEaplZucFFVn6DEB_Y_Ptw/kikawsZKcnKhdLBjaTHeZ3g99hkAHTwXpvuY6apJboD5nWJOpyQQUrejeLg5m8A85KpH6A_L-xelug3r9O2j5Tl5erFHmfpNrxUVmrymDhV_l53fNKkCRO6Nj69g2JCXG-orFZgW2J4NvHFLIcqSOuB2toL4FbKq8tiLr7HvzmI/O15BZ3YUrMxe1HTVOM8SHbvVhApa5w9jDh-Vb4BUQiU" TargetMode="External"/><Relationship Id="rId17" Type="http://schemas.openxmlformats.org/officeDocument/2006/relationships/hyperlink" Target="https://v5.airtableusercontent.com/v3/u/25/25/1707415200000/hGfAXiiYZtNjDpwXvjLODA/a4wrOpF-dfux5vIPfRVI95iDcNP1uD5JfCItqhA-DtBsD7gK3pYt0ZWR_9fm7UEIdy7be0jYNZR-9REt2eJkV4iKvQhsB1lyvNv6B3nh1uqI1AQlM63d-V8jWjiWv4Pvr0-uNryZ0Q7_FimLGUNEbw/gW2vuziwkrieqmf2_kzWppAdhQHIME7tBkMV_q1t2iY" TargetMode="External"/><Relationship Id="rId16" Type="http://schemas.openxmlformats.org/officeDocument/2006/relationships/hyperlink" Target="https://v5.airtableusercontent.com/v3/u/25/25/1707415200000/joMdsaOZZw2mXa7Gj9pW4A/uWt5qBT0vC8ZGXin-EVU3R-Uln0XDFzJvrr4WM7GoWisttoVBzpJ08nOtqCHxTIJUiYN4ppb0Pxb5LOtP7siFHyEJdeBe9A0GL49I01pCYHLoaYwOFSFuZyTZd3JvJVkFibH6NtyQpGvoMosPX3sKaYnryzB42Pue3E4eIkifko/GbV6UxkpYkjJGHZN1-kgKrivr_A3_gt6RPveq3dEKbo" TargetMode="External"/><Relationship Id="rId19" Type="http://schemas.openxmlformats.org/officeDocument/2006/relationships/hyperlink" Target="https://v5.airtableusercontent.com/v3/u/25/25/1707415200000/_qeeGz-k0J437YkGB47KMw/6QkW_xlIf7UGZANiVgsEL_pLAEBSouAwDnadG-aHNl6DbsEQHkvHDpGCChf_VzxapCD_NYPecnd16K_a-9pSUe-R7f2U0Ua-5QFky7K3Jj6Ju5w4wdakKBx0odnjGBMEOXFNSbUYhOWiaMK8FwcndA/alaYr9E2an5FkOmFfVxpdr2sijrxWT9kfnmPw5-1wfc" TargetMode="External"/><Relationship Id="rId18" Type="http://schemas.openxmlformats.org/officeDocument/2006/relationships/hyperlink" Target="https://v5.airtableusercontent.com/v3/u/25/25/1707415200000/NUnHtgGGK1BjQfwefx6-Ww/5I2la0484JDBgTh4a3hPWFTlNUByytBEtIU8vXnngsOKj2rysTbmynSA8YBXPkjDgPAvyW8gs8cqd-c4phiDMnQifjDJrf5NSIx8z_A-PVRAggMLd0EOYG8mr1NdxQQ4qVPo2rpklX_l8XCT_O7jKw/9PwoiVUcr0ruLDcssagJUM0o1vSSyknoUvxVHdTxn0g" TargetMode="External"/><Relationship Id="rId1" Type="http://schemas.openxmlformats.org/officeDocument/2006/relationships/hyperlink" Target="https://v5.airtableusercontent.com/v3/u/25/25/1707415200000/e3sYcChMclSIK12GyTxuFg/s73a7n8gkzCif_57BHkyEK3qMRISP-ysDX0f_UWmJ7y0ouTcNnwEhYe4HZpJ5T2Ot8iIPsr4QLoPZqRTHmzJhM-4BJPcWfR20VBIfkRgmzVpaAuevNZvSAMGvUiQnaPSnT28HQfLl3bwkTbXY5qDzg/-U9QSIoOJaefUb5jnnoumDyMjGVkim53rkXUbV9xauQ" TargetMode="External"/><Relationship Id="rId2" Type="http://schemas.openxmlformats.org/officeDocument/2006/relationships/hyperlink" Target="https://v5.airtableusercontent.com/v3/u/25/25/1707415200000/yy8c-tz0fwJRG-bwMYodzg/FsaymwCExfmWR2zWZOBt6qb6WDCvQr9yVuctjlBUN6JF6MX3wrppUdJkJJoPTVBSXs7fZs_AP2sDzNuFtt1xg8N14LS7TJekKxJ3XpKdKgyK7-8w78FwexRClFBKCO55uKxzXucyHhOmd9sGFYuEFg/vE09CiHXn6Jg1344V2QzfVYM48u5KOkPbGcvbQQdZLU" TargetMode="External"/><Relationship Id="rId3" Type="http://schemas.openxmlformats.org/officeDocument/2006/relationships/hyperlink" Target="https://v5.airtableusercontent.com/v3/u/25/25/1707415200000/MwaIKEnh9QpHTsP9ERLHzA/_ojajF6siTTEr57G5pWq02I_0yAjrxdjshIfLQ38oD0O64ZOC3rzZmJdVRs-EIPPPBhFTJVFpRSLVG2UTAsPw7hp2lM7jCpYjQlAnCVtfV6cQi2mbywAQK823BRvBaXzJEX-JuoKdkdYw_gczBXjSxaQIwrByf440uJQbV43Y-I/PEFUVTmRrP1VzhiIoJHgNfmYi4CqYkJ7FA2L64YAzXo" TargetMode="External"/><Relationship Id="rId4" Type="http://schemas.openxmlformats.org/officeDocument/2006/relationships/hyperlink" Target="https://v5.airtableusercontent.com/v3/u/25/25/1707415200000/3JTl-jM3qwjA_lSorrD9-g/6RP48Ub7J2uFutZhfvNdmXz5scCaDix1DvDIC9oCJZMIBwd6BIVbQvoMwiCaKNM2A4is4t5hSqzpoqlQSe68Iwz3UUhhajWrdHTrCIJlh7XldxlS_Tw2YwfIeFA7Iqp7uzFsBtwHvMmLIKl5jnfabg/z70lDAHSmqZCjnvzmcbUvglEIEmnyuGeEoa14PDr2w0" TargetMode="External"/><Relationship Id="rId9" Type="http://schemas.openxmlformats.org/officeDocument/2006/relationships/hyperlink" Target="https://v5.airtableusercontent.com/v3/u/25/25/1707415200000/RfMN5E1xLSGbSpsLH844jg/oZLyUbpCaLZqOZ8g4Ka20WLwn9q9xQKL2cSl0Y7biYSmPpCRocESVZju_MlIo3NjguvN4NEDe31_cI1TIl_Yah3qrIdmQgQXmpMQjAfg9nGrY8VzYPWnBiHRSGO85ihfoOgxHe5CTsp5g9yoQbB2uA/ZLc1_PZrnCly8ppfuMikux52LmlAotgl2hsiHJJFN14" TargetMode="External"/><Relationship Id="rId5" Type="http://schemas.openxmlformats.org/officeDocument/2006/relationships/hyperlink" Target="https://v5.airtableusercontent.com/v3/u/25/25/1707415200000/uqSe7DXjO-Mn25Y-YQSi3A/oE58ywRXFoS_gYLvtGzSQS0b5ruqiqNv0-0hZ-9l4wAjzwS2xjrmfziCCcLcSTgx3mzPqQ-44n6tahkuCguBrtu4TrvM2oQKM2LldNkEDgnh2I5EmeY0g77UvJVY6UusTnMDniHKAm6C4Laa9gnw9g/gMuFeikt1pM7wBtS24-6VZ44hAqUZXM8ncnLTfJ0qsY" TargetMode="External"/><Relationship Id="rId6" Type="http://schemas.openxmlformats.org/officeDocument/2006/relationships/hyperlink" Target="https://v5.airtableusercontent.com/v3/u/25/25/1707415200000/pMd3hs4GSKlUyQoZ2y1m_g/z6Hvn1x_Ki_wp-1vGsfUNdZB-ye9o0WZZaDlmjuNzZQkgU77wKj1z69W5VAJE5PnJsjZPN-JojTYRq4bkez5sjuoG5MoykdkE4W7Tf7I6q3O50VJMPxq_rgsnbAPKPesVnRGnKiBBWu__3sKDqPMeA/Gs8wEsRZNaMpnErO1rPQHOIaxaQWnG8yPaCXu48O5YQ" TargetMode="External"/><Relationship Id="rId7" Type="http://schemas.openxmlformats.org/officeDocument/2006/relationships/hyperlink" Target="https://v5.airtableusercontent.com/v3/u/25/25/1707415200000/DA3wCkp-ibOI_v5iQ-r-cg/GdRmDxZwl6UVVtLrmD34uBP1oYIGub4koY5HzB6Quch7iwMkecyxsX2pPIf8jpBS7yvfKGdALTjYfxWXKWue4r9lzeWb1PAqQaz09Zc3ty58tPPX53qlDXBJ4Qyqs72Rgg1WA_t3C8h_0MfgyFKh4A/9NRJbC6cm2PORwE_vbokWh2ugAqjUs2kg0XNgZfoMfo" TargetMode="External"/><Relationship Id="rId8" Type="http://schemas.openxmlformats.org/officeDocument/2006/relationships/hyperlink" Target="https://v5.airtableusercontent.com/v3/u/25/25/1707415200000/19_GoKDtAPX590mUhN7BEQ/Du_WwbzWRxDFUx4XSHCoLFKj5plTVOvg4ir8HJ8XuqdmHRYMmYcW3tTADVW5fLHVXCuvHvoI4-i5vMrnDwM3nc-kb6XR0ynfmI9ipbsbm9FlzIQcqUy_W9DUhoNDWwn9aXFEHeDbEJaYtTtRQD1qnA/kqu12SsVL9v1kP6WP6CxhI8_chfAd5WQmn50H-zY-Ic" TargetMode="External"/><Relationship Id="rId70" Type="http://schemas.openxmlformats.org/officeDocument/2006/relationships/drawing" Target="../drawings/drawing27.xml"/><Relationship Id="rId62" Type="http://schemas.openxmlformats.org/officeDocument/2006/relationships/hyperlink" Target="https://v5.airtableusercontent.com/v3/u/25/25/1707415200000/UAYvS_tPZqzqdLlki2evFg/4tscMpbFV4gH8a8qOhNfiux4yVD0tZCM58IfaX3FGzK4T7jDXF3-qWRLQh--lpKcVtXuVp9tIpzp36CuUStIq71lWynL0ygSpGCKsVmrdXlKAxobgDXdk4-qsyY21f8IDVJ4Nl_Oqyq684pfi4qUoLbTXlVcRR6B1v9esrGEVt8/rTJ_YcjAQ9zrZVAbZMHHWAbkbOr78nH-BgQ-TC9RTBM" TargetMode="External"/><Relationship Id="rId61" Type="http://schemas.openxmlformats.org/officeDocument/2006/relationships/hyperlink" Target="https://v5.airtableusercontent.com/v3/u/25/25/1707415200000/VB2RLZwkn6vVAOaRoj4Mfg/_yeS4aNfml3Ok6OFVq9d5qKkPhVu_yONDyYEj670zKzxAEf36AUhMO4vwK4PNu3ugOXWhSCGQ-SzwbetPNDN9QOY3xAVSeTDMWteoXsJoqz148PlsJIMwCL4Z9W7kF8WGVVGwaAfRu2QKiSm5egCmA/qVZRk9pTp2bMqnuqWjHGC2muNV8_ExIMmLVx5WB2Dtg" TargetMode="External"/><Relationship Id="rId64" Type="http://schemas.openxmlformats.org/officeDocument/2006/relationships/hyperlink" Target="https://v5.airtableusercontent.com/v3/u/25/25/1707415200000/qkMFtf-bVe8X6NS_Lzi6Fg/IseYSeQP0F60IahpBJwgbqybB6s9h6x3ydnuLfIuSDL9leJctHqxi2DGAr2uCnxSHj94Ws9vow6eL5x_qijpmbPX0jbNRY36f_Y8-epOjHcAw_rjW25SCYav4ZQQp3KyarvUL86UA_jh8xeJCNdv8jl9OozPqxgPpVFJOS8Zivs/u0B_4dClb1ZJflqPGj4_nAdMA-B42w85b2hXei3XebU" TargetMode="External"/><Relationship Id="rId63" Type="http://schemas.openxmlformats.org/officeDocument/2006/relationships/hyperlink" Target="https://v5.airtableusercontent.com/v3/u/25/25/1707415200000/o3ZVsEp7ZksdBl8OmRnwXg/0ODo8qzO6UTKFrXXRQbhnPzWyUxpWiP4O8E05P8L0BcauQGsk5CuVs5QNqAteqfCQMMKxdXQGJU-xznmtb0_VqztUxbJ-5Nhy636Mo9JxcLn26gDLhqLupFj6zBniJZcZ1mvM0121HWSuimiV6Fh3Q/YNkIQ0kRcFYbV631jTeHfFAeXoPHsFwcoZh0Ie3kdmY" TargetMode="External"/><Relationship Id="rId66" Type="http://schemas.openxmlformats.org/officeDocument/2006/relationships/hyperlink" Target="https://v5.airtableusercontent.com/v3/u/25/25/1707415200000/8XY50iJIHYKbnmH8nEcMrQ/ueg7aSodTw4tiCQjJFL6iOL_qpU9hEREdRsdGlxoaOBpIx2deE9Hm-zFCurl1JkdEl0LapnzfdmeI_T7YOEEBfp816h8BmG35vsUEcH32BRJ_OM95BAob8X26BRAweRSeAXVCrJ6l1iIh9v1u5t-fQ/fCnbQHO6d6GxwyyYFAiOSdZlp4OfI0z3eqtgiMDP4Cw" TargetMode="External"/><Relationship Id="rId65" Type="http://schemas.openxmlformats.org/officeDocument/2006/relationships/hyperlink" Target="https://v5.airtableusercontent.com/v3/u/25/25/1707415200000/syAC6iR_1lbp2xCtqid0Fw/wMoZges97NlIzJ1SQeBis_g7v-OCBAc9XE7wHNl_GHdqTwF8C-73SONFItW4VUYA9RvAmP7OSygbtnsbLjZg1GhEOHikeHC1PreCU1ijtDb8BBOAntg5Sjhyj2bWmON38CqSDL5-x-apXyAoit-yv0DiUpwBfXa2T0dH59i8r1c/nx-WFYTbBT8DX6w_j_74Ik2iaP3pbne6VF6HbGcN-0s" TargetMode="External"/><Relationship Id="rId68" Type="http://schemas.openxmlformats.org/officeDocument/2006/relationships/hyperlink" Target="https://v5.airtableusercontent.com/v3/u/25/25/1707415200000/CSFcJY9Utcbd1RVFp8hgVQ/v_KzIQdaPu24tg8ghcnrDoGWu4lA-gB5K3IDmI0969n1wMHVOfJytxMgvGRWBJo62_ApJnyX8hgFy7fF_QQ85igEv6I4uQtHZunZ2ERdwW7t2W7EYiOZyVFkLCrwLGIXLWCh51Dam1MJTcFUsjYVrg/OFfMmwNPTSQDOMrsvWjr4_kxDbwHWZo2NOfxxokBDqI" TargetMode="External"/><Relationship Id="rId67" Type="http://schemas.openxmlformats.org/officeDocument/2006/relationships/hyperlink" Target="https://v5.airtableusercontent.com/v3/u/25/25/1707415200000/jQfhlCMT_QbR4GxaxAP65g/PvLoE3OUflTFvWMOyDeJ-rD1PhXqMHDKkJTbuaweF65_RbS7l06qkX9Otw-E1Yo3ZLx122mb88eIokPn_ZIjAYFUfN1ohO4MrWbH5IixKsierCt78AirpHRE88StKiWoskLaqLiFtacaaBKx9pUGxBE4I6ZmxZxuepyd1RMnfqw/zyKyULEGvk-Ors3re-razIiMvVumgwIvSVedQdiyNdk" TargetMode="External"/><Relationship Id="rId60" Type="http://schemas.openxmlformats.org/officeDocument/2006/relationships/hyperlink" Target="https://v5.airtableusercontent.com/v3/u/25/25/1707415200000/lw3w6LANRvUY-bXG0FbXKQ/H9UDkj9SdGC3zro23ffr7va-rFIW0APG5n3aLmVPp-PrN2xWVpnlBgSn4T1TVC_m2dWJ3rtvp2A9JksMyxoz024XAvZY61F8uTuNHqkbiQwg3Yk8AUmxNh6w8ZzKY6yGD2SyQipFk2K-oMuhQa1PTg/Gxj-dOa5yx6728xt-yfZOE1mhwz1kzmV6a7PKTnXCgg" TargetMode="External"/><Relationship Id="rId69" Type="http://schemas.openxmlformats.org/officeDocument/2006/relationships/hyperlink" Target="https://v5.airtableusercontent.com/v3/u/25/25/1707415200000/IwDn4sDF1ST56cg2cANm7Q/fQjr92m5_1jMOSOJKo3vAuQwr7-Gij5juptrPm0IMVyZU6qXL_vabhxxNr_pdxe7v5yJTUzLA9c-xLVpbcObbYMcIQ7yDbH2qnWYYyDqIG1FFqevjN221_9Eau4Hy9P2_kEEdDJxWKCGQMiv3lUAPw/Q12977x-hyalfNfzWJX27iwwK53PjWmBJOa2YulEq-M" TargetMode="External"/><Relationship Id="rId51" Type="http://schemas.openxmlformats.org/officeDocument/2006/relationships/hyperlink" Target="https://v5.airtableusercontent.com/v3/u/25/25/1707415200000/vXzFkNt2nKyN4_QAyiw_dg/I3Qb1pAOzBVPPcTpHFfodGw2LPo3ntmRvdCroPyVnFBfYfKLGNoRzsIlU5U8IjhHIfy8lToQdDO4b0xml1sw2ZfzM3n6T267mLgduF7UivvKn_iIuUomMU6jyzX8T5ICFvo3U6Le42I2ZEnEntgOeA/hkY1zZ0Bwp5OIwuyOD3F8qWuhHwhfk5mgsdJSt1oNAQ" TargetMode="External"/><Relationship Id="rId50" Type="http://schemas.openxmlformats.org/officeDocument/2006/relationships/hyperlink" Target="https://v5.airtableusercontent.com/v3/u/25/25/1707415200000/BeumV5evBg60dQ23hxtxxg/hoPyUzSCGhvmlHQZHfJspDL3ZqsbP2UwZxMi7hBUNPsroi_SxomMQ6Krrk5F2HRG0SUtW6fbdSPCmTozeV62BgC0FTmfc4N7FhJZrwqXaZiB_wOdB3Ga1djVT15b_hWOBwnG5jA8TmUWaxVVUc2hzQ/1x7bQS-pGFsJkLu_eqcl5kshqI7mV7MkFIjwsjq_ZTE" TargetMode="External"/><Relationship Id="rId53" Type="http://schemas.openxmlformats.org/officeDocument/2006/relationships/hyperlink" Target="https://v5.airtableusercontent.com/v3/u/25/25/1707415200000/K3xCGGxH0dga61lTehHZjQ/rFrbizfOS9FSayIgwJ8mhrxd5TWL1ujLxuTsctdJDQBhgEASCRqbn5-nJXNdmrPOyPIo6q1bymLMm3cyEvg7d43-G_OVfJ_WPWXjnCepdTyZp08z8MYLhvQ8PuQ5hQEuNf3xWOM8n7qM5qMVZZUcU5uuEb0f6AYEXvaKNvwnf2U/Ds6bIsXYii_ePxPYMKEQKgm8i0ys3ffEzz4p3staFJY" TargetMode="External"/><Relationship Id="rId52" Type="http://schemas.openxmlformats.org/officeDocument/2006/relationships/hyperlink" Target="https://v5.airtableusercontent.com/v3/u/25/25/1707415200000/cXssTL-PcSDIfgQV8bmWVQ/Ag4pBGJlfKEMfruKSmYmogqPhjFrAg2m4J-CBU6gq5pPJnWBv2GJqLPFGttXAgXkOfzsw3YThauP9MhrQqElCGRoT4SoJAQUhrvpk6DvnHd8bUfklBY03-AGYqsgmjUbXxttl1YAaPb_bwprRLUTvg/ZBgC9LBeSCFNVjgn2ZgkqdxlQC8_nogJ5NYG3mvLH3U" TargetMode="External"/><Relationship Id="rId55" Type="http://schemas.openxmlformats.org/officeDocument/2006/relationships/hyperlink" Target="https://v5.airtableusercontent.com/v3/u/25/25/1707415200000/eACOCVFAJvgqaHnk0L69vA/Gz9Y8wypGVhK8kBoemXbDMUmNtw5Ua0JqAfBbFQOIutTLcZwvTgh5maz9eIdngUAGJc-o_59GglBybgswhKm2yXdJVujrhkS0trxu5wwDsfKIgx-SkZeOd1yuchzFVQlboAQM4EvDiBKgIBITiA1NlWPJeRey1OgukA5mRF1cKY/ZtP_Znzgmt_AMCdb1jkjfJpOwow_9MvTbMdEfoBP3s0" TargetMode="External"/><Relationship Id="rId54" Type="http://schemas.openxmlformats.org/officeDocument/2006/relationships/hyperlink" Target="https://v5.airtableusercontent.com/v3/u/25/25/1707415200000/_O2eWXo6GFx-UZU3Sw7pmg/Ypt2oQDNDJBFPNpWxCfcgXAQFdBh-cwNC6ct1QR4QfpFU9TZAVArc-dV511-mketSEw5awx7XPzBYu_HRGfnh0s7ZZc1x_t-vsdkd43fC9ouDKXg_Dh6b03joppxTvfUpHMdlBFvGPkRuhrocSj0pA/I3IEGUm8DseEfuw9Ae-P9KKOoKnImbRESGimCM1dvcw" TargetMode="External"/><Relationship Id="rId57" Type="http://schemas.openxmlformats.org/officeDocument/2006/relationships/hyperlink" Target="https://v5.airtableusercontent.com/v3/u/25/25/1707415200000/VRNFsr9Y28xPG4ImZkURdQ/l7a4eR6aqG-loyCAIjI5CQTtmJzqB0JDfd_vqVbHxKz1qxMRFIqe_nfL0ylEcXS6xMTzFZRDuQXEaIjyqC0JROT1rt1FDAHE1eoYx73lh1JtcVb3ql-RXZOioioRzyS6UHIY4FQjKecsgBLtSnSsjA/a6-AmE3b5JJOQ7Let7lFr3iDi9qDCV0MEK9jZnPeSk0" TargetMode="External"/><Relationship Id="rId56" Type="http://schemas.openxmlformats.org/officeDocument/2006/relationships/hyperlink" Target="https://v5.airtableusercontent.com/v3/u/25/25/1707415200000/12KkLcksFEgmKr2tkwuL3Q/0v6waoyXvlPdxyg_jHLLJHDqiRnhZTbYmJQqD8k_iri4Z9e5zHfcC28IL0Poy0TXxfCrYFODEuB5NBTmXN9uolukZNNVtiCfaQSFIRmFI2jEW4ewSMvJCadD_NRLo4z8k762kxcAE0FHZlcBoupzUxhVg4IadMdYi3b8hwReUH8/yK75TBcqEnRxFEDzNFYWhxZ6ugKzp7i7v-T710TFDdI" TargetMode="External"/><Relationship Id="rId59" Type="http://schemas.openxmlformats.org/officeDocument/2006/relationships/hyperlink" Target="https://v5.airtableusercontent.com/v3/u/25/25/1707415200000/qLWvanSWTdYXVTQ8FZv-6Q/Sq0DoPhaENPR8Q_-P3CaA8B-wiSucHK1-m4SoQzvK0rI6dKG3TukpjqzIcqv4iiif7L0HBUTSPVT0StjqnxhyX2gyTV7zn1fxjog_oTl5vQhGdSNhIjrC-uQuV56uUrNAbysJZLa03GvbdfN1YI8rQ/jSql2MHBVerYv3GfhVi1IwGzPP2gWKMhslFUUe0Fgv8" TargetMode="External"/><Relationship Id="rId58" Type="http://schemas.openxmlformats.org/officeDocument/2006/relationships/hyperlink" Target="https://v5.airtableusercontent.com/v3/u/25/25/1707415200000/F-cFOdrHY-bgYH-U_mfg4g/5kP1dQtgkrgxTM7HLpXeDu5q7_VJ31o2AKnsdnbHIcBSbts8TXWMC5_gjvZUCtmHm_loNh6Hpb4nVj1ssydltUkN1m94CT1mRzpZkM-rTu4cvygjgGKkP11YZpgNTYmCuqiYKOJqpsBfcrAI7Nj-1w/PDzh6unO3Ne7cfetR-js6pCaoaO5fvVf8sFmJeMtNOE"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6" width="10.75"/>
    <col customWidth="1" min="7" max="12" width="10.75"/>
    <col customWidth="1" hidden="1" min="13" max="16" width="10.75"/>
    <col hidden="1" min="17" max="30" width="12.63"/>
  </cols>
  <sheetData>
    <row r="1">
      <c r="A1" s="1"/>
      <c r="B1" s="1"/>
      <c r="C1" s="2"/>
      <c r="D1" s="2"/>
      <c r="E1" s="3"/>
      <c r="F1" s="3"/>
      <c r="G1" s="4"/>
      <c r="H1" s="4"/>
      <c r="I1" s="4"/>
      <c r="J1" s="4"/>
      <c r="K1" s="4"/>
      <c r="L1" s="4"/>
      <c r="M1" s="5"/>
      <c r="N1" s="5"/>
      <c r="O1" s="6"/>
      <c r="P1" s="6"/>
      <c r="Q1" s="7"/>
      <c r="R1" s="7"/>
      <c r="S1" s="7"/>
      <c r="T1" s="7"/>
      <c r="U1" s="7"/>
      <c r="V1" s="7"/>
      <c r="W1" s="7"/>
      <c r="X1" s="7"/>
      <c r="Y1" s="7"/>
      <c r="Z1" s="7"/>
      <c r="AA1" s="7"/>
      <c r="AB1" s="7"/>
      <c r="AC1" s="7"/>
      <c r="AD1" s="7"/>
    </row>
    <row r="2">
      <c r="A2" s="1"/>
      <c r="B2" s="1"/>
      <c r="C2" s="2"/>
      <c r="D2" s="2"/>
      <c r="E2" s="3"/>
      <c r="F2" s="3"/>
      <c r="G2" s="4"/>
      <c r="H2" s="4"/>
      <c r="I2" s="4"/>
      <c r="J2" s="4"/>
      <c r="K2" s="4"/>
      <c r="L2" s="4"/>
      <c r="M2" s="5"/>
      <c r="N2" s="5"/>
      <c r="O2" s="6"/>
      <c r="P2" s="6"/>
      <c r="Q2" s="7"/>
      <c r="R2" s="7"/>
      <c r="S2" s="7"/>
      <c r="T2" s="7"/>
      <c r="U2" s="7"/>
      <c r="V2" s="7"/>
      <c r="W2" s="7"/>
      <c r="X2" s="7"/>
      <c r="Y2" s="7"/>
      <c r="Z2" s="7"/>
      <c r="AA2" s="7"/>
      <c r="AB2" s="7"/>
      <c r="AC2" s="7"/>
      <c r="AD2" s="7"/>
    </row>
    <row r="3">
      <c r="A3" s="1" t="s">
        <v>0</v>
      </c>
      <c r="C3" s="2" t="s">
        <v>1</v>
      </c>
      <c r="E3" s="3" t="s">
        <v>2</v>
      </c>
      <c r="G3" s="4"/>
      <c r="H3" s="4"/>
      <c r="I3" s="4" t="s">
        <v>3</v>
      </c>
      <c r="K3" s="4"/>
      <c r="L3" s="4"/>
      <c r="M3" s="5" t="s">
        <v>4</v>
      </c>
      <c r="O3" s="6" t="s">
        <v>5</v>
      </c>
      <c r="P3" s="8"/>
      <c r="Q3" s="7"/>
      <c r="R3" s="7"/>
      <c r="S3" s="7"/>
      <c r="T3" s="7"/>
      <c r="U3" s="7"/>
      <c r="V3" s="7"/>
      <c r="W3" s="7"/>
      <c r="X3" s="7"/>
      <c r="Y3" s="7"/>
      <c r="Z3" s="7"/>
      <c r="AA3" s="7"/>
      <c r="AB3" s="7"/>
      <c r="AC3" s="7"/>
      <c r="AD3" s="7"/>
    </row>
    <row r="4">
      <c r="G4" s="4"/>
      <c r="H4" s="4"/>
      <c r="K4" s="4" t="s">
        <v>6</v>
      </c>
      <c r="L4" s="4"/>
      <c r="P4" s="8"/>
      <c r="Q4" s="7"/>
      <c r="R4" s="7"/>
      <c r="S4" s="7"/>
      <c r="T4" s="7"/>
      <c r="U4" s="7"/>
      <c r="V4" s="7"/>
      <c r="W4" s="7"/>
      <c r="X4" s="7"/>
      <c r="Y4" s="7"/>
      <c r="Z4" s="7"/>
      <c r="AA4" s="7"/>
      <c r="AB4" s="7"/>
      <c r="AC4" s="7"/>
      <c r="AD4" s="7"/>
    </row>
    <row r="5">
      <c r="G5" s="4"/>
      <c r="H5" s="4"/>
      <c r="K5" s="9" t="s">
        <v>7</v>
      </c>
      <c r="L5" s="4"/>
      <c r="P5" s="8"/>
      <c r="Q5" s="7"/>
      <c r="R5" s="7"/>
      <c r="S5" s="7"/>
      <c r="T5" s="7"/>
      <c r="U5" s="7"/>
      <c r="V5" s="7"/>
      <c r="W5" s="7"/>
      <c r="X5" s="7"/>
      <c r="Y5" s="7"/>
      <c r="Z5" s="7"/>
      <c r="AA5" s="7"/>
      <c r="AB5" s="7"/>
      <c r="AC5" s="7"/>
      <c r="AD5" s="7"/>
    </row>
    <row r="6">
      <c r="G6" s="4"/>
      <c r="H6" s="4"/>
      <c r="K6" s="9" t="s">
        <v>8</v>
      </c>
      <c r="L6" s="4"/>
      <c r="P6" s="8"/>
      <c r="Q6" s="7"/>
      <c r="R6" s="7"/>
      <c r="S6" s="7"/>
      <c r="T6" s="7"/>
      <c r="U6" s="7"/>
      <c r="V6" s="7"/>
      <c r="W6" s="7"/>
      <c r="X6" s="7"/>
      <c r="Y6" s="7"/>
      <c r="Z6" s="7"/>
      <c r="AA6" s="7"/>
      <c r="AB6" s="7"/>
      <c r="AC6" s="7"/>
      <c r="AD6" s="7"/>
    </row>
    <row r="7">
      <c r="A7" s="10" t="s">
        <v>9</v>
      </c>
      <c r="C7" s="11" t="s">
        <v>10</v>
      </c>
      <c r="E7" s="11" t="s">
        <v>11</v>
      </c>
      <c r="G7" s="12"/>
      <c r="H7" s="12"/>
      <c r="I7" s="11" t="s">
        <v>12</v>
      </c>
      <c r="K7" s="12"/>
      <c r="L7" s="12"/>
      <c r="M7" s="13" t="s">
        <v>13</v>
      </c>
      <c r="O7" s="13" t="s">
        <v>14</v>
      </c>
      <c r="P7" s="8"/>
      <c r="Q7" s="7"/>
      <c r="R7" s="7"/>
      <c r="S7" s="7"/>
      <c r="T7" s="7"/>
      <c r="U7" s="7"/>
      <c r="V7" s="7"/>
      <c r="W7" s="7"/>
      <c r="X7" s="7"/>
      <c r="Y7" s="7"/>
      <c r="Z7" s="7"/>
      <c r="AA7" s="7"/>
      <c r="AB7" s="7"/>
      <c r="AC7" s="7"/>
      <c r="AD7" s="7"/>
    </row>
    <row r="8" ht="30.75" customHeight="1">
      <c r="C8" s="11" t="s">
        <v>15</v>
      </c>
      <c r="E8" s="11" t="s">
        <v>16</v>
      </c>
      <c r="G8" s="12"/>
      <c r="H8" s="12"/>
      <c r="K8" s="12"/>
      <c r="L8" s="12"/>
      <c r="P8" s="8"/>
      <c r="Q8" s="7"/>
      <c r="R8" s="7"/>
      <c r="S8" s="7"/>
      <c r="T8" s="7"/>
      <c r="U8" s="7"/>
      <c r="V8" s="7"/>
      <c r="W8" s="7"/>
      <c r="X8" s="7"/>
      <c r="Y8" s="7"/>
      <c r="Z8" s="7"/>
      <c r="AA8" s="7"/>
      <c r="AB8" s="7"/>
      <c r="AC8" s="7"/>
      <c r="AD8" s="7"/>
    </row>
    <row r="9">
      <c r="C9" s="11" t="s">
        <v>17</v>
      </c>
      <c r="E9" s="11" t="s">
        <v>18</v>
      </c>
      <c r="G9" s="12"/>
      <c r="H9" s="12"/>
      <c r="I9" s="11" t="s">
        <v>19</v>
      </c>
      <c r="K9" s="14"/>
      <c r="L9" s="14"/>
      <c r="P9" s="8"/>
      <c r="Q9" s="7"/>
      <c r="R9" s="7"/>
      <c r="S9" s="7"/>
      <c r="T9" s="7"/>
      <c r="U9" s="7"/>
      <c r="V9" s="7"/>
      <c r="W9" s="7"/>
      <c r="X9" s="7"/>
      <c r="Y9" s="7"/>
      <c r="Z9" s="7"/>
      <c r="AA9" s="7"/>
      <c r="AB9" s="7"/>
      <c r="AC9" s="7"/>
      <c r="AD9" s="7"/>
    </row>
    <row r="10" ht="27.0" customHeight="1">
      <c r="A10" s="15"/>
      <c r="B10" s="15"/>
      <c r="C10" s="16" t="s">
        <v>20</v>
      </c>
      <c r="D10" s="15"/>
      <c r="E10" s="16" t="s">
        <v>21</v>
      </c>
      <c r="F10" s="15"/>
      <c r="G10" s="14"/>
      <c r="H10" s="14"/>
      <c r="I10" s="15"/>
      <c r="J10" s="15"/>
      <c r="K10" s="14"/>
      <c r="L10" s="14"/>
      <c r="M10" s="15"/>
      <c r="N10" s="15"/>
      <c r="O10" s="15"/>
      <c r="P10" s="17"/>
      <c r="Q10" s="7"/>
      <c r="R10" s="7"/>
      <c r="S10" s="7"/>
      <c r="T10" s="7"/>
      <c r="U10" s="7"/>
      <c r="V10" s="7"/>
      <c r="W10" s="7"/>
      <c r="X10" s="7"/>
      <c r="Y10" s="7"/>
      <c r="Z10" s="7"/>
      <c r="AA10" s="7"/>
      <c r="AB10" s="7"/>
      <c r="AC10" s="7"/>
      <c r="AD10" s="7"/>
    </row>
    <row r="11">
      <c r="A11" s="18" t="s">
        <v>22</v>
      </c>
      <c r="C11" s="11" t="s">
        <v>10</v>
      </c>
      <c r="E11" s="11" t="s">
        <v>11</v>
      </c>
      <c r="G11" s="12"/>
      <c r="H11" s="12"/>
      <c r="I11" s="11" t="s">
        <v>12</v>
      </c>
      <c r="K11" s="12"/>
      <c r="L11" s="12"/>
      <c r="M11" s="19"/>
      <c r="O11" s="19"/>
      <c r="P11" s="8"/>
      <c r="Q11" s="7"/>
      <c r="R11" s="7"/>
      <c r="S11" s="7"/>
      <c r="T11" s="7"/>
      <c r="U11" s="7"/>
      <c r="V11" s="7"/>
      <c r="W11" s="7"/>
      <c r="X11" s="7"/>
      <c r="Y11" s="7"/>
      <c r="Z11" s="7"/>
      <c r="AA11" s="7"/>
      <c r="AB11" s="7"/>
      <c r="AC11" s="7"/>
      <c r="AD11" s="7"/>
    </row>
    <row r="12">
      <c r="C12" s="11" t="s">
        <v>15</v>
      </c>
      <c r="E12" s="11" t="s">
        <v>23</v>
      </c>
      <c r="G12" s="12"/>
      <c r="H12" s="12"/>
      <c r="K12" s="12"/>
      <c r="L12" s="12"/>
      <c r="M12" s="19"/>
      <c r="O12" s="19"/>
      <c r="P12" s="8"/>
      <c r="Q12" s="7"/>
      <c r="R12" s="7"/>
      <c r="S12" s="7"/>
      <c r="T12" s="7"/>
      <c r="U12" s="7"/>
      <c r="V12" s="7"/>
      <c r="W12" s="7"/>
      <c r="X12" s="7"/>
      <c r="Y12" s="7"/>
      <c r="Z12" s="7"/>
      <c r="AA12" s="7"/>
      <c r="AB12" s="7"/>
      <c r="AC12" s="7"/>
      <c r="AD12" s="7"/>
    </row>
    <row r="13">
      <c r="C13" s="11" t="s">
        <v>24</v>
      </c>
      <c r="E13" s="11" t="s">
        <v>18</v>
      </c>
      <c r="G13" s="12"/>
      <c r="H13" s="12"/>
      <c r="I13" s="11" t="s">
        <v>19</v>
      </c>
      <c r="K13" s="12"/>
      <c r="L13" s="12"/>
      <c r="M13" s="19"/>
      <c r="O13" s="19"/>
      <c r="P13" s="8"/>
      <c r="Q13" s="7"/>
      <c r="R13" s="7"/>
      <c r="S13" s="7"/>
      <c r="T13" s="7"/>
      <c r="U13" s="7"/>
      <c r="V13" s="7"/>
      <c r="W13" s="7"/>
      <c r="X13" s="7"/>
      <c r="Y13" s="7"/>
      <c r="Z13" s="7"/>
      <c r="AA13" s="7"/>
      <c r="AB13" s="7"/>
      <c r="AC13" s="7"/>
      <c r="AD13" s="7"/>
    </row>
    <row r="14">
      <c r="A14" s="15"/>
      <c r="B14" s="15"/>
      <c r="C14" s="16" t="s">
        <v>25</v>
      </c>
      <c r="D14" s="15"/>
      <c r="E14" s="16" t="s">
        <v>21</v>
      </c>
      <c r="F14" s="15"/>
      <c r="G14" s="14"/>
      <c r="H14" s="14"/>
      <c r="I14" s="15"/>
      <c r="J14" s="15"/>
      <c r="K14" s="14"/>
      <c r="L14" s="14"/>
      <c r="M14" s="20"/>
      <c r="N14" s="15"/>
      <c r="O14" s="20"/>
      <c r="P14" s="17"/>
      <c r="Q14" s="7"/>
      <c r="R14" s="7"/>
      <c r="S14" s="7"/>
      <c r="T14" s="7"/>
      <c r="U14" s="7"/>
      <c r="V14" s="7"/>
      <c r="W14" s="7"/>
      <c r="X14" s="7"/>
      <c r="Y14" s="7"/>
      <c r="Z14" s="7"/>
      <c r="AA14" s="7"/>
      <c r="AB14" s="7"/>
      <c r="AC14" s="7"/>
      <c r="AD14" s="7"/>
    </row>
    <row r="15">
      <c r="A15" s="21" t="s">
        <v>26</v>
      </c>
      <c r="C15" s="11" t="s">
        <v>10</v>
      </c>
      <c r="E15" s="11" t="s">
        <v>11</v>
      </c>
      <c r="G15" s="12"/>
      <c r="H15" s="12"/>
      <c r="I15" s="11" t="s">
        <v>12</v>
      </c>
      <c r="K15" s="12"/>
      <c r="L15" s="12"/>
      <c r="M15" s="22" t="s">
        <v>27</v>
      </c>
      <c r="O15" s="19"/>
      <c r="P15" s="8"/>
      <c r="Q15" s="7"/>
      <c r="R15" s="7"/>
      <c r="S15" s="7"/>
      <c r="T15" s="7"/>
      <c r="U15" s="7"/>
      <c r="V15" s="7"/>
      <c r="W15" s="7"/>
      <c r="X15" s="7"/>
      <c r="Y15" s="7"/>
      <c r="Z15" s="7"/>
      <c r="AA15" s="7"/>
      <c r="AB15" s="7"/>
      <c r="AC15" s="7"/>
      <c r="AD15" s="7"/>
    </row>
    <row r="16">
      <c r="C16" s="11" t="s">
        <v>15</v>
      </c>
      <c r="E16" s="11" t="s">
        <v>16</v>
      </c>
      <c r="G16" s="12"/>
      <c r="H16" s="12"/>
      <c r="I16" s="11" t="s">
        <v>28</v>
      </c>
      <c r="K16" s="12"/>
      <c r="L16" s="12"/>
      <c r="M16" s="22" t="s">
        <v>29</v>
      </c>
      <c r="O16" s="19"/>
      <c r="P16" s="8"/>
      <c r="Q16" s="7"/>
      <c r="R16" s="7"/>
      <c r="S16" s="7"/>
      <c r="T16" s="7"/>
      <c r="U16" s="7"/>
      <c r="V16" s="7"/>
      <c r="W16" s="7"/>
      <c r="X16" s="7"/>
      <c r="Y16" s="7"/>
      <c r="Z16" s="7"/>
      <c r="AA16" s="7"/>
      <c r="AB16" s="7"/>
      <c r="AC16" s="7"/>
      <c r="AD16" s="7"/>
    </row>
    <row r="17">
      <c r="C17" s="11" t="s">
        <v>24</v>
      </c>
      <c r="E17" s="11" t="s">
        <v>30</v>
      </c>
      <c r="G17" s="12"/>
      <c r="H17" s="12"/>
      <c r="I17" s="11" t="s">
        <v>31</v>
      </c>
      <c r="K17" s="12"/>
      <c r="L17" s="12"/>
      <c r="M17" s="22" t="s">
        <v>32</v>
      </c>
      <c r="O17" s="19"/>
      <c r="P17" s="8"/>
      <c r="Q17" s="7"/>
      <c r="R17" s="7"/>
      <c r="S17" s="7"/>
      <c r="T17" s="7"/>
      <c r="U17" s="7"/>
      <c r="V17" s="7"/>
      <c r="W17" s="7"/>
      <c r="X17" s="7"/>
      <c r="Y17" s="7"/>
      <c r="Z17" s="7"/>
      <c r="AA17" s="7"/>
      <c r="AB17" s="7"/>
      <c r="AC17" s="7"/>
      <c r="AD17" s="7"/>
    </row>
    <row r="18">
      <c r="A18" s="15"/>
      <c r="B18" s="15"/>
      <c r="C18" s="16" t="s">
        <v>25</v>
      </c>
      <c r="D18" s="15"/>
      <c r="E18" s="16" t="s">
        <v>33</v>
      </c>
      <c r="F18" s="15"/>
      <c r="G18" s="14"/>
      <c r="H18" s="14"/>
      <c r="I18" s="16" t="s">
        <v>34</v>
      </c>
      <c r="J18" s="15"/>
      <c r="K18" s="14"/>
      <c r="L18" s="14"/>
      <c r="M18" s="23" t="s">
        <v>35</v>
      </c>
      <c r="N18" s="15"/>
      <c r="O18" s="20"/>
      <c r="P18" s="17"/>
      <c r="Q18" s="7"/>
      <c r="R18" s="7"/>
      <c r="S18" s="7"/>
      <c r="T18" s="7"/>
      <c r="U18" s="7"/>
      <c r="V18" s="7"/>
      <c r="W18" s="7"/>
      <c r="X18" s="7"/>
      <c r="Y18" s="7"/>
      <c r="Z18" s="7"/>
      <c r="AA18" s="7"/>
      <c r="AB18" s="7"/>
      <c r="AC18" s="7"/>
      <c r="AD18" s="7"/>
    </row>
    <row r="19">
      <c r="A19" s="21"/>
      <c r="B19" s="21"/>
      <c r="C19" s="12"/>
      <c r="D19" s="12"/>
      <c r="E19" s="12"/>
      <c r="F19" s="12"/>
      <c r="G19" s="12"/>
      <c r="H19" s="12"/>
      <c r="I19" s="12"/>
      <c r="J19" s="12"/>
      <c r="K19" s="12"/>
      <c r="L19" s="12"/>
      <c r="M19" s="24"/>
      <c r="N19" s="24"/>
      <c r="O19" s="19"/>
      <c r="P19" s="19"/>
      <c r="Q19" s="7"/>
      <c r="R19" s="7"/>
      <c r="S19" s="7"/>
      <c r="T19" s="7"/>
      <c r="U19" s="7"/>
      <c r="V19" s="7"/>
      <c r="W19" s="7"/>
      <c r="X19" s="7"/>
      <c r="Y19" s="7"/>
      <c r="Z19" s="7"/>
      <c r="AA19" s="7"/>
      <c r="AB19" s="7"/>
      <c r="AC19" s="7"/>
      <c r="AD19" s="7"/>
    </row>
    <row r="20">
      <c r="A20" s="21"/>
      <c r="B20" s="21"/>
      <c r="C20" s="12"/>
      <c r="D20" s="12"/>
      <c r="E20" s="12"/>
      <c r="F20" s="12"/>
      <c r="G20" s="12"/>
      <c r="H20" s="12"/>
      <c r="I20" s="12"/>
      <c r="J20" s="12"/>
      <c r="K20" s="12"/>
      <c r="L20" s="12"/>
      <c r="M20" s="24"/>
      <c r="N20" s="24"/>
      <c r="O20" s="19"/>
      <c r="P20" s="19"/>
      <c r="Q20" s="7"/>
      <c r="R20" s="7"/>
      <c r="S20" s="7"/>
      <c r="T20" s="7"/>
      <c r="U20" s="7"/>
      <c r="V20" s="7"/>
      <c r="W20" s="7"/>
      <c r="X20" s="7"/>
      <c r="Y20" s="7"/>
      <c r="Z20" s="7"/>
      <c r="AA20" s="7"/>
      <c r="AB20" s="7"/>
      <c r="AC20" s="7"/>
      <c r="AD20" s="7"/>
    </row>
    <row r="21" hidden="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hidden="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hidden="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hidden="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hidden="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hidden="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hidden="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hidden="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hidden="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hidden="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hidden="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hidden="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hidden="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hidden="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hidden="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hidden="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hidden="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hidden="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hidden="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hidden="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hidden="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hidden="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hidden="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hidden="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hidden="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hidden="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hidden="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hidden="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hidden="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hidden="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row r="51" hidden="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row>
    <row r="52" hidden="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row>
    <row r="53" hidden="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row>
    <row r="54" hidden="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row>
    <row r="55" hidden="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row>
    <row r="56" hidden="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row>
    <row r="57" hidden="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row>
    <row r="58" hidden="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row>
    <row r="59" hidden="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hidden="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hidden="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row>
    <row r="62" hidden="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row>
    <row r="63" hidden="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row>
    <row r="64" hidden="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hidden="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hidden="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hidden="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hidden="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hidden="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hidden="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hidden="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hidden="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hidden="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hidden="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hidden="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hidden="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hidden="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hidden="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hidden="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hidden="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hidden="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hidden="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hidden="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hidden="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hidden="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hidden="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hidden="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hidden="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hidden="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hidden="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hidden="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hidden="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hidden="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hidden="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hidden="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hidden="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hidden="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hidden="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hidden="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hidden="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hidden="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hidden="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hidden="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hidden="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hidden="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hidden="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hidden="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hidden="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hidden="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hidden="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hidden="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hidden="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hidden="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hidden="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hidden="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hidden="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hidden="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hidden="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hidden="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hidden="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hidden="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hidden="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hidden="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hidden="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hidden="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hidden="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hidden="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hidden="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hidden="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hidden="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hidden="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hidden="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hidden="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hidden="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hidden="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hidden="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hidden="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hidden="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hidden="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hidden="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hidden="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hidden="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hidden="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hidden="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hidden="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hidden="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hidden="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hidden="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hidden="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hidden="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hidden="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hidden="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hidden="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hidden="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hidden="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hidden="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hidden="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hidden="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hidden="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hidden="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hidden="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hidden="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hidden="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hidden="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hidden="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hidden="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hidden="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hidden="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hidden="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hidden="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hidden="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hidden="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hidden="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hidden="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hidden="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hidden="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hidden="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hidden="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hidden="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hidden="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hidden="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hidden="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hidden="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hidden="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hidden="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hidden="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hidden="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hidden="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hidden="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hidden="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hidden="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hidden="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hidden="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hidden="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hidden="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hidden="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hidden="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hidden="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hidden="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hidden="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hidden="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hidden="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hidden="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hidden="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hidden="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hidden="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hidden="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hidden="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hidden="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hidden="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hidden="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hidden="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hidden="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hidden="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hidden="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hidden="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hidden="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hidden="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hidden="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hidden="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hidden="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hidden="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hidden="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hidden="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hidden="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hidden="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hidden="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hidden="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hidden="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hidden="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hidden="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hidden="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hidden="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hidden="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hidden="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hidden="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hidden="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hidden="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hidden="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hidden="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hidden="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hidden="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hidden="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hidden="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hidden="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hidden="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hidden="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hidden="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hidden="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hidden="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hidden="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hidden="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hidden="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hidden="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hidden="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hidden="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hidden="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hidden="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hidden="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hidden="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hidden="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hidden="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hidden="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hidden="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hidden="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hidden="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hidden="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hidden="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hidden="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hidden="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hidden="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hidden="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hidden="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hidden="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hidden="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hidden="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hidden="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hidden="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hidden="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hidden="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hidden="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hidden="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hidden="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hidden="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hidden="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hidden="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hidden="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hidden="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hidden="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hidden="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hidden="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hidden="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hidden="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hidden="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hidden="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hidden="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hidden="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hidden="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hidden="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hidden="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hidden="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hidden="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hidden="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hidden="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hidden="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hidden="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hidden="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hidden="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hidden="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hidden="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hidden="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hidden="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hidden="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hidden="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hidden="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hidden="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hidden="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hidden="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hidden="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hidden="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hidden="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hidden="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hidden="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hidden="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hidden="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hidden="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hidden="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hidden="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hidden="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hidden="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hidden="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hidden="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hidden="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hidden="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hidden="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hidden="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hidden="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hidden="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hidden="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hidden="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hidden="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hidden="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hidden="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hidden="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hidden="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hidden="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hidden="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hidden="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hidden="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hidden="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hidden="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hidden="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hidden="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hidden="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hidden="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hidden="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hidden="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hidden="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hidden="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hidden="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hidden="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hidden="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hidden="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hidden="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hidden="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hidden="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hidden="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hidden="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hidden="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hidden="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hidden="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hidden="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hidden="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hidden="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hidden="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hidden="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hidden="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hidden="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hidden="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hidden="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hidden="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hidden="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hidden="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hidden="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hidden="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hidden="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hidden="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hidden="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hidden="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hidden="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hidden="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hidden="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hidden="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hidden="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hidden="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hidden="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hidden="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hidden="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hidden="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hidden="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hidden="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hidden="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hidden="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hidden="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hidden="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hidden="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hidden="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hidden="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hidden="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hidden="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hidden="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hidden="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hidden="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hidden="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hidden="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hidden="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hidden="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hidden="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hidden="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hidden="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hidden="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hidden="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hidden="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hidden="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hidden="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hidden="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hidden="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hidden="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hidden="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hidden="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hidden="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hidden="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hidden="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hidden="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hidden="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hidden="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hidden="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hidden="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hidden="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hidden="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hidden="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hidden="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hidden="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hidden="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hidden="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hidden="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hidden="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hidden="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hidden="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hidden="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hidden="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hidden="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hidden="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hidden="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hidden="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hidden="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hidden="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hidden="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hidden="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hidden="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hidden="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hidden="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hidden="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hidden="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hidden="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hidden="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hidden="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hidden="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hidden="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hidden="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hidden="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hidden="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hidden="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hidden="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hidden="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hidden="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hidden="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hidden="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hidden="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hidden="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hidden="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hidden="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hidden="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hidden="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hidden="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hidden="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hidden="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hidden="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hidden="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hidden="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hidden="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hidden="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hidden="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hidden="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hidden="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hidden="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hidden="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hidden="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hidden="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hidden="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hidden="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hidden="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hidden="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hidden="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hidden="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hidden="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hidden="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hidden="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hidden="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hidden="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hidden="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hidden="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hidden="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hidden="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hidden="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hidden="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hidden="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hidden="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hidden="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hidden="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hidden="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hidden="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hidden="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hidden="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hidden="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hidden="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hidden="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hidden="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hidden="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hidden="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hidden="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hidden="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hidden="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hidden="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hidden="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hidden="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hidden="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hidden="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hidden="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hidden="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hidden="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hidden="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hidden="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hidden="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hidden="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hidden="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hidden="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hidden="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hidden="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hidden="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hidden="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hidden="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hidden="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hidden="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hidden="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hidden="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hidden="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hidden="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hidden="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hidden="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hidden="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hidden="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hidden="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hidden="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hidden="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hidden="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hidden="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hidden="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hidden="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hidden="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hidden="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hidden="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hidden="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hidden="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hidden="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hidden="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hidden="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hidden="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hidden="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hidden="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hidden="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hidden="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hidden="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hidden="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hidden="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hidden="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hidden="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hidden="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hidden="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hidden="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hidden="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hidden="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hidden="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hidden="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hidden="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hidden="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hidden="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hidden="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hidden="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hidden="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hidden="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hidden="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hidden="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hidden="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hidden="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hidden="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hidden="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hidden="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hidden="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hidden="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hidden="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hidden="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hidden="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hidden="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hidden="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hidden="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hidden="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hidden="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hidden="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hidden="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hidden="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hidden="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hidden="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hidden="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hidden="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hidden="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hidden="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hidden="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hidden="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hidden="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hidden="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hidden="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hidden="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hidden="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hidden="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hidden="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hidden="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hidden="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hidden="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hidden="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hidden="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hidden="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hidden="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hidden="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hidden="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hidden="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hidden="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hidden="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hidden="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hidden="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hidden="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hidden="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hidden="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hidden="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hidden="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hidden="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hidden="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hidden="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hidden="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hidden="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hidden="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hidden="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hidden="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hidden="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hidden="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hidden="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hidden="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hidden="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hidden="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hidden="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hidden="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hidden="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hidden="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hidden="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hidden="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hidden="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hidden="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hidden="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hidden="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hidden="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hidden="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hidden="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hidden="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hidden="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hidden="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hidden="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hidden="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hidden="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hidden="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hidden="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hidden="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hidden="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hidden="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hidden="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hidden="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hidden="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hidden="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hidden="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hidden="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hidden="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hidden="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hidden="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hidden="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hidden="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hidden="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hidden="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hidden="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hidden="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hidden="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hidden="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hidden="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hidden="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hidden="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hidden="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hidden="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hidden="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hidden="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hidden="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hidden="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hidden="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hidden="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hidden="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hidden="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hidden="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hidden="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hidden="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hidden="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hidden="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hidden="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hidden="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hidden="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hidden="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hidden="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hidden="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hidden="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hidden="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hidden="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hidden="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hidden="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hidden="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hidden="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hidden="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hidden="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hidden="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hidden="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hidden="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hidden="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hidden="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hidden="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hidden="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hidden="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hidden="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hidden="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hidden="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hidden="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hidden="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hidden="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hidden="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hidden="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hidden="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hidden="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hidden="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hidden="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hidden="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hidden="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hidden="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hidden="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hidden="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hidden="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hidden="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hidden="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hidden="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hidden="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hidden="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hidden="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hidden="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hidden="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hidden="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hidden="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hidden="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hidden="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hidden="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hidden="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hidden="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hidden="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hidden="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hidden="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hidden="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hidden="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hidden="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hidden="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hidden="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hidden="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hidden="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hidden="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hidden="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hidden="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hidden="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hidden="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hidden="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hidden="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hidden="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hidden="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hidden="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hidden="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hidden="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hidden="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hidden="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hidden="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hidden="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hidden="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hidden="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hidden="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hidden="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hidden="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hidden="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hidden="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hidden="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hidden="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hidden="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hidden="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hidden="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hidden="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hidden="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hidden="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hidden="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hidden="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hidden="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hidden="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hidden="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hidden="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hidden="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hidden="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hidden="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hidden="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hidden="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hidden="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hidden="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hidden="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hidden="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hidden="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hidden="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hidden="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hidden="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hidden="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hidden="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hidden="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hidden="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hidden="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hidden="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hidden="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hidden="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hidden="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hidden="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hidden="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hidden="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hidden="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hidden="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hidden="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hidden="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hidden="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hidden="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hidden="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hidden="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hidden="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hidden="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hidden="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hidden="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hidden="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hidden="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hidden="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hidden="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hidden="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hidden="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hidden="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hidden="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hidden="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hidden="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hidden="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hidden="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hidden="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hidden="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hidden="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hidden="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hidden="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hidden="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hidden="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hidden="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hidden="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hidden="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hidden="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hidden="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hidden="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hidden="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hidden="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hidden="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hidden="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hidden="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hidden="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hidden="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hidden="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hidden="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hidden="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hidden="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hidden="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hidden="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hidden="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hidden="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hidden="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hidden="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hidden="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hidden="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hidden="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hidden="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hidden="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hidden="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hidden="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hidden="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hidden="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hidden="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hidden="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hidden="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hidden="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hidden="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hidden="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hidden="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hidden="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hidden="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hidden="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hidden="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hidden="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hidden="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hidden="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hidden="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hidden="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hidden="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hidden="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hidden="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hidden="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hidden="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hidden="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hidden="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hidden="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hidden="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hidden="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hidden="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hidden="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hidden="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hidden="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hidden="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hidden="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hidden="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hidden="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hidden="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hidden="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hidden="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hidden="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hidden="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hidden="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hidden="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hidden="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hidden="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hidden="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hidden="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hidden="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hidden="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hidden="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hidden="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hidden="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hidden="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hidden="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hidden="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hidden="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hidden="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hidden="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hidden="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hidden="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hidden="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hidden="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hidden="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hidden="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hidden="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hidden="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hidden="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hidden="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hidden="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hidden="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hidden="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hidden="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hidden="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hidden="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hidden="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hidden="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hidden="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hidden="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hidden="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hidden="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hidden="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hidden="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hidden="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mergeCells count="59">
    <mergeCell ref="E8:F8"/>
    <mergeCell ref="C9:D9"/>
    <mergeCell ref="E9:F9"/>
    <mergeCell ref="E11:F11"/>
    <mergeCell ref="C12:D12"/>
    <mergeCell ref="E12:F12"/>
    <mergeCell ref="E13:F13"/>
    <mergeCell ref="C15:D15"/>
    <mergeCell ref="C16:D16"/>
    <mergeCell ref="E16:F16"/>
    <mergeCell ref="E17:F17"/>
    <mergeCell ref="C17:D17"/>
    <mergeCell ref="C18:D18"/>
    <mergeCell ref="E18:F18"/>
    <mergeCell ref="A7:B10"/>
    <mergeCell ref="C10:D10"/>
    <mergeCell ref="A11:B14"/>
    <mergeCell ref="C11:D11"/>
    <mergeCell ref="C13:D13"/>
    <mergeCell ref="C14:D14"/>
    <mergeCell ref="A15:B18"/>
    <mergeCell ref="O17:P17"/>
    <mergeCell ref="O18:P18"/>
    <mergeCell ref="O7:P10"/>
    <mergeCell ref="O11:P11"/>
    <mergeCell ref="O12:P12"/>
    <mergeCell ref="O13:P13"/>
    <mergeCell ref="O14:P14"/>
    <mergeCell ref="O15:P15"/>
    <mergeCell ref="O16:P16"/>
    <mergeCell ref="C7:D7"/>
    <mergeCell ref="E7:F7"/>
    <mergeCell ref="C3:D6"/>
    <mergeCell ref="C8:D8"/>
    <mergeCell ref="A3:B6"/>
    <mergeCell ref="E3:F6"/>
    <mergeCell ref="I3:J6"/>
    <mergeCell ref="O3:P6"/>
    <mergeCell ref="I7:J8"/>
    <mergeCell ref="I9:J10"/>
    <mergeCell ref="E10:F10"/>
    <mergeCell ref="I11:J12"/>
    <mergeCell ref="I13:J14"/>
    <mergeCell ref="I15:J15"/>
    <mergeCell ref="I16:J16"/>
    <mergeCell ref="I17:J17"/>
    <mergeCell ref="I18:J18"/>
    <mergeCell ref="E14:F14"/>
    <mergeCell ref="E15:F15"/>
    <mergeCell ref="M16:N16"/>
    <mergeCell ref="M17:N17"/>
    <mergeCell ref="M18:N18"/>
    <mergeCell ref="M3:N6"/>
    <mergeCell ref="M7:N10"/>
    <mergeCell ref="M11:N11"/>
    <mergeCell ref="M12:N12"/>
    <mergeCell ref="M13:N13"/>
    <mergeCell ref="M14:N14"/>
    <mergeCell ref="M15:N15"/>
  </mergeCells>
  <hyperlinks>
    <hyperlink r:id="rId1" ref="K5"/>
    <hyperlink r:id="rId2" ref="K6"/>
    <hyperlink r:id="rId3" ref="C7"/>
    <hyperlink r:id="rId4" ref="E7"/>
    <hyperlink r:id="rId5" ref="I7"/>
    <hyperlink r:id="rId6" ref="M7"/>
    <hyperlink r:id="rId7" ref="O7"/>
    <hyperlink r:id="rId8" ref="C8"/>
    <hyperlink r:id="rId9" ref="E8"/>
    <hyperlink r:id="rId10" ref="C9"/>
    <hyperlink r:id="rId11" ref="E9"/>
    <hyperlink r:id="rId12" ref="I9"/>
    <hyperlink r:id="rId13" ref="C10"/>
    <hyperlink r:id="rId14" ref="E10"/>
    <hyperlink r:id="rId15" ref="C11"/>
    <hyperlink r:id="rId16" ref="E11"/>
    <hyperlink r:id="rId17" ref="I11"/>
    <hyperlink r:id="rId18" ref="C12"/>
    <hyperlink r:id="rId19" ref="E12"/>
    <hyperlink r:id="rId20" ref="C13"/>
    <hyperlink r:id="rId21" ref="E13"/>
    <hyperlink r:id="rId22" ref="I13"/>
    <hyperlink r:id="rId23" ref="C14"/>
    <hyperlink r:id="rId24" ref="E14"/>
    <hyperlink r:id="rId25" ref="C15"/>
    <hyperlink r:id="rId26" ref="E15"/>
    <hyperlink r:id="rId27" ref="I15"/>
    <hyperlink r:id="rId28" ref="M15"/>
    <hyperlink r:id="rId29" ref="C16"/>
    <hyperlink r:id="rId30" ref="E16"/>
    <hyperlink r:id="rId31" ref="I16"/>
    <hyperlink r:id="rId32" ref="M16"/>
    <hyperlink r:id="rId33" ref="C17"/>
    <hyperlink r:id="rId34" ref="E17"/>
    <hyperlink r:id="rId35" ref="I17"/>
    <hyperlink r:id="rId36" ref="M17"/>
    <hyperlink r:id="rId37" ref="C18"/>
    <hyperlink r:id="rId38" ref="E18"/>
    <hyperlink r:id="rId39" ref="I18"/>
    <hyperlink r:id="rId40" ref="M18"/>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75"/>
    <col customWidth="1" min="2" max="2" width="18.13"/>
    <col customWidth="1" min="3" max="3" width="22.88"/>
    <col customWidth="1" min="4" max="4" width="13.13"/>
    <col customWidth="1" min="5" max="5" width="16.38"/>
    <col customWidth="1" min="6" max="6" width="15.13"/>
    <col customWidth="1" min="7" max="8" width="19.5"/>
    <col customWidth="1" min="9" max="9" width="19.38"/>
    <col customWidth="1" min="10" max="10" width="19.5"/>
    <col customWidth="1" min="11" max="11" width="19.38"/>
    <col customWidth="1" min="12" max="13" width="19.5"/>
    <col customWidth="1" min="14" max="15" width="15.5"/>
    <col customWidth="1" min="16" max="16" width="14.63"/>
    <col customWidth="1" min="17" max="17" width="14.0"/>
    <col customWidth="1" min="18" max="18" width="16.0"/>
    <col customWidth="1" min="19" max="19" width="15.75"/>
  </cols>
  <sheetData>
    <row r="1">
      <c r="A1" s="25"/>
      <c r="B1" s="26"/>
      <c r="C1" s="25"/>
      <c r="D1" s="25"/>
      <c r="E1" s="25"/>
      <c r="F1" s="25"/>
      <c r="G1" s="25"/>
      <c r="H1" s="25"/>
      <c r="I1" s="25"/>
      <c r="J1" s="25"/>
      <c r="K1" s="25"/>
      <c r="L1" s="25"/>
      <c r="M1" s="25"/>
      <c r="N1" s="25"/>
      <c r="O1" s="25"/>
      <c r="P1" s="25"/>
      <c r="Q1" s="25"/>
      <c r="R1" s="25"/>
      <c r="S1" s="25"/>
      <c r="T1" s="25"/>
      <c r="U1" s="25"/>
    </row>
    <row r="2" ht="22.5" customHeight="1">
      <c r="A2" s="27" t="s">
        <v>36</v>
      </c>
      <c r="B2" s="28" t="s">
        <v>37</v>
      </c>
      <c r="C2" s="27" t="s">
        <v>38</v>
      </c>
      <c r="D2" s="27" t="s">
        <v>39</v>
      </c>
      <c r="E2" s="27" t="s">
        <v>40</v>
      </c>
      <c r="F2" s="27" t="s">
        <v>41</v>
      </c>
      <c r="G2" s="27" t="s">
        <v>42</v>
      </c>
      <c r="H2" s="27" t="s">
        <v>43</v>
      </c>
      <c r="I2" s="27" t="s">
        <v>44</v>
      </c>
      <c r="J2" s="27" t="s">
        <v>45</v>
      </c>
      <c r="K2" s="27" t="s">
        <v>46</v>
      </c>
      <c r="L2" s="27" t="s">
        <v>47</v>
      </c>
      <c r="M2" s="27" t="s">
        <v>48</v>
      </c>
      <c r="N2" s="27" t="s">
        <v>49</v>
      </c>
      <c r="O2" s="27" t="s">
        <v>50</v>
      </c>
      <c r="P2" s="27" t="s">
        <v>51</v>
      </c>
      <c r="Q2" s="27" t="s">
        <v>52</v>
      </c>
      <c r="R2" s="27" t="s">
        <v>53</v>
      </c>
      <c r="S2" s="27" t="s">
        <v>54</v>
      </c>
      <c r="T2" s="27" t="s">
        <v>55</v>
      </c>
      <c r="U2" s="27" t="s">
        <v>56</v>
      </c>
    </row>
    <row r="3" ht="22.5" customHeight="1">
      <c r="A3" s="29" t="b">
        <v>0</v>
      </c>
      <c r="B3" s="29"/>
      <c r="C3" s="29"/>
      <c r="D3" s="30">
        <v>7.0</v>
      </c>
      <c r="E3" s="31" t="s">
        <v>57</v>
      </c>
      <c r="F3" s="30">
        <v>1.0</v>
      </c>
      <c r="G3" s="29" t="s">
        <v>58</v>
      </c>
      <c r="H3" s="29" t="s">
        <v>59</v>
      </c>
      <c r="I3" s="29" t="s">
        <v>60</v>
      </c>
      <c r="J3" s="29" t="s">
        <v>61</v>
      </c>
      <c r="K3" s="29" t="s">
        <v>62</v>
      </c>
      <c r="L3" s="29" t="s">
        <v>63</v>
      </c>
      <c r="M3" s="29" t="s">
        <v>64</v>
      </c>
      <c r="N3" s="30">
        <v>4.0</v>
      </c>
      <c r="O3" s="30">
        <v>3.5</v>
      </c>
      <c r="P3" s="30">
        <v>4.0</v>
      </c>
      <c r="Q3" s="30">
        <v>3.5</v>
      </c>
      <c r="R3" s="30">
        <v>4.5</v>
      </c>
      <c r="S3" s="30">
        <v>3.0</v>
      </c>
      <c r="T3" s="29"/>
      <c r="U3" s="29"/>
    </row>
    <row r="4" ht="22.5" customHeight="1">
      <c r="A4" s="29" t="b">
        <v>0</v>
      </c>
      <c r="B4" s="29"/>
      <c r="C4" s="29"/>
      <c r="D4" s="30">
        <v>7.0</v>
      </c>
      <c r="E4" s="31" t="s">
        <v>57</v>
      </c>
      <c r="F4" s="30">
        <v>2.0</v>
      </c>
      <c r="G4" s="29" t="s">
        <v>65</v>
      </c>
      <c r="H4" s="29" t="s">
        <v>66</v>
      </c>
      <c r="I4" s="29" t="s">
        <v>67</v>
      </c>
      <c r="J4" s="29" t="s">
        <v>68</v>
      </c>
      <c r="K4" s="29" t="s">
        <v>69</v>
      </c>
      <c r="L4" s="29" t="s">
        <v>70</v>
      </c>
      <c r="M4" s="29" t="s">
        <v>71</v>
      </c>
      <c r="N4" s="30">
        <v>3.5</v>
      </c>
      <c r="O4" s="30">
        <v>3.5</v>
      </c>
      <c r="P4" s="30">
        <v>4.5</v>
      </c>
      <c r="Q4" s="30">
        <v>4.0</v>
      </c>
      <c r="R4" s="30">
        <v>3.5</v>
      </c>
      <c r="S4" s="30">
        <v>3.0</v>
      </c>
      <c r="T4" s="29"/>
      <c r="U4" s="29"/>
    </row>
    <row r="5" ht="22.5" customHeight="1">
      <c r="A5" s="29" t="b">
        <v>0</v>
      </c>
      <c r="B5" s="29"/>
      <c r="C5" s="29"/>
      <c r="D5" s="30">
        <v>7.0</v>
      </c>
      <c r="E5" s="31" t="s">
        <v>57</v>
      </c>
      <c r="F5" s="30">
        <v>3.0</v>
      </c>
      <c r="G5" s="29" t="s">
        <v>72</v>
      </c>
      <c r="H5" s="29" t="s">
        <v>73</v>
      </c>
      <c r="I5" s="29" t="s">
        <v>74</v>
      </c>
      <c r="J5" s="29" t="s">
        <v>75</v>
      </c>
      <c r="K5" s="29" t="s">
        <v>76</v>
      </c>
      <c r="L5" s="29" t="s">
        <v>77</v>
      </c>
      <c r="M5" s="29" t="s">
        <v>78</v>
      </c>
      <c r="N5" s="30">
        <v>4.0</v>
      </c>
      <c r="O5" s="30">
        <v>4.5</v>
      </c>
      <c r="P5" s="30">
        <v>3.5</v>
      </c>
      <c r="Q5" s="30">
        <v>4.0</v>
      </c>
      <c r="R5" s="30">
        <v>4.5</v>
      </c>
      <c r="S5" s="30">
        <v>3.5</v>
      </c>
      <c r="T5" s="29"/>
      <c r="U5" s="29"/>
    </row>
    <row r="6" ht="22.5" customHeight="1">
      <c r="A6" s="29" t="b">
        <v>0</v>
      </c>
      <c r="B6" s="29"/>
      <c r="C6" s="29"/>
      <c r="D6" s="30">
        <v>7.0</v>
      </c>
      <c r="E6" s="31" t="s">
        <v>57</v>
      </c>
      <c r="F6" s="30">
        <v>4.0</v>
      </c>
      <c r="G6" s="29" t="s">
        <v>79</v>
      </c>
      <c r="H6" s="29" t="s">
        <v>80</v>
      </c>
      <c r="I6" s="29" t="s">
        <v>81</v>
      </c>
      <c r="J6" s="29" t="s">
        <v>82</v>
      </c>
      <c r="K6" s="29" t="s">
        <v>83</v>
      </c>
      <c r="L6" s="29" t="s">
        <v>84</v>
      </c>
      <c r="M6" s="29" t="s">
        <v>85</v>
      </c>
      <c r="N6" s="30">
        <v>3.5</v>
      </c>
      <c r="O6" s="30">
        <v>3.0</v>
      </c>
      <c r="P6" s="30">
        <v>4.0</v>
      </c>
      <c r="Q6" s="30">
        <v>3.5</v>
      </c>
      <c r="R6" s="30">
        <v>4.5</v>
      </c>
      <c r="S6" s="30">
        <v>3.0</v>
      </c>
      <c r="T6" s="29"/>
      <c r="U6" s="29"/>
    </row>
    <row r="7" ht="22.5" customHeight="1">
      <c r="A7" s="29" t="b">
        <v>0</v>
      </c>
      <c r="B7" s="29"/>
      <c r="C7" s="29"/>
      <c r="D7" s="30">
        <v>7.0</v>
      </c>
      <c r="E7" s="31" t="s">
        <v>57</v>
      </c>
      <c r="F7" s="30">
        <v>5.0</v>
      </c>
      <c r="G7" s="29" t="s">
        <v>86</v>
      </c>
      <c r="H7" s="29" t="s">
        <v>87</v>
      </c>
      <c r="I7" s="29" t="s">
        <v>88</v>
      </c>
      <c r="J7" s="29" t="s">
        <v>89</v>
      </c>
      <c r="K7" s="29" t="s">
        <v>90</v>
      </c>
      <c r="L7" s="29" t="s">
        <v>91</v>
      </c>
      <c r="M7" s="29" t="s">
        <v>92</v>
      </c>
      <c r="N7" s="30">
        <v>4.0</v>
      </c>
      <c r="O7" s="30">
        <v>4.5</v>
      </c>
      <c r="P7" s="30">
        <v>4.0</v>
      </c>
      <c r="Q7" s="30">
        <v>5.0</v>
      </c>
      <c r="R7" s="30">
        <v>4.5</v>
      </c>
      <c r="S7" s="30">
        <v>4.5</v>
      </c>
      <c r="T7" s="29"/>
      <c r="U7" s="29"/>
    </row>
    <row r="8" ht="22.5" customHeight="1">
      <c r="A8" s="29" t="b">
        <v>0</v>
      </c>
      <c r="B8" s="29"/>
      <c r="C8" s="29"/>
      <c r="D8" s="30">
        <v>8.0</v>
      </c>
      <c r="E8" s="31" t="s">
        <v>93</v>
      </c>
      <c r="F8" s="30">
        <v>1.0</v>
      </c>
      <c r="G8" s="29" t="s">
        <v>94</v>
      </c>
      <c r="H8" s="29" t="s">
        <v>95</v>
      </c>
      <c r="I8" s="29" t="s">
        <v>96</v>
      </c>
      <c r="J8" s="29" t="s">
        <v>97</v>
      </c>
      <c r="K8" s="29" t="s">
        <v>98</v>
      </c>
      <c r="L8" s="29" t="s">
        <v>99</v>
      </c>
      <c r="M8" s="29" t="s">
        <v>100</v>
      </c>
      <c r="N8" s="30">
        <v>4.0</v>
      </c>
      <c r="O8" s="30">
        <v>3.5</v>
      </c>
      <c r="P8" s="30">
        <v>4.0</v>
      </c>
      <c r="Q8" s="30">
        <v>3.5</v>
      </c>
      <c r="R8" s="30">
        <v>4.5</v>
      </c>
      <c r="S8" s="30">
        <v>3.0</v>
      </c>
      <c r="T8" s="29"/>
      <c r="U8" s="29"/>
    </row>
    <row r="9" ht="22.5" customHeight="1">
      <c r="A9" s="32" t="b">
        <v>0</v>
      </c>
      <c r="B9" s="32"/>
      <c r="C9" s="32"/>
      <c r="D9" s="33">
        <v>8.0</v>
      </c>
      <c r="E9" s="34" t="s">
        <v>93</v>
      </c>
      <c r="F9" s="33">
        <v>2.0</v>
      </c>
      <c r="G9" s="32" t="s">
        <v>101</v>
      </c>
      <c r="H9" s="32" t="s">
        <v>102</v>
      </c>
      <c r="I9" s="32" t="s">
        <v>103</v>
      </c>
      <c r="J9" s="32" t="s">
        <v>104</v>
      </c>
      <c r="K9" s="32" t="s">
        <v>105</v>
      </c>
      <c r="L9" s="32" t="s">
        <v>106</v>
      </c>
      <c r="M9" s="32" t="s">
        <v>107</v>
      </c>
      <c r="N9" s="33">
        <v>4.0</v>
      </c>
      <c r="O9" s="33">
        <v>3.0</v>
      </c>
      <c r="P9" s="33">
        <v>4.5</v>
      </c>
      <c r="Q9" s="33">
        <v>4.0</v>
      </c>
      <c r="R9" s="33">
        <v>4.5</v>
      </c>
      <c r="S9" s="33">
        <v>3.5</v>
      </c>
      <c r="T9" s="32"/>
      <c r="U9" s="32"/>
    </row>
    <row r="10" ht="22.5" customHeight="1">
      <c r="A10" s="29" t="b">
        <v>0</v>
      </c>
      <c r="B10" s="29"/>
      <c r="C10" s="29"/>
      <c r="D10" s="30">
        <v>8.0</v>
      </c>
      <c r="E10" s="31" t="s">
        <v>93</v>
      </c>
      <c r="F10" s="30">
        <v>3.0</v>
      </c>
      <c r="G10" s="29" t="s">
        <v>108</v>
      </c>
      <c r="H10" s="29" t="s">
        <v>109</v>
      </c>
      <c r="I10" s="29" t="s">
        <v>110</v>
      </c>
      <c r="J10" s="29" t="s">
        <v>111</v>
      </c>
      <c r="K10" s="29" t="s">
        <v>112</v>
      </c>
      <c r="L10" s="29" t="s">
        <v>113</v>
      </c>
      <c r="M10" s="29" t="s">
        <v>114</v>
      </c>
      <c r="N10" s="30">
        <v>4.5</v>
      </c>
      <c r="O10" s="30">
        <v>4.0</v>
      </c>
      <c r="P10" s="30">
        <v>3.5</v>
      </c>
      <c r="Q10" s="30">
        <v>3.5</v>
      </c>
      <c r="R10" s="30">
        <v>4.5</v>
      </c>
      <c r="S10" s="30">
        <v>4.0</v>
      </c>
      <c r="T10" s="29"/>
      <c r="U10" s="29"/>
    </row>
    <row r="11" ht="22.5" customHeight="1">
      <c r="A11" s="29" t="b">
        <v>0</v>
      </c>
      <c r="B11" s="29"/>
      <c r="C11" s="29"/>
      <c r="D11" s="30">
        <v>8.0</v>
      </c>
      <c r="E11" s="31" t="s">
        <v>93</v>
      </c>
      <c r="F11" s="30">
        <v>4.0</v>
      </c>
      <c r="G11" s="29" t="s">
        <v>115</v>
      </c>
      <c r="H11" s="29" t="s">
        <v>116</v>
      </c>
      <c r="I11" s="29" t="s">
        <v>117</v>
      </c>
      <c r="J11" s="29" t="s">
        <v>118</v>
      </c>
      <c r="K11" s="29" t="s">
        <v>119</v>
      </c>
      <c r="L11" s="29" t="s">
        <v>120</v>
      </c>
      <c r="M11" s="29" t="s">
        <v>121</v>
      </c>
      <c r="N11" s="30">
        <v>4.0</v>
      </c>
      <c r="O11" s="30">
        <v>4.5</v>
      </c>
      <c r="P11" s="30">
        <v>4.0</v>
      </c>
      <c r="Q11" s="30">
        <v>3.5</v>
      </c>
      <c r="R11" s="30">
        <v>3.5</v>
      </c>
      <c r="S11" s="30">
        <v>4.5</v>
      </c>
      <c r="T11" s="29"/>
      <c r="U11" s="29"/>
    </row>
    <row r="12" ht="22.5" customHeight="1">
      <c r="A12" s="29" t="b">
        <v>0</v>
      </c>
      <c r="B12" s="29"/>
      <c r="C12" s="29"/>
      <c r="D12" s="30">
        <v>8.0</v>
      </c>
      <c r="E12" s="31" t="s">
        <v>93</v>
      </c>
      <c r="F12" s="30">
        <v>5.0</v>
      </c>
      <c r="G12" s="29" t="s">
        <v>122</v>
      </c>
      <c r="H12" s="29" t="s">
        <v>123</v>
      </c>
      <c r="I12" s="29" t="s">
        <v>124</v>
      </c>
      <c r="J12" s="29" t="s">
        <v>125</v>
      </c>
      <c r="K12" s="29" t="s">
        <v>126</v>
      </c>
      <c r="L12" s="29" t="s">
        <v>127</v>
      </c>
      <c r="M12" s="29" t="s">
        <v>128</v>
      </c>
      <c r="N12" s="30">
        <v>4.5</v>
      </c>
      <c r="O12" s="30">
        <v>4.0</v>
      </c>
      <c r="P12" s="30">
        <v>4.0</v>
      </c>
      <c r="Q12" s="30">
        <v>5.0</v>
      </c>
      <c r="R12" s="30">
        <v>4.5</v>
      </c>
      <c r="S12" s="30">
        <v>4.5</v>
      </c>
      <c r="T12" s="29"/>
      <c r="U12" s="29"/>
    </row>
    <row r="13">
      <c r="A13" s="35" t="b">
        <v>0</v>
      </c>
      <c r="B13" s="35"/>
      <c r="C13" s="35"/>
      <c r="D13" s="35"/>
      <c r="E13" s="35"/>
      <c r="F13" s="35"/>
      <c r="G13" s="35"/>
      <c r="H13" s="35"/>
      <c r="I13" s="35"/>
      <c r="J13" s="35"/>
      <c r="K13" s="35"/>
      <c r="L13" s="35"/>
      <c r="M13" s="35"/>
      <c r="N13" s="35"/>
      <c r="O13" s="35"/>
      <c r="P13" s="35"/>
      <c r="Q13" s="35"/>
      <c r="R13" s="35"/>
      <c r="S13" s="35"/>
      <c r="T13" s="35"/>
      <c r="U13" s="35"/>
    </row>
    <row r="14">
      <c r="A14" s="35" t="b">
        <v>0</v>
      </c>
      <c r="B14" s="35"/>
      <c r="C14" s="35"/>
      <c r="D14" s="35"/>
      <c r="E14" s="35"/>
      <c r="F14" s="35"/>
      <c r="G14" s="35"/>
      <c r="H14" s="35"/>
      <c r="I14" s="35"/>
      <c r="J14" s="35"/>
      <c r="K14" s="35"/>
      <c r="L14" s="35"/>
      <c r="M14" s="35"/>
      <c r="N14" s="35"/>
      <c r="O14" s="35"/>
      <c r="P14" s="35"/>
      <c r="Q14" s="35"/>
      <c r="R14" s="35"/>
      <c r="S14" s="35"/>
      <c r="T14" s="35"/>
      <c r="U14" s="35"/>
    </row>
    <row r="15">
      <c r="A15" s="35" t="b">
        <v>0</v>
      </c>
      <c r="B15" s="35"/>
      <c r="C15" s="35"/>
      <c r="D15" s="35"/>
      <c r="E15" s="35"/>
      <c r="F15" s="35"/>
      <c r="G15" s="35"/>
      <c r="H15" s="35"/>
      <c r="I15" s="35"/>
      <c r="J15" s="35"/>
      <c r="K15" s="35"/>
      <c r="L15" s="35"/>
      <c r="M15" s="35"/>
      <c r="N15" s="35"/>
      <c r="O15" s="35"/>
      <c r="P15" s="35"/>
      <c r="Q15" s="35"/>
      <c r="R15" s="35"/>
      <c r="S15" s="35"/>
      <c r="T15" s="35"/>
      <c r="U15" s="35"/>
    </row>
    <row r="16">
      <c r="A16" s="35" t="b">
        <v>0</v>
      </c>
      <c r="B16" s="35"/>
      <c r="C16" s="35"/>
      <c r="D16" s="35"/>
      <c r="E16" s="35"/>
      <c r="F16" s="35"/>
      <c r="G16" s="35"/>
      <c r="H16" s="35"/>
      <c r="I16" s="35"/>
      <c r="J16" s="35"/>
      <c r="K16" s="35"/>
      <c r="L16" s="35"/>
      <c r="M16" s="35"/>
      <c r="N16" s="35"/>
      <c r="O16" s="35"/>
      <c r="P16" s="35"/>
      <c r="Q16" s="35"/>
      <c r="R16" s="35"/>
      <c r="S16" s="35"/>
      <c r="T16" s="35"/>
      <c r="U16" s="35"/>
    </row>
    <row r="17">
      <c r="A17" s="35" t="b">
        <v>0</v>
      </c>
      <c r="B17" s="35"/>
      <c r="C17" s="35"/>
      <c r="D17" s="35"/>
      <c r="E17" s="35"/>
      <c r="F17" s="35"/>
      <c r="G17" s="35"/>
      <c r="H17" s="35"/>
      <c r="I17" s="35"/>
      <c r="J17" s="35"/>
      <c r="K17" s="35"/>
      <c r="L17" s="35"/>
      <c r="M17" s="35"/>
      <c r="N17" s="35"/>
      <c r="O17" s="35"/>
      <c r="P17" s="35"/>
      <c r="Q17" s="35"/>
      <c r="R17" s="35"/>
      <c r="S17" s="35"/>
      <c r="T17" s="35"/>
      <c r="U17" s="35"/>
    </row>
    <row r="18">
      <c r="A18" s="35" t="b">
        <v>0</v>
      </c>
      <c r="B18" s="35"/>
      <c r="C18" s="35"/>
      <c r="D18" s="35"/>
      <c r="E18" s="35"/>
      <c r="F18" s="35"/>
      <c r="G18" s="35"/>
      <c r="H18" s="35"/>
      <c r="I18" s="35"/>
      <c r="J18" s="35"/>
      <c r="K18" s="35"/>
      <c r="L18" s="35"/>
      <c r="M18" s="35"/>
      <c r="N18" s="35"/>
      <c r="O18" s="35"/>
      <c r="P18" s="35"/>
      <c r="Q18" s="35"/>
      <c r="R18" s="35"/>
      <c r="S18" s="35"/>
      <c r="T18" s="35"/>
      <c r="U18" s="35"/>
    </row>
    <row r="19">
      <c r="A19" s="35" t="b">
        <v>0</v>
      </c>
      <c r="B19" s="35"/>
      <c r="C19" s="35"/>
      <c r="D19" s="35"/>
      <c r="E19" s="35"/>
      <c r="F19" s="35"/>
      <c r="G19" s="35"/>
      <c r="H19" s="35"/>
      <c r="I19" s="35"/>
      <c r="J19" s="35"/>
      <c r="K19" s="35"/>
      <c r="L19" s="35"/>
      <c r="M19" s="35"/>
      <c r="N19" s="35"/>
      <c r="O19" s="35"/>
      <c r="P19" s="35"/>
      <c r="Q19" s="35"/>
      <c r="R19" s="35"/>
      <c r="S19" s="35"/>
      <c r="T19" s="35"/>
      <c r="U19" s="35"/>
    </row>
    <row r="20">
      <c r="A20" s="35" t="b">
        <v>0</v>
      </c>
      <c r="B20" s="35"/>
      <c r="C20" s="35"/>
      <c r="D20" s="35"/>
      <c r="E20" s="35"/>
      <c r="F20" s="35"/>
      <c r="G20" s="35"/>
      <c r="H20" s="35"/>
      <c r="I20" s="35"/>
      <c r="J20" s="35"/>
      <c r="K20" s="35"/>
      <c r="L20" s="35"/>
      <c r="M20" s="35"/>
      <c r="N20" s="35"/>
      <c r="O20" s="35"/>
      <c r="P20" s="35"/>
      <c r="Q20" s="35"/>
      <c r="R20" s="35"/>
      <c r="S20" s="35"/>
      <c r="T20" s="35"/>
      <c r="U20" s="35"/>
    </row>
    <row r="21">
      <c r="A21" s="35" t="b">
        <v>0</v>
      </c>
      <c r="B21" s="35"/>
      <c r="C21" s="35"/>
      <c r="D21" s="35"/>
      <c r="E21" s="35"/>
      <c r="F21" s="35"/>
      <c r="G21" s="35"/>
      <c r="H21" s="35"/>
      <c r="I21" s="35"/>
      <c r="J21" s="35"/>
      <c r="K21" s="35"/>
      <c r="L21" s="35"/>
      <c r="M21" s="35"/>
      <c r="N21" s="35"/>
      <c r="O21" s="35"/>
      <c r="P21" s="35"/>
      <c r="Q21" s="35"/>
      <c r="R21" s="35"/>
      <c r="S21" s="35"/>
      <c r="T21" s="35"/>
      <c r="U21" s="35"/>
    </row>
    <row r="22">
      <c r="A22" s="35" t="b">
        <v>0</v>
      </c>
      <c r="B22" s="35"/>
      <c r="C22" s="35"/>
      <c r="D22" s="35"/>
      <c r="E22" s="35"/>
      <c r="F22" s="35"/>
      <c r="G22" s="35"/>
      <c r="H22" s="35"/>
      <c r="I22" s="35"/>
      <c r="J22" s="35"/>
      <c r="K22" s="35"/>
      <c r="L22" s="35"/>
      <c r="M22" s="35"/>
      <c r="N22" s="35"/>
      <c r="O22" s="35"/>
      <c r="P22" s="35"/>
      <c r="Q22" s="35"/>
      <c r="R22" s="35"/>
      <c r="S22" s="35"/>
      <c r="T22" s="35"/>
      <c r="U22" s="35"/>
    </row>
    <row r="23">
      <c r="A23" s="35" t="b">
        <v>0</v>
      </c>
      <c r="B23" s="35"/>
      <c r="C23" s="35"/>
      <c r="D23" s="35"/>
      <c r="E23" s="35"/>
      <c r="F23" s="35"/>
      <c r="G23" s="35"/>
      <c r="H23" s="35"/>
      <c r="I23" s="35"/>
      <c r="J23" s="35"/>
      <c r="K23" s="35"/>
      <c r="L23" s="35"/>
      <c r="M23" s="35"/>
      <c r="N23" s="35"/>
      <c r="O23" s="35"/>
      <c r="P23" s="35"/>
      <c r="Q23" s="35"/>
      <c r="R23" s="35"/>
      <c r="S23" s="35"/>
      <c r="T23" s="35"/>
      <c r="U23" s="35"/>
    </row>
    <row r="24">
      <c r="A24" s="35" t="b">
        <v>0</v>
      </c>
      <c r="B24" s="35"/>
      <c r="C24" s="35"/>
      <c r="D24" s="35"/>
      <c r="E24" s="35"/>
      <c r="F24" s="35"/>
      <c r="G24" s="35"/>
      <c r="H24" s="35"/>
      <c r="I24" s="35"/>
      <c r="J24" s="35"/>
      <c r="K24" s="35"/>
      <c r="L24" s="35"/>
      <c r="M24" s="35"/>
      <c r="N24" s="35"/>
      <c r="O24" s="35"/>
      <c r="P24" s="35"/>
      <c r="Q24" s="35"/>
      <c r="R24" s="35"/>
      <c r="S24" s="35"/>
      <c r="T24" s="35"/>
      <c r="U24" s="35"/>
    </row>
    <row r="25">
      <c r="A25" s="35" t="b">
        <v>0</v>
      </c>
      <c r="B25" s="35"/>
      <c r="C25" s="35"/>
      <c r="D25" s="35"/>
      <c r="E25" s="35"/>
      <c r="F25" s="35"/>
      <c r="G25" s="35"/>
      <c r="H25" s="35"/>
      <c r="I25" s="35"/>
      <c r="J25" s="35"/>
      <c r="K25" s="35"/>
      <c r="L25" s="35"/>
      <c r="M25" s="35"/>
      <c r="N25" s="35"/>
      <c r="O25" s="35"/>
      <c r="P25" s="35"/>
      <c r="Q25" s="35"/>
      <c r="R25" s="35"/>
      <c r="S25" s="35"/>
      <c r="T25" s="35"/>
      <c r="U25" s="35"/>
    </row>
    <row r="26">
      <c r="A26" s="35" t="b">
        <v>0</v>
      </c>
      <c r="B26" s="35"/>
      <c r="C26" s="35"/>
      <c r="D26" s="35"/>
      <c r="E26" s="35"/>
      <c r="F26" s="35"/>
      <c r="G26" s="35"/>
      <c r="H26" s="35"/>
      <c r="I26" s="35"/>
      <c r="J26" s="35"/>
      <c r="K26" s="35"/>
      <c r="L26" s="35"/>
      <c r="M26" s="35"/>
      <c r="N26" s="35"/>
      <c r="O26" s="35"/>
      <c r="P26" s="35"/>
      <c r="Q26" s="35"/>
      <c r="R26" s="35"/>
      <c r="S26" s="35"/>
      <c r="T26" s="35"/>
      <c r="U26" s="35"/>
    </row>
    <row r="27">
      <c r="A27" s="35" t="b">
        <v>0</v>
      </c>
      <c r="B27" s="35"/>
      <c r="C27" s="35"/>
      <c r="D27" s="35"/>
      <c r="E27" s="35"/>
      <c r="F27" s="35"/>
      <c r="G27" s="35"/>
      <c r="H27" s="35"/>
      <c r="I27" s="35"/>
      <c r="J27" s="35"/>
      <c r="K27" s="35"/>
      <c r="L27" s="35"/>
      <c r="M27" s="35"/>
      <c r="N27" s="35"/>
      <c r="O27" s="35"/>
      <c r="P27" s="35"/>
      <c r="Q27" s="35"/>
      <c r="R27" s="35"/>
      <c r="S27" s="35"/>
      <c r="T27" s="35"/>
      <c r="U27" s="35"/>
    </row>
    <row r="28">
      <c r="A28" s="35" t="b">
        <v>0</v>
      </c>
      <c r="B28" s="35"/>
      <c r="C28" s="35"/>
      <c r="D28" s="35"/>
      <c r="E28" s="35"/>
      <c r="F28" s="35"/>
      <c r="G28" s="35"/>
      <c r="H28" s="35"/>
      <c r="I28" s="35"/>
      <c r="J28" s="35"/>
      <c r="K28" s="35"/>
      <c r="L28" s="35"/>
      <c r="M28" s="35"/>
      <c r="N28" s="35"/>
      <c r="O28" s="35"/>
      <c r="P28" s="35"/>
      <c r="Q28" s="35"/>
      <c r="R28" s="35"/>
      <c r="S28" s="35"/>
      <c r="T28" s="35"/>
      <c r="U28" s="35"/>
    </row>
    <row r="29">
      <c r="A29" s="35" t="b">
        <v>0</v>
      </c>
      <c r="B29" s="35"/>
      <c r="C29" s="35"/>
      <c r="D29" s="35"/>
      <c r="E29" s="35"/>
      <c r="F29" s="35"/>
      <c r="G29" s="35"/>
      <c r="H29" s="35"/>
      <c r="I29" s="35"/>
      <c r="J29" s="35"/>
      <c r="K29" s="35"/>
      <c r="L29" s="35"/>
      <c r="M29" s="35"/>
      <c r="N29" s="35"/>
      <c r="O29" s="35"/>
      <c r="P29" s="35"/>
      <c r="Q29" s="35"/>
      <c r="R29" s="35"/>
      <c r="S29" s="35"/>
      <c r="T29" s="35"/>
      <c r="U29" s="35"/>
    </row>
    <row r="30">
      <c r="A30" s="35" t="b">
        <v>0</v>
      </c>
      <c r="B30" s="35"/>
      <c r="C30" s="35"/>
      <c r="D30" s="35"/>
      <c r="E30" s="35"/>
      <c r="F30" s="35"/>
      <c r="G30" s="35"/>
      <c r="H30" s="35"/>
      <c r="I30" s="35"/>
      <c r="J30" s="35"/>
      <c r="K30" s="35"/>
      <c r="L30" s="35"/>
      <c r="M30" s="35"/>
      <c r="N30" s="35"/>
      <c r="O30" s="35"/>
      <c r="P30" s="35"/>
      <c r="Q30" s="35"/>
      <c r="R30" s="35"/>
      <c r="S30" s="35"/>
      <c r="T30" s="35"/>
      <c r="U30" s="35"/>
    </row>
    <row r="31">
      <c r="A31" s="35" t="b">
        <v>0</v>
      </c>
      <c r="B31" s="35"/>
      <c r="C31" s="35"/>
      <c r="D31" s="35"/>
      <c r="E31" s="35"/>
      <c r="F31" s="35"/>
      <c r="G31" s="35"/>
      <c r="H31" s="35"/>
      <c r="I31" s="35"/>
      <c r="J31" s="35"/>
      <c r="K31" s="35"/>
      <c r="L31" s="35"/>
      <c r="M31" s="35"/>
      <c r="N31" s="35"/>
      <c r="O31" s="35"/>
      <c r="P31" s="35"/>
      <c r="Q31" s="35"/>
      <c r="R31" s="35"/>
      <c r="S31" s="35"/>
      <c r="T31" s="35"/>
      <c r="U31" s="35"/>
    </row>
    <row r="32">
      <c r="A32" s="35" t="b">
        <v>0</v>
      </c>
      <c r="B32" s="35"/>
      <c r="C32" s="35"/>
      <c r="D32" s="35"/>
      <c r="E32" s="35"/>
      <c r="F32" s="35"/>
      <c r="G32" s="35"/>
      <c r="H32" s="35"/>
      <c r="I32" s="35"/>
      <c r="J32" s="35"/>
      <c r="K32" s="35"/>
      <c r="L32" s="35"/>
      <c r="M32" s="35"/>
      <c r="N32" s="35"/>
      <c r="O32" s="35"/>
      <c r="P32" s="35"/>
      <c r="Q32" s="35"/>
      <c r="R32" s="35"/>
      <c r="S32" s="35"/>
      <c r="T32" s="35"/>
      <c r="U32" s="35"/>
    </row>
    <row r="33">
      <c r="A33" s="35" t="b">
        <v>0</v>
      </c>
      <c r="B33" s="35"/>
      <c r="C33" s="35"/>
      <c r="D33" s="35"/>
      <c r="E33" s="35"/>
      <c r="F33" s="35"/>
      <c r="G33" s="35"/>
      <c r="H33" s="35"/>
      <c r="I33" s="35"/>
      <c r="J33" s="35"/>
      <c r="K33" s="35"/>
      <c r="L33" s="35"/>
      <c r="M33" s="35"/>
      <c r="N33" s="35"/>
      <c r="O33" s="35"/>
      <c r="P33" s="35"/>
      <c r="Q33" s="35"/>
      <c r="R33" s="35"/>
      <c r="S33" s="35"/>
      <c r="T33" s="35"/>
      <c r="U33" s="35"/>
    </row>
    <row r="34">
      <c r="A34" s="35" t="b">
        <v>0</v>
      </c>
      <c r="B34" s="35"/>
      <c r="C34" s="35"/>
      <c r="D34" s="35"/>
      <c r="E34" s="35"/>
      <c r="F34" s="35"/>
      <c r="G34" s="35"/>
      <c r="H34" s="35"/>
      <c r="I34" s="35"/>
      <c r="J34" s="35"/>
      <c r="K34" s="35"/>
      <c r="L34" s="35"/>
      <c r="M34" s="35"/>
      <c r="N34" s="35"/>
      <c r="O34" s="35"/>
      <c r="P34" s="35"/>
      <c r="Q34" s="35"/>
      <c r="R34" s="35"/>
      <c r="S34" s="35"/>
      <c r="T34" s="35"/>
      <c r="U34" s="35"/>
    </row>
    <row r="35">
      <c r="A35" s="35" t="b">
        <v>0</v>
      </c>
      <c r="B35" s="35"/>
      <c r="C35" s="35"/>
      <c r="D35" s="35"/>
      <c r="E35" s="35"/>
      <c r="F35" s="35"/>
      <c r="G35" s="35"/>
      <c r="H35" s="35"/>
      <c r="I35" s="35"/>
      <c r="J35" s="35"/>
      <c r="K35" s="35"/>
      <c r="L35" s="35"/>
      <c r="M35" s="35"/>
      <c r="N35" s="35"/>
      <c r="O35" s="35"/>
      <c r="P35" s="35"/>
      <c r="Q35" s="35"/>
      <c r="R35" s="35"/>
      <c r="S35" s="35"/>
      <c r="T35" s="35"/>
      <c r="U35" s="35"/>
    </row>
    <row r="36">
      <c r="A36" s="35" t="b">
        <v>0</v>
      </c>
      <c r="B36" s="35"/>
      <c r="C36" s="35"/>
      <c r="D36" s="35"/>
      <c r="E36" s="35"/>
      <c r="F36" s="35"/>
      <c r="G36" s="35"/>
      <c r="H36" s="35"/>
      <c r="I36" s="35"/>
      <c r="J36" s="35"/>
      <c r="K36" s="35"/>
      <c r="L36" s="35"/>
      <c r="M36" s="35"/>
      <c r="N36" s="35"/>
      <c r="O36" s="35"/>
      <c r="P36" s="35"/>
      <c r="Q36" s="35"/>
      <c r="R36" s="35"/>
      <c r="S36" s="35"/>
      <c r="T36" s="35"/>
      <c r="U36" s="35"/>
    </row>
    <row r="37">
      <c r="A37" s="35" t="b">
        <v>0</v>
      </c>
      <c r="B37" s="35"/>
      <c r="C37" s="35"/>
      <c r="D37" s="35"/>
      <c r="E37" s="35"/>
      <c r="F37" s="35"/>
      <c r="G37" s="35"/>
      <c r="H37" s="35"/>
      <c r="I37" s="35"/>
      <c r="J37" s="35"/>
      <c r="K37" s="35"/>
      <c r="L37" s="35"/>
      <c r="M37" s="35"/>
      <c r="N37" s="35"/>
      <c r="O37" s="35"/>
      <c r="P37" s="35"/>
      <c r="Q37" s="35"/>
      <c r="R37" s="35"/>
      <c r="S37" s="35"/>
      <c r="T37" s="35"/>
      <c r="U37" s="35"/>
    </row>
    <row r="38">
      <c r="A38" s="35" t="b">
        <v>0</v>
      </c>
      <c r="B38" s="35"/>
      <c r="C38" s="35"/>
      <c r="D38" s="35"/>
      <c r="E38" s="35"/>
      <c r="F38" s="35"/>
      <c r="G38" s="35"/>
      <c r="H38" s="35"/>
      <c r="I38" s="35"/>
      <c r="J38" s="35"/>
      <c r="K38" s="35"/>
      <c r="L38" s="35"/>
      <c r="M38" s="35"/>
      <c r="N38" s="35"/>
      <c r="O38" s="35"/>
      <c r="P38" s="35"/>
      <c r="Q38" s="35"/>
      <c r="R38" s="35"/>
      <c r="S38" s="35"/>
      <c r="T38" s="35"/>
      <c r="U38" s="35"/>
    </row>
    <row r="39">
      <c r="A39" s="35" t="b">
        <v>0</v>
      </c>
      <c r="B39" s="35"/>
      <c r="C39" s="35"/>
      <c r="D39" s="35"/>
      <c r="E39" s="35"/>
      <c r="F39" s="35"/>
      <c r="G39" s="35"/>
      <c r="H39" s="35"/>
      <c r="I39" s="35"/>
      <c r="J39" s="35"/>
      <c r="K39" s="35"/>
      <c r="L39" s="35"/>
      <c r="M39" s="35"/>
      <c r="N39" s="35"/>
      <c r="O39" s="35"/>
      <c r="P39" s="35"/>
      <c r="Q39" s="35"/>
      <c r="R39" s="35"/>
      <c r="S39" s="35"/>
      <c r="T39" s="35"/>
      <c r="U39" s="35"/>
    </row>
    <row r="40">
      <c r="A40" s="35" t="b">
        <v>0</v>
      </c>
      <c r="B40" s="35"/>
      <c r="C40" s="35"/>
      <c r="D40" s="35"/>
      <c r="E40" s="35"/>
      <c r="F40" s="35"/>
      <c r="G40" s="35"/>
      <c r="H40" s="35"/>
      <c r="I40" s="35"/>
      <c r="J40" s="35"/>
      <c r="K40" s="35"/>
      <c r="L40" s="35"/>
      <c r="M40" s="35"/>
      <c r="N40" s="35"/>
      <c r="O40" s="35"/>
      <c r="P40" s="35"/>
      <c r="Q40" s="35"/>
      <c r="R40" s="35"/>
      <c r="S40" s="35"/>
      <c r="T40" s="35"/>
      <c r="U40" s="35"/>
    </row>
    <row r="41">
      <c r="A41" s="35" t="b">
        <v>0</v>
      </c>
      <c r="B41" s="35"/>
      <c r="C41" s="35"/>
      <c r="D41" s="35"/>
      <c r="E41" s="35"/>
      <c r="F41" s="35"/>
      <c r="G41" s="35"/>
      <c r="H41" s="35"/>
      <c r="I41" s="35"/>
      <c r="J41" s="35"/>
      <c r="K41" s="35"/>
      <c r="L41" s="35"/>
      <c r="M41" s="35"/>
      <c r="N41" s="35"/>
      <c r="O41" s="35"/>
      <c r="P41" s="35"/>
      <c r="Q41" s="35"/>
      <c r="R41" s="35"/>
      <c r="S41" s="35"/>
      <c r="T41" s="35"/>
      <c r="U41" s="35"/>
    </row>
    <row r="42">
      <c r="A42" s="35" t="b">
        <v>0</v>
      </c>
      <c r="B42" s="35"/>
      <c r="C42" s="35"/>
      <c r="D42" s="35"/>
      <c r="E42" s="35"/>
      <c r="F42" s="35"/>
      <c r="G42" s="35"/>
      <c r="H42" s="35"/>
      <c r="I42" s="35"/>
      <c r="J42" s="35"/>
      <c r="K42" s="35"/>
      <c r="L42" s="35"/>
      <c r="M42" s="35"/>
      <c r="N42" s="35"/>
      <c r="O42" s="35"/>
      <c r="P42" s="35"/>
      <c r="Q42" s="35"/>
      <c r="R42" s="35"/>
      <c r="S42" s="35"/>
      <c r="T42" s="35"/>
      <c r="U42" s="35"/>
    </row>
    <row r="43">
      <c r="A43" s="35" t="b">
        <v>0</v>
      </c>
      <c r="B43" s="35"/>
      <c r="C43" s="35"/>
      <c r="D43" s="35"/>
      <c r="E43" s="35"/>
      <c r="F43" s="35"/>
      <c r="G43" s="35"/>
      <c r="H43" s="35"/>
      <c r="I43" s="35"/>
      <c r="J43" s="35"/>
      <c r="K43" s="35"/>
      <c r="L43" s="35"/>
      <c r="M43" s="35"/>
      <c r="N43" s="35"/>
      <c r="O43" s="35"/>
      <c r="P43" s="35"/>
      <c r="Q43" s="35"/>
      <c r="R43" s="35"/>
      <c r="S43" s="35"/>
      <c r="T43" s="35"/>
      <c r="U43" s="35"/>
    </row>
    <row r="44">
      <c r="A44" s="35" t="b">
        <v>0</v>
      </c>
      <c r="B44" s="35"/>
      <c r="C44" s="35"/>
      <c r="D44" s="35"/>
      <c r="E44" s="35"/>
      <c r="F44" s="35"/>
      <c r="G44" s="35"/>
      <c r="H44" s="35"/>
      <c r="I44" s="35"/>
      <c r="J44" s="35"/>
      <c r="K44" s="35"/>
      <c r="L44" s="35"/>
      <c r="M44" s="35"/>
      <c r="N44" s="35"/>
      <c r="O44" s="35"/>
      <c r="P44" s="35"/>
      <c r="Q44" s="35"/>
      <c r="R44" s="35"/>
      <c r="S44" s="35"/>
      <c r="T44" s="35"/>
      <c r="U44" s="35"/>
    </row>
    <row r="45">
      <c r="A45" s="35" t="b">
        <v>0</v>
      </c>
      <c r="B45" s="35"/>
      <c r="C45" s="35"/>
      <c r="D45" s="35"/>
      <c r="E45" s="35"/>
      <c r="F45" s="35"/>
      <c r="G45" s="35"/>
      <c r="H45" s="35"/>
      <c r="I45" s="35"/>
      <c r="J45" s="35"/>
      <c r="K45" s="35"/>
      <c r="L45" s="35"/>
      <c r="M45" s="35"/>
      <c r="N45" s="35"/>
      <c r="O45" s="35"/>
      <c r="P45" s="35"/>
      <c r="Q45" s="35"/>
      <c r="R45" s="35"/>
      <c r="S45" s="35"/>
      <c r="T45" s="35"/>
      <c r="U45" s="35"/>
    </row>
    <row r="46">
      <c r="A46" s="35" t="b">
        <v>0</v>
      </c>
      <c r="B46" s="35"/>
      <c r="C46" s="35"/>
      <c r="D46" s="35"/>
      <c r="E46" s="35"/>
      <c r="F46" s="35"/>
      <c r="G46" s="35"/>
      <c r="H46" s="35"/>
      <c r="I46" s="35"/>
      <c r="J46" s="35"/>
      <c r="K46" s="35"/>
      <c r="L46" s="35"/>
      <c r="M46" s="35"/>
      <c r="N46" s="35"/>
      <c r="O46" s="35"/>
      <c r="P46" s="35"/>
      <c r="Q46" s="35"/>
      <c r="R46" s="35"/>
      <c r="S46" s="35"/>
      <c r="T46" s="35"/>
      <c r="U46" s="35"/>
    </row>
    <row r="47">
      <c r="A47" s="35" t="b">
        <v>0</v>
      </c>
      <c r="B47" s="35"/>
      <c r="C47" s="35"/>
      <c r="D47" s="35"/>
      <c r="E47" s="35"/>
      <c r="F47" s="35"/>
      <c r="G47" s="35"/>
      <c r="H47" s="35"/>
      <c r="I47" s="35"/>
      <c r="J47" s="35"/>
      <c r="K47" s="35"/>
      <c r="L47" s="35"/>
      <c r="M47" s="35"/>
      <c r="N47" s="35"/>
      <c r="O47" s="35"/>
      <c r="P47" s="35"/>
      <c r="Q47" s="35"/>
      <c r="R47" s="35"/>
      <c r="S47" s="35"/>
      <c r="T47" s="35"/>
      <c r="U47" s="35"/>
    </row>
    <row r="48">
      <c r="A48" s="35" t="b">
        <v>0</v>
      </c>
      <c r="B48" s="35"/>
      <c r="C48" s="35"/>
      <c r="D48" s="35"/>
      <c r="E48" s="35"/>
      <c r="F48" s="35"/>
      <c r="G48" s="35"/>
      <c r="H48" s="35"/>
      <c r="I48" s="35"/>
      <c r="J48" s="35"/>
      <c r="K48" s="35"/>
      <c r="L48" s="35"/>
      <c r="M48" s="35"/>
      <c r="N48" s="35"/>
      <c r="O48" s="35"/>
      <c r="P48" s="35"/>
      <c r="Q48" s="35"/>
      <c r="R48" s="35"/>
      <c r="S48" s="35"/>
      <c r="T48" s="35"/>
      <c r="U48" s="35"/>
    </row>
    <row r="49">
      <c r="A49" s="35" t="b">
        <v>0</v>
      </c>
      <c r="B49" s="35"/>
      <c r="C49" s="35"/>
      <c r="D49" s="35"/>
      <c r="E49" s="35"/>
      <c r="F49" s="35"/>
      <c r="G49" s="35"/>
      <c r="H49" s="35"/>
      <c r="I49" s="35"/>
      <c r="J49" s="35"/>
      <c r="K49" s="35"/>
      <c r="L49" s="35"/>
      <c r="M49" s="35"/>
      <c r="N49" s="35"/>
      <c r="O49" s="35"/>
      <c r="P49" s="35"/>
      <c r="Q49" s="35"/>
      <c r="R49" s="35"/>
      <c r="S49" s="35"/>
      <c r="T49" s="35"/>
      <c r="U49" s="35"/>
    </row>
    <row r="50">
      <c r="A50" s="35" t="b">
        <v>0</v>
      </c>
      <c r="B50" s="35"/>
      <c r="C50" s="35"/>
      <c r="D50" s="35"/>
      <c r="E50" s="35"/>
      <c r="F50" s="35"/>
      <c r="G50" s="35"/>
      <c r="H50" s="35"/>
      <c r="I50" s="35"/>
      <c r="J50" s="35"/>
      <c r="K50" s="35"/>
      <c r="L50" s="35"/>
      <c r="M50" s="35"/>
      <c r="N50" s="35"/>
      <c r="O50" s="35"/>
      <c r="P50" s="35"/>
      <c r="Q50" s="35"/>
      <c r="R50" s="35"/>
      <c r="S50" s="35"/>
      <c r="T50" s="35"/>
      <c r="U50" s="35"/>
    </row>
    <row r="51">
      <c r="A51" s="35" t="b">
        <v>0</v>
      </c>
      <c r="B51" s="35"/>
      <c r="C51" s="35"/>
      <c r="D51" s="35"/>
      <c r="E51" s="35"/>
      <c r="F51" s="35"/>
      <c r="G51" s="35"/>
      <c r="H51" s="35"/>
      <c r="I51" s="35"/>
      <c r="J51" s="35"/>
      <c r="K51" s="35"/>
      <c r="L51" s="35"/>
      <c r="M51" s="35"/>
      <c r="N51" s="35"/>
      <c r="O51" s="35"/>
      <c r="P51" s="35"/>
      <c r="Q51" s="35"/>
      <c r="R51" s="35"/>
      <c r="S51" s="35"/>
      <c r="T51" s="35"/>
      <c r="U51" s="35"/>
    </row>
    <row r="52">
      <c r="A52" s="35" t="b">
        <v>0</v>
      </c>
      <c r="B52" s="35"/>
      <c r="C52" s="35"/>
      <c r="D52" s="35"/>
      <c r="E52" s="35"/>
      <c r="F52" s="35"/>
      <c r="G52" s="35"/>
      <c r="H52" s="35"/>
      <c r="I52" s="35"/>
      <c r="J52" s="35"/>
      <c r="K52" s="35"/>
      <c r="L52" s="35"/>
      <c r="M52" s="35"/>
      <c r="N52" s="35"/>
      <c r="O52" s="35"/>
      <c r="P52" s="35"/>
      <c r="Q52" s="35"/>
      <c r="R52" s="35"/>
      <c r="S52" s="35"/>
      <c r="T52" s="35"/>
      <c r="U52" s="35"/>
    </row>
    <row r="53">
      <c r="A53" s="35" t="b">
        <v>0</v>
      </c>
      <c r="B53" s="35"/>
      <c r="C53" s="35"/>
      <c r="D53" s="35"/>
      <c r="E53" s="35"/>
      <c r="F53" s="35"/>
      <c r="G53" s="35"/>
      <c r="H53" s="35"/>
      <c r="I53" s="35"/>
      <c r="J53" s="35"/>
      <c r="K53" s="35"/>
      <c r="L53" s="35"/>
      <c r="M53" s="35"/>
      <c r="N53" s="35"/>
      <c r="O53" s="35"/>
      <c r="P53" s="35"/>
      <c r="Q53" s="35"/>
      <c r="R53" s="35"/>
      <c r="S53" s="35"/>
      <c r="T53" s="35"/>
      <c r="U53" s="35"/>
    </row>
    <row r="54">
      <c r="A54" s="35" t="b">
        <v>0</v>
      </c>
      <c r="B54" s="35"/>
      <c r="C54" s="35"/>
      <c r="D54" s="35"/>
      <c r="E54" s="35"/>
      <c r="F54" s="35"/>
      <c r="G54" s="35"/>
      <c r="H54" s="35"/>
      <c r="I54" s="35"/>
      <c r="J54" s="35"/>
      <c r="K54" s="35"/>
      <c r="L54" s="35"/>
      <c r="M54" s="35"/>
      <c r="N54" s="35"/>
      <c r="O54" s="35"/>
      <c r="P54" s="35"/>
      <c r="Q54" s="35"/>
      <c r="R54" s="35"/>
      <c r="S54" s="35"/>
      <c r="T54" s="35"/>
      <c r="U54" s="35"/>
    </row>
    <row r="55">
      <c r="A55" s="35" t="b">
        <v>0</v>
      </c>
      <c r="B55" s="35"/>
      <c r="C55" s="35"/>
      <c r="D55" s="35"/>
      <c r="E55" s="35"/>
      <c r="F55" s="35"/>
      <c r="G55" s="35"/>
      <c r="H55" s="35"/>
      <c r="I55" s="35"/>
      <c r="J55" s="35"/>
      <c r="K55" s="35"/>
      <c r="L55" s="35"/>
      <c r="M55" s="35"/>
      <c r="N55" s="35"/>
      <c r="O55" s="35"/>
      <c r="P55" s="35"/>
      <c r="Q55" s="35"/>
      <c r="R55" s="35"/>
      <c r="S55" s="35"/>
      <c r="T55" s="35"/>
      <c r="U55" s="35"/>
    </row>
    <row r="56">
      <c r="A56" s="35" t="b">
        <v>0</v>
      </c>
      <c r="B56" s="35"/>
      <c r="C56" s="35"/>
      <c r="D56" s="35"/>
      <c r="E56" s="35"/>
      <c r="F56" s="35"/>
      <c r="G56" s="35"/>
      <c r="H56" s="35"/>
      <c r="I56" s="35"/>
      <c r="J56" s="35"/>
      <c r="K56" s="35"/>
      <c r="L56" s="35"/>
      <c r="M56" s="35"/>
      <c r="N56" s="35"/>
      <c r="O56" s="35"/>
      <c r="P56" s="35"/>
      <c r="Q56" s="35"/>
      <c r="R56" s="35"/>
      <c r="S56" s="35"/>
      <c r="T56" s="35"/>
      <c r="U56" s="35"/>
    </row>
    <row r="57">
      <c r="A57" s="35" t="b">
        <v>0</v>
      </c>
      <c r="B57" s="35"/>
      <c r="C57" s="35"/>
      <c r="D57" s="35"/>
      <c r="E57" s="35"/>
      <c r="F57" s="35"/>
      <c r="G57" s="35"/>
      <c r="H57" s="35"/>
      <c r="I57" s="35"/>
      <c r="J57" s="35"/>
      <c r="K57" s="35"/>
      <c r="L57" s="35"/>
      <c r="M57" s="35"/>
      <c r="N57" s="35"/>
      <c r="O57" s="35"/>
      <c r="P57" s="35"/>
      <c r="Q57" s="35"/>
      <c r="R57" s="35"/>
      <c r="S57" s="35"/>
      <c r="T57" s="35"/>
      <c r="U57" s="35"/>
    </row>
    <row r="58">
      <c r="A58" s="35" t="b">
        <v>0</v>
      </c>
      <c r="B58" s="35"/>
      <c r="C58" s="35"/>
      <c r="D58" s="35"/>
      <c r="E58" s="35"/>
      <c r="F58" s="35"/>
      <c r="G58" s="35"/>
      <c r="H58" s="35"/>
      <c r="I58" s="35"/>
      <c r="J58" s="35"/>
      <c r="K58" s="35"/>
      <c r="L58" s="35"/>
      <c r="M58" s="35"/>
      <c r="N58" s="35"/>
      <c r="O58" s="35"/>
      <c r="P58" s="35"/>
      <c r="Q58" s="35"/>
      <c r="R58" s="35"/>
      <c r="S58" s="35"/>
      <c r="T58" s="35"/>
      <c r="U58" s="35"/>
    </row>
    <row r="59">
      <c r="A59" s="35" t="b">
        <v>0</v>
      </c>
      <c r="B59" s="35"/>
      <c r="C59" s="35"/>
      <c r="D59" s="35"/>
      <c r="E59" s="35"/>
      <c r="F59" s="35"/>
      <c r="G59" s="35"/>
      <c r="H59" s="35"/>
      <c r="I59" s="35"/>
      <c r="J59" s="35"/>
      <c r="K59" s="35"/>
      <c r="L59" s="35"/>
      <c r="M59" s="35"/>
      <c r="N59" s="35"/>
      <c r="O59" s="35"/>
      <c r="P59" s="35"/>
      <c r="Q59" s="35"/>
      <c r="R59" s="35"/>
      <c r="S59" s="35"/>
      <c r="T59" s="35"/>
      <c r="U59" s="35"/>
    </row>
    <row r="60">
      <c r="A60" s="35" t="b">
        <v>0</v>
      </c>
      <c r="B60" s="35"/>
      <c r="C60" s="35"/>
      <c r="D60" s="35"/>
      <c r="E60" s="35"/>
      <c r="F60" s="35"/>
      <c r="G60" s="35"/>
      <c r="H60" s="35"/>
      <c r="I60" s="35"/>
      <c r="J60" s="35"/>
      <c r="K60" s="35"/>
      <c r="L60" s="35"/>
      <c r="M60" s="35"/>
      <c r="N60" s="35"/>
      <c r="O60" s="35"/>
      <c r="P60" s="35"/>
      <c r="Q60" s="35"/>
      <c r="R60" s="35"/>
      <c r="S60" s="35"/>
      <c r="T60" s="35"/>
      <c r="U60" s="35"/>
    </row>
    <row r="61">
      <c r="A61" s="35" t="b">
        <v>0</v>
      </c>
      <c r="B61" s="35"/>
      <c r="C61" s="35"/>
      <c r="D61" s="35"/>
      <c r="E61" s="35"/>
      <c r="F61" s="35"/>
      <c r="G61" s="35"/>
      <c r="H61" s="35"/>
      <c r="I61" s="35"/>
      <c r="J61" s="35"/>
      <c r="K61" s="35"/>
      <c r="L61" s="35"/>
      <c r="M61" s="35"/>
      <c r="N61" s="35"/>
      <c r="O61" s="35"/>
      <c r="P61" s="35"/>
      <c r="Q61" s="35"/>
      <c r="R61" s="35"/>
      <c r="S61" s="35"/>
      <c r="T61" s="35"/>
      <c r="U61" s="35"/>
    </row>
    <row r="62">
      <c r="A62" s="35" t="b">
        <v>0</v>
      </c>
      <c r="B62" s="35"/>
      <c r="C62" s="35"/>
      <c r="D62" s="35"/>
      <c r="E62" s="35"/>
      <c r="F62" s="35"/>
      <c r="G62" s="35"/>
      <c r="H62" s="35"/>
      <c r="I62" s="35"/>
      <c r="J62" s="35"/>
      <c r="K62" s="35"/>
      <c r="L62" s="35"/>
      <c r="M62" s="35"/>
      <c r="N62" s="35"/>
      <c r="O62" s="35"/>
      <c r="P62" s="35"/>
      <c r="Q62" s="35"/>
      <c r="R62" s="35"/>
      <c r="S62" s="35"/>
      <c r="T62" s="35"/>
      <c r="U62" s="35"/>
    </row>
    <row r="63">
      <c r="A63" s="35" t="b">
        <v>0</v>
      </c>
      <c r="B63" s="35"/>
      <c r="C63" s="35"/>
      <c r="D63" s="35"/>
      <c r="E63" s="35"/>
      <c r="F63" s="35"/>
      <c r="G63" s="35"/>
      <c r="H63" s="35"/>
      <c r="I63" s="35"/>
      <c r="J63" s="35"/>
      <c r="K63" s="35"/>
      <c r="L63" s="35"/>
      <c r="M63" s="35"/>
      <c r="N63" s="35"/>
      <c r="O63" s="35"/>
      <c r="P63" s="35"/>
      <c r="Q63" s="35"/>
      <c r="R63" s="35"/>
      <c r="S63" s="35"/>
      <c r="T63" s="35"/>
      <c r="U63" s="35"/>
    </row>
    <row r="64">
      <c r="A64" s="35" t="b">
        <v>0</v>
      </c>
      <c r="B64" s="35"/>
      <c r="C64" s="35"/>
      <c r="D64" s="35"/>
      <c r="E64" s="35"/>
      <c r="F64" s="35"/>
      <c r="G64" s="35"/>
      <c r="H64" s="35"/>
      <c r="I64" s="35"/>
      <c r="J64" s="35"/>
      <c r="K64" s="35"/>
      <c r="L64" s="35"/>
      <c r="M64" s="35"/>
      <c r="N64" s="35"/>
      <c r="O64" s="35"/>
      <c r="P64" s="35"/>
      <c r="Q64" s="35"/>
      <c r="R64" s="35"/>
      <c r="S64" s="35"/>
      <c r="T64" s="35"/>
      <c r="U64" s="35"/>
    </row>
    <row r="65">
      <c r="A65" s="35" t="b">
        <v>0</v>
      </c>
      <c r="B65" s="35"/>
      <c r="C65" s="35"/>
      <c r="D65" s="35"/>
      <c r="E65" s="35"/>
      <c r="F65" s="35"/>
      <c r="G65" s="35"/>
      <c r="H65" s="35"/>
      <c r="I65" s="35"/>
      <c r="J65" s="35"/>
      <c r="K65" s="35"/>
      <c r="L65" s="35"/>
      <c r="M65" s="35"/>
      <c r="N65" s="35"/>
      <c r="O65" s="35"/>
      <c r="P65" s="35"/>
      <c r="Q65" s="35"/>
      <c r="R65" s="35"/>
      <c r="S65" s="35"/>
      <c r="T65" s="35"/>
      <c r="U65" s="35"/>
    </row>
    <row r="66">
      <c r="A66" s="35" t="b">
        <v>0</v>
      </c>
      <c r="B66" s="35"/>
      <c r="C66" s="35"/>
      <c r="D66" s="35"/>
      <c r="E66" s="35"/>
      <c r="F66" s="35"/>
      <c r="G66" s="35"/>
      <c r="H66" s="35"/>
      <c r="I66" s="35"/>
      <c r="J66" s="35"/>
      <c r="K66" s="35"/>
      <c r="L66" s="35"/>
      <c r="M66" s="35"/>
      <c r="N66" s="35"/>
      <c r="O66" s="35"/>
      <c r="P66" s="35"/>
      <c r="Q66" s="35"/>
      <c r="R66" s="35"/>
      <c r="S66" s="35"/>
      <c r="T66" s="35"/>
      <c r="U66" s="35"/>
    </row>
    <row r="67">
      <c r="A67" s="35" t="b">
        <v>0</v>
      </c>
      <c r="B67" s="35"/>
      <c r="C67" s="35"/>
      <c r="D67" s="35"/>
      <c r="E67" s="35"/>
      <c r="F67" s="35"/>
      <c r="G67" s="35"/>
      <c r="H67" s="35"/>
      <c r="I67" s="35"/>
      <c r="J67" s="35"/>
      <c r="K67" s="35"/>
      <c r="L67" s="35"/>
      <c r="M67" s="35"/>
      <c r="N67" s="35"/>
      <c r="O67" s="35"/>
      <c r="P67" s="35"/>
      <c r="Q67" s="35"/>
      <c r="R67" s="35"/>
      <c r="S67" s="35"/>
      <c r="T67" s="35"/>
      <c r="U67" s="35"/>
    </row>
    <row r="68">
      <c r="A68" s="35" t="b">
        <v>0</v>
      </c>
      <c r="B68" s="35"/>
      <c r="C68" s="35"/>
      <c r="D68" s="35"/>
      <c r="E68" s="35"/>
      <c r="F68" s="35"/>
      <c r="G68" s="35"/>
      <c r="H68" s="35"/>
      <c r="I68" s="35"/>
      <c r="J68" s="35"/>
      <c r="K68" s="35"/>
      <c r="L68" s="35"/>
      <c r="M68" s="35"/>
      <c r="N68" s="35"/>
      <c r="O68" s="35"/>
      <c r="P68" s="35"/>
      <c r="Q68" s="35"/>
      <c r="R68" s="35"/>
      <c r="S68" s="35"/>
      <c r="T68" s="35"/>
      <c r="U68" s="35"/>
    </row>
    <row r="69">
      <c r="A69" s="35" t="b">
        <v>0</v>
      </c>
      <c r="B69" s="35"/>
      <c r="C69" s="35"/>
      <c r="D69" s="35"/>
      <c r="E69" s="35"/>
      <c r="F69" s="35"/>
      <c r="G69" s="35"/>
      <c r="H69" s="35"/>
      <c r="I69" s="35"/>
      <c r="J69" s="35"/>
      <c r="K69" s="35"/>
      <c r="L69" s="35"/>
      <c r="M69" s="35"/>
      <c r="N69" s="35"/>
      <c r="O69" s="35"/>
      <c r="P69" s="35"/>
      <c r="Q69" s="35"/>
      <c r="R69" s="35"/>
      <c r="S69" s="35"/>
      <c r="T69" s="35"/>
      <c r="U69" s="35"/>
    </row>
    <row r="70">
      <c r="A70" s="35" t="b">
        <v>0</v>
      </c>
      <c r="B70" s="35"/>
      <c r="C70" s="35"/>
      <c r="D70" s="35"/>
      <c r="E70" s="35"/>
      <c r="F70" s="35"/>
      <c r="G70" s="35"/>
      <c r="H70" s="35"/>
      <c r="I70" s="35"/>
      <c r="J70" s="35"/>
      <c r="K70" s="35"/>
      <c r="L70" s="35"/>
      <c r="M70" s="35"/>
      <c r="N70" s="35"/>
      <c r="O70" s="35"/>
      <c r="P70" s="35"/>
      <c r="Q70" s="35"/>
      <c r="R70" s="35"/>
      <c r="S70" s="35"/>
      <c r="T70" s="35"/>
      <c r="U70" s="35"/>
    </row>
    <row r="71">
      <c r="A71" s="35" t="b">
        <v>0</v>
      </c>
      <c r="B71" s="35"/>
      <c r="C71" s="35"/>
      <c r="D71" s="35"/>
      <c r="E71" s="35"/>
      <c r="F71" s="35"/>
      <c r="G71" s="35"/>
      <c r="H71" s="35"/>
      <c r="I71" s="35"/>
      <c r="J71" s="35"/>
      <c r="K71" s="35"/>
      <c r="L71" s="35"/>
      <c r="M71" s="35"/>
      <c r="N71" s="35"/>
      <c r="O71" s="35"/>
      <c r="P71" s="35"/>
      <c r="Q71" s="35"/>
      <c r="R71" s="35"/>
      <c r="S71" s="35"/>
      <c r="T71" s="35"/>
      <c r="U71" s="35"/>
    </row>
    <row r="72">
      <c r="A72" s="35" t="b">
        <v>0</v>
      </c>
      <c r="B72" s="35"/>
      <c r="C72" s="35"/>
      <c r="D72" s="35"/>
      <c r="E72" s="35"/>
      <c r="F72" s="35"/>
      <c r="G72" s="35"/>
      <c r="H72" s="35"/>
      <c r="I72" s="35"/>
      <c r="J72" s="35"/>
      <c r="K72" s="35"/>
      <c r="L72" s="35"/>
      <c r="M72" s="35"/>
      <c r="N72" s="35"/>
      <c r="O72" s="35"/>
      <c r="P72" s="35"/>
      <c r="Q72" s="35"/>
      <c r="R72" s="35"/>
      <c r="S72" s="35"/>
      <c r="T72" s="35"/>
      <c r="U72" s="35"/>
    </row>
    <row r="73">
      <c r="A73" s="35" t="b">
        <v>0</v>
      </c>
      <c r="B73" s="35"/>
      <c r="C73" s="35"/>
      <c r="D73" s="35"/>
      <c r="E73" s="35"/>
      <c r="F73" s="35"/>
      <c r="G73" s="35"/>
      <c r="H73" s="35"/>
      <c r="I73" s="35"/>
      <c r="J73" s="35"/>
      <c r="K73" s="35"/>
      <c r="L73" s="35"/>
      <c r="M73" s="35"/>
      <c r="N73" s="35"/>
      <c r="O73" s="35"/>
      <c r="P73" s="35"/>
      <c r="Q73" s="35"/>
      <c r="R73" s="35"/>
      <c r="S73" s="35"/>
      <c r="T73" s="35"/>
      <c r="U73" s="35"/>
    </row>
    <row r="74">
      <c r="A74" s="35" t="b">
        <v>0</v>
      </c>
      <c r="B74" s="35"/>
      <c r="C74" s="35"/>
      <c r="D74" s="35"/>
      <c r="E74" s="35"/>
      <c r="F74" s="35"/>
      <c r="G74" s="35"/>
      <c r="H74" s="35"/>
      <c r="I74" s="35"/>
      <c r="J74" s="35"/>
      <c r="K74" s="35"/>
      <c r="L74" s="35"/>
      <c r="M74" s="35"/>
      <c r="N74" s="35"/>
      <c r="O74" s="35"/>
      <c r="P74" s="35"/>
      <c r="Q74" s="35"/>
      <c r="R74" s="35"/>
      <c r="S74" s="35"/>
      <c r="T74" s="35"/>
      <c r="U74" s="35"/>
    </row>
    <row r="75">
      <c r="A75" s="35" t="b">
        <v>0</v>
      </c>
      <c r="B75" s="35"/>
      <c r="C75" s="35"/>
      <c r="D75" s="35"/>
      <c r="E75" s="35"/>
      <c r="F75" s="35"/>
      <c r="G75" s="35"/>
      <c r="H75" s="35"/>
      <c r="I75" s="35"/>
      <c r="J75" s="35"/>
      <c r="K75" s="35"/>
      <c r="L75" s="35"/>
      <c r="M75" s="35"/>
      <c r="N75" s="35"/>
      <c r="O75" s="35"/>
      <c r="P75" s="35"/>
      <c r="Q75" s="35"/>
      <c r="R75" s="35"/>
      <c r="S75" s="35"/>
      <c r="T75" s="35"/>
      <c r="U75" s="35"/>
    </row>
    <row r="76">
      <c r="A76" s="35" t="b">
        <v>0</v>
      </c>
      <c r="B76" s="35"/>
      <c r="C76" s="35"/>
      <c r="D76" s="35"/>
      <c r="E76" s="35"/>
      <c r="F76" s="35"/>
      <c r="G76" s="35"/>
      <c r="H76" s="35"/>
      <c r="I76" s="35"/>
      <c r="J76" s="35"/>
      <c r="K76" s="35"/>
      <c r="L76" s="35"/>
      <c r="M76" s="35"/>
      <c r="N76" s="35"/>
      <c r="O76" s="35"/>
      <c r="P76" s="35"/>
      <c r="Q76" s="35"/>
      <c r="R76" s="35"/>
      <c r="S76" s="35"/>
      <c r="T76" s="35"/>
      <c r="U76" s="35"/>
    </row>
    <row r="77">
      <c r="A77" s="35" t="b">
        <v>0</v>
      </c>
      <c r="B77" s="35"/>
      <c r="C77" s="35"/>
      <c r="D77" s="35"/>
      <c r="E77" s="35"/>
      <c r="F77" s="35"/>
      <c r="G77" s="35"/>
      <c r="H77" s="35"/>
      <c r="I77" s="35"/>
      <c r="J77" s="35"/>
      <c r="K77" s="35"/>
      <c r="L77" s="35"/>
      <c r="M77" s="35"/>
      <c r="N77" s="35"/>
      <c r="O77" s="35"/>
      <c r="P77" s="35"/>
      <c r="Q77" s="35"/>
      <c r="R77" s="35"/>
      <c r="S77" s="35"/>
      <c r="T77" s="35"/>
      <c r="U77" s="35"/>
    </row>
    <row r="78">
      <c r="A78" s="35" t="b">
        <v>0</v>
      </c>
      <c r="B78" s="35"/>
      <c r="C78" s="35"/>
      <c r="D78" s="35"/>
      <c r="E78" s="35"/>
      <c r="F78" s="35"/>
      <c r="G78" s="35"/>
      <c r="H78" s="35"/>
      <c r="I78" s="35"/>
      <c r="J78" s="35"/>
      <c r="K78" s="35"/>
      <c r="L78" s="35"/>
      <c r="M78" s="35"/>
      <c r="N78" s="35"/>
      <c r="O78" s="35"/>
      <c r="P78" s="35"/>
      <c r="Q78" s="35"/>
      <c r="R78" s="35"/>
      <c r="S78" s="35"/>
      <c r="T78" s="35"/>
      <c r="U78" s="35"/>
    </row>
    <row r="79">
      <c r="A79" s="35" t="b">
        <v>0</v>
      </c>
      <c r="B79" s="35"/>
      <c r="C79" s="35"/>
      <c r="D79" s="35"/>
      <c r="E79" s="35"/>
      <c r="F79" s="35"/>
      <c r="G79" s="35"/>
      <c r="H79" s="35"/>
      <c r="I79" s="35"/>
      <c r="J79" s="35"/>
      <c r="K79" s="35"/>
      <c r="L79" s="35"/>
      <c r="M79" s="35"/>
      <c r="N79" s="35"/>
      <c r="O79" s="35"/>
      <c r="P79" s="35"/>
      <c r="Q79" s="35"/>
      <c r="R79" s="35"/>
      <c r="S79" s="35"/>
      <c r="T79" s="35"/>
      <c r="U79" s="35"/>
    </row>
    <row r="80">
      <c r="A80" s="35" t="b">
        <v>0</v>
      </c>
      <c r="B80" s="35"/>
      <c r="C80" s="35"/>
      <c r="D80" s="35"/>
      <c r="E80" s="35"/>
      <c r="F80" s="35"/>
      <c r="G80" s="35"/>
      <c r="H80" s="35"/>
      <c r="I80" s="35"/>
      <c r="J80" s="35"/>
      <c r="K80" s="35"/>
      <c r="L80" s="35"/>
      <c r="M80" s="35"/>
      <c r="N80" s="35"/>
      <c r="O80" s="35"/>
      <c r="P80" s="35"/>
      <c r="Q80" s="35"/>
      <c r="R80" s="35"/>
      <c r="S80" s="35"/>
      <c r="T80" s="35"/>
      <c r="U80" s="35"/>
    </row>
    <row r="81">
      <c r="A81" s="35" t="b">
        <v>0</v>
      </c>
      <c r="B81" s="35"/>
      <c r="C81" s="35"/>
      <c r="D81" s="35"/>
      <c r="E81" s="35"/>
      <c r="F81" s="35"/>
      <c r="G81" s="35"/>
      <c r="H81" s="35"/>
      <c r="I81" s="35"/>
      <c r="J81" s="35"/>
      <c r="K81" s="35"/>
      <c r="L81" s="35"/>
      <c r="M81" s="35"/>
      <c r="N81" s="35"/>
      <c r="O81" s="35"/>
      <c r="P81" s="35"/>
      <c r="Q81" s="35"/>
      <c r="R81" s="35"/>
      <c r="S81" s="35"/>
      <c r="T81" s="35"/>
      <c r="U81" s="35"/>
    </row>
    <row r="82">
      <c r="A82" s="35" t="b">
        <v>0</v>
      </c>
      <c r="B82" s="35"/>
      <c r="C82" s="35"/>
      <c r="D82" s="35"/>
      <c r="E82" s="35"/>
      <c r="F82" s="35"/>
      <c r="G82" s="35"/>
      <c r="H82" s="35"/>
      <c r="I82" s="35"/>
      <c r="J82" s="35"/>
      <c r="K82" s="35"/>
      <c r="L82" s="35"/>
      <c r="M82" s="35"/>
      <c r="N82" s="35"/>
      <c r="O82" s="35"/>
      <c r="P82" s="35"/>
      <c r="Q82" s="35"/>
      <c r="R82" s="35"/>
      <c r="S82" s="35"/>
      <c r="T82" s="35"/>
      <c r="U82" s="35"/>
    </row>
    <row r="83">
      <c r="A83" s="35" t="b">
        <v>0</v>
      </c>
      <c r="B83" s="35"/>
      <c r="C83" s="35"/>
      <c r="D83" s="35"/>
      <c r="E83" s="35"/>
      <c r="F83" s="35"/>
      <c r="G83" s="35"/>
      <c r="H83" s="35"/>
      <c r="I83" s="35"/>
      <c r="J83" s="35"/>
      <c r="K83" s="35"/>
      <c r="L83" s="35"/>
      <c r="M83" s="35"/>
      <c r="N83" s="35"/>
      <c r="O83" s="35"/>
      <c r="P83" s="35"/>
      <c r="Q83" s="35"/>
      <c r="R83" s="35"/>
      <c r="S83" s="35"/>
      <c r="T83" s="35"/>
      <c r="U83" s="35"/>
    </row>
    <row r="84">
      <c r="A84" s="35" t="b">
        <v>0</v>
      </c>
      <c r="B84" s="35"/>
      <c r="C84" s="35"/>
      <c r="D84" s="35"/>
      <c r="E84" s="35"/>
      <c r="F84" s="35"/>
      <c r="G84" s="35"/>
      <c r="H84" s="35"/>
      <c r="I84" s="35"/>
      <c r="J84" s="35"/>
      <c r="K84" s="35"/>
      <c r="L84" s="35"/>
      <c r="M84" s="35"/>
      <c r="N84" s="35"/>
      <c r="O84" s="35"/>
      <c r="P84" s="35"/>
      <c r="Q84" s="35"/>
      <c r="R84" s="35"/>
      <c r="S84" s="35"/>
      <c r="T84" s="35"/>
      <c r="U84" s="35"/>
    </row>
    <row r="85">
      <c r="A85" s="35" t="b">
        <v>0</v>
      </c>
      <c r="B85" s="35"/>
      <c r="C85" s="35"/>
      <c r="D85" s="35"/>
      <c r="E85" s="35"/>
      <c r="F85" s="35"/>
      <c r="G85" s="35"/>
      <c r="H85" s="35"/>
      <c r="I85" s="35"/>
      <c r="J85" s="35"/>
      <c r="K85" s="35"/>
      <c r="L85" s="35"/>
      <c r="M85" s="35"/>
      <c r="N85" s="35"/>
      <c r="O85" s="35"/>
      <c r="P85" s="35"/>
      <c r="Q85" s="35"/>
      <c r="R85" s="35"/>
      <c r="S85" s="35"/>
      <c r="T85" s="35"/>
      <c r="U85" s="35"/>
    </row>
    <row r="86">
      <c r="A86" s="35" t="b">
        <v>0</v>
      </c>
      <c r="B86" s="35"/>
      <c r="C86" s="35"/>
      <c r="D86" s="35"/>
      <c r="E86" s="35"/>
      <c r="F86" s="35"/>
      <c r="G86" s="35"/>
      <c r="H86" s="35"/>
      <c r="I86" s="35"/>
      <c r="J86" s="35"/>
      <c r="K86" s="35"/>
      <c r="L86" s="35"/>
      <c r="M86" s="35"/>
      <c r="N86" s="35"/>
      <c r="O86" s="35"/>
      <c r="P86" s="35"/>
      <c r="Q86" s="35"/>
      <c r="R86" s="35"/>
      <c r="S86" s="35"/>
      <c r="T86" s="35"/>
      <c r="U86" s="35"/>
    </row>
    <row r="87">
      <c r="A87" s="35" t="b">
        <v>0</v>
      </c>
      <c r="B87" s="35"/>
      <c r="C87" s="35"/>
      <c r="D87" s="35"/>
      <c r="E87" s="35"/>
      <c r="F87" s="35"/>
      <c r="G87" s="35"/>
      <c r="H87" s="35"/>
      <c r="I87" s="35"/>
      <c r="J87" s="35"/>
      <c r="K87" s="35"/>
      <c r="L87" s="35"/>
      <c r="M87" s="35"/>
      <c r="N87" s="35"/>
      <c r="O87" s="35"/>
      <c r="P87" s="35"/>
      <c r="Q87" s="35"/>
      <c r="R87" s="35"/>
      <c r="S87" s="35"/>
      <c r="T87" s="35"/>
      <c r="U87" s="35"/>
    </row>
    <row r="88">
      <c r="A88" s="35" t="b">
        <v>0</v>
      </c>
      <c r="B88" s="35"/>
      <c r="C88" s="35"/>
      <c r="D88" s="35"/>
      <c r="E88" s="35"/>
      <c r="F88" s="35"/>
      <c r="G88" s="35"/>
      <c r="H88" s="35"/>
      <c r="I88" s="35"/>
      <c r="J88" s="35"/>
      <c r="K88" s="35"/>
      <c r="L88" s="35"/>
      <c r="M88" s="35"/>
      <c r="N88" s="35"/>
      <c r="O88" s="35"/>
      <c r="P88" s="35"/>
      <c r="Q88" s="35"/>
      <c r="R88" s="35"/>
      <c r="S88" s="35"/>
      <c r="T88" s="35"/>
      <c r="U88" s="35"/>
    </row>
    <row r="89">
      <c r="A89" s="35" t="b">
        <v>0</v>
      </c>
      <c r="B89" s="35"/>
      <c r="C89" s="35"/>
      <c r="D89" s="35"/>
      <c r="E89" s="35"/>
      <c r="F89" s="35"/>
      <c r="G89" s="35"/>
      <c r="H89" s="35"/>
      <c r="I89" s="35"/>
      <c r="J89" s="35"/>
      <c r="K89" s="35"/>
      <c r="L89" s="35"/>
      <c r="M89" s="35"/>
      <c r="N89" s="35"/>
      <c r="O89" s="35"/>
      <c r="P89" s="35"/>
      <c r="Q89" s="35"/>
      <c r="R89" s="35"/>
      <c r="S89" s="35"/>
      <c r="T89" s="35"/>
      <c r="U89" s="35"/>
    </row>
    <row r="90">
      <c r="A90" s="35" t="b">
        <v>0</v>
      </c>
      <c r="B90" s="35"/>
      <c r="C90" s="35"/>
      <c r="D90" s="35"/>
      <c r="E90" s="35"/>
      <c r="F90" s="35"/>
      <c r="G90" s="35"/>
      <c r="H90" s="35"/>
      <c r="I90" s="35"/>
      <c r="J90" s="35"/>
      <c r="K90" s="35"/>
      <c r="L90" s="35"/>
      <c r="M90" s="35"/>
      <c r="N90" s="35"/>
      <c r="O90" s="35"/>
      <c r="P90" s="35"/>
      <c r="Q90" s="35"/>
      <c r="R90" s="35"/>
      <c r="S90" s="35"/>
      <c r="T90" s="35"/>
      <c r="U90" s="35"/>
    </row>
    <row r="91">
      <c r="A91" s="35" t="b">
        <v>0</v>
      </c>
      <c r="B91" s="35"/>
      <c r="C91" s="35"/>
      <c r="D91" s="35"/>
      <c r="E91" s="35"/>
      <c r="F91" s="35"/>
      <c r="G91" s="35"/>
      <c r="H91" s="35"/>
      <c r="I91" s="35"/>
      <c r="J91" s="35"/>
      <c r="K91" s="35"/>
      <c r="L91" s="35"/>
      <c r="M91" s="35"/>
      <c r="N91" s="35"/>
      <c r="O91" s="35"/>
      <c r="P91" s="35"/>
      <c r="Q91" s="35"/>
      <c r="R91" s="35"/>
      <c r="S91" s="35"/>
      <c r="T91" s="35"/>
      <c r="U91" s="35"/>
    </row>
    <row r="92">
      <c r="A92" s="35" t="b">
        <v>0</v>
      </c>
      <c r="B92" s="35"/>
      <c r="C92" s="35"/>
      <c r="D92" s="35"/>
      <c r="E92" s="35"/>
      <c r="F92" s="35"/>
      <c r="G92" s="35"/>
      <c r="H92" s="35"/>
      <c r="I92" s="35"/>
      <c r="J92" s="35"/>
      <c r="K92" s="35"/>
      <c r="L92" s="35"/>
      <c r="M92" s="35"/>
      <c r="N92" s="35"/>
      <c r="O92" s="35"/>
      <c r="P92" s="35"/>
      <c r="Q92" s="35"/>
      <c r="R92" s="35"/>
      <c r="S92" s="35"/>
      <c r="T92" s="35"/>
      <c r="U92" s="35"/>
    </row>
    <row r="93">
      <c r="A93" s="35" t="b">
        <v>0</v>
      </c>
      <c r="B93" s="35"/>
      <c r="C93" s="35"/>
      <c r="D93" s="35"/>
      <c r="E93" s="35"/>
      <c r="F93" s="35"/>
      <c r="G93" s="35"/>
      <c r="H93" s="35"/>
      <c r="I93" s="35"/>
      <c r="J93" s="35"/>
      <c r="K93" s="35"/>
      <c r="L93" s="35"/>
      <c r="M93" s="35"/>
      <c r="N93" s="35"/>
      <c r="O93" s="35"/>
      <c r="P93" s="35"/>
      <c r="Q93" s="35"/>
      <c r="R93" s="35"/>
      <c r="S93" s="35"/>
      <c r="T93" s="35"/>
      <c r="U93" s="35"/>
    </row>
    <row r="94">
      <c r="A94" s="35" t="b">
        <v>0</v>
      </c>
      <c r="B94" s="35"/>
      <c r="C94" s="35"/>
      <c r="D94" s="35"/>
      <c r="E94" s="35"/>
      <c r="F94" s="35"/>
      <c r="G94" s="35"/>
      <c r="H94" s="35"/>
      <c r="I94" s="35"/>
      <c r="J94" s="35"/>
      <c r="K94" s="35"/>
      <c r="L94" s="35"/>
      <c r="M94" s="35"/>
      <c r="N94" s="35"/>
      <c r="O94" s="35"/>
      <c r="P94" s="35"/>
      <c r="Q94" s="35"/>
      <c r="R94" s="35"/>
      <c r="S94" s="35"/>
      <c r="T94" s="35"/>
      <c r="U94" s="35"/>
    </row>
    <row r="95">
      <c r="A95" s="35" t="b">
        <v>0</v>
      </c>
      <c r="B95" s="35"/>
      <c r="C95" s="35"/>
      <c r="D95" s="35"/>
      <c r="E95" s="35"/>
      <c r="F95" s="35"/>
      <c r="G95" s="35"/>
      <c r="H95" s="35"/>
      <c r="I95" s="35"/>
      <c r="J95" s="35"/>
      <c r="K95" s="35"/>
      <c r="L95" s="35"/>
      <c r="M95" s="35"/>
      <c r="N95" s="35"/>
      <c r="O95" s="35"/>
      <c r="P95" s="35"/>
      <c r="Q95" s="35"/>
      <c r="R95" s="35"/>
      <c r="S95" s="35"/>
      <c r="T95" s="35"/>
      <c r="U95" s="35"/>
    </row>
    <row r="96">
      <c r="A96" s="35" t="b">
        <v>0</v>
      </c>
      <c r="B96" s="35"/>
      <c r="C96" s="35"/>
      <c r="D96" s="35"/>
      <c r="E96" s="35"/>
      <c r="F96" s="35"/>
      <c r="G96" s="35"/>
      <c r="H96" s="35"/>
      <c r="I96" s="35"/>
      <c r="J96" s="35"/>
      <c r="K96" s="35"/>
      <c r="L96" s="35"/>
      <c r="M96" s="35"/>
      <c r="N96" s="35"/>
      <c r="O96" s="35"/>
      <c r="P96" s="35"/>
      <c r="Q96" s="35"/>
      <c r="R96" s="35"/>
      <c r="S96" s="35"/>
      <c r="T96" s="35"/>
      <c r="U96" s="35"/>
    </row>
    <row r="97">
      <c r="A97" s="35" t="b">
        <v>0</v>
      </c>
      <c r="B97" s="35"/>
      <c r="C97" s="35"/>
      <c r="D97" s="35"/>
      <c r="E97" s="35"/>
      <c r="F97" s="35"/>
      <c r="G97" s="35"/>
      <c r="H97" s="35"/>
      <c r="I97" s="35"/>
      <c r="J97" s="35"/>
      <c r="K97" s="35"/>
      <c r="L97" s="35"/>
      <c r="M97" s="35"/>
      <c r="N97" s="35"/>
      <c r="O97" s="35"/>
      <c r="P97" s="35"/>
      <c r="Q97" s="35"/>
      <c r="R97" s="35"/>
      <c r="S97" s="35"/>
      <c r="T97" s="35"/>
      <c r="U97" s="35"/>
    </row>
    <row r="98">
      <c r="A98" s="35" t="b">
        <v>0</v>
      </c>
      <c r="B98" s="35"/>
      <c r="C98" s="35"/>
      <c r="D98" s="35"/>
      <c r="E98" s="35"/>
      <c r="F98" s="35"/>
      <c r="G98" s="35"/>
      <c r="H98" s="35"/>
      <c r="I98" s="35"/>
      <c r="J98" s="35"/>
      <c r="K98" s="35"/>
      <c r="L98" s="35"/>
      <c r="M98" s="35"/>
      <c r="N98" s="35"/>
      <c r="O98" s="35"/>
      <c r="P98" s="35"/>
      <c r="Q98" s="35"/>
      <c r="R98" s="35"/>
      <c r="S98" s="35"/>
      <c r="T98" s="35"/>
      <c r="U98" s="35"/>
    </row>
    <row r="99">
      <c r="A99" s="35" t="b">
        <v>0</v>
      </c>
      <c r="B99" s="35"/>
      <c r="C99" s="35"/>
      <c r="D99" s="35"/>
      <c r="E99" s="35"/>
      <c r="F99" s="35"/>
      <c r="G99" s="35"/>
      <c r="H99" s="35"/>
      <c r="I99" s="35"/>
      <c r="J99" s="35"/>
      <c r="K99" s="35"/>
      <c r="L99" s="35"/>
      <c r="M99" s="35"/>
      <c r="N99" s="35"/>
      <c r="O99" s="35"/>
      <c r="P99" s="35"/>
      <c r="Q99" s="35"/>
      <c r="R99" s="35"/>
      <c r="S99" s="35"/>
      <c r="T99" s="35"/>
      <c r="U99" s="35"/>
    </row>
    <row r="100">
      <c r="A100" s="35" t="b">
        <v>0</v>
      </c>
      <c r="B100" s="35"/>
      <c r="C100" s="35"/>
      <c r="D100" s="35"/>
      <c r="E100" s="35"/>
      <c r="F100" s="35"/>
      <c r="G100" s="35"/>
      <c r="H100" s="35"/>
      <c r="I100" s="35"/>
      <c r="J100" s="35"/>
      <c r="K100" s="35"/>
      <c r="L100" s="35"/>
      <c r="M100" s="35"/>
      <c r="N100" s="35"/>
      <c r="O100" s="35"/>
      <c r="P100" s="35"/>
      <c r="Q100" s="35"/>
      <c r="R100" s="35"/>
      <c r="S100" s="35"/>
      <c r="T100" s="35"/>
      <c r="U100" s="35"/>
    </row>
    <row r="101">
      <c r="A101" s="35" t="b">
        <v>0</v>
      </c>
      <c r="B101" s="35"/>
      <c r="C101" s="35"/>
      <c r="D101" s="35"/>
      <c r="E101" s="35"/>
      <c r="F101" s="35"/>
      <c r="G101" s="35"/>
      <c r="H101" s="35"/>
      <c r="I101" s="35"/>
      <c r="J101" s="35"/>
      <c r="K101" s="35"/>
      <c r="L101" s="35"/>
      <c r="M101" s="35"/>
      <c r="N101" s="35"/>
      <c r="O101" s="35"/>
      <c r="P101" s="35"/>
      <c r="Q101" s="35"/>
      <c r="R101" s="35"/>
      <c r="S101" s="35"/>
      <c r="T101" s="35"/>
      <c r="U101" s="35"/>
    </row>
    <row r="102">
      <c r="A102" s="35" t="b">
        <v>0</v>
      </c>
      <c r="B102" s="35"/>
      <c r="C102" s="35"/>
      <c r="D102" s="35"/>
      <c r="E102" s="35"/>
      <c r="F102" s="35"/>
      <c r="G102" s="35"/>
      <c r="H102" s="35"/>
      <c r="I102" s="35"/>
      <c r="J102" s="35"/>
      <c r="K102" s="35"/>
      <c r="L102" s="35"/>
      <c r="M102" s="35"/>
      <c r="N102" s="35"/>
      <c r="O102" s="35"/>
      <c r="P102" s="35"/>
      <c r="Q102" s="35"/>
      <c r="R102" s="35"/>
      <c r="S102" s="35"/>
      <c r="T102" s="35"/>
      <c r="U102" s="35"/>
    </row>
    <row r="103">
      <c r="A103" s="35" t="b">
        <v>0</v>
      </c>
      <c r="B103" s="35"/>
      <c r="C103" s="35"/>
      <c r="D103" s="35"/>
      <c r="E103" s="35"/>
      <c r="F103" s="35"/>
      <c r="G103" s="35"/>
      <c r="H103" s="35"/>
      <c r="I103" s="35"/>
      <c r="J103" s="35"/>
      <c r="K103" s="35"/>
      <c r="L103" s="35"/>
      <c r="M103" s="35"/>
      <c r="N103" s="35"/>
      <c r="O103" s="35"/>
      <c r="P103" s="35"/>
      <c r="Q103" s="35"/>
      <c r="R103" s="35"/>
      <c r="S103" s="35"/>
      <c r="T103" s="35"/>
      <c r="U103" s="35"/>
    </row>
    <row r="104">
      <c r="A104" s="35" t="b">
        <v>0</v>
      </c>
      <c r="B104" s="35"/>
      <c r="C104" s="35"/>
      <c r="D104" s="35"/>
      <c r="E104" s="35"/>
      <c r="F104" s="35"/>
      <c r="G104" s="35"/>
      <c r="H104" s="35"/>
      <c r="I104" s="35"/>
      <c r="J104" s="35"/>
      <c r="K104" s="35"/>
      <c r="L104" s="35"/>
      <c r="M104" s="35"/>
      <c r="N104" s="35"/>
      <c r="O104" s="35"/>
      <c r="P104" s="35"/>
      <c r="Q104" s="35"/>
      <c r="R104" s="35"/>
      <c r="S104" s="35"/>
      <c r="T104" s="35"/>
      <c r="U104" s="35"/>
    </row>
    <row r="105">
      <c r="A105" s="35" t="b">
        <v>0</v>
      </c>
      <c r="B105" s="35"/>
      <c r="C105" s="35"/>
      <c r="D105" s="35"/>
      <c r="E105" s="35"/>
      <c r="F105" s="35"/>
      <c r="G105" s="35"/>
      <c r="H105" s="35"/>
      <c r="I105" s="35"/>
      <c r="J105" s="35"/>
      <c r="K105" s="35"/>
      <c r="L105" s="35"/>
      <c r="M105" s="35"/>
      <c r="N105" s="35"/>
      <c r="O105" s="35"/>
      <c r="P105" s="35"/>
      <c r="Q105" s="35"/>
      <c r="R105" s="35"/>
      <c r="S105" s="35"/>
      <c r="T105" s="35"/>
      <c r="U105" s="35"/>
    </row>
    <row r="106">
      <c r="A106" s="35" t="b">
        <v>0</v>
      </c>
      <c r="B106" s="35"/>
      <c r="C106" s="35"/>
      <c r="D106" s="35"/>
      <c r="E106" s="35"/>
      <c r="F106" s="35"/>
      <c r="G106" s="35"/>
      <c r="H106" s="35"/>
      <c r="I106" s="35"/>
      <c r="J106" s="35"/>
      <c r="K106" s="35"/>
      <c r="L106" s="35"/>
      <c r="M106" s="35"/>
      <c r="N106" s="35"/>
      <c r="O106" s="35"/>
      <c r="P106" s="35"/>
      <c r="Q106" s="35"/>
      <c r="R106" s="35"/>
      <c r="S106" s="35"/>
      <c r="T106" s="35"/>
      <c r="U106" s="35"/>
    </row>
    <row r="107">
      <c r="A107" s="35" t="b">
        <v>0</v>
      </c>
      <c r="B107" s="35"/>
      <c r="C107" s="35"/>
      <c r="D107" s="35"/>
      <c r="E107" s="35"/>
      <c r="F107" s="35"/>
      <c r="G107" s="35"/>
      <c r="H107" s="35"/>
      <c r="I107" s="35"/>
      <c r="J107" s="35"/>
      <c r="K107" s="35"/>
      <c r="L107" s="35"/>
      <c r="M107" s="35"/>
      <c r="N107" s="35"/>
      <c r="O107" s="35"/>
      <c r="P107" s="35"/>
      <c r="Q107" s="35"/>
      <c r="R107" s="35"/>
      <c r="S107" s="35"/>
      <c r="T107" s="35"/>
      <c r="U107" s="35"/>
    </row>
    <row r="108">
      <c r="A108" s="35" t="b">
        <v>0</v>
      </c>
      <c r="B108" s="35"/>
      <c r="C108" s="35"/>
      <c r="D108" s="35"/>
      <c r="E108" s="35"/>
      <c r="F108" s="35"/>
      <c r="G108" s="35"/>
      <c r="H108" s="35"/>
      <c r="I108" s="35"/>
      <c r="J108" s="35"/>
      <c r="K108" s="35"/>
      <c r="L108" s="35"/>
      <c r="M108" s="35"/>
      <c r="N108" s="35"/>
      <c r="O108" s="35"/>
      <c r="P108" s="35"/>
      <c r="Q108" s="35"/>
      <c r="R108" s="35"/>
      <c r="S108" s="35"/>
      <c r="T108" s="35"/>
      <c r="U108" s="35"/>
    </row>
    <row r="109">
      <c r="A109" s="35" t="b">
        <v>0</v>
      </c>
      <c r="B109" s="35"/>
      <c r="C109" s="35"/>
      <c r="D109" s="35"/>
      <c r="E109" s="35"/>
      <c r="F109" s="35"/>
      <c r="G109" s="35"/>
      <c r="H109" s="35"/>
      <c r="I109" s="35"/>
      <c r="J109" s="35"/>
      <c r="K109" s="35"/>
      <c r="L109" s="35"/>
      <c r="M109" s="35"/>
      <c r="N109" s="35"/>
      <c r="O109" s="35"/>
      <c r="P109" s="35"/>
      <c r="Q109" s="35"/>
      <c r="R109" s="35"/>
      <c r="S109" s="35"/>
      <c r="T109" s="35"/>
      <c r="U109" s="35"/>
    </row>
    <row r="110">
      <c r="A110" s="35" t="b">
        <v>0</v>
      </c>
      <c r="B110" s="35"/>
      <c r="C110" s="35"/>
      <c r="D110" s="35"/>
      <c r="E110" s="35"/>
      <c r="F110" s="35"/>
      <c r="G110" s="35"/>
      <c r="H110" s="35"/>
      <c r="I110" s="35"/>
      <c r="J110" s="35"/>
      <c r="K110" s="35"/>
      <c r="L110" s="35"/>
      <c r="M110" s="35"/>
      <c r="N110" s="35"/>
      <c r="O110" s="35"/>
      <c r="P110" s="35"/>
      <c r="Q110" s="35"/>
      <c r="R110" s="35"/>
      <c r="S110" s="35"/>
      <c r="T110" s="35"/>
      <c r="U110" s="35"/>
    </row>
    <row r="111">
      <c r="A111" s="35" t="b">
        <v>0</v>
      </c>
      <c r="B111" s="35"/>
      <c r="C111" s="35"/>
      <c r="D111" s="35"/>
      <c r="E111" s="35"/>
      <c r="F111" s="35"/>
      <c r="G111" s="35"/>
      <c r="H111" s="35"/>
      <c r="I111" s="35"/>
      <c r="J111" s="35"/>
      <c r="K111" s="35"/>
      <c r="L111" s="35"/>
      <c r="M111" s="35"/>
      <c r="N111" s="35"/>
      <c r="O111" s="35"/>
      <c r="P111" s="35"/>
      <c r="Q111" s="35"/>
      <c r="R111" s="35"/>
      <c r="S111" s="35"/>
      <c r="T111" s="35"/>
      <c r="U111" s="35"/>
    </row>
    <row r="112">
      <c r="A112" s="35" t="b">
        <v>0</v>
      </c>
      <c r="B112" s="35"/>
      <c r="C112" s="35"/>
      <c r="D112" s="35"/>
      <c r="E112" s="35"/>
      <c r="F112" s="35"/>
      <c r="G112" s="35"/>
      <c r="H112" s="35"/>
      <c r="I112" s="35"/>
      <c r="J112" s="35"/>
      <c r="K112" s="35"/>
      <c r="L112" s="35"/>
      <c r="M112" s="35"/>
      <c r="N112" s="35"/>
      <c r="O112" s="35"/>
      <c r="P112" s="35"/>
      <c r="Q112" s="35"/>
      <c r="R112" s="35"/>
      <c r="S112" s="35"/>
      <c r="T112" s="35"/>
      <c r="U112" s="35"/>
    </row>
    <row r="113">
      <c r="A113" s="35" t="b">
        <v>0</v>
      </c>
      <c r="B113" s="35"/>
      <c r="C113" s="35"/>
      <c r="D113" s="35"/>
      <c r="E113" s="35"/>
      <c r="F113" s="35"/>
      <c r="G113" s="35"/>
      <c r="H113" s="35"/>
      <c r="I113" s="35"/>
      <c r="J113" s="35"/>
      <c r="K113" s="35"/>
      <c r="L113" s="35"/>
      <c r="M113" s="35"/>
      <c r="N113" s="35"/>
      <c r="O113" s="35"/>
      <c r="P113" s="35"/>
      <c r="Q113" s="35"/>
      <c r="R113" s="35"/>
      <c r="S113" s="35"/>
      <c r="T113" s="35"/>
      <c r="U113" s="35"/>
    </row>
    <row r="114">
      <c r="A114" s="35" t="b">
        <v>0</v>
      </c>
      <c r="B114" s="35"/>
      <c r="C114" s="35"/>
      <c r="D114" s="35"/>
      <c r="E114" s="35"/>
      <c r="F114" s="35"/>
      <c r="G114" s="35"/>
      <c r="H114" s="35"/>
      <c r="I114" s="35"/>
      <c r="J114" s="35"/>
      <c r="K114" s="35"/>
      <c r="L114" s="35"/>
      <c r="M114" s="35"/>
      <c r="N114" s="35"/>
      <c r="O114" s="35"/>
      <c r="P114" s="35"/>
      <c r="Q114" s="35"/>
      <c r="R114" s="35"/>
      <c r="S114" s="35"/>
      <c r="T114" s="35"/>
      <c r="U114" s="35"/>
    </row>
    <row r="115">
      <c r="A115" s="35" t="b">
        <v>0</v>
      </c>
      <c r="B115" s="35"/>
      <c r="C115" s="35"/>
      <c r="D115" s="35"/>
      <c r="E115" s="35"/>
      <c r="F115" s="35"/>
      <c r="G115" s="35"/>
      <c r="H115" s="35"/>
      <c r="I115" s="35"/>
      <c r="J115" s="35"/>
      <c r="K115" s="35"/>
      <c r="L115" s="35"/>
      <c r="M115" s="35"/>
      <c r="N115" s="35"/>
      <c r="O115" s="35"/>
      <c r="P115" s="35"/>
      <c r="Q115" s="35"/>
      <c r="R115" s="35"/>
      <c r="S115" s="35"/>
      <c r="T115" s="35"/>
      <c r="U115" s="35"/>
    </row>
    <row r="116">
      <c r="A116" s="35" t="b">
        <v>0</v>
      </c>
      <c r="B116" s="35"/>
      <c r="C116" s="35"/>
      <c r="D116" s="35"/>
      <c r="E116" s="35"/>
      <c r="F116" s="35"/>
      <c r="G116" s="35"/>
      <c r="H116" s="35"/>
      <c r="I116" s="35"/>
      <c r="J116" s="35"/>
      <c r="K116" s="35"/>
      <c r="L116" s="35"/>
      <c r="M116" s="35"/>
      <c r="N116" s="35"/>
      <c r="O116" s="35"/>
      <c r="P116" s="35"/>
      <c r="Q116" s="35"/>
      <c r="R116" s="35"/>
      <c r="S116" s="35"/>
      <c r="T116" s="35"/>
      <c r="U116" s="35"/>
    </row>
    <row r="117">
      <c r="A117" s="35" t="b">
        <v>0</v>
      </c>
      <c r="B117" s="35"/>
      <c r="C117" s="35"/>
      <c r="D117" s="35"/>
      <c r="E117" s="35"/>
      <c r="F117" s="35"/>
      <c r="G117" s="35"/>
      <c r="H117" s="35"/>
      <c r="I117" s="35"/>
      <c r="J117" s="35"/>
      <c r="K117" s="35"/>
      <c r="L117" s="35"/>
      <c r="M117" s="35"/>
      <c r="N117" s="35"/>
      <c r="O117" s="35"/>
      <c r="P117" s="35"/>
      <c r="Q117" s="35"/>
      <c r="R117" s="35"/>
      <c r="S117" s="35"/>
      <c r="T117" s="35"/>
      <c r="U117" s="35"/>
    </row>
    <row r="118">
      <c r="A118" s="35" t="b">
        <v>0</v>
      </c>
      <c r="B118" s="35"/>
      <c r="C118" s="35"/>
      <c r="D118" s="35"/>
      <c r="E118" s="35"/>
      <c r="F118" s="35"/>
      <c r="G118" s="35"/>
      <c r="H118" s="35"/>
      <c r="I118" s="35"/>
      <c r="J118" s="35"/>
      <c r="K118" s="35"/>
      <c r="L118" s="35"/>
      <c r="M118" s="35"/>
      <c r="N118" s="35"/>
      <c r="O118" s="35"/>
      <c r="P118" s="35"/>
      <c r="Q118" s="35"/>
      <c r="R118" s="35"/>
      <c r="S118" s="35"/>
      <c r="T118" s="35"/>
      <c r="U118" s="35"/>
    </row>
    <row r="119">
      <c r="A119" s="35" t="b">
        <v>0</v>
      </c>
      <c r="B119" s="35"/>
      <c r="C119" s="35"/>
      <c r="D119" s="35"/>
      <c r="E119" s="35"/>
      <c r="F119" s="35"/>
      <c r="G119" s="35"/>
      <c r="H119" s="35"/>
      <c r="I119" s="35"/>
      <c r="J119" s="35"/>
      <c r="K119" s="35"/>
      <c r="L119" s="35"/>
      <c r="M119" s="35"/>
      <c r="N119" s="35"/>
      <c r="O119" s="35"/>
      <c r="P119" s="35"/>
      <c r="Q119" s="35"/>
      <c r="R119" s="35"/>
      <c r="S119" s="35"/>
      <c r="T119" s="35"/>
      <c r="U119" s="35"/>
    </row>
    <row r="120">
      <c r="A120" s="35" t="b">
        <v>0</v>
      </c>
      <c r="B120" s="35"/>
      <c r="C120" s="35"/>
      <c r="D120" s="35"/>
      <c r="E120" s="35"/>
      <c r="F120" s="35"/>
      <c r="G120" s="35"/>
      <c r="H120" s="35"/>
      <c r="I120" s="35"/>
      <c r="J120" s="35"/>
      <c r="K120" s="35"/>
      <c r="L120" s="35"/>
      <c r="M120" s="35"/>
      <c r="N120" s="35"/>
      <c r="O120" s="35"/>
      <c r="P120" s="35"/>
      <c r="Q120" s="35"/>
      <c r="R120" s="35"/>
      <c r="S120" s="35"/>
      <c r="T120" s="35"/>
      <c r="U120" s="35"/>
    </row>
    <row r="121">
      <c r="A121" s="35" t="b">
        <v>0</v>
      </c>
      <c r="B121" s="35"/>
      <c r="C121" s="35"/>
      <c r="D121" s="35"/>
      <c r="E121" s="35"/>
      <c r="F121" s="35"/>
      <c r="G121" s="35"/>
      <c r="H121" s="35"/>
      <c r="I121" s="35"/>
      <c r="J121" s="35"/>
      <c r="K121" s="35"/>
      <c r="L121" s="35"/>
      <c r="M121" s="35"/>
      <c r="N121" s="35"/>
      <c r="O121" s="35"/>
      <c r="P121" s="35"/>
      <c r="Q121" s="35"/>
      <c r="R121" s="35"/>
      <c r="S121" s="35"/>
      <c r="T121" s="35"/>
      <c r="U121" s="35"/>
    </row>
    <row r="122">
      <c r="A122" s="35" t="b">
        <v>0</v>
      </c>
      <c r="B122" s="35"/>
      <c r="C122" s="35"/>
      <c r="D122" s="35"/>
      <c r="E122" s="35"/>
      <c r="F122" s="35"/>
      <c r="G122" s="35"/>
      <c r="H122" s="35"/>
      <c r="I122" s="35"/>
      <c r="J122" s="35"/>
      <c r="K122" s="35"/>
      <c r="L122" s="35"/>
      <c r="M122" s="35"/>
      <c r="N122" s="35"/>
      <c r="O122" s="35"/>
      <c r="P122" s="35"/>
      <c r="Q122" s="35"/>
      <c r="R122" s="35"/>
      <c r="S122" s="35"/>
      <c r="T122" s="35"/>
      <c r="U122" s="35"/>
    </row>
    <row r="123">
      <c r="A123" s="35" t="b">
        <v>0</v>
      </c>
      <c r="B123" s="35"/>
      <c r="C123" s="35"/>
      <c r="D123" s="35"/>
      <c r="E123" s="35"/>
      <c r="F123" s="35"/>
      <c r="G123" s="35"/>
      <c r="H123" s="35"/>
      <c r="I123" s="35"/>
      <c r="J123" s="35"/>
      <c r="K123" s="35"/>
      <c r="L123" s="35"/>
      <c r="M123" s="35"/>
      <c r="N123" s="35"/>
      <c r="O123" s="35"/>
      <c r="P123" s="35"/>
      <c r="Q123" s="35"/>
      <c r="R123" s="35"/>
      <c r="S123" s="35"/>
      <c r="T123" s="35"/>
      <c r="U123" s="35"/>
    </row>
    <row r="124">
      <c r="A124" s="35" t="b">
        <v>0</v>
      </c>
      <c r="B124" s="35"/>
      <c r="C124" s="35"/>
      <c r="D124" s="35"/>
      <c r="E124" s="35"/>
      <c r="F124" s="35"/>
      <c r="G124" s="35"/>
      <c r="H124" s="35"/>
      <c r="I124" s="35"/>
      <c r="J124" s="35"/>
      <c r="K124" s="35"/>
      <c r="L124" s="35"/>
      <c r="M124" s="35"/>
      <c r="N124" s="35"/>
      <c r="O124" s="35"/>
      <c r="P124" s="35"/>
      <c r="Q124" s="35"/>
      <c r="R124" s="35"/>
      <c r="S124" s="35"/>
      <c r="T124" s="35"/>
      <c r="U124" s="35"/>
    </row>
    <row r="125">
      <c r="A125" s="35" t="b">
        <v>0</v>
      </c>
      <c r="B125" s="35"/>
      <c r="C125" s="35"/>
      <c r="D125" s="35"/>
      <c r="E125" s="35"/>
      <c r="F125" s="35"/>
      <c r="G125" s="35"/>
      <c r="H125" s="35"/>
      <c r="I125" s="35"/>
      <c r="J125" s="35"/>
      <c r="K125" s="35"/>
      <c r="L125" s="35"/>
      <c r="M125" s="35"/>
      <c r="N125" s="35"/>
      <c r="O125" s="35"/>
      <c r="P125" s="35"/>
      <c r="Q125" s="35"/>
      <c r="R125" s="35"/>
      <c r="S125" s="35"/>
      <c r="T125" s="35"/>
      <c r="U125" s="35"/>
    </row>
    <row r="126">
      <c r="A126" s="35" t="b">
        <v>0</v>
      </c>
      <c r="B126" s="35"/>
      <c r="C126" s="35"/>
      <c r="D126" s="35"/>
      <c r="E126" s="35"/>
      <c r="F126" s="35"/>
      <c r="G126" s="35"/>
      <c r="H126" s="35"/>
      <c r="I126" s="35"/>
      <c r="J126" s="35"/>
      <c r="K126" s="35"/>
      <c r="L126" s="35"/>
      <c r="M126" s="35"/>
      <c r="N126" s="35"/>
      <c r="O126" s="35"/>
      <c r="P126" s="35"/>
      <c r="Q126" s="35"/>
      <c r="R126" s="35"/>
      <c r="S126" s="35"/>
      <c r="T126" s="35"/>
      <c r="U126" s="35"/>
    </row>
    <row r="127">
      <c r="A127" s="35" t="b">
        <v>0</v>
      </c>
      <c r="B127" s="35"/>
      <c r="C127" s="35"/>
      <c r="D127" s="35"/>
      <c r="E127" s="35"/>
      <c r="F127" s="35"/>
      <c r="G127" s="35"/>
      <c r="H127" s="35"/>
      <c r="I127" s="35"/>
      <c r="J127" s="35"/>
      <c r="K127" s="35"/>
      <c r="L127" s="35"/>
      <c r="M127" s="35"/>
      <c r="N127" s="35"/>
      <c r="O127" s="35"/>
      <c r="P127" s="35"/>
      <c r="Q127" s="35"/>
      <c r="R127" s="35"/>
      <c r="S127" s="35"/>
      <c r="T127" s="35"/>
      <c r="U127" s="35"/>
    </row>
    <row r="128">
      <c r="A128" s="35" t="b">
        <v>0</v>
      </c>
      <c r="B128" s="35"/>
      <c r="C128" s="35"/>
      <c r="D128" s="35"/>
      <c r="E128" s="35"/>
      <c r="F128" s="35"/>
      <c r="G128" s="35"/>
      <c r="H128" s="35"/>
      <c r="I128" s="35"/>
      <c r="J128" s="35"/>
      <c r="K128" s="35"/>
      <c r="L128" s="35"/>
      <c r="M128" s="35"/>
      <c r="N128" s="35"/>
      <c r="O128" s="35"/>
      <c r="P128" s="35"/>
      <c r="Q128" s="35"/>
      <c r="R128" s="35"/>
      <c r="S128" s="35"/>
      <c r="T128" s="35"/>
      <c r="U128" s="35"/>
    </row>
    <row r="129">
      <c r="A129" s="35" t="b">
        <v>0</v>
      </c>
      <c r="B129" s="35"/>
      <c r="C129" s="35"/>
      <c r="D129" s="35"/>
      <c r="E129" s="35"/>
      <c r="F129" s="35"/>
      <c r="G129" s="35"/>
      <c r="H129" s="35"/>
      <c r="I129" s="35"/>
      <c r="J129" s="35"/>
      <c r="K129" s="35"/>
      <c r="L129" s="35"/>
      <c r="M129" s="35"/>
      <c r="N129" s="35"/>
      <c r="O129" s="35"/>
      <c r="P129" s="35"/>
      <c r="Q129" s="35"/>
      <c r="R129" s="35"/>
      <c r="S129" s="35"/>
      <c r="T129" s="35"/>
      <c r="U129" s="35"/>
    </row>
    <row r="130">
      <c r="A130" s="35" t="b">
        <v>0</v>
      </c>
      <c r="B130" s="35"/>
      <c r="C130" s="35"/>
      <c r="D130" s="35"/>
      <c r="E130" s="35"/>
      <c r="F130" s="35"/>
      <c r="G130" s="35"/>
      <c r="H130" s="35"/>
      <c r="I130" s="35"/>
      <c r="J130" s="35"/>
      <c r="K130" s="35"/>
      <c r="L130" s="35"/>
      <c r="M130" s="35"/>
      <c r="N130" s="35"/>
      <c r="O130" s="35"/>
      <c r="P130" s="35"/>
      <c r="Q130" s="35"/>
      <c r="R130" s="35"/>
      <c r="S130" s="35"/>
      <c r="T130" s="35"/>
      <c r="U130" s="35"/>
    </row>
    <row r="131">
      <c r="A131" s="35" t="b">
        <v>0</v>
      </c>
      <c r="B131" s="35"/>
      <c r="C131" s="35"/>
      <c r="D131" s="35"/>
      <c r="E131" s="35"/>
      <c r="F131" s="35"/>
      <c r="G131" s="35"/>
      <c r="H131" s="35"/>
      <c r="I131" s="35"/>
      <c r="J131" s="35"/>
      <c r="K131" s="35"/>
      <c r="L131" s="35"/>
      <c r="M131" s="35"/>
      <c r="N131" s="35"/>
      <c r="O131" s="35"/>
      <c r="P131" s="35"/>
      <c r="Q131" s="35"/>
      <c r="R131" s="35"/>
      <c r="S131" s="35"/>
      <c r="T131" s="35"/>
      <c r="U131" s="35"/>
    </row>
    <row r="132">
      <c r="A132" s="35" t="b">
        <v>0</v>
      </c>
      <c r="B132" s="35"/>
      <c r="C132" s="35"/>
      <c r="D132" s="35"/>
      <c r="E132" s="35"/>
      <c r="F132" s="35"/>
      <c r="G132" s="35"/>
      <c r="H132" s="35"/>
      <c r="I132" s="35"/>
      <c r="J132" s="35"/>
      <c r="K132" s="35"/>
      <c r="L132" s="35"/>
      <c r="M132" s="35"/>
      <c r="N132" s="35"/>
      <c r="O132" s="35"/>
      <c r="P132" s="35"/>
      <c r="Q132" s="35"/>
      <c r="R132" s="35"/>
      <c r="S132" s="35"/>
      <c r="T132" s="35"/>
      <c r="U132" s="35"/>
    </row>
    <row r="133">
      <c r="A133" s="35" t="b">
        <v>0</v>
      </c>
      <c r="B133" s="35"/>
      <c r="C133" s="35"/>
      <c r="D133" s="35"/>
      <c r="E133" s="35"/>
      <c r="F133" s="35"/>
      <c r="G133" s="35"/>
      <c r="H133" s="35"/>
      <c r="I133" s="35"/>
      <c r="J133" s="35"/>
      <c r="K133" s="35"/>
      <c r="L133" s="35"/>
      <c r="M133" s="35"/>
      <c r="N133" s="35"/>
      <c r="O133" s="35"/>
      <c r="P133" s="35"/>
      <c r="Q133" s="35"/>
      <c r="R133" s="35"/>
      <c r="S133" s="35"/>
      <c r="T133" s="35"/>
      <c r="U133" s="35"/>
    </row>
    <row r="134">
      <c r="A134" s="35" t="b">
        <v>0</v>
      </c>
      <c r="B134" s="35"/>
      <c r="C134" s="35"/>
      <c r="D134" s="35"/>
      <c r="E134" s="35"/>
      <c r="F134" s="35"/>
      <c r="G134" s="35"/>
      <c r="H134" s="35"/>
      <c r="I134" s="35"/>
      <c r="J134" s="35"/>
      <c r="K134" s="35"/>
      <c r="L134" s="35"/>
      <c r="M134" s="35"/>
      <c r="N134" s="35"/>
      <c r="O134" s="35"/>
      <c r="P134" s="35"/>
      <c r="Q134" s="35"/>
      <c r="R134" s="35"/>
      <c r="S134" s="35"/>
      <c r="T134" s="35"/>
      <c r="U134" s="35"/>
    </row>
    <row r="135">
      <c r="A135" s="35" t="b">
        <v>0</v>
      </c>
      <c r="B135" s="35"/>
      <c r="C135" s="35"/>
      <c r="D135" s="35"/>
      <c r="E135" s="35"/>
      <c r="F135" s="35"/>
      <c r="G135" s="35"/>
      <c r="H135" s="35"/>
      <c r="I135" s="35"/>
      <c r="J135" s="35"/>
      <c r="K135" s="35"/>
      <c r="L135" s="35"/>
      <c r="M135" s="35"/>
      <c r="N135" s="35"/>
      <c r="O135" s="35"/>
      <c r="P135" s="35"/>
      <c r="Q135" s="35"/>
      <c r="R135" s="35"/>
      <c r="S135" s="35"/>
      <c r="T135" s="35"/>
      <c r="U135" s="35"/>
    </row>
    <row r="136">
      <c r="A136" s="35" t="b">
        <v>0</v>
      </c>
      <c r="B136" s="35"/>
      <c r="C136" s="35"/>
      <c r="D136" s="35"/>
      <c r="E136" s="35"/>
      <c r="F136" s="35"/>
      <c r="G136" s="35"/>
      <c r="H136" s="35"/>
      <c r="I136" s="35"/>
      <c r="J136" s="35"/>
      <c r="K136" s="35"/>
      <c r="L136" s="35"/>
      <c r="M136" s="35"/>
      <c r="N136" s="35"/>
      <c r="O136" s="35"/>
      <c r="P136" s="35"/>
      <c r="Q136" s="35"/>
      <c r="R136" s="35"/>
      <c r="S136" s="35"/>
      <c r="T136" s="35"/>
      <c r="U136" s="35"/>
    </row>
    <row r="137">
      <c r="A137" s="35" t="b">
        <v>0</v>
      </c>
      <c r="B137" s="35"/>
      <c r="C137" s="35"/>
      <c r="D137" s="35"/>
      <c r="E137" s="35"/>
      <c r="F137" s="35"/>
      <c r="G137" s="35"/>
      <c r="H137" s="35"/>
      <c r="I137" s="35"/>
      <c r="J137" s="35"/>
      <c r="K137" s="35"/>
      <c r="L137" s="35"/>
      <c r="M137" s="35"/>
      <c r="N137" s="35"/>
      <c r="O137" s="35"/>
      <c r="P137" s="35"/>
      <c r="Q137" s="35"/>
      <c r="R137" s="35"/>
      <c r="S137" s="35"/>
      <c r="T137" s="35"/>
      <c r="U137" s="35"/>
    </row>
    <row r="138">
      <c r="A138" s="35" t="b">
        <v>0</v>
      </c>
      <c r="B138" s="35"/>
      <c r="C138" s="35"/>
      <c r="D138" s="35"/>
      <c r="E138" s="35"/>
      <c r="F138" s="35"/>
      <c r="G138" s="35"/>
      <c r="H138" s="35"/>
      <c r="I138" s="35"/>
      <c r="J138" s="35"/>
      <c r="K138" s="35"/>
      <c r="L138" s="35"/>
      <c r="M138" s="35"/>
      <c r="N138" s="35"/>
      <c r="O138" s="35"/>
      <c r="P138" s="35"/>
      <c r="Q138" s="35"/>
      <c r="R138" s="35"/>
      <c r="S138" s="35"/>
      <c r="T138" s="35"/>
      <c r="U138" s="35"/>
    </row>
    <row r="139">
      <c r="A139" s="35" t="b">
        <v>0</v>
      </c>
      <c r="B139" s="35"/>
      <c r="C139" s="35"/>
      <c r="D139" s="35"/>
      <c r="E139" s="35"/>
      <c r="F139" s="35"/>
      <c r="G139" s="35"/>
      <c r="H139" s="35"/>
      <c r="I139" s="35"/>
      <c r="J139" s="35"/>
      <c r="K139" s="35"/>
      <c r="L139" s="35"/>
      <c r="M139" s="35"/>
      <c r="N139" s="35"/>
      <c r="O139" s="35"/>
      <c r="P139" s="35"/>
      <c r="Q139" s="35"/>
      <c r="R139" s="35"/>
      <c r="S139" s="35"/>
      <c r="T139" s="35"/>
      <c r="U139" s="35"/>
    </row>
    <row r="140">
      <c r="A140" s="35" t="b">
        <v>0</v>
      </c>
      <c r="B140" s="35"/>
      <c r="C140" s="35"/>
      <c r="D140" s="35"/>
      <c r="E140" s="35"/>
      <c r="F140" s="35"/>
      <c r="G140" s="35"/>
      <c r="H140" s="35"/>
      <c r="I140" s="35"/>
      <c r="J140" s="35"/>
      <c r="K140" s="35"/>
      <c r="L140" s="35"/>
      <c r="M140" s="35"/>
      <c r="N140" s="35"/>
      <c r="O140" s="35"/>
      <c r="P140" s="35"/>
      <c r="Q140" s="35"/>
      <c r="R140" s="35"/>
      <c r="S140" s="35"/>
      <c r="T140" s="35"/>
      <c r="U140" s="35"/>
    </row>
    <row r="141">
      <c r="A141" s="35" t="b">
        <v>0</v>
      </c>
      <c r="B141" s="35"/>
      <c r="C141" s="35"/>
      <c r="D141" s="35"/>
      <c r="E141" s="35"/>
      <c r="F141" s="35"/>
      <c r="G141" s="35"/>
      <c r="H141" s="35"/>
      <c r="I141" s="35"/>
      <c r="J141" s="35"/>
      <c r="K141" s="35"/>
      <c r="L141" s="35"/>
      <c r="M141" s="35"/>
      <c r="N141" s="35"/>
      <c r="O141" s="35"/>
      <c r="P141" s="35"/>
      <c r="Q141" s="35"/>
      <c r="R141" s="35"/>
      <c r="S141" s="35"/>
      <c r="T141" s="35"/>
      <c r="U141" s="35"/>
    </row>
    <row r="142">
      <c r="A142" s="35" t="b">
        <v>0</v>
      </c>
      <c r="B142" s="35"/>
      <c r="C142" s="35"/>
      <c r="D142" s="35"/>
      <c r="E142" s="35"/>
      <c r="F142" s="35"/>
      <c r="G142" s="35"/>
      <c r="H142" s="35"/>
      <c r="I142" s="35"/>
      <c r="J142" s="35"/>
      <c r="K142" s="35"/>
      <c r="L142" s="35"/>
      <c r="M142" s="35"/>
      <c r="N142" s="35"/>
      <c r="O142" s="35"/>
      <c r="P142" s="35"/>
      <c r="Q142" s="35"/>
      <c r="R142" s="35"/>
      <c r="S142" s="35"/>
      <c r="T142" s="35"/>
      <c r="U142" s="35"/>
    </row>
    <row r="143">
      <c r="A143" s="35" t="b">
        <v>0</v>
      </c>
      <c r="B143" s="35"/>
      <c r="C143" s="35"/>
      <c r="D143" s="35"/>
      <c r="E143" s="35"/>
      <c r="F143" s="35"/>
      <c r="G143" s="35"/>
      <c r="H143" s="35"/>
      <c r="I143" s="35"/>
      <c r="J143" s="35"/>
      <c r="K143" s="35"/>
      <c r="L143" s="35"/>
      <c r="M143" s="35"/>
      <c r="N143" s="35"/>
      <c r="O143" s="35"/>
      <c r="P143" s="35"/>
      <c r="Q143" s="35"/>
      <c r="R143" s="35"/>
      <c r="S143" s="35"/>
      <c r="T143" s="35"/>
      <c r="U143" s="35"/>
    </row>
    <row r="144">
      <c r="A144" s="35" t="b">
        <v>0</v>
      </c>
      <c r="B144" s="35"/>
      <c r="C144" s="35"/>
      <c r="D144" s="35"/>
      <c r="E144" s="35"/>
      <c r="F144" s="35"/>
      <c r="G144" s="35"/>
      <c r="H144" s="35"/>
      <c r="I144" s="35"/>
      <c r="J144" s="35"/>
      <c r="K144" s="35"/>
      <c r="L144" s="35"/>
      <c r="M144" s="35"/>
      <c r="N144" s="35"/>
      <c r="O144" s="35"/>
      <c r="P144" s="35"/>
      <c r="Q144" s="35"/>
      <c r="R144" s="35"/>
      <c r="S144" s="35"/>
      <c r="T144" s="35"/>
      <c r="U144" s="35"/>
    </row>
    <row r="145">
      <c r="A145" s="35" t="b">
        <v>0</v>
      </c>
      <c r="B145" s="35"/>
      <c r="C145" s="35"/>
      <c r="D145" s="35"/>
      <c r="E145" s="35"/>
      <c r="F145" s="35"/>
      <c r="G145" s="35"/>
      <c r="H145" s="35"/>
      <c r="I145" s="35"/>
      <c r="J145" s="35"/>
      <c r="K145" s="35"/>
      <c r="L145" s="35"/>
      <c r="M145" s="35"/>
      <c r="N145" s="35"/>
      <c r="O145" s="35"/>
      <c r="P145" s="35"/>
      <c r="Q145" s="35"/>
      <c r="R145" s="35"/>
      <c r="S145" s="35"/>
      <c r="T145" s="35"/>
      <c r="U145" s="35"/>
    </row>
    <row r="146">
      <c r="A146" s="35" t="b">
        <v>0</v>
      </c>
      <c r="B146" s="35"/>
      <c r="C146" s="35"/>
      <c r="D146" s="35"/>
      <c r="E146" s="35"/>
      <c r="F146" s="35"/>
      <c r="G146" s="35"/>
      <c r="H146" s="35"/>
      <c r="I146" s="35"/>
      <c r="J146" s="35"/>
      <c r="K146" s="35"/>
      <c r="L146" s="35"/>
      <c r="M146" s="35"/>
      <c r="N146" s="35"/>
      <c r="O146" s="35"/>
      <c r="P146" s="35"/>
      <c r="Q146" s="35"/>
      <c r="R146" s="35"/>
      <c r="S146" s="35"/>
      <c r="T146" s="35"/>
      <c r="U146" s="35"/>
    </row>
    <row r="147">
      <c r="A147" s="35" t="b">
        <v>0</v>
      </c>
      <c r="B147" s="35"/>
      <c r="C147" s="35"/>
      <c r="D147" s="35"/>
      <c r="E147" s="35"/>
      <c r="F147" s="35"/>
      <c r="G147" s="35"/>
      <c r="H147" s="35"/>
      <c r="I147" s="35"/>
      <c r="J147" s="35"/>
      <c r="K147" s="35"/>
      <c r="L147" s="35"/>
      <c r="M147" s="35"/>
      <c r="N147" s="35"/>
      <c r="O147" s="35"/>
      <c r="P147" s="35"/>
      <c r="Q147" s="35"/>
      <c r="R147" s="35"/>
      <c r="S147" s="35"/>
      <c r="T147" s="35"/>
      <c r="U147" s="35"/>
    </row>
    <row r="148">
      <c r="A148" s="35" t="b">
        <v>0</v>
      </c>
      <c r="B148" s="35"/>
      <c r="C148" s="35"/>
      <c r="D148" s="35"/>
      <c r="E148" s="35"/>
      <c r="F148" s="35"/>
      <c r="G148" s="35"/>
      <c r="H148" s="35"/>
      <c r="I148" s="35"/>
      <c r="J148" s="35"/>
      <c r="K148" s="35"/>
      <c r="L148" s="35"/>
      <c r="M148" s="35"/>
      <c r="N148" s="35"/>
      <c r="O148" s="35"/>
      <c r="P148" s="35"/>
      <c r="Q148" s="35"/>
      <c r="R148" s="35"/>
      <c r="S148" s="35"/>
      <c r="T148" s="35"/>
      <c r="U148" s="35"/>
    </row>
    <row r="149">
      <c r="A149" s="35" t="b">
        <v>0</v>
      </c>
      <c r="B149" s="35"/>
      <c r="C149" s="35"/>
      <c r="D149" s="35"/>
      <c r="E149" s="35"/>
      <c r="F149" s="35"/>
      <c r="G149" s="35"/>
      <c r="H149" s="35"/>
      <c r="I149" s="35"/>
      <c r="J149" s="35"/>
      <c r="K149" s="35"/>
      <c r="L149" s="35"/>
      <c r="M149" s="35"/>
      <c r="N149" s="35"/>
      <c r="O149" s="35"/>
      <c r="P149" s="35"/>
      <c r="Q149" s="35"/>
      <c r="R149" s="35"/>
      <c r="S149" s="35"/>
      <c r="T149" s="35"/>
      <c r="U149" s="35"/>
    </row>
    <row r="150">
      <c r="A150" s="35" t="b">
        <v>0</v>
      </c>
      <c r="B150" s="35"/>
      <c r="C150" s="35"/>
      <c r="D150" s="35"/>
      <c r="E150" s="35"/>
      <c r="F150" s="35"/>
      <c r="G150" s="35"/>
      <c r="H150" s="35"/>
      <c r="I150" s="35"/>
      <c r="J150" s="35"/>
      <c r="K150" s="35"/>
      <c r="L150" s="35"/>
      <c r="M150" s="35"/>
      <c r="N150" s="35"/>
      <c r="O150" s="35"/>
      <c r="P150" s="35"/>
      <c r="Q150" s="35"/>
      <c r="R150" s="35"/>
      <c r="S150" s="35"/>
      <c r="T150" s="35"/>
      <c r="U150" s="35"/>
    </row>
    <row r="151">
      <c r="A151" s="35" t="b">
        <v>0</v>
      </c>
      <c r="B151" s="35"/>
      <c r="C151" s="35"/>
      <c r="D151" s="35"/>
      <c r="E151" s="35"/>
      <c r="F151" s="35"/>
      <c r="G151" s="35"/>
      <c r="H151" s="35"/>
      <c r="I151" s="35"/>
      <c r="J151" s="35"/>
      <c r="K151" s="35"/>
      <c r="L151" s="35"/>
      <c r="M151" s="35"/>
      <c r="N151" s="35"/>
      <c r="O151" s="35"/>
      <c r="P151" s="35"/>
      <c r="Q151" s="35"/>
      <c r="R151" s="35"/>
      <c r="S151" s="35"/>
      <c r="T151" s="35"/>
      <c r="U151" s="35"/>
    </row>
    <row r="152">
      <c r="A152" s="35" t="b">
        <v>0</v>
      </c>
      <c r="B152" s="35"/>
      <c r="C152" s="35"/>
      <c r="D152" s="35"/>
      <c r="E152" s="35"/>
      <c r="F152" s="35"/>
      <c r="G152" s="35"/>
      <c r="H152" s="35"/>
      <c r="I152" s="35"/>
      <c r="J152" s="35"/>
      <c r="K152" s="35"/>
      <c r="L152" s="35"/>
      <c r="M152" s="35"/>
      <c r="N152" s="35"/>
      <c r="O152" s="35"/>
      <c r="P152" s="35"/>
      <c r="Q152" s="35"/>
      <c r="R152" s="35"/>
      <c r="S152" s="35"/>
      <c r="T152" s="35"/>
      <c r="U152" s="35"/>
    </row>
    <row r="153">
      <c r="A153" s="35" t="b">
        <v>0</v>
      </c>
      <c r="B153" s="35"/>
      <c r="C153" s="35"/>
      <c r="D153" s="35"/>
      <c r="E153" s="35"/>
      <c r="F153" s="35"/>
      <c r="G153" s="35"/>
      <c r="H153" s="35"/>
      <c r="I153" s="35"/>
      <c r="J153" s="35"/>
      <c r="K153" s="35"/>
      <c r="L153" s="35"/>
      <c r="M153" s="35"/>
      <c r="N153" s="35"/>
      <c r="O153" s="35"/>
      <c r="P153" s="35"/>
      <c r="Q153" s="35"/>
      <c r="R153" s="35"/>
      <c r="S153" s="35"/>
      <c r="T153" s="35"/>
      <c r="U153" s="35"/>
    </row>
    <row r="154">
      <c r="A154" s="35" t="b">
        <v>0</v>
      </c>
      <c r="B154" s="35"/>
      <c r="C154" s="35"/>
      <c r="D154" s="35"/>
      <c r="E154" s="35"/>
      <c r="F154" s="35"/>
      <c r="G154" s="35"/>
      <c r="H154" s="35"/>
      <c r="I154" s="35"/>
      <c r="J154" s="35"/>
      <c r="K154" s="35"/>
      <c r="L154" s="35"/>
      <c r="M154" s="35"/>
      <c r="N154" s="35"/>
      <c r="O154" s="35"/>
      <c r="P154" s="35"/>
      <c r="Q154" s="35"/>
      <c r="R154" s="35"/>
      <c r="S154" s="35"/>
      <c r="T154" s="35"/>
      <c r="U154" s="35"/>
    </row>
    <row r="155">
      <c r="A155" s="35" t="b">
        <v>0</v>
      </c>
      <c r="B155" s="35"/>
      <c r="C155" s="35"/>
      <c r="D155" s="35"/>
      <c r="E155" s="35"/>
      <c r="F155" s="35"/>
      <c r="G155" s="35"/>
      <c r="H155" s="35"/>
      <c r="I155" s="35"/>
      <c r="J155" s="35"/>
      <c r="K155" s="35"/>
      <c r="L155" s="35"/>
      <c r="M155" s="35"/>
      <c r="N155" s="35"/>
      <c r="O155" s="35"/>
      <c r="P155" s="35"/>
      <c r="Q155" s="35"/>
      <c r="R155" s="35"/>
      <c r="S155" s="35"/>
      <c r="T155" s="35"/>
      <c r="U155" s="35"/>
    </row>
    <row r="156">
      <c r="A156" s="35" t="b">
        <v>0</v>
      </c>
      <c r="B156" s="35"/>
      <c r="C156" s="35"/>
      <c r="D156" s="35"/>
      <c r="E156" s="35"/>
      <c r="F156" s="35"/>
      <c r="G156" s="35"/>
      <c r="H156" s="35"/>
      <c r="I156" s="35"/>
      <c r="J156" s="35"/>
      <c r="K156" s="35"/>
      <c r="L156" s="35"/>
      <c r="M156" s="35"/>
      <c r="N156" s="35"/>
      <c r="O156" s="35"/>
      <c r="P156" s="35"/>
      <c r="Q156" s="35"/>
      <c r="R156" s="35"/>
      <c r="S156" s="35"/>
      <c r="T156" s="35"/>
      <c r="U156" s="35"/>
    </row>
    <row r="157">
      <c r="A157" s="35" t="b">
        <v>0</v>
      </c>
      <c r="B157" s="35"/>
      <c r="C157" s="35"/>
      <c r="D157" s="35"/>
      <c r="E157" s="35"/>
      <c r="F157" s="35"/>
      <c r="G157" s="35"/>
      <c r="H157" s="35"/>
      <c r="I157" s="35"/>
      <c r="J157" s="35"/>
      <c r="K157" s="35"/>
      <c r="L157" s="35"/>
      <c r="M157" s="35"/>
      <c r="N157" s="35"/>
      <c r="O157" s="35"/>
      <c r="P157" s="35"/>
      <c r="Q157" s="35"/>
      <c r="R157" s="35"/>
      <c r="S157" s="35"/>
      <c r="T157" s="35"/>
      <c r="U157" s="35"/>
    </row>
    <row r="158">
      <c r="A158" s="35" t="b">
        <v>0</v>
      </c>
      <c r="B158" s="35"/>
      <c r="C158" s="35"/>
      <c r="D158" s="35"/>
      <c r="E158" s="35"/>
      <c r="F158" s="35"/>
      <c r="G158" s="35"/>
      <c r="H158" s="35"/>
      <c r="I158" s="35"/>
      <c r="J158" s="35"/>
      <c r="K158" s="35"/>
      <c r="L158" s="35"/>
      <c r="M158" s="35"/>
      <c r="N158" s="35"/>
      <c r="O158" s="35"/>
      <c r="P158" s="35"/>
      <c r="Q158" s="35"/>
      <c r="R158" s="35"/>
      <c r="S158" s="35"/>
      <c r="T158" s="35"/>
      <c r="U158" s="35"/>
    </row>
    <row r="159">
      <c r="A159" s="35" t="b">
        <v>0</v>
      </c>
      <c r="B159" s="35"/>
      <c r="C159" s="35"/>
      <c r="D159" s="35"/>
      <c r="E159" s="35"/>
      <c r="F159" s="35"/>
      <c r="G159" s="35"/>
      <c r="H159" s="35"/>
      <c r="I159" s="35"/>
      <c r="J159" s="35"/>
      <c r="K159" s="35"/>
      <c r="L159" s="35"/>
      <c r="M159" s="35"/>
      <c r="N159" s="35"/>
      <c r="O159" s="35"/>
      <c r="P159" s="35"/>
      <c r="Q159" s="35"/>
      <c r="R159" s="35"/>
      <c r="S159" s="35"/>
      <c r="T159" s="35"/>
      <c r="U159" s="35"/>
    </row>
    <row r="160">
      <c r="A160" s="35" t="b">
        <v>0</v>
      </c>
      <c r="B160" s="35"/>
      <c r="C160" s="35"/>
      <c r="D160" s="35"/>
      <c r="E160" s="35"/>
      <c r="F160" s="35"/>
      <c r="G160" s="35"/>
      <c r="H160" s="35"/>
      <c r="I160" s="35"/>
      <c r="J160" s="35"/>
      <c r="K160" s="35"/>
      <c r="L160" s="35"/>
      <c r="M160" s="35"/>
      <c r="N160" s="35"/>
      <c r="O160" s="35"/>
      <c r="P160" s="35"/>
      <c r="Q160" s="35"/>
      <c r="R160" s="35"/>
      <c r="S160" s="35"/>
      <c r="T160" s="35"/>
      <c r="U160" s="35"/>
    </row>
    <row r="161">
      <c r="A161" s="35" t="b">
        <v>0</v>
      </c>
      <c r="B161" s="35"/>
      <c r="C161" s="35"/>
      <c r="D161" s="35"/>
      <c r="E161" s="35"/>
      <c r="F161" s="35"/>
      <c r="G161" s="35"/>
      <c r="H161" s="35"/>
      <c r="I161" s="35"/>
      <c r="J161" s="35"/>
      <c r="K161" s="35"/>
      <c r="L161" s="35"/>
      <c r="M161" s="35"/>
      <c r="N161" s="35"/>
      <c r="O161" s="35"/>
      <c r="P161" s="35"/>
      <c r="Q161" s="35"/>
      <c r="R161" s="35"/>
      <c r="S161" s="35"/>
      <c r="T161" s="35"/>
      <c r="U161" s="35"/>
    </row>
    <row r="162">
      <c r="A162" s="35" t="b">
        <v>0</v>
      </c>
      <c r="B162" s="35"/>
      <c r="C162" s="35"/>
      <c r="D162" s="35"/>
      <c r="E162" s="35"/>
      <c r="F162" s="35"/>
      <c r="G162" s="35"/>
      <c r="H162" s="35"/>
      <c r="I162" s="35"/>
      <c r="J162" s="35"/>
      <c r="K162" s="35"/>
      <c r="L162" s="35"/>
      <c r="M162" s="35"/>
      <c r="N162" s="35"/>
      <c r="O162" s="35"/>
      <c r="P162" s="35"/>
      <c r="Q162" s="35"/>
      <c r="R162" s="35"/>
      <c r="S162" s="35"/>
      <c r="T162" s="35"/>
      <c r="U162" s="35"/>
    </row>
    <row r="163">
      <c r="A163" s="35" t="b">
        <v>0</v>
      </c>
      <c r="B163" s="35"/>
      <c r="C163" s="35"/>
      <c r="D163" s="35"/>
      <c r="E163" s="35"/>
      <c r="F163" s="35"/>
      <c r="G163" s="35"/>
      <c r="H163" s="35"/>
      <c r="I163" s="35"/>
      <c r="J163" s="35"/>
      <c r="K163" s="35"/>
      <c r="L163" s="35"/>
      <c r="M163" s="35"/>
      <c r="N163" s="35"/>
      <c r="O163" s="35"/>
      <c r="P163" s="35"/>
      <c r="Q163" s="35"/>
      <c r="R163" s="35"/>
      <c r="S163" s="35"/>
      <c r="T163" s="35"/>
      <c r="U163" s="35"/>
    </row>
    <row r="164">
      <c r="A164" s="35" t="b">
        <v>0</v>
      </c>
      <c r="B164" s="35"/>
      <c r="C164" s="35"/>
      <c r="D164" s="35"/>
      <c r="E164" s="35"/>
      <c r="F164" s="35"/>
      <c r="G164" s="35"/>
      <c r="H164" s="35"/>
      <c r="I164" s="35"/>
      <c r="J164" s="35"/>
      <c r="K164" s="35"/>
      <c r="L164" s="35"/>
      <c r="M164" s="35"/>
      <c r="N164" s="35"/>
      <c r="O164" s="35"/>
      <c r="P164" s="35"/>
      <c r="Q164" s="35"/>
      <c r="R164" s="35"/>
      <c r="S164" s="35"/>
      <c r="T164" s="35"/>
      <c r="U164" s="35"/>
    </row>
    <row r="165">
      <c r="A165" s="35" t="b">
        <v>0</v>
      </c>
      <c r="B165" s="35"/>
      <c r="C165" s="35"/>
      <c r="D165" s="35"/>
      <c r="E165" s="35"/>
      <c r="F165" s="35"/>
      <c r="G165" s="35"/>
      <c r="H165" s="35"/>
      <c r="I165" s="35"/>
      <c r="J165" s="35"/>
      <c r="K165" s="35"/>
      <c r="L165" s="35"/>
      <c r="M165" s="35"/>
      <c r="N165" s="35"/>
      <c r="O165" s="35"/>
      <c r="P165" s="35"/>
      <c r="Q165" s="35"/>
      <c r="R165" s="35"/>
      <c r="S165" s="35"/>
      <c r="T165" s="35"/>
      <c r="U165" s="35"/>
    </row>
    <row r="166">
      <c r="A166" s="35" t="b">
        <v>0</v>
      </c>
      <c r="B166" s="35"/>
      <c r="C166" s="35"/>
      <c r="D166" s="35"/>
      <c r="E166" s="35"/>
      <c r="F166" s="35"/>
      <c r="G166" s="35"/>
      <c r="H166" s="35"/>
      <c r="I166" s="35"/>
      <c r="J166" s="35"/>
      <c r="K166" s="35"/>
      <c r="L166" s="35"/>
      <c r="M166" s="35"/>
      <c r="N166" s="35"/>
      <c r="O166" s="35"/>
      <c r="P166" s="35"/>
      <c r="Q166" s="35"/>
      <c r="R166" s="35"/>
      <c r="S166" s="35"/>
      <c r="T166" s="35"/>
      <c r="U166" s="35"/>
    </row>
    <row r="167">
      <c r="A167" s="35" t="b">
        <v>0</v>
      </c>
      <c r="B167" s="35"/>
      <c r="C167" s="35"/>
      <c r="D167" s="35"/>
      <c r="E167" s="35"/>
      <c r="F167" s="35"/>
      <c r="G167" s="35"/>
      <c r="H167" s="35"/>
      <c r="I167" s="35"/>
      <c r="J167" s="35"/>
      <c r="K167" s="35"/>
      <c r="L167" s="35"/>
      <c r="M167" s="35"/>
      <c r="N167" s="35"/>
      <c r="O167" s="35"/>
      <c r="P167" s="35"/>
      <c r="Q167" s="35"/>
      <c r="R167" s="35"/>
      <c r="S167" s="35"/>
      <c r="T167" s="35"/>
      <c r="U167" s="35"/>
    </row>
    <row r="168">
      <c r="A168" s="35" t="b">
        <v>0</v>
      </c>
      <c r="B168" s="35"/>
      <c r="C168" s="35"/>
      <c r="D168" s="35"/>
      <c r="E168" s="35"/>
      <c r="F168" s="35"/>
      <c r="G168" s="35"/>
      <c r="H168" s="35"/>
      <c r="I168" s="35"/>
      <c r="J168" s="35"/>
      <c r="K168" s="35"/>
      <c r="L168" s="35"/>
      <c r="M168" s="35"/>
      <c r="N168" s="35"/>
      <c r="O168" s="35"/>
      <c r="P168" s="35"/>
      <c r="Q168" s="35"/>
      <c r="R168" s="35"/>
      <c r="S168" s="35"/>
      <c r="T168" s="35"/>
      <c r="U168" s="35"/>
    </row>
    <row r="169">
      <c r="A169" s="35" t="b">
        <v>0</v>
      </c>
      <c r="B169" s="35"/>
      <c r="C169" s="35"/>
      <c r="D169" s="35"/>
      <c r="E169" s="35"/>
      <c r="F169" s="35"/>
      <c r="G169" s="35"/>
      <c r="H169" s="35"/>
      <c r="I169" s="35"/>
      <c r="J169" s="35"/>
      <c r="K169" s="35"/>
      <c r="L169" s="35"/>
      <c r="M169" s="35"/>
      <c r="N169" s="35"/>
      <c r="O169" s="35"/>
      <c r="P169" s="35"/>
      <c r="Q169" s="35"/>
      <c r="R169" s="35"/>
      <c r="S169" s="35"/>
      <c r="T169" s="35"/>
      <c r="U169" s="35"/>
    </row>
    <row r="170">
      <c r="A170" s="35" t="b">
        <v>0</v>
      </c>
      <c r="B170" s="35"/>
      <c r="C170" s="35"/>
      <c r="D170" s="35"/>
      <c r="E170" s="35"/>
      <c r="F170" s="35"/>
      <c r="G170" s="35"/>
      <c r="H170" s="35"/>
      <c r="I170" s="35"/>
      <c r="J170" s="35"/>
      <c r="K170" s="35"/>
      <c r="L170" s="35"/>
      <c r="M170" s="35"/>
      <c r="N170" s="35"/>
      <c r="O170" s="35"/>
      <c r="P170" s="35"/>
      <c r="Q170" s="35"/>
      <c r="R170" s="35"/>
      <c r="S170" s="35"/>
      <c r="T170" s="35"/>
      <c r="U170" s="35"/>
    </row>
    <row r="171">
      <c r="A171" s="35" t="b">
        <v>0</v>
      </c>
      <c r="B171" s="35"/>
      <c r="C171" s="35"/>
      <c r="D171" s="35"/>
      <c r="E171" s="35"/>
      <c r="F171" s="35"/>
      <c r="G171" s="35"/>
      <c r="H171" s="35"/>
      <c r="I171" s="35"/>
      <c r="J171" s="35"/>
      <c r="K171" s="35"/>
      <c r="L171" s="35"/>
      <c r="M171" s="35"/>
      <c r="N171" s="35"/>
      <c r="O171" s="35"/>
      <c r="P171" s="35"/>
      <c r="Q171" s="35"/>
      <c r="R171" s="35"/>
      <c r="S171" s="35"/>
      <c r="T171" s="35"/>
      <c r="U171" s="35"/>
    </row>
    <row r="172">
      <c r="A172" s="35" t="b">
        <v>0</v>
      </c>
      <c r="B172" s="35"/>
      <c r="C172" s="35"/>
      <c r="D172" s="35"/>
      <c r="E172" s="35"/>
      <c r="F172" s="35"/>
      <c r="G172" s="35"/>
      <c r="H172" s="35"/>
      <c r="I172" s="35"/>
      <c r="J172" s="35"/>
      <c r="K172" s="35"/>
      <c r="L172" s="35"/>
      <c r="M172" s="35"/>
      <c r="N172" s="35"/>
      <c r="O172" s="35"/>
      <c r="P172" s="35"/>
      <c r="Q172" s="35"/>
      <c r="R172" s="35"/>
      <c r="S172" s="35"/>
      <c r="T172" s="35"/>
      <c r="U172" s="35"/>
    </row>
    <row r="173">
      <c r="A173" s="35" t="b">
        <v>0</v>
      </c>
      <c r="B173" s="35"/>
      <c r="C173" s="35"/>
      <c r="D173" s="35"/>
      <c r="E173" s="35"/>
      <c r="F173" s="35"/>
      <c r="G173" s="35"/>
      <c r="H173" s="35"/>
      <c r="I173" s="35"/>
      <c r="J173" s="35"/>
      <c r="K173" s="35"/>
      <c r="L173" s="35"/>
      <c r="M173" s="35"/>
      <c r="N173" s="35"/>
      <c r="O173" s="35"/>
      <c r="P173" s="35"/>
      <c r="Q173" s="35"/>
      <c r="R173" s="35"/>
      <c r="S173" s="35"/>
      <c r="T173" s="35"/>
      <c r="U173" s="35"/>
    </row>
    <row r="174">
      <c r="A174" s="35" t="b">
        <v>0</v>
      </c>
      <c r="B174" s="35"/>
      <c r="C174" s="35"/>
      <c r="D174" s="35"/>
      <c r="E174" s="35"/>
      <c r="F174" s="35"/>
      <c r="G174" s="35"/>
      <c r="H174" s="35"/>
      <c r="I174" s="35"/>
      <c r="J174" s="35"/>
      <c r="K174" s="35"/>
      <c r="L174" s="35"/>
      <c r="M174" s="35"/>
      <c r="N174" s="35"/>
      <c r="O174" s="35"/>
      <c r="P174" s="35"/>
      <c r="Q174" s="35"/>
      <c r="R174" s="35"/>
      <c r="S174" s="35"/>
      <c r="T174" s="35"/>
      <c r="U174" s="35"/>
    </row>
    <row r="175">
      <c r="A175" s="35" t="b">
        <v>0</v>
      </c>
      <c r="B175" s="35"/>
      <c r="C175" s="35"/>
      <c r="D175" s="35"/>
      <c r="E175" s="35"/>
      <c r="F175" s="35"/>
      <c r="G175" s="35"/>
      <c r="H175" s="35"/>
      <c r="I175" s="35"/>
      <c r="J175" s="35"/>
      <c r="K175" s="35"/>
      <c r="L175" s="35"/>
      <c r="M175" s="35"/>
      <c r="N175" s="35"/>
      <c r="O175" s="35"/>
      <c r="P175" s="35"/>
      <c r="Q175" s="35"/>
      <c r="R175" s="35"/>
      <c r="S175" s="35"/>
      <c r="T175" s="35"/>
      <c r="U175" s="35"/>
    </row>
    <row r="176">
      <c r="A176" s="35" t="b">
        <v>0</v>
      </c>
      <c r="B176" s="35"/>
      <c r="C176" s="35"/>
      <c r="D176" s="35"/>
      <c r="E176" s="35"/>
      <c r="F176" s="35"/>
      <c r="G176" s="35"/>
      <c r="H176" s="35"/>
      <c r="I176" s="35"/>
      <c r="J176" s="35"/>
      <c r="K176" s="35"/>
      <c r="L176" s="35"/>
      <c r="M176" s="35"/>
      <c r="N176" s="35"/>
      <c r="O176" s="35"/>
      <c r="P176" s="35"/>
      <c r="Q176" s="35"/>
      <c r="R176" s="35"/>
      <c r="S176" s="35"/>
      <c r="T176" s="35"/>
      <c r="U176" s="35"/>
    </row>
    <row r="177">
      <c r="A177" s="35" t="b">
        <v>0</v>
      </c>
      <c r="B177" s="35"/>
      <c r="C177" s="35"/>
      <c r="D177" s="35"/>
      <c r="E177" s="35"/>
      <c r="F177" s="35"/>
      <c r="G177" s="35"/>
      <c r="H177" s="35"/>
      <c r="I177" s="35"/>
      <c r="J177" s="35"/>
      <c r="K177" s="35"/>
      <c r="L177" s="35"/>
      <c r="M177" s="35"/>
      <c r="N177" s="35"/>
      <c r="O177" s="35"/>
      <c r="P177" s="35"/>
      <c r="Q177" s="35"/>
      <c r="R177" s="35"/>
      <c r="S177" s="35"/>
      <c r="T177" s="35"/>
      <c r="U177" s="35"/>
    </row>
    <row r="178">
      <c r="A178" s="35" t="b">
        <v>0</v>
      </c>
      <c r="B178" s="35"/>
      <c r="C178" s="35"/>
      <c r="D178" s="35"/>
      <c r="E178" s="35"/>
      <c r="F178" s="35"/>
      <c r="G178" s="35"/>
      <c r="H178" s="35"/>
      <c r="I178" s="35"/>
      <c r="J178" s="35"/>
      <c r="K178" s="35"/>
      <c r="L178" s="35"/>
      <c r="M178" s="35"/>
      <c r="N178" s="35"/>
      <c r="O178" s="35"/>
      <c r="P178" s="35"/>
      <c r="Q178" s="35"/>
      <c r="R178" s="35"/>
      <c r="S178" s="35"/>
      <c r="T178" s="35"/>
      <c r="U178" s="35"/>
    </row>
    <row r="179">
      <c r="A179" s="35" t="b">
        <v>0</v>
      </c>
      <c r="B179" s="35"/>
      <c r="C179" s="35"/>
      <c r="D179" s="35"/>
      <c r="E179" s="35"/>
      <c r="F179" s="35"/>
      <c r="G179" s="35"/>
      <c r="H179" s="35"/>
      <c r="I179" s="35"/>
      <c r="J179" s="35"/>
      <c r="K179" s="35"/>
      <c r="L179" s="35"/>
      <c r="M179" s="35"/>
      <c r="N179" s="35"/>
      <c r="O179" s="35"/>
      <c r="P179" s="35"/>
      <c r="Q179" s="35"/>
      <c r="R179" s="35"/>
      <c r="S179" s="35"/>
      <c r="T179" s="35"/>
      <c r="U179" s="35"/>
    </row>
    <row r="180">
      <c r="A180" s="35" t="b">
        <v>0</v>
      </c>
      <c r="B180" s="35"/>
      <c r="C180" s="35"/>
      <c r="D180" s="35"/>
      <c r="E180" s="35"/>
      <c r="F180" s="35"/>
      <c r="G180" s="35"/>
      <c r="H180" s="35"/>
      <c r="I180" s="35"/>
      <c r="J180" s="35"/>
      <c r="K180" s="35"/>
      <c r="L180" s="35"/>
      <c r="M180" s="35"/>
      <c r="N180" s="35"/>
      <c r="O180" s="35"/>
      <c r="P180" s="35"/>
      <c r="Q180" s="35"/>
      <c r="R180" s="35"/>
      <c r="S180" s="35"/>
      <c r="T180" s="35"/>
      <c r="U180" s="35"/>
    </row>
    <row r="181">
      <c r="A181" s="35" t="b">
        <v>0</v>
      </c>
      <c r="B181" s="35"/>
      <c r="C181" s="35"/>
      <c r="D181" s="35"/>
      <c r="E181" s="35"/>
      <c r="F181" s="35"/>
      <c r="G181" s="35"/>
      <c r="H181" s="35"/>
      <c r="I181" s="35"/>
      <c r="J181" s="35"/>
      <c r="K181" s="35"/>
      <c r="L181" s="35"/>
      <c r="M181" s="35"/>
      <c r="N181" s="35"/>
      <c r="O181" s="35"/>
      <c r="P181" s="35"/>
      <c r="Q181" s="35"/>
      <c r="R181" s="35"/>
      <c r="S181" s="35"/>
      <c r="T181" s="35"/>
      <c r="U181" s="35"/>
    </row>
    <row r="182">
      <c r="A182" s="35" t="b">
        <v>0</v>
      </c>
      <c r="B182" s="35"/>
      <c r="C182" s="35"/>
      <c r="D182" s="35"/>
      <c r="E182" s="35"/>
      <c r="F182" s="35"/>
      <c r="G182" s="35"/>
      <c r="H182" s="35"/>
      <c r="I182" s="35"/>
      <c r="J182" s="35"/>
      <c r="K182" s="35"/>
      <c r="L182" s="35"/>
      <c r="M182" s="35"/>
      <c r="N182" s="35"/>
      <c r="O182" s="35"/>
      <c r="P182" s="35"/>
      <c r="Q182" s="35"/>
      <c r="R182" s="35"/>
      <c r="S182" s="35"/>
      <c r="T182" s="35"/>
      <c r="U182" s="35"/>
    </row>
    <row r="183">
      <c r="A183" s="35" t="b">
        <v>0</v>
      </c>
      <c r="B183" s="35"/>
      <c r="C183" s="35"/>
      <c r="D183" s="35"/>
      <c r="E183" s="35"/>
      <c r="F183" s="35"/>
      <c r="G183" s="35"/>
      <c r="H183" s="35"/>
      <c r="I183" s="35"/>
      <c r="J183" s="35"/>
      <c r="K183" s="35"/>
      <c r="L183" s="35"/>
      <c r="M183" s="35"/>
      <c r="N183" s="35"/>
      <c r="O183" s="35"/>
      <c r="P183" s="35"/>
      <c r="Q183" s="35"/>
      <c r="R183" s="35"/>
      <c r="S183" s="35"/>
      <c r="T183" s="35"/>
      <c r="U183" s="35"/>
    </row>
    <row r="184">
      <c r="A184" s="35" t="b">
        <v>0</v>
      </c>
      <c r="B184" s="35"/>
      <c r="C184" s="35"/>
      <c r="D184" s="35"/>
      <c r="E184" s="35"/>
      <c r="F184" s="35"/>
      <c r="G184" s="35"/>
      <c r="H184" s="35"/>
      <c r="I184" s="35"/>
      <c r="J184" s="35"/>
      <c r="K184" s="35"/>
      <c r="L184" s="35"/>
      <c r="M184" s="35"/>
      <c r="N184" s="35"/>
      <c r="O184" s="35"/>
      <c r="P184" s="35"/>
      <c r="Q184" s="35"/>
      <c r="R184" s="35"/>
      <c r="S184" s="35"/>
      <c r="T184" s="35"/>
      <c r="U184" s="35"/>
    </row>
    <row r="185">
      <c r="A185" s="35" t="b">
        <v>0</v>
      </c>
      <c r="B185" s="35"/>
      <c r="C185" s="35"/>
      <c r="D185" s="35"/>
      <c r="E185" s="35"/>
      <c r="F185" s="35"/>
      <c r="G185" s="35"/>
      <c r="H185" s="35"/>
      <c r="I185" s="35"/>
      <c r="J185" s="35"/>
      <c r="K185" s="35"/>
      <c r="L185" s="35"/>
      <c r="M185" s="35"/>
      <c r="N185" s="35"/>
      <c r="O185" s="35"/>
      <c r="P185" s="35"/>
      <c r="Q185" s="35"/>
      <c r="R185" s="35"/>
      <c r="S185" s="35"/>
      <c r="T185" s="35"/>
      <c r="U185" s="35"/>
    </row>
    <row r="186">
      <c r="A186" s="35" t="b">
        <v>0</v>
      </c>
      <c r="B186" s="35"/>
      <c r="C186" s="35"/>
      <c r="D186" s="35"/>
      <c r="E186" s="35"/>
      <c r="F186" s="35"/>
      <c r="G186" s="35"/>
      <c r="H186" s="35"/>
      <c r="I186" s="35"/>
      <c r="J186" s="35"/>
      <c r="K186" s="35"/>
      <c r="L186" s="35"/>
      <c r="M186" s="35"/>
      <c r="N186" s="35"/>
      <c r="O186" s="35"/>
      <c r="P186" s="35"/>
      <c r="Q186" s="35"/>
      <c r="R186" s="35"/>
      <c r="S186" s="35"/>
      <c r="T186" s="35"/>
      <c r="U186" s="35"/>
    </row>
    <row r="187">
      <c r="A187" s="35" t="b">
        <v>0</v>
      </c>
      <c r="B187" s="35"/>
      <c r="C187" s="35"/>
      <c r="D187" s="35"/>
      <c r="E187" s="35"/>
      <c r="F187" s="35"/>
      <c r="G187" s="35"/>
      <c r="H187" s="35"/>
      <c r="I187" s="35"/>
      <c r="J187" s="35"/>
      <c r="K187" s="35"/>
      <c r="L187" s="35"/>
      <c r="M187" s="35"/>
      <c r="N187" s="35"/>
      <c r="O187" s="35"/>
      <c r="P187" s="35"/>
      <c r="Q187" s="35"/>
      <c r="R187" s="35"/>
      <c r="S187" s="35"/>
      <c r="T187" s="35"/>
      <c r="U187" s="35"/>
    </row>
    <row r="188">
      <c r="A188" s="35" t="b">
        <v>0</v>
      </c>
      <c r="B188" s="35"/>
      <c r="C188" s="35"/>
      <c r="D188" s="35"/>
      <c r="E188" s="35"/>
      <c r="F188" s="35"/>
      <c r="G188" s="35"/>
      <c r="H188" s="35"/>
      <c r="I188" s="35"/>
      <c r="J188" s="35"/>
      <c r="K188" s="35"/>
      <c r="L188" s="35"/>
      <c r="M188" s="35"/>
      <c r="N188" s="35"/>
      <c r="O188" s="35"/>
      <c r="P188" s="35"/>
      <c r="Q188" s="35"/>
      <c r="R188" s="35"/>
      <c r="S188" s="35"/>
      <c r="T188" s="35"/>
      <c r="U188" s="35"/>
    </row>
    <row r="189">
      <c r="A189" s="35" t="b">
        <v>0</v>
      </c>
      <c r="B189" s="35"/>
      <c r="C189" s="35"/>
      <c r="D189" s="35"/>
      <c r="E189" s="35"/>
      <c r="F189" s="35"/>
      <c r="G189" s="35"/>
      <c r="H189" s="35"/>
      <c r="I189" s="35"/>
      <c r="J189" s="35"/>
      <c r="K189" s="35"/>
      <c r="L189" s="35"/>
      <c r="M189" s="35"/>
      <c r="N189" s="35"/>
      <c r="O189" s="35"/>
      <c r="P189" s="35"/>
      <c r="Q189" s="35"/>
      <c r="R189" s="35"/>
      <c r="S189" s="35"/>
      <c r="T189" s="35"/>
      <c r="U189" s="35"/>
    </row>
    <row r="190">
      <c r="A190" s="35" t="b">
        <v>0</v>
      </c>
      <c r="B190" s="35"/>
      <c r="C190" s="35"/>
      <c r="D190" s="35"/>
      <c r="E190" s="35"/>
      <c r="F190" s="35"/>
      <c r="G190" s="35"/>
      <c r="H190" s="35"/>
      <c r="I190" s="35"/>
      <c r="J190" s="35"/>
      <c r="K190" s="35"/>
      <c r="L190" s="35"/>
      <c r="M190" s="35"/>
      <c r="N190" s="35"/>
      <c r="O190" s="35"/>
      <c r="P190" s="35"/>
      <c r="Q190" s="35"/>
      <c r="R190" s="35"/>
      <c r="S190" s="35"/>
      <c r="T190" s="35"/>
      <c r="U190" s="35"/>
    </row>
    <row r="191">
      <c r="A191" s="35" t="b">
        <v>0</v>
      </c>
      <c r="B191" s="35"/>
      <c r="C191" s="35"/>
      <c r="D191" s="35"/>
      <c r="E191" s="35"/>
      <c r="F191" s="35"/>
      <c r="G191" s="35"/>
      <c r="H191" s="35"/>
      <c r="I191" s="35"/>
      <c r="J191" s="35"/>
      <c r="K191" s="35"/>
      <c r="L191" s="35"/>
      <c r="M191" s="35"/>
      <c r="N191" s="35"/>
      <c r="O191" s="35"/>
      <c r="P191" s="35"/>
      <c r="Q191" s="35"/>
      <c r="R191" s="35"/>
      <c r="S191" s="35"/>
      <c r="T191" s="35"/>
      <c r="U191" s="35"/>
    </row>
    <row r="192">
      <c r="A192" s="35" t="b">
        <v>0</v>
      </c>
      <c r="B192" s="35"/>
      <c r="C192" s="35"/>
      <c r="D192" s="35"/>
      <c r="E192" s="35"/>
      <c r="F192" s="35"/>
      <c r="G192" s="35"/>
      <c r="H192" s="35"/>
      <c r="I192" s="35"/>
      <c r="J192" s="35"/>
      <c r="K192" s="35"/>
      <c r="L192" s="35"/>
      <c r="M192" s="35"/>
      <c r="N192" s="35"/>
      <c r="O192" s="35"/>
      <c r="P192" s="35"/>
      <c r="Q192" s="35"/>
      <c r="R192" s="35"/>
      <c r="S192" s="35"/>
      <c r="T192" s="35"/>
      <c r="U192" s="35"/>
    </row>
    <row r="193">
      <c r="A193" s="35" t="b">
        <v>0</v>
      </c>
      <c r="B193" s="35"/>
      <c r="C193" s="35"/>
      <c r="D193" s="35"/>
      <c r="E193" s="35"/>
      <c r="F193" s="35"/>
      <c r="G193" s="35"/>
      <c r="H193" s="35"/>
      <c r="I193" s="35"/>
      <c r="J193" s="35"/>
      <c r="K193" s="35"/>
      <c r="L193" s="35"/>
      <c r="M193" s="35"/>
      <c r="N193" s="35"/>
      <c r="O193" s="35"/>
      <c r="P193" s="35"/>
      <c r="Q193" s="35"/>
      <c r="R193" s="35"/>
      <c r="S193" s="35"/>
      <c r="T193" s="35"/>
      <c r="U193" s="35"/>
    </row>
    <row r="194">
      <c r="A194" s="35" t="b">
        <v>0</v>
      </c>
      <c r="B194" s="35"/>
      <c r="C194" s="35"/>
      <c r="D194" s="35"/>
      <c r="E194" s="35"/>
      <c r="F194" s="35"/>
      <c r="G194" s="35"/>
      <c r="H194" s="35"/>
      <c r="I194" s="35"/>
      <c r="J194" s="35"/>
      <c r="K194" s="35"/>
      <c r="L194" s="35"/>
      <c r="M194" s="35"/>
      <c r="N194" s="35"/>
      <c r="O194" s="35"/>
      <c r="P194" s="35"/>
      <c r="Q194" s="35"/>
      <c r="R194" s="35"/>
      <c r="S194" s="35"/>
      <c r="T194" s="35"/>
      <c r="U194" s="35"/>
    </row>
    <row r="195">
      <c r="A195" s="35" t="b">
        <v>0</v>
      </c>
      <c r="B195" s="35"/>
      <c r="C195" s="35"/>
      <c r="D195" s="35"/>
      <c r="E195" s="35"/>
      <c r="F195" s="35"/>
      <c r="G195" s="35"/>
      <c r="H195" s="35"/>
      <c r="I195" s="35"/>
      <c r="J195" s="35"/>
      <c r="K195" s="35"/>
      <c r="L195" s="35"/>
      <c r="M195" s="35"/>
      <c r="N195" s="35"/>
      <c r="O195" s="35"/>
      <c r="P195" s="35"/>
      <c r="Q195" s="35"/>
      <c r="R195" s="35"/>
      <c r="S195" s="35"/>
      <c r="T195" s="35"/>
      <c r="U195" s="35"/>
    </row>
    <row r="196">
      <c r="A196" s="35" t="b">
        <v>0</v>
      </c>
      <c r="B196" s="35"/>
      <c r="C196" s="35"/>
      <c r="D196" s="35"/>
      <c r="E196" s="35"/>
      <c r="F196" s="35"/>
      <c r="G196" s="35"/>
      <c r="H196" s="35"/>
      <c r="I196" s="35"/>
      <c r="J196" s="35"/>
      <c r="K196" s="35"/>
      <c r="L196" s="35"/>
      <c r="M196" s="35"/>
      <c r="N196" s="35"/>
      <c r="O196" s="35"/>
      <c r="P196" s="35"/>
      <c r="Q196" s="35"/>
      <c r="R196" s="35"/>
      <c r="S196" s="35"/>
      <c r="T196" s="35"/>
      <c r="U196" s="35"/>
    </row>
    <row r="197">
      <c r="A197" s="35" t="b">
        <v>0</v>
      </c>
      <c r="B197" s="35"/>
      <c r="C197" s="35"/>
      <c r="D197" s="35"/>
      <c r="E197" s="35"/>
      <c r="F197" s="35"/>
      <c r="G197" s="35"/>
      <c r="H197" s="35"/>
      <c r="I197" s="35"/>
      <c r="J197" s="35"/>
      <c r="K197" s="35"/>
      <c r="L197" s="35"/>
      <c r="M197" s="35"/>
      <c r="N197" s="35"/>
      <c r="O197" s="35"/>
      <c r="P197" s="35"/>
      <c r="Q197" s="35"/>
      <c r="R197" s="35"/>
      <c r="S197" s="35"/>
      <c r="T197" s="35"/>
      <c r="U197" s="35"/>
    </row>
    <row r="198">
      <c r="A198" s="35" t="b">
        <v>0</v>
      </c>
      <c r="B198" s="35"/>
      <c r="C198" s="35"/>
      <c r="D198" s="35"/>
      <c r="E198" s="35"/>
      <c r="F198" s="35"/>
      <c r="G198" s="35"/>
      <c r="H198" s="35"/>
      <c r="I198" s="35"/>
      <c r="J198" s="35"/>
      <c r="K198" s="35"/>
      <c r="L198" s="35"/>
      <c r="M198" s="35"/>
      <c r="N198" s="35"/>
      <c r="O198" s="35"/>
      <c r="P198" s="35"/>
      <c r="Q198" s="35"/>
      <c r="R198" s="35"/>
      <c r="S198" s="35"/>
      <c r="T198" s="35"/>
      <c r="U198" s="35"/>
    </row>
    <row r="199">
      <c r="A199" s="35" t="b">
        <v>0</v>
      </c>
      <c r="B199" s="35"/>
      <c r="C199" s="35"/>
      <c r="D199" s="35"/>
      <c r="E199" s="35"/>
      <c r="F199" s="35"/>
      <c r="G199" s="35"/>
      <c r="H199" s="35"/>
      <c r="I199" s="35"/>
      <c r="J199" s="35"/>
      <c r="K199" s="35"/>
      <c r="L199" s="35"/>
      <c r="M199" s="35"/>
      <c r="N199" s="35"/>
      <c r="O199" s="35"/>
      <c r="P199" s="35"/>
      <c r="Q199" s="35"/>
      <c r="R199" s="35"/>
      <c r="S199" s="35"/>
      <c r="T199" s="35"/>
      <c r="U199" s="35"/>
    </row>
    <row r="200">
      <c r="A200" s="35" t="b">
        <v>0</v>
      </c>
      <c r="B200" s="35"/>
      <c r="C200" s="35"/>
      <c r="D200" s="35"/>
      <c r="E200" s="35"/>
      <c r="F200" s="35"/>
      <c r="G200" s="35"/>
      <c r="H200" s="35"/>
      <c r="I200" s="35"/>
      <c r="J200" s="35"/>
      <c r="K200" s="35"/>
      <c r="L200" s="35"/>
      <c r="M200" s="35"/>
      <c r="N200" s="35"/>
      <c r="O200" s="35"/>
      <c r="P200" s="35"/>
      <c r="Q200" s="35"/>
      <c r="R200" s="35"/>
      <c r="S200" s="35"/>
      <c r="T200" s="35"/>
      <c r="U200" s="35"/>
    </row>
    <row r="201">
      <c r="A201" s="35" t="b">
        <v>0</v>
      </c>
      <c r="B201" s="35"/>
      <c r="C201" s="35"/>
      <c r="D201" s="35"/>
      <c r="E201" s="35"/>
      <c r="F201" s="35"/>
      <c r="G201" s="35"/>
      <c r="H201" s="35"/>
      <c r="I201" s="35"/>
      <c r="J201" s="35"/>
      <c r="K201" s="35"/>
      <c r="L201" s="35"/>
      <c r="M201" s="35"/>
      <c r="N201" s="35"/>
      <c r="O201" s="35"/>
      <c r="P201" s="35"/>
      <c r="Q201" s="35"/>
      <c r="R201" s="35"/>
      <c r="S201" s="35"/>
      <c r="T201" s="35"/>
      <c r="U201" s="35"/>
    </row>
    <row r="202">
      <c r="A202" s="35" t="b">
        <v>0</v>
      </c>
      <c r="B202" s="35"/>
      <c r="C202" s="35"/>
      <c r="D202" s="35"/>
      <c r="E202" s="35"/>
      <c r="F202" s="35"/>
      <c r="G202" s="35"/>
      <c r="H202" s="35"/>
      <c r="I202" s="35"/>
      <c r="J202" s="35"/>
      <c r="K202" s="35"/>
      <c r="L202" s="35"/>
      <c r="M202" s="35"/>
      <c r="N202" s="35"/>
      <c r="O202" s="35"/>
      <c r="P202" s="35"/>
      <c r="Q202" s="35"/>
      <c r="R202" s="35"/>
      <c r="S202" s="35"/>
      <c r="T202" s="35"/>
      <c r="U202" s="35"/>
    </row>
    <row r="203">
      <c r="A203" s="35" t="b">
        <v>0</v>
      </c>
      <c r="B203" s="35"/>
      <c r="C203" s="35"/>
      <c r="D203" s="35"/>
      <c r="E203" s="35"/>
      <c r="F203" s="35"/>
      <c r="G203" s="35"/>
      <c r="H203" s="35"/>
      <c r="I203" s="35"/>
      <c r="J203" s="35"/>
      <c r="K203" s="35"/>
      <c r="L203" s="35"/>
      <c r="M203" s="35"/>
      <c r="N203" s="35"/>
      <c r="O203" s="35"/>
      <c r="P203" s="35"/>
      <c r="Q203" s="35"/>
      <c r="R203" s="35"/>
      <c r="S203" s="35"/>
      <c r="T203" s="35"/>
      <c r="U203" s="35"/>
    </row>
    <row r="204">
      <c r="A204" s="35" t="b">
        <v>0</v>
      </c>
      <c r="B204" s="35"/>
      <c r="C204" s="35"/>
      <c r="D204" s="35"/>
      <c r="E204" s="35"/>
      <c r="F204" s="35"/>
      <c r="G204" s="35"/>
      <c r="H204" s="35"/>
      <c r="I204" s="35"/>
      <c r="J204" s="35"/>
      <c r="K204" s="35"/>
      <c r="L204" s="35"/>
      <c r="M204" s="35"/>
      <c r="N204" s="35"/>
      <c r="O204" s="35"/>
      <c r="P204" s="35"/>
      <c r="Q204" s="35"/>
      <c r="R204" s="35"/>
      <c r="S204" s="35"/>
      <c r="T204" s="35"/>
      <c r="U204" s="35"/>
    </row>
    <row r="205">
      <c r="A205" s="35" t="b">
        <v>0</v>
      </c>
      <c r="B205" s="35"/>
      <c r="C205" s="35"/>
      <c r="D205" s="35"/>
      <c r="E205" s="35"/>
      <c r="F205" s="35"/>
      <c r="G205" s="35"/>
      <c r="H205" s="35"/>
      <c r="I205" s="35"/>
      <c r="J205" s="35"/>
      <c r="K205" s="35"/>
      <c r="L205" s="35"/>
      <c r="M205" s="35"/>
      <c r="N205" s="35"/>
      <c r="O205" s="35"/>
      <c r="P205" s="35"/>
      <c r="Q205" s="35"/>
      <c r="R205" s="35"/>
      <c r="S205" s="35"/>
      <c r="T205" s="35"/>
      <c r="U205" s="35"/>
    </row>
    <row r="206">
      <c r="A206" s="35" t="b">
        <v>0</v>
      </c>
      <c r="B206" s="35"/>
      <c r="C206" s="35"/>
      <c r="D206" s="35"/>
      <c r="E206" s="35"/>
      <c r="F206" s="35"/>
      <c r="G206" s="35"/>
      <c r="H206" s="35"/>
      <c r="I206" s="35"/>
      <c r="J206" s="35"/>
      <c r="K206" s="35"/>
      <c r="L206" s="35"/>
      <c r="M206" s="35"/>
      <c r="N206" s="35"/>
      <c r="O206" s="35"/>
      <c r="P206" s="35"/>
      <c r="Q206" s="35"/>
      <c r="R206" s="35"/>
      <c r="S206" s="35"/>
      <c r="T206" s="35"/>
      <c r="U206" s="35"/>
    </row>
    <row r="207">
      <c r="A207" s="35" t="b">
        <v>0</v>
      </c>
      <c r="B207" s="35"/>
      <c r="C207" s="35"/>
      <c r="D207" s="35"/>
      <c r="E207" s="35"/>
      <c r="F207" s="35"/>
      <c r="G207" s="35"/>
      <c r="H207" s="35"/>
      <c r="I207" s="35"/>
      <c r="J207" s="35"/>
      <c r="K207" s="35"/>
      <c r="L207" s="35"/>
      <c r="M207" s="35"/>
      <c r="N207" s="35"/>
      <c r="O207" s="35"/>
      <c r="P207" s="35"/>
      <c r="Q207" s="35"/>
      <c r="R207" s="35"/>
      <c r="S207" s="35"/>
      <c r="T207" s="35"/>
      <c r="U207" s="35"/>
    </row>
    <row r="208">
      <c r="A208" s="35" t="b">
        <v>0</v>
      </c>
      <c r="B208" s="35"/>
      <c r="C208" s="35"/>
      <c r="D208" s="35"/>
      <c r="E208" s="35"/>
      <c r="F208" s="35"/>
      <c r="G208" s="35"/>
      <c r="H208" s="35"/>
      <c r="I208" s="35"/>
      <c r="J208" s="35"/>
      <c r="K208" s="35"/>
      <c r="L208" s="35"/>
      <c r="M208" s="35"/>
      <c r="N208" s="35"/>
      <c r="O208" s="35"/>
      <c r="P208" s="35"/>
      <c r="Q208" s="35"/>
      <c r="R208" s="35"/>
      <c r="S208" s="35"/>
      <c r="T208" s="35"/>
      <c r="U208" s="35"/>
    </row>
    <row r="209">
      <c r="A209" s="35" t="b">
        <v>0</v>
      </c>
      <c r="B209" s="35"/>
      <c r="C209" s="35"/>
      <c r="D209" s="35"/>
      <c r="E209" s="35"/>
      <c r="F209" s="35"/>
      <c r="G209" s="35"/>
      <c r="H209" s="35"/>
      <c r="I209" s="35"/>
      <c r="J209" s="35"/>
      <c r="K209" s="35"/>
      <c r="L209" s="35"/>
      <c r="M209" s="35"/>
      <c r="N209" s="35"/>
      <c r="O209" s="35"/>
      <c r="P209" s="35"/>
      <c r="Q209" s="35"/>
      <c r="R209" s="35"/>
      <c r="S209" s="35"/>
      <c r="T209" s="35"/>
      <c r="U209" s="35"/>
    </row>
    <row r="210">
      <c r="A210" s="35" t="b">
        <v>0</v>
      </c>
      <c r="B210" s="35"/>
      <c r="C210" s="35"/>
      <c r="D210" s="35"/>
      <c r="E210" s="35"/>
      <c r="F210" s="35"/>
      <c r="G210" s="35"/>
      <c r="H210" s="35"/>
      <c r="I210" s="35"/>
      <c r="J210" s="35"/>
      <c r="K210" s="35"/>
      <c r="L210" s="35"/>
      <c r="M210" s="35"/>
      <c r="N210" s="35"/>
      <c r="O210" s="35"/>
      <c r="P210" s="35"/>
      <c r="Q210" s="35"/>
      <c r="R210" s="35"/>
      <c r="S210" s="35"/>
      <c r="T210" s="35"/>
      <c r="U210" s="35"/>
    </row>
    <row r="211">
      <c r="A211" s="35" t="b">
        <v>0</v>
      </c>
      <c r="B211" s="35"/>
      <c r="C211" s="35"/>
      <c r="D211" s="35"/>
      <c r="E211" s="35"/>
      <c r="F211" s="35"/>
      <c r="G211" s="35"/>
      <c r="H211" s="35"/>
      <c r="I211" s="35"/>
      <c r="J211" s="35"/>
      <c r="K211" s="35"/>
      <c r="L211" s="35"/>
      <c r="M211" s="35"/>
      <c r="N211" s="35"/>
      <c r="O211" s="35"/>
      <c r="P211" s="35"/>
      <c r="Q211" s="35"/>
      <c r="R211" s="35"/>
      <c r="S211" s="35"/>
      <c r="T211" s="35"/>
      <c r="U211" s="35"/>
    </row>
    <row r="212">
      <c r="A212" s="35" t="b">
        <v>0</v>
      </c>
      <c r="B212" s="35"/>
      <c r="C212" s="35"/>
      <c r="D212" s="35"/>
      <c r="E212" s="35"/>
      <c r="F212" s="35"/>
      <c r="G212" s="35"/>
      <c r="H212" s="35"/>
      <c r="I212" s="35"/>
      <c r="J212" s="35"/>
      <c r="K212" s="35"/>
      <c r="L212" s="35"/>
      <c r="M212" s="35"/>
      <c r="N212" s="35"/>
      <c r="O212" s="35"/>
      <c r="P212" s="35"/>
      <c r="Q212" s="35"/>
      <c r="R212" s="35"/>
      <c r="S212" s="35"/>
      <c r="T212" s="35"/>
      <c r="U212" s="35"/>
    </row>
    <row r="213">
      <c r="A213" s="35" t="b">
        <v>0</v>
      </c>
      <c r="B213" s="35"/>
      <c r="C213" s="35"/>
      <c r="D213" s="35"/>
      <c r="E213" s="35"/>
      <c r="F213" s="35"/>
      <c r="G213" s="35"/>
      <c r="H213" s="35"/>
      <c r="I213" s="35"/>
      <c r="J213" s="35"/>
      <c r="K213" s="35"/>
      <c r="L213" s="35"/>
      <c r="M213" s="35"/>
      <c r="N213" s="35"/>
      <c r="O213" s="35"/>
      <c r="P213" s="35"/>
      <c r="Q213" s="35"/>
      <c r="R213" s="35"/>
      <c r="S213" s="35"/>
      <c r="T213" s="35"/>
      <c r="U213" s="35"/>
    </row>
    <row r="214">
      <c r="A214" s="35" t="b">
        <v>0</v>
      </c>
      <c r="B214" s="35"/>
      <c r="C214" s="35"/>
      <c r="D214" s="35"/>
      <c r="E214" s="35"/>
      <c r="F214" s="35"/>
      <c r="G214" s="35"/>
      <c r="H214" s="35"/>
      <c r="I214" s="35"/>
      <c r="J214" s="35"/>
      <c r="K214" s="35"/>
      <c r="L214" s="35"/>
      <c r="M214" s="35"/>
      <c r="N214" s="35"/>
      <c r="O214" s="35"/>
      <c r="P214" s="35"/>
      <c r="Q214" s="35"/>
      <c r="R214" s="35"/>
      <c r="S214" s="35"/>
      <c r="T214" s="35"/>
      <c r="U214" s="35"/>
    </row>
    <row r="215">
      <c r="A215" s="35" t="b">
        <v>0</v>
      </c>
      <c r="B215" s="35"/>
      <c r="C215" s="35"/>
      <c r="D215" s="35"/>
      <c r="E215" s="35"/>
      <c r="F215" s="35"/>
      <c r="G215" s="35"/>
      <c r="H215" s="35"/>
      <c r="I215" s="35"/>
      <c r="J215" s="35"/>
      <c r="K215" s="35"/>
      <c r="L215" s="35"/>
      <c r="M215" s="35"/>
      <c r="N215" s="35"/>
      <c r="O215" s="35"/>
      <c r="P215" s="35"/>
      <c r="Q215" s="35"/>
      <c r="R215" s="35"/>
      <c r="S215" s="35"/>
      <c r="T215" s="35"/>
      <c r="U215" s="35"/>
    </row>
    <row r="216">
      <c r="A216" s="35" t="b">
        <v>0</v>
      </c>
      <c r="B216" s="35"/>
      <c r="C216" s="35"/>
      <c r="D216" s="35"/>
      <c r="E216" s="35"/>
      <c r="F216" s="35"/>
      <c r="G216" s="35"/>
      <c r="H216" s="35"/>
      <c r="I216" s="35"/>
      <c r="J216" s="35"/>
      <c r="K216" s="35"/>
      <c r="L216" s="35"/>
      <c r="M216" s="35"/>
      <c r="N216" s="35"/>
      <c r="O216" s="35"/>
      <c r="P216" s="35"/>
      <c r="Q216" s="35"/>
      <c r="R216" s="35"/>
      <c r="S216" s="35"/>
      <c r="T216" s="35"/>
      <c r="U216" s="35"/>
    </row>
    <row r="217">
      <c r="A217" s="35" t="b">
        <v>0</v>
      </c>
      <c r="B217" s="35"/>
      <c r="C217" s="35"/>
      <c r="D217" s="35"/>
      <c r="E217" s="35"/>
      <c r="F217" s="35"/>
      <c r="G217" s="35"/>
      <c r="H217" s="35"/>
      <c r="I217" s="35"/>
      <c r="J217" s="35"/>
      <c r="K217" s="35"/>
      <c r="L217" s="35"/>
      <c r="M217" s="35"/>
      <c r="N217" s="35"/>
      <c r="O217" s="35"/>
      <c r="P217" s="35"/>
      <c r="Q217" s="35"/>
      <c r="R217" s="35"/>
      <c r="S217" s="35"/>
      <c r="T217" s="35"/>
      <c r="U217" s="35"/>
    </row>
    <row r="218">
      <c r="A218" s="35" t="b">
        <v>0</v>
      </c>
      <c r="B218" s="35"/>
      <c r="C218" s="35"/>
      <c r="D218" s="35"/>
      <c r="E218" s="35"/>
      <c r="F218" s="35"/>
      <c r="G218" s="35"/>
      <c r="H218" s="35"/>
      <c r="I218" s="35"/>
      <c r="J218" s="35"/>
      <c r="K218" s="35"/>
      <c r="L218" s="35"/>
      <c r="M218" s="35"/>
      <c r="N218" s="35"/>
      <c r="O218" s="35"/>
      <c r="P218" s="35"/>
      <c r="Q218" s="35"/>
      <c r="R218" s="35"/>
      <c r="S218" s="35"/>
      <c r="T218" s="35"/>
      <c r="U218" s="35"/>
    </row>
    <row r="219">
      <c r="A219" s="35" t="b">
        <v>0</v>
      </c>
      <c r="B219" s="35"/>
      <c r="C219" s="35"/>
      <c r="D219" s="35"/>
      <c r="E219" s="35"/>
      <c r="F219" s="35"/>
      <c r="G219" s="35"/>
      <c r="H219" s="35"/>
      <c r="I219" s="35"/>
      <c r="J219" s="35"/>
      <c r="K219" s="35"/>
      <c r="L219" s="35"/>
      <c r="M219" s="35"/>
      <c r="N219" s="35"/>
      <c r="O219" s="35"/>
      <c r="P219" s="35"/>
      <c r="Q219" s="35"/>
      <c r="R219" s="35"/>
      <c r="S219" s="35"/>
      <c r="T219" s="35"/>
      <c r="U219" s="35"/>
    </row>
    <row r="220">
      <c r="A220" s="35" t="b">
        <v>0</v>
      </c>
      <c r="B220" s="35"/>
      <c r="C220" s="35"/>
      <c r="D220" s="35"/>
      <c r="E220" s="35"/>
      <c r="F220" s="35"/>
      <c r="G220" s="35"/>
      <c r="H220" s="35"/>
      <c r="I220" s="35"/>
      <c r="J220" s="35"/>
      <c r="K220" s="35"/>
      <c r="L220" s="35"/>
      <c r="M220" s="35"/>
      <c r="N220" s="35"/>
      <c r="O220" s="35"/>
      <c r="P220" s="35"/>
      <c r="Q220" s="35"/>
      <c r="R220" s="35"/>
      <c r="S220" s="35"/>
      <c r="T220" s="35"/>
      <c r="U220" s="35"/>
    </row>
    <row r="221">
      <c r="A221" s="35" t="b">
        <v>0</v>
      </c>
      <c r="B221" s="35"/>
      <c r="C221" s="35"/>
      <c r="D221" s="35"/>
      <c r="E221" s="35"/>
      <c r="F221" s="35"/>
      <c r="G221" s="35"/>
      <c r="H221" s="35"/>
      <c r="I221" s="35"/>
      <c r="J221" s="35"/>
      <c r="K221" s="35"/>
      <c r="L221" s="35"/>
      <c r="M221" s="35"/>
      <c r="N221" s="35"/>
      <c r="O221" s="35"/>
      <c r="P221" s="35"/>
      <c r="Q221" s="35"/>
      <c r="R221" s="35"/>
      <c r="S221" s="35"/>
      <c r="T221" s="35"/>
      <c r="U221" s="35"/>
    </row>
    <row r="222">
      <c r="A222" s="35" t="b">
        <v>0</v>
      </c>
      <c r="B222" s="35"/>
      <c r="C222" s="35"/>
      <c r="D222" s="35"/>
      <c r="E222" s="35"/>
      <c r="F222" s="35"/>
      <c r="G222" s="35"/>
      <c r="H222" s="35"/>
      <c r="I222" s="35"/>
      <c r="J222" s="35"/>
      <c r="K222" s="35"/>
      <c r="L222" s="35"/>
      <c r="M222" s="35"/>
      <c r="N222" s="35"/>
      <c r="O222" s="35"/>
      <c r="P222" s="35"/>
      <c r="Q222" s="35"/>
      <c r="R222" s="35"/>
      <c r="S222" s="35"/>
      <c r="T222" s="35"/>
      <c r="U222" s="35"/>
    </row>
    <row r="223">
      <c r="A223" s="35" t="b">
        <v>0</v>
      </c>
      <c r="B223" s="35"/>
      <c r="C223" s="35"/>
      <c r="D223" s="35"/>
      <c r="E223" s="35"/>
      <c r="F223" s="35"/>
      <c r="G223" s="35"/>
      <c r="H223" s="35"/>
      <c r="I223" s="35"/>
      <c r="J223" s="35"/>
      <c r="K223" s="35"/>
      <c r="L223" s="35"/>
      <c r="M223" s="35"/>
      <c r="N223" s="35"/>
      <c r="O223" s="35"/>
      <c r="P223" s="35"/>
      <c r="Q223" s="35"/>
      <c r="R223" s="35"/>
      <c r="S223" s="35"/>
      <c r="T223" s="35"/>
      <c r="U223" s="35"/>
    </row>
    <row r="224">
      <c r="A224" s="35" t="b">
        <v>0</v>
      </c>
      <c r="B224" s="35"/>
      <c r="C224" s="35"/>
      <c r="D224" s="35"/>
      <c r="E224" s="35"/>
      <c r="F224" s="35"/>
      <c r="G224" s="35"/>
      <c r="H224" s="35"/>
      <c r="I224" s="35"/>
      <c r="J224" s="35"/>
      <c r="K224" s="35"/>
      <c r="L224" s="35"/>
      <c r="M224" s="35"/>
      <c r="N224" s="35"/>
      <c r="O224" s="35"/>
      <c r="P224" s="35"/>
      <c r="Q224" s="35"/>
      <c r="R224" s="35"/>
      <c r="S224" s="35"/>
      <c r="T224" s="35"/>
      <c r="U224" s="35"/>
    </row>
    <row r="225">
      <c r="A225" s="35" t="b">
        <v>0</v>
      </c>
      <c r="B225" s="35"/>
      <c r="C225" s="35"/>
      <c r="D225" s="35"/>
      <c r="E225" s="35"/>
      <c r="F225" s="35"/>
      <c r="G225" s="35"/>
      <c r="H225" s="35"/>
      <c r="I225" s="35"/>
      <c r="J225" s="35"/>
      <c r="K225" s="35"/>
      <c r="L225" s="35"/>
      <c r="M225" s="35"/>
      <c r="N225" s="35"/>
      <c r="O225" s="35"/>
      <c r="P225" s="35"/>
      <c r="Q225" s="35"/>
      <c r="R225" s="35"/>
      <c r="S225" s="35"/>
      <c r="T225" s="35"/>
      <c r="U225" s="35"/>
    </row>
    <row r="226">
      <c r="A226" s="35" t="b">
        <v>0</v>
      </c>
      <c r="B226" s="35"/>
      <c r="C226" s="35"/>
      <c r="D226" s="35"/>
      <c r="E226" s="35"/>
      <c r="F226" s="35"/>
      <c r="G226" s="35"/>
      <c r="H226" s="35"/>
      <c r="I226" s="35"/>
      <c r="J226" s="35"/>
      <c r="K226" s="35"/>
      <c r="L226" s="35"/>
      <c r="M226" s="35"/>
      <c r="N226" s="35"/>
      <c r="O226" s="35"/>
      <c r="P226" s="35"/>
      <c r="Q226" s="35"/>
      <c r="R226" s="35"/>
      <c r="S226" s="35"/>
      <c r="T226" s="35"/>
      <c r="U226" s="35"/>
    </row>
    <row r="227">
      <c r="A227" s="35" t="b">
        <v>0</v>
      </c>
      <c r="B227" s="35"/>
      <c r="C227" s="35"/>
      <c r="D227" s="35"/>
      <c r="E227" s="35"/>
      <c r="F227" s="35"/>
      <c r="G227" s="35"/>
      <c r="H227" s="35"/>
      <c r="I227" s="35"/>
      <c r="J227" s="35"/>
      <c r="K227" s="35"/>
      <c r="L227" s="35"/>
      <c r="M227" s="35"/>
      <c r="N227" s="35"/>
      <c r="O227" s="35"/>
      <c r="P227" s="35"/>
      <c r="Q227" s="35"/>
      <c r="R227" s="35"/>
      <c r="S227" s="35"/>
      <c r="T227" s="35"/>
      <c r="U227" s="35"/>
    </row>
    <row r="228">
      <c r="A228" s="35" t="b">
        <v>0</v>
      </c>
      <c r="B228" s="35"/>
      <c r="C228" s="35"/>
      <c r="D228" s="35"/>
      <c r="E228" s="35"/>
      <c r="F228" s="35"/>
      <c r="G228" s="35"/>
      <c r="H228" s="35"/>
      <c r="I228" s="35"/>
      <c r="J228" s="35"/>
      <c r="K228" s="35"/>
      <c r="L228" s="35"/>
      <c r="M228" s="35"/>
      <c r="N228" s="35"/>
      <c r="O228" s="35"/>
      <c r="P228" s="35"/>
      <c r="Q228" s="35"/>
      <c r="R228" s="35"/>
      <c r="S228" s="35"/>
      <c r="T228" s="35"/>
      <c r="U228" s="35"/>
    </row>
    <row r="229">
      <c r="A229" s="35" t="b">
        <v>0</v>
      </c>
      <c r="B229" s="35"/>
      <c r="C229" s="35"/>
      <c r="D229" s="35"/>
      <c r="E229" s="35"/>
      <c r="F229" s="35"/>
      <c r="G229" s="35"/>
      <c r="H229" s="35"/>
      <c r="I229" s="35"/>
      <c r="J229" s="35"/>
      <c r="K229" s="35"/>
      <c r="L229" s="35"/>
      <c r="M229" s="35"/>
      <c r="N229" s="35"/>
      <c r="O229" s="35"/>
      <c r="P229" s="35"/>
      <c r="Q229" s="35"/>
      <c r="R229" s="35"/>
      <c r="S229" s="35"/>
      <c r="T229" s="35"/>
      <c r="U229" s="35"/>
    </row>
    <row r="230">
      <c r="A230" s="35" t="b">
        <v>0</v>
      </c>
      <c r="B230" s="35"/>
      <c r="C230" s="35"/>
      <c r="D230" s="35"/>
      <c r="E230" s="35"/>
      <c r="F230" s="35"/>
      <c r="G230" s="35"/>
      <c r="H230" s="35"/>
      <c r="I230" s="35"/>
      <c r="J230" s="35"/>
      <c r="K230" s="35"/>
      <c r="L230" s="35"/>
      <c r="M230" s="35"/>
      <c r="N230" s="35"/>
      <c r="O230" s="35"/>
      <c r="P230" s="35"/>
      <c r="Q230" s="35"/>
      <c r="R230" s="35"/>
      <c r="S230" s="35"/>
      <c r="T230" s="35"/>
      <c r="U230" s="35"/>
    </row>
    <row r="231">
      <c r="A231" s="35" t="b">
        <v>0</v>
      </c>
      <c r="B231" s="35"/>
      <c r="C231" s="35"/>
      <c r="D231" s="35"/>
      <c r="E231" s="35"/>
      <c r="F231" s="35"/>
      <c r="G231" s="35"/>
      <c r="H231" s="35"/>
      <c r="I231" s="35"/>
      <c r="J231" s="35"/>
      <c r="K231" s="35"/>
      <c r="L231" s="35"/>
      <c r="M231" s="35"/>
      <c r="N231" s="35"/>
      <c r="O231" s="35"/>
      <c r="P231" s="35"/>
      <c r="Q231" s="35"/>
      <c r="R231" s="35"/>
      <c r="S231" s="35"/>
      <c r="T231" s="35"/>
      <c r="U231" s="35"/>
    </row>
    <row r="232">
      <c r="A232" s="35" t="b">
        <v>0</v>
      </c>
      <c r="B232" s="35"/>
      <c r="C232" s="35"/>
      <c r="D232" s="35"/>
      <c r="E232" s="35"/>
      <c r="F232" s="35"/>
      <c r="G232" s="35"/>
      <c r="H232" s="35"/>
      <c r="I232" s="35"/>
      <c r="J232" s="35"/>
      <c r="K232" s="35"/>
      <c r="L232" s="35"/>
      <c r="M232" s="35"/>
      <c r="N232" s="35"/>
      <c r="O232" s="35"/>
      <c r="P232" s="35"/>
      <c r="Q232" s="35"/>
      <c r="R232" s="35"/>
      <c r="S232" s="35"/>
      <c r="T232" s="35"/>
      <c r="U232" s="35"/>
    </row>
    <row r="233">
      <c r="A233" s="35" t="b">
        <v>0</v>
      </c>
      <c r="B233" s="35"/>
      <c r="C233" s="35"/>
      <c r="D233" s="35"/>
      <c r="E233" s="35"/>
      <c r="F233" s="35"/>
      <c r="G233" s="35"/>
      <c r="H233" s="35"/>
      <c r="I233" s="35"/>
      <c r="J233" s="35"/>
      <c r="K233" s="35"/>
      <c r="L233" s="35"/>
      <c r="M233" s="35"/>
      <c r="N233" s="35"/>
      <c r="O233" s="35"/>
      <c r="P233" s="35"/>
      <c r="Q233" s="35"/>
      <c r="R233" s="35"/>
      <c r="S233" s="35"/>
      <c r="T233" s="35"/>
      <c r="U233" s="35"/>
    </row>
    <row r="234">
      <c r="A234" s="35" t="b">
        <v>0</v>
      </c>
      <c r="B234" s="35"/>
      <c r="C234" s="35"/>
      <c r="D234" s="35"/>
      <c r="E234" s="35"/>
      <c r="F234" s="35"/>
      <c r="G234" s="35"/>
      <c r="H234" s="35"/>
      <c r="I234" s="35"/>
      <c r="J234" s="35"/>
      <c r="K234" s="35"/>
      <c r="L234" s="35"/>
      <c r="M234" s="35"/>
      <c r="N234" s="35"/>
      <c r="O234" s="35"/>
      <c r="P234" s="35"/>
      <c r="Q234" s="35"/>
      <c r="R234" s="35"/>
      <c r="S234" s="35"/>
      <c r="T234" s="35"/>
      <c r="U234" s="35"/>
    </row>
    <row r="235">
      <c r="A235" s="35" t="b">
        <v>0</v>
      </c>
      <c r="B235" s="35"/>
      <c r="C235" s="35"/>
      <c r="D235" s="35"/>
      <c r="E235" s="35"/>
      <c r="F235" s="35"/>
      <c r="G235" s="35"/>
      <c r="H235" s="35"/>
      <c r="I235" s="35"/>
      <c r="J235" s="35"/>
      <c r="K235" s="35"/>
      <c r="L235" s="35"/>
      <c r="M235" s="35"/>
      <c r="N235" s="35"/>
      <c r="O235" s="35"/>
      <c r="P235" s="35"/>
      <c r="Q235" s="35"/>
      <c r="R235" s="35"/>
      <c r="S235" s="35"/>
      <c r="T235" s="35"/>
      <c r="U235" s="35"/>
    </row>
    <row r="236">
      <c r="A236" s="35" t="b">
        <v>0</v>
      </c>
      <c r="B236" s="35"/>
      <c r="C236" s="35"/>
      <c r="D236" s="35"/>
      <c r="E236" s="35"/>
      <c r="F236" s="35"/>
      <c r="G236" s="35"/>
      <c r="H236" s="35"/>
      <c r="I236" s="35"/>
      <c r="J236" s="35"/>
      <c r="K236" s="35"/>
      <c r="L236" s="35"/>
      <c r="M236" s="35"/>
      <c r="N236" s="35"/>
      <c r="O236" s="35"/>
      <c r="P236" s="35"/>
      <c r="Q236" s="35"/>
      <c r="R236" s="35"/>
      <c r="S236" s="35"/>
      <c r="T236" s="35"/>
      <c r="U236" s="35"/>
    </row>
    <row r="237">
      <c r="A237" s="35" t="b">
        <v>0</v>
      </c>
      <c r="B237" s="35"/>
      <c r="C237" s="35"/>
      <c r="D237" s="35"/>
      <c r="E237" s="35"/>
      <c r="F237" s="35"/>
      <c r="G237" s="35"/>
      <c r="H237" s="35"/>
      <c r="I237" s="35"/>
      <c r="J237" s="35"/>
      <c r="K237" s="35"/>
      <c r="L237" s="35"/>
      <c r="M237" s="35"/>
      <c r="N237" s="35"/>
      <c r="O237" s="35"/>
      <c r="P237" s="35"/>
      <c r="Q237" s="35"/>
      <c r="R237" s="35"/>
      <c r="S237" s="35"/>
      <c r="T237" s="35"/>
      <c r="U237" s="35"/>
    </row>
    <row r="238">
      <c r="A238" s="35" t="b">
        <v>0</v>
      </c>
      <c r="B238" s="35"/>
      <c r="C238" s="35"/>
      <c r="D238" s="35"/>
      <c r="E238" s="35"/>
      <c r="F238" s="35"/>
      <c r="G238" s="35"/>
      <c r="H238" s="35"/>
      <c r="I238" s="35"/>
      <c r="J238" s="35"/>
      <c r="K238" s="35"/>
      <c r="L238" s="35"/>
      <c r="M238" s="35"/>
      <c r="N238" s="35"/>
      <c r="O238" s="35"/>
      <c r="P238" s="35"/>
      <c r="Q238" s="35"/>
      <c r="R238" s="35"/>
      <c r="S238" s="35"/>
      <c r="T238" s="35"/>
      <c r="U238" s="35"/>
    </row>
    <row r="239">
      <c r="A239" s="35" t="b">
        <v>0</v>
      </c>
      <c r="B239" s="35"/>
      <c r="C239" s="35"/>
      <c r="D239" s="35"/>
      <c r="E239" s="35"/>
      <c r="F239" s="35"/>
      <c r="G239" s="35"/>
      <c r="H239" s="35"/>
      <c r="I239" s="35"/>
      <c r="J239" s="35"/>
      <c r="K239" s="35"/>
      <c r="L239" s="35"/>
      <c r="M239" s="35"/>
      <c r="N239" s="35"/>
      <c r="O239" s="35"/>
      <c r="P239" s="35"/>
      <c r="Q239" s="35"/>
      <c r="R239" s="35"/>
      <c r="S239" s="35"/>
      <c r="T239" s="35"/>
      <c r="U239" s="35"/>
    </row>
    <row r="240">
      <c r="A240" s="35" t="b">
        <v>0</v>
      </c>
      <c r="B240" s="35"/>
      <c r="C240" s="35"/>
      <c r="D240" s="35"/>
      <c r="E240" s="35"/>
      <c r="F240" s="35"/>
      <c r="G240" s="35"/>
      <c r="H240" s="35"/>
      <c r="I240" s="35"/>
      <c r="J240" s="35"/>
      <c r="K240" s="35"/>
      <c r="L240" s="35"/>
      <c r="M240" s="35"/>
      <c r="N240" s="35"/>
      <c r="O240" s="35"/>
      <c r="P240" s="35"/>
      <c r="Q240" s="35"/>
      <c r="R240" s="35"/>
      <c r="S240" s="35"/>
      <c r="T240" s="35"/>
      <c r="U240" s="35"/>
    </row>
    <row r="241">
      <c r="A241" s="35" t="b">
        <v>0</v>
      </c>
      <c r="B241" s="35"/>
      <c r="C241" s="35"/>
      <c r="D241" s="35"/>
      <c r="E241" s="35"/>
      <c r="F241" s="35"/>
      <c r="G241" s="35"/>
      <c r="H241" s="35"/>
      <c r="I241" s="35"/>
      <c r="J241" s="35"/>
      <c r="K241" s="35"/>
      <c r="L241" s="35"/>
      <c r="M241" s="35"/>
      <c r="N241" s="35"/>
      <c r="O241" s="35"/>
      <c r="P241" s="35"/>
      <c r="Q241" s="35"/>
      <c r="R241" s="35"/>
      <c r="S241" s="35"/>
      <c r="T241" s="35"/>
      <c r="U241" s="35"/>
    </row>
    <row r="242">
      <c r="A242" s="35" t="b">
        <v>0</v>
      </c>
      <c r="B242" s="35"/>
      <c r="C242" s="35"/>
      <c r="D242" s="35"/>
      <c r="E242" s="35"/>
      <c r="F242" s="35"/>
      <c r="G242" s="35"/>
      <c r="H242" s="35"/>
      <c r="I242" s="35"/>
      <c r="J242" s="35"/>
      <c r="K242" s="35"/>
      <c r="L242" s="35"/>
      <c r="M242" s="35"/>
      <c r="N242" s="35"/>
      <c r="O242" s="35"/>
      <c r="P242" s="35"/>
      <c r="Q242" s="35"/>
      <c r="R242" s="35"/>
      <c r="S242" s="35"/>
      <c r="T242" s="35"/>
      <c r="U242" s="35"/>
    </row>
    <row r="243">
      <c r="A243" s="35" t="b">
        <v>0</v>
      </c>
      <c r="B243" s="35"/>
      <c r="C243" s="35"/>
      <c r="D243" s="35"/>
      <c r="E243" s="35"/>
      <c r="F243" s="35"/>
      <c r="G243" s="35"/>
      <c r="H243" s="35"/>
      <c r="I243" s="35"/>
      <c r="J243" s="35"/>
      <c r="K243" s="35"/>
      <c r="L243" s="35"/>
      <c r="M243" s="35"/>
      <c r="N243" s="35"/>
      <c r="O243" s="35"/>
      <c r="P243" s="35"/>
      <c r="Q243" s="35"/>
      <c r="R243" s="35"/>
      <c r="S243" s="35"/>
      <c r="T243" s="35"/>
      <c r="U243" s="35"/>
    </row>
    <row r="244">
      <c r="A244" s="35" t="b">
        <v>0</v>
      </c>
      <c r="B244" s="35"/>
      <c r="C244" s="35"/>
      <c r="D244" s="35"/>
      <c r="E244" s="35"/>
      <c r="F244" s="35"/>
      <c r="G244" s="35"/>
      <c r="H244" s="35"/>
      <c r="I244" s="35"/>
      <c r="J244" s="35"/>
      <c r="K244" s="35"/>
      <c r="L244" s="35"/>
      <c r="M244" s="35"/>
      <c r="N244" s="35"/>
      <c r="O244" s="35"/>
      <c r="P244" s="35"/>
      <c r="Q244" s="35"/>
      <c r="R244" s="35"/>
      <c r="S244" s="35"/>
      <c r="T244" s="35"/>
      <c r="U244" s="35"/>
    </row>
    <row r="245">
      <c r="A245" s="35" t="b">
        <v>0</v>
      </c>
      <c r="B245" s="35"/>
      <c r="C245" s="35"/>
      <c r="D245" s="35"/>
      <c r="E245" s="35"/>
      <c r="F245" s="35"/>
      <c r="G245" s="35"/>
      <c r="H245" s="35"/>
      <c r="I245" s="35"/>
      <c r="J245" s="35"/>
      <c r="K245" s="35"/>
      <c r="L245" s="35"/>
      <c r="M245" s="35"/>
      <c r="N245" s="35"/>
      <c r="O245" s="35"/>
      <c r="P245" s="35"/>
      <c r="Q245" s="35"/>
      <c r="R245" s="35"/>
      <c r="S245" s="35"/>
      <c r="T245" s="35"/>
      <c r="U245" s="35"/>
    </row>
    <row r="246">
      <c r="A246" s="35" t="b">
        <v>0</v>
      </c>
      <c r="B246" s="35"/>
      <c r="C246" s="35"/>
      <c r="D246" s="35"/>
      <c r="E246" s="35"/>
      <c r="F246" s="35"/>
      <c r="G246" s="35"/>
      <c r="H246" s="35"/>
      <c r="I246" s="35"/>
      <c r="J246" s="35"/>
      <c r="K246" s="35"/>
      <c r="L246" s="35"/>
      <c r="M246" s="35"/>
      <c r="N246" s="35"/>
      <c r="O246" s="35"/>
      <c r="P246" s="35"/>
      <c r="Q246" s="35"/>
      <c r="R246" s="35"/>
      <c r="S246" s="35"/>
      <c r="T246" s="35"/>
      <c r="U246" s="35"/>
    </row>
    <row r="247">
      <c r="A247" s="35" t="b">
        <v>0</v>
      </c>
      <c r="B247" s="35"/>
      <c r="C247" s="35"/>
      <c r="D247" s="35"/>
      <c r="E247" s="35"/>
      <c r="F247" s="35"/>
      <c r="G247" s="35"/>
      <c r="H247" s="35"/>
      <c r="I247" s="35"/>
      <c r="J247" s="35"/>
      <c r="K247" s="35"/>
      <c r="L247" s="35"/>
      <c r="M247" s="35"/>
      <c r="N247" s="35"/>
      <c r="O247" s="35"/>
      <c r="P247" s="35"/>
      <c r="Q247" s="35"/>
      <c r="R247" s="35"/>
      <c r="S247" s="35"/>
      <c r="T247" s="35"/>
      <c r="U247" s="35"/>
    </row>
    <row r="248">
      <c r="A248" s="35" t="b">
        <v>0</v>
      </c>
      <c r="B248" s="35"/>
      <c r="C248" s="35"/>
      <c r="D248" s="35"/>
      <c r="E248" s="35"/>
      <c r="F248" s="35"/>
      <c r="G248" s="35"/>
      <c r="H248" s="35"/>
      <c r="I248" s="35"/>
      <c r="J248" s="35"/>
      <c r="K248" s="35"/>
      <c r="L248" s="35"/>
      <c r="M248" s="35"/>
      <c r="N248" s="35"/>
      <c r="O248" s="35"/>
      <c r="P248" s="35"/>
      <c r="Q248" s="35"/>
      <c r="R248" s="35"/>
      <c r="S248" s="35"/>
      <c r="T248" s="35"/>
      <c r="U248" s="35"/>
    </row>
    <row r="249">
      <c r="A249" s="35" t="b">
        <v>0</v>
      </c>
      <c r="B249" s="35"/>
      <c r="C249" s="35"/>
      <c r="D249" s="35"/>
      <c r="E249" s="35"/>
      <c r="F249" s="35"/>
      <c r="G249" s="35"/>
      <c r="H249" s="35"/>
      <c r="I249" s="35"/>
      <c r="J249" s="35"/>
      <c r="K249" s="35"/>
      <c r="L249" s="35"/>
      <c r="M249" s="35"/>
      <c r="N249" s="35"/>
      <c r="O249" s="35"/>
      <c r="P249" s="35"/>
      <c r="Q249" s="35"/>
      <c r="R249" s="35"/>
      <c r="S249" s="35"/>
      <c r="T249" s="35"/>
      <c r="U249" s="35"/>
    </row>
    <row r="250">
      <c r="A250" s="35" t="b">
        <v>0</v>
      </c>
      <c r="B250" s="35"/>
      <c r="C250" s="35"/>
      <c r="D250" s="35"/>
      <c r="E250" s="35"/>
      <c r="F250" s="35"/>
      <c r="G250" s="35"/>
      <c r="H250" s="35"/>
      <c r="I250" s="35"/>
      <c r="J250" s="35"/>
      <c r="K250" s="35"/>
      <c r="L250" s="35"/>
      <c r="M250" s="35"/>
      <c r="N250" s="35"/>
      <c r="O250" s="35"/>
      <c r="P250" s="35"/>
      <c r="Q250" s="35"/>
      <c r="R250" s="35"/>
      <c r="S250" s="35"/>
      <c r="T250" s="35"/>
      <c r="U250" s="35"/>
    </row>
    <row r="251">
      <c r="A251" s="35" t="b">
        <v>0</v>
      </c>
      <c r="B251" s="35"/>
      <c r="C251" s="35"/>
      <c r="D251" s="35"/>
      <c r="E251" s="35"/>
      <c r="F251" s="35"/>
      <c r="G251" s="35"/>
      <c r="H251" s="35"/>
      <c r="I251" s="35"/>
      <c r="J251" s="35"/>
      <c r="K251" s="35"/>
      <c r="L251" s="35"/>
      <c r="M251" s="35"/>
      <c r="N251" s="35"/>
      <c r="O251" s="35"/>
      <c r="P251" s="35"/>
      <c r="Q251" s="35"/>
      <c r="R251" s="35"/>
      <c r="S251" s="35"/>
      <c r="T251" s="35"/>
      <c r="U251" s="35"/>
    </row>
    <row r="252">
      <c r="A252" s="35" t="b">
        <v>0</v>
      </c>
      <c r="B252" s="35"/>
      <c r="C252" s="35"/>
      <c r="D252" s="35"/>
      <c r="E252" s="35"/>
      <c r="F252" s="35"/>
      <c r="G252" s="35"/>
      <c r="H252" s="35"/>
      <c r="I252" s="35"/>
      <c r="J252" s="35"/>
      <c r="K252" s="35"/>
      <c r="L252" s="35"/>
      <c r="M252" s="35"/>
      <c r="N252" s="35"/>
      <c r="O252" s="35"/>
      <c r="P252" s="35"/>
      <c r="Q252" s="35"/>
      <c r="R252" s="35"/>
      <c r="S252" s="35"/>
      <c r="T252" s="35"/>
      <c r="U252" s="35"/>
    </row>
    <row r="253">
      <c r="A253" s="35" t="b">
        <v>0</v>
      </c>
      <c r="B253" s="35"/>
      <c r="C253" s="35"/>
      <c r="D253" s="35"/>
      <c r="E253" s="35"/>
      <c r="F253" s="35"/>
      <c r="G253" s="35"/>
      <c r="H253" s="35"/>
      <c r="I253" s="35"/>
      <c r="J253" s="35"/>
      <c r="K253" s="35"/>
      <c r="L253" s="35"/>
      <c r="M253" s="35"/>
      <c r="N253" s="35"/>
      <c r="O253" s="35"/>
      <c r="P253" s="35"/>
      <c r="Q253" s="35"/>
      <c r="R253" s="35"/>
      <c r="S253" s="35"/>
      <c r="T253" s="35"/>
      <c r="U253" s="35"/>
    </row>
    <row r="254">
      <c r="A254" s="35" t="b">
        <v>0</v>
      </c>
      <c r="B254" s="35"/>
      <c r="C254" s="35"/>
      <c r="D254" s="35"/>
      <c r="E254" s="35"/>
      <c r="F254" s="35"/>
      <c r="G254" s="35"/>
      <c r="H254" s="35"/>
      <c r="I254" s="35"/>
      <c r="J254" s="35"/>
      <c r="K254" s="35"/>
      <c r="L254" s="35"/>
      <c r="M254" s="35"/>
      <c r="N254" s="35"/>
      <c r="O254" s="35"/>
      <c r="P254" s="35"/>
      <c r="Q254" s="35"/>
      <c r="R254" s="35"/>
      <c r="S254" s="35"/>
      <c r="T254" s="35"/>
      <c r="U254" s="35"/>
    </row>
    <row r="255">
      <c r="A255" s="35" t="b">
        <v>0</v>
      </c>
      <c r="B255" s="35"/>
      <c r="C255" s="35"/>
      <c r="D255" s="35"/>
      <c r="E255" s="35"/>
      <c r="F255" s="35"/>
      <c r="G255" s="35"/>
      <c r="H255" s="35"/>
      <c r="I255" s="35"/>
      <c r="J255" s="35"/>
      <c r="K255" s="35"/>
      <c r="L255" s="35"/>
      <c r="M255" s="35"/>
      <c r="N255" s="35"/>
      <c r="O255" s="35"/>
      <c r="P255" s="35"/>
      <c r="Q255" s="35"/>
      <c r="R255" s="35"/>
      <c r="S255" s="35"/>
      <c r="T255" s="35"/>
      <c r="U255" s="35"/>
    </row>
    <row r="256">
      <c r="A256" s="35" t="b">
        <v>0</v>
      </c>
      <c r="B256" s="35"/>
      <c r="C256" s="35"/>
      <c r="D256" s="35"/>
      <c r="E256" s="35"/>
      <c r="F256" s="35"/>
      <c r="G256" s="35"/>
      <c r="H256" s="35"/>
      <c r="I256" s="35"/>
      <c r="J256" s="35"/>
      <c r="K256" s="35"/>
      <c r="L256" s="35"/>
      <c r="M256" s="35"/>
      <c r="N256" s="35"/>
      <c r="O256" s="35"/>
      <c r="P256" s="35"/>
      <c r="Q256" s="35"/>
      <c r="R256" s="35"/>
      <c r="S256" s="35"/>
      <c r="T256" s="35"/>
      <c r="U256" s="35"/>
    </row>
    <row r="257">
      <c r="A257" s="35" t="b">
        <v>0</v>
      </c>
      <c r="B257" s="35"/>
      <c r="C257" s="35"/>
      <c r="D257" s="35"/>
      <c r="E257" s="35"/>
      <c r="F257" s="35"/>
      <c r="G257" s="35"/>
      <c r="H257" s="35"/>
      <c r="I257" s="35"/>
      <c r="J257" s="35"/>
      <c r="K257" s="35"/>
      <c r="L257" s="35"/>
      <c r="M257" s="35"/>
      <c r="N257" s="35"/>
      <c r="O257" s="35"/>
      <c r="P257" s="35"/>
      <c r="Q257" s="35"/>
      <c r="R257" s="35"/>
      <c r="S257" s="35"/>
      <c r="T257" s="35"/>
      <c r="U257" s="35"/>
    </row>
    <row r="258">
      <c r="A258" s="35" t="b">
        <v>0</v>
      </c>
      <c r="B258" s="35"/>
      <c r="C258" s="35"/>
      <c r="D258" s="35"/>
      <c r="E258" s="35"/>
      <c r="F258" s="35"/>
      <c r="G258" s="35"/>
      <c r="H258" s="35"/>
      <c r="I258" s="35"/>
      <c r="J258" s="35"/>
      <c r="K258" s="35"/>
      <c r="L258" s="35"/>
      <c r="M258" s="35"/>
      <c r="N258" s="35"/>
      <c r="O258" s="35"/>
      <c r="P258" s="35"/>
      <c r="Q258" s="35"/>
      <c r="R258" s="35"/>
      <c r="S258" s="35"/>
      <c r="T258" s="35"/>
      <c r="U258" s="35"/>
    </row>
    <row r="259">
      <c r="A259" s="35" t="b">
        <v>0</v>
      </c>
      <c r="B259" s="35"/>
      <c r="C259" s="35"/>
      <c r="D259" s="35"/>
      <c r="E259" s="35"/>
      <c r="F259" s="35"/>
      <c r="G259" s="35"/>
      <c r="H259" s="35"/>
      <c r="I259" s="35"/>
      <c r="J259" s="35"/>
      <c r="K259" s="35"/>
      <c r="L259" s="35"/>
      <c r="M259" s="35"/>
      <c r="N259" s="35"/>
      <c r="O259" s="35"/>
      <c r="P259" s="35"/>
      <c r="Q259" s="35"/>
      <c r="R259" s="35"/>
      <c r="S259" s="35"/>
      <c r="T259" s="35"/>
      <c r="U259" s="35"/>
    </row>
    <row r="260">
      <c r="A260" s="35" t="b">
        <v>0</v>
      </c>
      <c r="B260" s="35"/>
      <c r="C260" s="35"/>
      <c r="D260" s="35"/>
      <c r="E260" s="35"/>
      <c r="F260" s="35"/>
      <c r="G260" s="35"/>
      <c r="H260" s="35"/>
      <c r="I260" s="35"/>
      <c r="J260" s="35"/>
      <c r="K260" s="35"/>
      <c r="L260" s="35"/>
      <c r="M260" s="35"/>
      <c r="N260" s="35"/>
      <c r="O260" s="35"/>
      <c r="P260" s="35"/>
      <c r="Q260" s="35"/>
      <c r="R260" s="35"/>
      <c r="S260" s="35"/>
      <c r="T260" s="35"/>
      <c r="U260" s="35"/>
    </row>
    <row r="261">
      <c r="A261" s="35" t="b">
        <v>0</v>
      </c>
      <c r="B261" s="35"/>
      <c r="C261" s="35"/>
      <c r="D261" s="35"/>
      <c r="E261" s="35"/>
      <c r="F261" s="35"/>
      <c r="G261" s="35"/>
      <c r="H261" s="35"/>
      <c r="I261" s="35"/>
      <c r="J261" s="35"/>
      <c r="K261" s="35"/>
      <c r="L261" s="35"/>
      <c r="M261" s="35"/>
      <c r="N261" s="35"/>
      <c r="O261" s="35"/>
      <c r="P261" s="35"/>
      <c r="Q261" s="35"/>
      <c r="R261" s="35"/>
      <c r="S261" s="35"/>
      <c r="T261" s="35"/>
      <c r="U261" s="35"/>
    </row>
    <row r="262">
      <c r="A262" s="35" t="b">
        <v>0</v>
      </c>
      <c r="B262" s="35"/>
      <c r="C262" s="35"/>
      <c r="D262" s="35"/>
      <c r="E262" s="35"/>
      <c r="F262" s="35"/>
      <c r="G262" s="35"/>
      <c r="H262" s="35"/>
      <c r="I262" s="35"/>
      <c r="J262" s="35"/>
      <c r="K262" s="35"/>
      <c r="L262" s="35"/>
      <c r="M262" s="35"/>
      <c r="N262" s="35"/>
      <c r="O262" s="35"/>
      <c r="P262" s="35"/>
      <c r="Q262" s="35"/>
      <c r="R262" s="35"/>
      <c r="S262" s="35"/>
      <c r="T262" s="35"/>
      <c r="U262" s="35"/>
    </row>
    <row r="263">
      <c r="A263" s="35" t="b">
        <v>0</v>
      </c>
      <c r="B263" s="35"/>
      <c r="C263" s="35"/>
      <c r="D263" s="35"/>
      <c r="E263" s="35"/>
      <c r="F263" s="35"/>
      <c r="G263" s="35"/>
      <c r="H263" s="35"/>
      <c r="I263" s="35"/>
      <c r="J263" s="35"/>
      <c r="K263" s="35"/>
      <c r="L263" s="35"/>
      <c r="M263" s="35"/>
      <c r="N263" s="35"/>
      <c r="O263" s="35"/>
      <c r="P263" s="35"/>
      <c r="Q263" s="35"/>
      <c r="R263" s="35"/>
      <c r="S263" s="35"/>
      <c r="T263" s="35"/>
      <c r="U263" s="35"/>
    </row>
    <row r="264">
      <c r="A264" s="35" t="b">
        <v>0</v>
      </c>
      <c r="B264" s="35"/>
      <c r="C264" s="35"/>
      <c r="D264" s="35"/>
      <c r="E264" s="35"/>
      <c r="F264" s="35"/>
      <c r="G264" s="35"/>
      <c r="H264" s="35"/>
      <c r="I264" s="35"/>
      <c r="J264" s="35"/>
      <c r="K264" s="35"/>
      <c r="L264" s="35"/>
      <c r="M264" s="35"/>
      <c r="N264" s="35"/>
      <c r="O264" s="35"/>
      <c r="P264" s="35"/>
      <c r="Q264" s="35"/>
      <c r="R264" s="35"/>
      <c r="S264" s="35"/>
      <c r="T264" s="35"/>
      <c r="U264" s="35"/>
    </row>
    <row r="265">
      <c r="A265" s="35" t="b">
        <v>0</v>
      </c>
      <c r="B265" s="35"/>
      <c r="C265" s="35"/>
      <c r="D265" s="35"/>
      <c r="E265" s="35"/>
      <c r="F265" s="35"/>
      <c r="G265" s="35"/>
      <c r="H265" s="35"/>
      <c r="I265" s="35"/>
      <c r="J265" s="35"/>
      <c r="K265" s="35"/>
      <c r="L265" s="35"/>
      <c r="M265" s="35"/>
      <c r="N265" s="35"/>
      <c r="O265" s="35"/>
      <c r="P265" s="35"/>
      <c r="Q265" s="35"/>
      <c r="R265" s="35"/>
      <c r="S265" s="35"/>
      <c r="T265" s="35"/>
      <c r="U265" s="35"/>
    </row>
    <row r="266">
      <c r="A266" s="35" t="b">
        <v>0</v>
      </c>
      <c r="B266" s="35"/>
      <c r="C266" s="35"/>
      <c r="D266" s="35"/>
      <c r="E266" s="35"/>
      <c r="F266" s="35"/>
      <c r="G266" s="35"/>
      <c r="H266" s="35"/>
      <c r="I266" s="35"/>
      <c r="J266" s="35"/>
      <c r="K266" s="35"/>
      <c r="L266" s="35"/>
      <c r="M266" s="35"/>
      <c r="N266" s="35"/>
      <c r="O266" s="35"/>
      <c r="P266" s="35"/>
      <c r="Q266" s="35"/>
      <c r="R266" s="35"/>
      <c r="S266" s="35"/>
      <c r="T266" s="35"/>
      <c r="U266" s="35"/>
    </row>
    <row r="267">
      <c r="A267" s="35" t="b">
        <v>0</v>
      </c>
      <c r="B267" s="35"/>
      <c r="C267" s="35"/>
      <c r="D267" s="35"/>
      <c r="E267" s="35"/>
      <c r="F267" s="35"/>
      <c r="G267" s="35"/>
      <c r="H267" s="35"/>
      <c r="I267" s="35"/>
      <c r="J267" s="35"/>
      <c r="K267" s="35"/>
      <c r="L267" s="35"/>
      <c r="M267" s="35"/>
      <c r="N267" s="35"/>
      <c r="O267" s="35"/>
      <c r="P267" s="35"/>
      <c r="Q267" s="35"/>
      <c r="R267" s="35"/>
      <c r="S267" s="35"/>
      <c r="T267" s="35"/>
      <c r="U267" s="35"/>
    </row>
    <row r="268">
      <c r="A268" s="35" t="b">
        <v>0</v>
      </c>
      <c r="B268" s="35"/>
      <c r="C268" s="35"/>
      <c r="D268" s="35"/>
      <c r="E268" s="35"/>
      <c r="F268" s="35"/>
      <c r="G268" s="35"/>
      <c r="H268" s="35"/>
      <c r="I268" s="35"/>
      <c r="J268" s="35"/>
      <c r="K268" s="35"/>
      <c r="L268" s="35"/>
      <c r="M268" s="35"/>
      <c r="N268" s="35"/>
      <c r="O268" s="35"/>
      <c r="P268" s="35"/>
      <c r="Q268" s="35"/>
      <c r="R268" s="35"/>
      <c r="S268" s="35"/>
      <c r="T268" s="35"/>
      <c r="U268" s="35"/>
    </row>
    <row r="269">
      <c r="A269" s="35" t="b">
        <v>0</v>
      </c>
      <c r="B269" s="35"/>
      <c r="C269" s="35"/>
      <c r="D269" s="35"/>
      <c r="E269" s="35"/>
      <c r="F269" s="35"/>
      <c r="G269" s="35"/>
      <c r="H269" s="35"/>
      <c r="I269" s="35"/>
      <c r="J269" s="35"/>
      <c r="K269" s="35"/>
      <c r="L269" s="35"/>
      <c r="M269" s="35"/>
      <c r="N269" s="35"/>
      <c r="O269" s="35"/>
      <c r="P269" s="35"/>
      <c r="Q269" s="35"/>
      <c r="R269" s="35"/>
      <c r="S269" s="35"/>
      <c r="T269" s="35"/>
      <c r="U269" s="35"/>
    </row>
    <row r="270">
      <c r="A270" s="35" t="b">
        <v>0</v>
      </c>
      <c r="B270" s="35"/>
      <c r="C270" s="35"/>
      <c r="D270" s="35"/>
      <c r="E270" s="35"/>
      <c r="F270" s="35"/>
      <c r="G270" s="35"/>
      <c r="H270" s="35"/>
      <c r="I270" s="35"/>
      <c r="J270" s="35"/>
      <c r="K270" s="35"/>
      <c r="L270" s="35"/>
      <c r="M270" s="35"/>
      <c r="N270" s="35"/>
      <c r="O270" s="35"/>
      <c r="P270" s="35"/>
      <c r="Q270" s="35"/>
      <c r="R270" s="35"/>
      <c r="S270" s="35"/>
      <c r="T270" s="35"/>
      <c r="U270" s="35"/>
    </row>
    <row r="271">
      <c r="A271" s="35" t="b">
        <v>0</v>
      </c>
      <c r="B271" s="35"/>
      <c r="C271" s="35"/>
      <c r="D271" s="35"/>
      <c r="E271" s="35"/>
      <c r="F271" s="35"/>
      <c r="G271" s="35"/>
      <c r="H271" s="35"/>
      <c r="I271" s="35"/>
      <c r="J271" s="35"/>
      <c r="K271" s="35"/>
      <c r="L271" s="35"/>
      <c r="M271" s="35"/>
      <c r="N271" s="35"/>
      <c r="O271" s="35"/>
      <c r="P271" s="35"/>
      <c r="Q271" s="35"/>
      <c r="R271" s="35"/>
      <c r="S271" s="35"/>
      <c r="T271" s="35"/>
      <c r="U271" s="35"/>
    </row>
    <row r="272">
      <c r="A272" s="35" t="b">
        <v>0</v>
      </c>
      <c r="B272" s="35"/>
      <c r="C272" s="35"/>
      <c r="D272" s="35"/>
      <c r="E272" s="35"/>
      <c r="F272" s="35"/>
      <c r="G272" s="35"/>
      <c r="H272" s="35"/>
      <c r="I272" s="35"/>
      <c r="J272" s="35"/>
      <c r="K272" s="35"/>
      <c r="L272" s="35"/>
      <c r="M272" s="35"/>
      <c r="N272" s="35"/>
      <c r="O272" s="35"/>
      <c r="P272" s="35"/>
      <c r="Q272" s="35"/>
      <c r="R272" s="35"/>
      <c r="S272" s="35"/>
      <c r="T272" s="35"/>
      <c r="U272" s="35"/>
    </row>
    <row r="273">
      <c r="A273" s="35" t="b">
        <v>0</v>
      </c>
      <c r="B273" s="35"/>
      <c r="C273" s="35"/>
      <c r="D273" s="35"/>
      <c r="E273" s="35"/>
      <c r="F273" s="35"/>
      <c r="G273" s="35"/>
      <c r="H273" s="35"/>
      <c r="I273" s="35"/>
      <c r="J273" s="35"/>
      <c r="K273" s="35"/>
      <c r="L273" s="35"/>
      <c r="M273" s="35"/>
      <c r="N273" s="35"/>
      <c r="O273" s="35"/>
      <c r="P273" s="35"/>
      <c r="Q273" s="35"/>
      <c r="R273" s="35"/>
      <c r="S273" s="35"/>
      <c r="T273" s="35"/>
      <c r="U273" s="35"/>
    </row>
    <row r="274">
      <c r="A274" s="35" t="b">
        <v>0</v>
      </c>
      <c r="B274" s="35"/>
      <c r="C274" s="35"/>
      <c r="D274" s="35"/>
      <c r="E274" s="35"/>
      <c r="F274" s="35"/>
      <c r="G274" s="35"/>
      <c r="H274" s="35"/>
      <c r="I274" s="35"/>
      <c r="J274" s="35"/>
      <c r="K274" s="35"/>
      <c r="L274" s="35"/>
      <c r="M274" s="35"/>
      <c r="N274" s="35"/>
      <c r="O274" s="35"/>
      <c r="P274" s="35"/>
      <c r="Q274" s="35"/>
      <c r="R274" s="35"/>
      <c r="S274" s="35"/>
      <c r="T274" s="35"/>
      <c r="U274" s="35"/>
    </row>
    <row r="275">
      <c r="A275" s="35" t="b">
        <v>0</v>
      </c>
      <c r="B275" s="35"/>
      <c r="C275" s="35"/>
      <c r="D275" s="35"/>
      <c r="E275" s="35"/>
      <c r="F275" s="35"/>
      <c r="G275" s="35"/>
      <c r="H275" s="35"/>
      <c r="I275" s="35"/>
      <c r="J275" s="35"/>
      <c r="K275" s="35"/>
      <c r="L275" s="35"/>
      <c r="M275" s="35"/>
      <c r="N275" s="35"/>
      <c r="O275" s="35"/>
      <c r="P275" s="35"/>
      <c r="Q275" s="35"/>
      <c r="R275" s="35"/>
      <c r="S275" s="35"/>
      <c r="T275" s="35"/>
      <c r="U275" s="35"/>
    </row>
    <row r="276">
      <c r="A276" s="35" t="b">
        <v>0</v>
      </c>
      <c r="B276" s="35"/>
      <c r="C276" s="35"/>
      <c r="D276" s="35"/>
      <c r="E276" s="35"/>
      <c r="F276" s="35"/>
      <c r="G276" s="35"/>
      <c r="H276" s="35"/>
      <c r="I276" s="35"/>
      <c r="J276" s="35"/>
      <c r="K276" s="35"/>
      <c r="L276" s="35"/>
      <c r="M276" s="35"/>
      <c r="N276" s="35"/>
      <c r="O276" s="35"/>
      <c r="P276" s="35"/>
      <c r="Q276" s="35"/>
      <c r="R276" s="35"/>
      <c r="S276" s="35"/>
      <c r="T276" s="35"/>
      <c r="U276" s="35"/>
    </row>
    <row r="277">
      <c r="A277" s="35" t="b">
        <v>0</v>
      </c>
      <c r="B277" s="35"/>
      <c r="C277" s="35"/>
      <c r="D277" s="35"/>
      <c r="E277" s="35"/>
      <c r="F277" s="35"/>
      <c r="G277" s="35"/>
      <c r="H277" s="35"/>
      <c r="I277" s="35"/>
      <c r="J277" s="35"/>
      <c r="K277" s="35"/>
      <c r="L277" s="35"/>
      <c r="M277" s="35"/>
      <c r="N277" s="35"/>
      <c r="O277" s="35"/>
      <c r="P277" s="35"/>
      <c r="Q277" s="35"/>
      <c r="R277" s="35"/>
      <c r="S277" s="35"/>
      <c r="T277" s="35"/>
      <c r="U277" s="35"/>
    </row>
    <row r="278">
      <c r="A278" s="35" t="b">
        <v>0</v>
      </c>
      <c r="B278" s="35"/>
      <c r="C278" s="35"/>
      <c r="D278" s="35"/>
      <c r="E278" s="35"/>
      <c r="F278" s="35"/>
      <c r="G278" s="35"/>
      <c r="H278" s="35"/>
      <c r="I278" s="35"/>
      <c r="J278" s="35"/>
      <c r="K278" s="35"/>
      <c r="L278" s="35"/>
      <c r="M278" s="35"/>
      <c r="N278" s="35"/>
      <c r="O278" s="35"/>
      <c r="P278" s="35"/>
      <c r="Q278" s="35"/>
      <c r="R278" s="35"/>
      <c r="S278" s="35"/>
      <c r="T278" s="35"/>
      <c r="U278" s="35"/>
    </row>
    <row r="279">
      <c r="A279" s="35" t="b">
        <v>0</v>
      </c>
      <c r="B279" s="35"/>
      <c r="C279" s="35"/>
      <c r="D279" s="35"/>
      <c r="E279" s="35"/>
      <c r="F279" s="35"/>
      <c r="G279" s="35"/>
      <c r="H279" s="35"/>
      <c r="I279" s="35"/>
      <c r="J279" s="35"/>
      <c r="K279" s="35"/>
      <c r="L279" s="35"/>
      <c r="M279" s="35"/>
      <c r="N279" s="35"/>
      <c r="O279" s="35"/>
      <c r="P279" s="35"/>
      <c r="Q279" s="35"/>
      <c r="R279" s="35"/>
      <c r="S279" s="35"/>
      <c r="T279" s="35"/>
      <c r="U279" s="35"/>
    </row>
    <row r="280">
      <c r="A280" s="35" t="b">
        <v>0</v>
      </c>
      <c r="B280" s="35"/>
      <c r="C280" s="35"/>
      <c r="D280" s="35"/>
      <c r="E280" s="35"/>
      <c r="F280" s="35"/>
      <c r="G280" s="35"/>
      <c r="H280" s="35"/>
      <c r="I280" s="35"/>
      <c r="J280" s="35"/>
      <c r="K280" s="35"/>
      <c r="L280" s="35"/>
      <c r="M280" s="35"/>
      <c r="N280" s="35"/>
      <c r="O280" s="35"/>
      <c r="P280" s="35"/>
      <c r="Q280" s="35"/>
      <c r="R280" s="35"/>
      <c r="S280" s="35"/>
      <c r="T280" s="35"/>
      <c r="U280" s="35"/>
    </row>
    <row r="281">
      <c r="A281" s="35" t="b">
        <v>0</v>
      </c>
      <c r="B281" s="35"/>
      <c r="C281" s="35"/>
      <c r="D281" s="35"/>
      <c r="E281" s="35"/>
      <c r="F281" s="35"/>
      <c r="G281" s="35"/>
      <c r="H281" s="35"/>
      <c r="I281" s="35"/>
      <c r="J281" s="35"/>
      <c r="K281" s="35"/>
      <c r="L281" s="35"/>
      <c r="M281" s="35"/>
      <c r="N281" s="35"/>
      <c r="O281" s="35"/>
      <c r="P281" s="35"/>
      <c r="Q281" s="35"/>
      <c r="R281" s="35"/>
      <c r="S281" s="35"/>
      <c r="T281" s="35"/>
      <c r="U281" s="35"/>
    </row>
    <row r="282">
      <c r="A282" s="35" t="b">
        <v>0</v>
      </c>
      <c r="B282" s="35"/>
      <c r="C282" s="35"/>
      <c r="D282" s="35"/>
      <c r="E282" s="35"/>
      <c r="F282" s="35"/>
      <c r="G282" s="35"/>
      <c r="H282" s="35"/>
      <c r="I282" s="35"/>
      <c r="J282" s="35"/>
      <c r="K282" s="35"/>
      <c r="L282" s="35"/>
      <c r="M282" s="35"/>
      <c r="N282" s="35"/>
      <c r="O282" s="35"/>
      <c r="P282" s="35"/>
      <c r="Q282" s="35"/>
      <c r="R282" s="35"/>
      <c r="S282" s="35"/>
      <c r="T282" s="35"/>
      <c r="U282" s="35"/>
    </row>
    <row r="283">
      <c r="A283" s="35" t="b">
        <v>0</v>
      </c>
      <c r="B283" s="35"/>
      <c r="C283" s="35"/>
      <c r="D283" s="35"/>
      <c r="E283" s="35"/>
      <c r="F283" s="35"/>
      <c r="G283" s="35"/>
      <c r="H283" s="35"/>
      <c r="I283" s="35"/>
      <c r="J283" s="35"/>
      <c r="K283" s="35"/>
      <c r="L283" s="35"/>
      <c r="M283" s="35"/>
      <c r="N283" s="35"/>
      <c r="O283" s="35"/>
      <c r="P283" s="35"/>
      <c r="Q283" s="35"/>
      <c r="R283" s="35"/>
      <c r="S283" s="35"/>
      <c r="T283" s="35"/>
      <c r="U283" s="35"/>
    </row>
    <row r="284">
      <c r="A284" s="35" t="b">
        <v>0</v>
      </c>
      <c r="B284" s="35"/>
      <c r="C284" s="35"/>
      <c r="D284" s="35"/>
      <c r="E284" s="35"/>
      <c r="F284" s="35"/>
      <c r="G284" s="35"/>
      <c r="H284" s="35"/>
      <c r="I284" s="35"/>
      <c r="J284" s="35"/>
      <c r="K284" s="35"/>
      <c r="L284" s="35"/>
      <c r="M284" s="35"/>
      <c r="N284" s="35"/>
      <c r="O284" s="35"/>
      <c r="P284" s="35"/>
      <c r="Q284" s="35"/>
      <c r="R284" s="35"/>
      <c r="S284" s="35"/>
      <c r="T284" s="35"/>
      <c r="U284" s="35"/>
    </row>
    <row r="285">
      <c r="A285" s="35" t="b">
        <v>0</v>
      </c>
      <c r="B285" s="35"/>
      <c r="C285" s="35"/>
      <c r="D285" s="35"/>
      <c r="E285" s="35"/>
      <c r="F285" s="35"/>
      <c r="G285" s="35"/>
      <c r="H285" s="35"/>
      <c r="I285" s="35"/>
      <c r="J285" s="35"/>
      <c r="K285" s="35"/>
      <c r="L285" s="35"/>
      <c r="M285" s="35"/>
      <c r="N285" s="35"/>
      <c r="O285" s="35"/>
      <c r="P285" s="35"/>
      <c r="Q285" s="35"/>
      <c r="R285" s="35"/>
      <c r="S285" s="35"/>
      <c r="T285" s="35"/>
      <c r="U285" s="35"/>
    </row>
    <row r="286">
      <c r="A286" s="35" t="b">
        <v>0</v>
      </c>
      <c r="B286" s="35"/>
      <c r="C286" s="35"/>
      <c r="D286" s="35"/>
      <c r="E286" s="35"/>
      <c r="F286" s="35"/>
      <c r="G286" s="35"/>
      <c r="H286" s="35"/>
      <c r="I286" s="35"/>
      <c r="J286" s="35"/>
      <c r="K286" s="35"/>
      <c r="L286" s="35"/>
      <c r="M286" s="35"/>
      <c r="N286" s="35"/>
      <c r="O286" s="35"/>
      <c r="P286" s="35"/>
      <c r="Q286" s="35"/>
      <c r="R286" s="35"/>
      <c r="S286" s="35"/>
      <c r="T286" s="35"/>
      <c r="U286" s="35"/>
    </row>
    <row r="287">
      <c r="A287" s="35" t="b">
        <v>0</v>
      </c>
      <c r="B287" s="35"/>
      <c r="C287" s="35"/>
      <c r="D287" s="35"/>
      <c r="E287" s="35"/>
      <c r="F287" s="35"/>
      <c r="G287" s="35"/>
      <c r="H287" s="35"/>
      <c r="I287" s="35"/>
      <c r="J287" s="35"/>
      <c r="K287" s="35"/>
      <c r="L287" s="35"/>
      <c r="M287" s="35"/>
      <c r="N287" s="35"/>
      <c r="O287" s="35"/>
      <c r="P287" s="35"/>
      <c r="Q287" s="35"/>
      <c r="R287" s="35"/>
      <c r="S287" s="35"/>
      <c r="T287" s="35"/>
      <c r="U287" s="35"/>
    </row>
    <row r="288">
      <c r="A288" s="35" t="b">
        <v>0</v>
      </c>
      <c r="B288" s="35"/>
      <c r="C288" s="35"/>
      <c r="D288" s="35"/>
      <c r="E288" s="35"/>
      <c r="F288" s="35"/>
      <c r="G288" s="35"/>
      <c r="H288" s="35"/>
      <c r="I288" s="35"/>
      <c r="J288" s="35"/>
      <c r="K288" s="35"/>
      <c r="L288" s="35"/>
      <c r="M288" s="35"/>
      <c r="N288" s="35"/>
      <c r="O288" s="35"/>
      <c r="P288" s="35"/>
      <c r="Q288" s="35"/>
      <c r="R288" s="35"/>
      <c r="S288" s="35"/>
      <c r="T288" s="35"/>
      <c r="U288" s="35"/>
    </row>
    <row r="289">
      <c r="A289" s="35" t="b">
        <v>0</v>
      </c>
      <c r="B289" s="35"/>
      <c r="C289" s="35"/>
      <c r="D289" s="35"/>
      <c r="E289" s="35"/>
      <c r="F289" s="35"/>
      <c r="G289" s="35"/>
      <c r="H289" s="35"/>
      <c r="I289" s="35"/>
      <c r="J289" s="35"/>
      <c r="K289" s="35"/>
      <c r="L289" s="35"/>
      <c r="M289" s="35"/>
      <c r="N289" s="35"/>
      <c r="O289" s="35"/>
      <c r="P289" s="35"/>
      <c r="Q289" s="35"/>
      <c r="R289" s="35"/>
      <c r="S289" s="35"/>
      <c r="T289" s="35"/>
      <c r="U289" s="35"/>
    </row>
    <row r="290">
      <c r="A290" s="35" t="b">
        <v>0</v>
      </c>
      <c r="B290" s="35"/>
      <c r="C290" s="35"/>
      <c r="D290" s="35"/>
      <c r="E290" s="35"/>
      <c r="F290" s="35"/>
      <c r="G290" s="35"/>
      <c r="H290" s="35"/>
      <c r="I290" s="35"/>
      <c r="J290" s="35"/>
      <c r="K290" s="35"/>
      <c r="L290" s="35"/>
      <c r="M290" s="35"/>
      <c r="N290" s="35"/>
      <c r="O290" s="35"/>
      <c r="P290" s="35"/>
      <c r="Q290" s="35"/>
      <c r="R290" s="35"/>
      <c r="S290" s="35"/>
      <c r="T290" s="35"/>
      <c r="U290" s="35"/>
    </row>
    <row r="291">
      <c r="A291" s="35" t="b">
        <v>0</v>
      </c>
      <c r="B291" s="35"/>
      <c r="C291" s="35"/>
      <c r="D291" s="35"/>
      <c r="E291" s="35"/>
      <c r="F291" s="35"/>
      <c r="G291" s="35"/>
      <c r="H291" s="35"/>
      <c r="I291" s="35"/>
      <c r="J291" s="35"/>
      <c r="K291" s="35"/>
      <c r="L291" s="35"/>
      <c r="M291" s="35"/>
      <c r="N291" s="35"/>
      <c r="O291" s="35"/>
      <c r="P291" s="35"/>
      <c r="Q291" s="35"/>
      <c r="R291" s="35"/>
      <c r="S291" s="35"/>
      <c r="T291" s="35"/>
      <c r="U291" s="35"/>
    </row>
    <row r="292">
      <c r="A292" s="35" t="b">
        <v>0</v>
      </c>
      <c r="B292" s="35"/>
      <c r="C292" s="35"/>
      <c r="D292" s="35"/>
      <c r="E292" s="35"/>
      <c r="F292" s="35"/>
      <c r="G292" s="35"/>
      <c r="H292" s="35"/>
      <c r="I292" s="35"/>
      <c r="J292" s="35"/>
      <c r="K292" s="35"/>
      <c r="L292" s="35"/>
      <c r="M292" s="35"/>
      <c r="N292" s="35"/>
      <c r="O292" s="35"/>
      <c r="P292" s="35"/>
      <c r="Q292" s="35"/>
      <c r="R292" s="35"/>
      <c r="S292" s="35"/>
      <c r="T292" s="35"/>
      <c r="U292" s="35"/>
    </row>
    <row r="293">
      <c r="A293" s="35" t="b">
        <v>0</v>
      </c>
      <c r="B293" s="35"/>
      <c r="C293" s="35"/>
      <c r="D293" s="35"/>
      <c r="E293" s="35"/>
      <c r="F293" s="35"/>
      <c r="G293" s="35"/>
      <c r="H293" s="35"/>
      <c r="I293" s="35"/>
      <c r="J293" s="35"/>
      <c r="K293" s="35"/>
      <c r="L293" s="35"/>
      <c r="M293" s="35"/>
      <c r="N293" s="35"/>
      <c r="O293" s="35"/>
      <c r="P293" s="35"/>
      <c r="Q293" s="35"/>
      <c r="R293" s="35"/>
      <c r="S293" s="35"/>
      <c r="T293" s="35"/>
      <c r="U293" s="35"/>
    </row>
    <row r="294">
      <c r="A294" s="35" t="b">
        <v>0</v>
      </c>
      <c r="B294" s="35"/>
      <c r="C294" s="35"/>
      <c r="D294" s="35"/>
      <c r="E294" s="35"/>
      <c r="F294" s="35"/>
      <c r="G294" s="35"/>
      <c r="H294" s="35"/>
      <c r="I294" s="35"/>
      <c r="J294" s="35"/>
      <c r="K294" s="35"/>
      <c r="L294" s="35"/>
      <c r="M294" s="35"/>
      <c r="N294" s="35"/>
      <c r="O294" s="35"/>
      <c r="P294" s="35"/>
      <c r="Q294" s="35"/>
      <c r="R294" s="35"/>
      <c r="S294" s="35"/>
      <c r="T294" s="35"/>
      <c r="U294" s="35"/>
    </row>
    <row r="295">
      <c r="A295" s="35" t="b">
        <v>0</v>
      </c>
      <c r="B295" s="35"/>
      <c r="C295" s="35"/>
      <c r="D295" s="35"/>
      <c r="E295" s="35"/>
      <c r="F295" s="35"/>
      <c r="G295" s="35"/>
      <c r="H295" s="35"/>
      <c r="I295" s="35"/>
      <c r="J295" s="35"/>
      <c r="K295" s="35"/>
      <c r="L295" s="35"/>
      <c r="M295" s="35"/>
      <c r="N295" s="35"/>
      <c r="O295" s="35"/>
      <c r="P295" s="35"/>
      <c r="Q295" s="35"/>
      <c r="R295" s="35"/>
      <c r="S295" s="35"/>
      <c r="T295" s="35"/>
      <c r="U295" s="35"/>
    </row>
    <row r="296">
      <c r="A296" s="35" t="b">
        <v>0</v>
      </c>
      <c r="B296" s="35"/>
      <c r="C296" s="35"/>
      <c r="D296" s="35"/>
      <c r="E296" s="35"/>
      <c r="F296" s="35"/>
      <c r="G296" s="35"/>
      <c r="H296" s="35"/>
      <c r="I296" s="35"/>
      <c r="J296" s="35"/>
      <c r="K296" s="35"/>
      <c r="L296" s="35"/>
      <c r="M296" s="35"/>
      <c r="N296" s="35"/>
      <c r="O296" s="35"/>
      <c r="P296" s="35"/>
      <c r="Q296" s="35"/>
      <c r="R296" s="35"/>
      <c r="S296" s="35"/>
      <c r="T296" s="35"/>
      <c r="U296" s="35"/>
    </row>
    <row r="297">
      <c r="A297" s="35" t="b">
        <v>0</v>
      </c>
      <c r="B297" s="35"/>
      <c r="C297" s="35"/>
      <c r="D297" s="35"/>
      <c r="E297" s="35"/>
      <c r="F297" s="35"/>
      <c r="G297" s="35"/>
      <c r="H297" s="35"/>
      <c r="I297" s="35"/>
      <c r="J297" s="35"/>
      <c r="K297" s="35"/>
      <c r="L297" s="35"/>
      <c r="M297" s="35"/>
      <c r="N297" s="35"/>
      <c r="O297" s="35"/>
      <c r="P297" s="35"/>
      <c r="Q297" s="35"/>
      <c r="R297" s="35"/>
      <c r="S297" s="35"/>
      <c r="T297" s="35"/>
      <c r="U297" s="35"/>
    </row>
    <row r="298">
      <c r="A298" s="35" t="b">
        <v>0</v>
      </c>
      <c r="B298" s="35"/>
      <c r="C298" s="35"/>
      <c r="D298" s="35"/>
      <c r="E298" s="35"/>
      <c r="F298" s="35"/>
      <c r="G298" s="35"/>
      <c r="H298" s="35"/>
      <c r="I298" s="35"/>
      <c r="J298" s="35"/>
      <c r="K298" s="35"/>
      <c r="L298" s="35"/>
      <c r="M298" s="35"/>
      <c r="N298" s="35"/>
      <c r="O298" s="35"/>
      <c r="P298" s="35"/>
      <c r="Q298" s="35"/>
      <c r="R298" s="35"/>
      <c r="S298" s="35"/>
      <c r="T298" s="35"/>
      <c r="U298" s="35"/>
    </row>
    <row r="299">
      <c r="A299" s="35" t="b">
        <v>0</v>
      </c>
      <c r="B299" s="35"/>
      <c r="C299" s="35"/>
      <c r="D299" s="35"/>
      <c r="E299" s="35"/>
      <c r="F299" s="35"/>
      <c r="G299" s="35"/>
      <c r="H299" s="35"/>
      <c r="I299" s="35"/>
      <c r="J299" s="35"/>
      <c r="K299" s="35"/>
      <c r="L299" s="35"/>
      <c r="M299" s="35"/>
      <c r="N299" s="35"/>
      <c r="O299" s="35"/>
      <c r="P299" s="35"/>
      <c r="Q299" s="35"/>
      <c r="R299" s="35"/>
      <c r="S299" s="35"/>
      <c r="T299" s="35"/>
      <c r="U299" s="35"/>
    </row>
    <row r="300">
      <c r="A300" s="35" t="b">
        <v>0</v>
      </c>
      <c r="B300" s="35"/>
      <c r="C300" s="35"/>
      <c r="D300" s="35"/>
      <c r="E300" s="35"/>
      <c r="F300" s="35"/>
      <c r="G300" s="35"/>
      <c r="H300" s="35"/>
      <c r="I300" s="35"/>
      <c r="J300" s="35"/>
      <c r="K300" s="35"/>
      <c r="L300" s="35"/>
      <c r="M300" s="35"/>
      <c r="N300" s="35"/>
      <c r="O300" s="35"/>
      <c r="P300" s="35"/>
      <c r="Q300" s="35"/>
      <c r="R300" s="35"/>
      <c r="S300" s="35"/>
      <c r="T300" s="35"/>
      <c r="U300" s="35"/>
    </row>
    <row r="301">
      <c r="A301" s="35" t="b">
        <v>0</v>
      </c>
      <c r="B301" s="35"/>
      <c r="C301" s="35"/>
      <c r="D301" s="35"/>
      <c r="E301" s="35"/>
      <c r="F301" s="35"/>
      <c r="G301" s="35"/>
      <c r="H301" s="35"/>
      <c r="I301" s="35"/>
      <c r="J301" s="35"/>
      <c r="K301" s="35"/>
      <c r="L301" s="35"/>
      <c r="M301" s="35"/>
      <c r="N301" s="35"/>
      <c r="O301" s="35"/>
      <c r="P301" s="35"/>
      <c r="Q301" s="35"/>
      <c r="R301" s="35"/>
      <c r="S301" s="35"/>
      <c r="T301" s="35"/>
      <c r="U301" s="35"/>
    </row>
    <row r="302">
      <c r="A302" s="35" t="b">
        <v>0</v>
      </c>
      <c r="B302" s="35"/>
      <c r="C302" s="35"/>
      <c r="D302" s="35"/>
      <c r="E302" s="35"/>
      <c r="F302" s="35"/>
      <c r="G302" s="35"/>
      <c r="H302" s="35"/>
      <c r="I302" s="35"/>
      <c r="J302" s="35"/>
      <c r="K302" s="35"/>
      <c r="L302" s="35"/>
      <c r="M302" s="35"/>
      <c r="N302" s="35"/>
      <c r="O302" s="35"/>
      <c r="P302" s="35"/>
      <c r="Q302" s="35"/>
      <c r="R302" s="35"/>
      <c r="S302" s="35"/>
      <c r="T302" s="35"/>
      <c r="U302" s="35"/>
    </row>
    <row r="303">
      <c r="A303" s="35" t="b">
        <v>0</v>
      </c>
      <c r="B303" s="35"/>
      <c r="C303" s="35"/>
      <c r="D303" s="35"/>
      <c r="E303" s="35"/>
      <c r="F303" s="35"/>
      <c r="G303" s="35"/>
      <c r="H303" s="35"/>
      <c r="I303" s="35"/>
      <c r="J303" s="35"/>
      <c r="K303" s="35"/>
      <c r="L303" s="35"/>
      <c r="M303" s="35"/>
      <c r="N303" s="35"/>
      <c r="O303" s="35"/>
      <c r="P303" s="35"/>
      <c r="Q303" s="35"/>
      <c r="R303" s="35"/>
      <c r="S303" s="35"/>
      <c r="T303" s="35"/>
      <c r="U303" s="35"/>
    </row>
    <row r="304">
      <c r="A304" s="35" t="b">
        <v>0</v>
      </c>
      <c r="B304" s="35"/>
      <c r="C304" s="35"/>
      <c r="D304" s="35"/>
      <c r="E304" s="35"/>
      <c r="F304" s="35"/>
      <c r="G304" s="35"/>
      <c r="H304" s="35"/>
      <c r="I304" s="35"/>
      <c r="J304" s="35"/>
      <c r="K304" s="35"/>
      <c r="L304" s="35"/>
      <c r="M304" s="35"/>
      <c r="N304" s="35"/>
      <c r="O304" s="35"/>
      <c r="P304" s="35"/>
      <c r="Q304" s="35"/>
      <c r="R304" s="35"/>
      <c r="S304" s="35"/>
      <c r="T304" s="35"/>
      <c r="U304" s="35"/>
    </row>
    <row r="305">
      <c r="A305" s="35" t="b">
        <v>0</v>
      </c>
      <c r="B305" s="35"/>
      <c r="C305" s="35"/>
      <c r="D305" s="35"/>
      <c r="E305" s="35"/>
      <c r="F305" s="35"/>
      <c r="G305" s="35"/>
      <c r="H305" s="35"/>
      <c r="I305" s="35"/>
      <c r="J305" s="35"/>
      <c r="K305" s="35"/>
      <c r="L305" s="35"/>
      <c r="M305" s="35"/>
      <c r="N305" s="35"/>
      <c r="O305" s="35"/>
      <c r="P305" s="35"/>
      <c r="Q305" s="35"/>
      <c r="R305" s="35"/>
      <c r="S305" s="35"/>
      <c r="T305" s="35"/>
      <c r="U305" s="35"/>
    </row>
    <row r="306">
      <c r="A306" s="35" t="b">
        <v>0</v>
      </c>
      <c r="B306" s="35"/>
      <c r="C306" s="35"/>
      <c r="D306" s="35"/>
      <c r="E306" s="35"/>
      <c r="F306" s="35"/>
      <c r="G306" s="35"/>
      <c r="H306" s="35"/>
      <c r="I306" s="35"/>
      <c r="J306" s="35"/>
      <c r="K306" s="35"/>
      <c r="L306" s="35"/>
      <c r="M306" s="35"/>
      <c r="N306" s="35"/>
      <c r="O306" s="35"/>
      <c r="P306" s="35"/>
      <c r="Q306" s="35"/>
      <c r="R306" s="35"/>
      <c r="S306" s="35"/>
      <c r="T306" s="35"/>
      <c r="U306" s="35"/>
    </row>
    <row r="307">
      <c r="A307" s="35" t="b">
        <v>0</v>
      </c>
      <c r="B307" s="35"/>
      <c r="C307" s="35"/>
      <c r="D307" s="35"/>
      <c r="E307" s="35"/>
      <c r="F307" s="35"/>
      <c r="G307" s="35"/>
      <c r="H307" s="35"/>
      <c r="I307" s="35"/>
      <c r="J307" s="35"/>
      <c r="K307" s="35"/>
      <c r="L307" s="35"/>
      <c r="M307" s="35"/>
      <c r="N307" s="35"/>
      <c r="O307" s="35"/>
      <c r="P307" s="35"/>
      <c r="Q307" s="35"/>
      <c r="R307" s="35"/>
      <c r="S307" s="35"/>
      <c r="T307" s="35"/>
      <c r="U307" s="35"/>
    </row>
    <row r="308">
      <c r="A308" s="35" t="b">
        <v>0</v>
      </c>
      <c r="B308" s="35"/>
      <c r="C308" s="35"/>
      <c r="D308" s="35"/>
      <c r="E308" s="35"/>
      <c r="F308" s="35"/>
      <c r="G308" s="35"/>
      <c r="H308" s="35"/>
      <c r="I308" s="35"/>
      <c r="J308" s="35"/>
      <c r="K308" s="35"/>
      <c r="L308" s="35"/>
      <c r="M308" s="35"/>
      <c r="N308" s="35"/>
      <c r="O308" s="35"/>
      <c r="P308" s="35"/>
      <c r="Q308" s="35"/>
      <c r="R308" s="35"/>
      <c r="S308" s="35"/>
      <c r="T308" s="35"/>
      <c r="U308" s="35"/>
    </row>
    <row r="309">
      <c r="A309" s="35" t="b">
        <v>0</v>
      </c>
      <c r="B309" s="35"/>
      <c r="C309" s="35"/>
      <c r="D309" s="35"/>
      <c r="E309" s="35"/>
      <c r="F309" s="35"/>
      <c r="G309" s="35"/>
      <c r="H309" s="35"/>
      <c r="I309" s="35"/>
      <c r="J309" s="35"/>
      <c r="K309" s="35"/>
      <c r="L309" s="35"/>
      <c r="M309" s="35"/>
      <c r="N309" s="35"/>
      <c r="O309" s="35"/>
      <c r="P309" s="35"/>
      <c r="Q309" s="35"/>
      <c r="R309" s="35"/>
      <c r="S309" s="35"/>
      <c r="T309" s="35"/>
      <c r="U309" s="35"/>
    </row>
    <row r="310">
      <c r="A310" s="35" t="b">
        <v>0</v>
      </c>
      <c r="B310" s="35"/>
      <c r="C310" s="35"/>
      <c r="D310" s="35"/>
      <c r="E310" s="35"/>
      <c r="F310" s="35"/>
      <c r="G310" s="35"/>
      <c r="H310" s="35"/>
      <c r="I310" s="35"/>
      <c r="J310" s="35"/>
      <c r="K310" s="35"/>
      <c r="L310" s="35"/>
      <c r="M310" s="35"/>
      <c r="N310" s="35"/>
      <c r="O310" s="35"/>
      <c r="P310" s="35"/>
      <c r="Q310" s="35"/>
      <c r="R310" s="35"/>
      <c r="S310" s="35"/>
      <c r="T310" s="35"/>
      <c r="U310" s="35"/>
    </row>
    <row r="311">
      <c r="A311" s="35" t="b">
        <v>0</v>
      </c>
      <c r="B311" s="35"/>
      <c r="C311" s="35"/>
      <c r="D311" s="35"/>
      <c r="E311" s="35"/>
      <c r="F311" s="35"/>
      <c r="G311" s="35"/>
      <c r="H311" s="35"/>
      <c r="I311" s="35"/>
      <c r="J311" s="35"/>
      <c r="K311" s="35"/>
      <c r="L311" s="35"/>
      <c r="M311" s="35"/>
      <c r="N311" s="35"/>
      <c r="O311" s="35"/>
      <c r="P311" s="35"/>
      <c r="Q311" s="35"/>
      <c r="R311" s="35"/>
      <c r="S311" s="35"/>
      <c r="T311" s="35"/>
      <c r="U311" s="35"/>
    </row>
    <row r="312">
      <c r="A312" s="35" t="b">
        <v>0</v>
      </c>
      <c r="B312" s="35"/>
      <c r="C312" s="35"/>
      <c r="D312" s="35"/>
      <c r="E312" s="35"/>
      <c r="F312" s="35"/>
      <c r="G312" s="35"/>
      <c r="H312" s="35"/>
      <c r="I312" s="35"/>
      <c r="J312" s="35"/>
      <c r="K312" s="35"/>
      <c r="L312" s="35"/>
      <c r="M312" s="35"/>
      <c r="N312" s="35"/>
      <c r="O312" s="35"/>
      <c r="P312" s="35"/>
      <c r="Q312" s="35"/>
      <c r="R312" s="35"/>
      <c r="S312" s="35"/>
      <c r="T312" s="35"/>
      <c r="U312" s="35"/>
    </row>
    <row r="313">
      <c r="A313" s="35" t="b">
        <v>0</v>
      </c>
      <c r="B313" s="35"/>
      <c r="C313" s="35"/>
      <c r="D313" s="35"/>
      <c r="E313" s="35"/>
      <c r="F313" s="35"/>
      <c r="G313" s="35"/>
      <c r="H313" s="35"/>
      <c r="I313" s="35"/>
      <c r="J313" s="35"/>
      <c r="K313" s="35"/>
      <c r="L313" s="35"/>
      <c r="M313" s="35"/>
      <c r="N313" s="35"/>
      <c r="O313" s="35"/>
      <c r="P313" s="35"/>
      <c r="Q313" s="35"/>
      <c r="R313" s="35"/>
      <c r="S313" s="35"/>
      <c r="T313" s="35"/>
      <c r="U313" s="35"/>
    </row>
    <row r="314">
      <c r="A314" s="35" t="b">
        <v>0</v>
      </c>
      <c r="B314" s="35"/>
      <c r="C314" s="35"/>
      <c r="D314" s="35"/>
      <c r="E314" s="35"/>
      <c r="F314" s="35"/>
      <c r="G314" s="35"/>
      <c r="H314" s="35"/>
      <c r="I314" s="35"/>
      <c r="J314" s="35"/>
      <c r="K314" s="35"/>
      <c r="L314" s="35"/>
      <c r="M314" s="35"/>
      <c r="N314" s="35"/>
      <c r="O314" s="35"/>
      <c r="P314" s="35"/>
      <c r="Q314" s="35"/>
      <c r="R314" s="35"/>
      <c r="S314" s="35"/>
      <c r="T314" s="35"/>
      <c r="U314" s="35"/>
    </row>
    <row r="315">
      <c r="A315" s="35" t="b">
        <v>0</v>
      </c>
      <c r="B315" s="35"/>
      <c r="C315" s="35"/>
      <c r="D315" s="35"/>
      <c r="E315" s="35"/>
      <c r="F315" s="35"/>
      <c r="G315" s="35"/>
      <c r="H315" s="35"/>
      <c r="I315" s="35"/>
      <c r="J315" s="35"/>
      <c r="K315" s="35"/>
      <c r="L315" s="35"/>
      <c r="M315" s="35"/>
      <c r="N315" s="35"/>
      <c r="O315" s="35"/>
      <c r="P315" s="35"/>
      <c r="Q315" s="35"/>
      <c r="R315" s="35"/>
      <c r="S315" s="35"/>
      <c r="T315" s="35"/>
      <c r="U315" s="35"/>
    </row>
    <row r="316">
      <c r="A316" s="35" t="b">
        <v>0</v>
      </c>
      <c r="B316" s="35"/>
      <c r="C316" s="35"/>
      <c r="D316" s="35"/>
      <c r="E316" s="35"/>
      <c r="F316" s="35"/>
      <c r="G316" s="35"/>
      <c r="H316" s="35"/>
      <c r="I316" s="35"/>
      <c r="J316" s="35"/>
      <c r="K316" s="35"/>
      <c r="L316" s="35"/>
      <c r="M316" s="35"/>
      <c r="N316" s="35"/>
      <c r="O316" s="35"/>
      <c r="P316" s="35"/>
      <c r="Q316" s="35"/>
      <c r="R316" s="35"/>
      <c r="S316" s="35"/>
      <c r="T316" s="35"/>
      <c r="U316" s="35"/>
    </row>
    <row r="317">
      <c r="A317" s="35" t="b">
        <v>0</v>
      </c>
      <c r="B317" s="35"/>
      <c r="C317" s="35"/>
      <c r="D317" s="35"/>
      <c r="E317" s="35"/>
      <c r="F317" s="35"/>
      <c r="G317" s="35"/>
      <c r="H317" s="35"/>
      <c r="I317" s="35"/>
      <c r="J317" s="35"/>
      <c r="K317" s="35"/>
      <c r="L317" s="35"/>
      <c r="M317" s="35"/>
      <c r="N317" s="35"/>
      <c r="O317" s="35"/>
      <c r="P317" s="35"/>
      <c r="Q317" s="35"/>
      <c r="R317" s="35"/>
      <c r="S317" s="35"/>
      <c r="T317" s="35"/>
      <c r="U317" s="35"/>
    </row>
    <row r="318">
      <c r="A318" s="35" t="b">
        <v>0</v>
      </c>
      <c r="B318" s="35"/>
      <c r="C318" s="35"/>
      <c r="D318" s="35"/>
      <c r="E318" s="35"/>
      <c r="F318" s="35"/>
      <c r="G318" s="35"/>
      <c r="H318" s="35"/>
      <c r="I318" s="35"/>
      <c r="J318" s="35"/>
      <c r="K318" s="35"/>
      <c r="L318" s="35"/>
      <c r="M318" s="35"/>
      <c r="N318" s="35"/>
      <c r="O318" s="35"/>
      <c r="P318" s="35"/>
      <c r="Q318" s="35"/>
      <c r="R318" s="35"/>
      <c r="S318" s="35"/>
      <c r="T318" s="35"/>
      <c r="U318" s="35"/>
    </row>
    <row r="319">
      <c r="A319" s="35" t="b">
        <v>0</v>
      </c>
      <c r="B319" s="35"/>
      <c r="C319" s="35"/>
      <c r="D319" s="35"/>
      <c r="E319" s="35"/>
      <c r="F319" s="35"/>
      <c r="G319" s="35"/>
      <c r="H319" s="35"/>
      <c r="I319" s="35"/>
      <c r="J319" s="35"/>
      <c r="K319" s="35"/>
      <c r="L319" s="35"/>
      <c r="M319" s="35"/>
      <c r="N319" s="35"/>
      <c r="O319" s="35"/>
      <c r="P319" s="35"/>
      <c r="Q319" s="35"/>
      <c r="R319" s="35"/>
      <c r="S319" s="35"/>
      <c r="T319" s="35"/>
      <c r="U319" s="35"/>
    </row>
    <row r="320">
      <c r="A320" s="35" t="b">
        <v>0</v>
      </c>
      <c r="B320" s="35"/>
      <c r="C320" s="35"/>
      <c r="D320" s="35"/>
      <c r="E320" s="35"/>
      <c r="F320" s="35"/>
      <c r="G320" s="35"/>
      <c r="H320" s="35"/>
      <c r="I320" s="35"/>
      <c r="J320" s="35"/>
      <c r="K320" s="35"/>
      <c r="L320" s="35"/>
      <c r="M320" s="35"/>
      <c r="N320" s="35"/>
      <c r="O320" s="35"/>
      <c r="P320" s="35"/>
      <c r="Q320" s="35"/>
      <c r="R320" s="35"/>
      <c r="S320" s="35"/>
      <c r="T320" s="35"/>
      <c r="U320" s="35"/>
    </row>
    <row r="321">
      <c r="A321" s="35" t="b">
        <v>0</v>
      </c>
      <c r="B321" s="35"/>
      <c r="C321" s="35"/>
      <c r="D321" s="35"/>
      <c r="E321" s="35"/>
      <c r="F321" s="35"/>
      <c r="G321" s="35"/>
      <c r="H321" s="35"/>
      <c r="I321" s="35"/>
      <c r="J321" s="35"/>
      <c r="K321" s="35"/>
      <c r="L321" s="35"/>
      <c r="M321" s="35"/>
      <c r="N321" s="35"/>
      <c r="O321" s="35"/>
      <c r="P321" s="35"/>
      <c r="Q321" s="35"/>
      <c r="R321" s="35"/>
      <c r="S321" s="35"/>
      <c r="T321" s="35"/>
      <c r="U321" s="35"/>
    </row>
    <row r="322">
      <c r="A322" s="35" t="b">
        <v>0</v>
      </c>
      <c r="B322" s="35"/>
      <c r="C322" s="35"/>
      <c r="D322" s="35"/>
      <c r="E322" s="35"/>
      <c r="F322" s="35"/>
      <c r="G322" s="35"/>
      <c r="H322" s="35"/>
      <c r="I322" s="35"/>
      <c r="J322" s="35"/>
      <c r="K322" s="35"/>
      <c r="L322" s="35"/>
      <c r="M322" s="35"/>
      <c r="N322" s="35"/>
      <c r="O322" s="35"/>
      <c r="P322" s="35"/>
      <c r="Q322" s="35"/>
      <c r="R322" s="35"/>
      <c r="S322" s="35"/>
      <c r="T322" s="35"/>
      <c r="U322" s="35"/>
    </row>
    <row r="323">
      <c r="A323" s="35" t="b">
        <v>0</v>
      </c>
      <c r="B323" s="35"/>
      <c r="C323" s="35"/>
      <c r="D323" s="35"/>
      <c r="E323" s="35"/>
      <c r="F323" s="35"/>
      <c r="G323" s="35"/>
      <c r="H323" s="35"/>
      <c r="I323" s="35"/>
      <c r="J323" s="35"/>
      <c r="K323" s="35"/>
      <c r="L323" s="35"/>
      <c r="M323" s="35"/>
      <c r="N323" s="35"/>
      <c r="O323" s="35"/>
      <c r="P323" s="35"/>
      <c r="Q323" s="35"/>
      <c r="R323" s="35"/>
      <c r="S323" s="35"/>
      <c r="T323" s="35"/>
      <c r="U323" s="35"/>
    </row>
    <row r="324">
      <c r="A324" s="35" t="b">
        <v>0</v>
      </c>
      <c r="B324" s="35"/>
      <c r="C324" s="35"/>
      <c r="D324" s="35"/>
      <c r="E324" s="35"/>
      <c r="F324" s="35"/>
      <c r="G324" s="35"/>
      <c r="H324" s="35"/>
      <c r="I324" s="35"/>
      <c r="J324" s="35"/>
      <c r="K324" s="35"/>
      <c r="L324" s="35"/>
      <c r="M324" s="35"/>
      <c r="N324" s="35"/>
      <c r="O324" s="35"/>
      <c r="P324" s="35"/>
      <c r="Q324" s="35"/>
      <c r="R324" s="35"/>
      <c r="S324" s="35"/>
      <c r="T324" s="35"/>
      <c r="U324" s="35"/>
    </row>
    <row r="325">
      <c r="A325" s="35" t="b">
        <v>0</v>
      </c>
      <c r="B325" s="35"/>
      <c r="C325" s="35"/>
      <c r="D325" s="35"/>
      <c r="E325" s="35"/>
      <c r="F325" s="35"/>
      <c r="G325" s="35"/>
      <c r="H325" s="35"/>
      <c r="I325" s="35"/>
      <c r="J325" s="35"/>
      <c r="K325" s="35"/>
      <c r="L325" s="35"/>
      <c r="M325" s="35"/>
      <c r="N325" s="35"/>
      <c r="O325" s="35"/>
      <c r="P325" s="35"/>
      <c r="Q325" s="35"/>
      <c r="R325" s="35"/>
      <c r="S325" s="35"/>
      <c r="T325" s="35"/>
      <c r="U325" s="35"/>
    </row>
    <row r="326">
      <c r="A326" s="35" t="b">
        <v>0</v>
      </c>
      <c r="B326" s="35"/>
      <c r="C326" s="35"/>
      <c r="D326" s="35"/>
      <c r="E326" s="35"/>
      <c r="F326" s="35"/>
      <c r="G326" s="35"/>
      <c r="H326" s="35"/>
      <c r="I326" s="35"/>
      <c r="J326" s="35"/>
      <c r="K326" s="35"/>
      <c r="L326" s="35"/>
      <c r="M326" s="35"/>
      <c r="N326" s="35"/>
      <c r="O326" s="35"/>
      <c r="P326" s="35"/>
      <c r="Q326" s="35"/>
      <c r="R326" s="35"/>
      <c r="S326" s="35"/>
      <c r="T326" s="35"/>
      <c r="U326" s="35"/>
    </row>
    <row r="327">
      <c r="A327" s="35" t="b">
        <v>0</v>
      </c>
      <c r="B327" s="35"/>
      <c r="C327" s="35"/>
      <c r="D327" s="35"/>
      <c r="E327" s="35"/>
      <c r="F327" s="35"/>
      <c r="G327" s="35"/>
      <c r="H327" s="35"/>
      <c r="I327" s="35"/>
      <c r="J327" s="35"/>
      <c r="K327" s="35"/>
      <c r="L327" s="35"/>
      <c r="M327" s="35"/>
      <c r="N327" s="35"/>
      <c r="O327" s="35"/>
      <c r="P327" s="35"/>
      <c r="Q327" s="35"/>
      <c r="R327" s="35"/>
      <c r="S327" s="35"/>
      <c r="T327" s="35"/>
      <c r="U327" s="35"/>
    </row>
    <row r="328">
      <c r="A328" s="35" t="b">
        <v>0</v>
      </c>
      <c r="B328" s="35"/>
      <c r="C328" s="35"/>
      <c r="D328" s="35"/>
      <c r="E328" s="35"/>
      <c r="F328" s="35"/>
      <c r="G328" s="35"/>
      <c r="H328" s="35"/>
      <c r="I328" s="35"/>
      <c r="J328" s="35"/>
      <c r="K328" s="35"/>
      <c r="L328" s="35"/>
      <c r="M328" s="35"/>
      <c r="N328" s="35"/>
      <c r="O328" s="35"/>
      <c r="P328" s="35"/>
      <c r="Q328" s="35"/>
      <c r="R328" s="35"/>
      <c r="S328" s="35"/>
      <c r="T328" s="35"/>
      <c r="U328" s="35"/>
    </row>
    <row r="329">
      <c r="A329" s="35" t="b">
        <v>0</v>
      </c>
      <c r="B329" s="35"/>
      <c r="C329" s="35"/>
      <c r="D329" s="35"/>
      <c r="E329" s="35"/>
      <c r="F329" s="35"/>
      <c r="G329" s="35"/>
      <c r="H329" s="35"/>
      <c r="I329" s="35"/>
      <c r="J329" s="35"/>
      <c r="K329" s="35"/>
      <c r="L329" s="35"/>
      <c r="M329" s="35"/>
      <c r="N329" s="35"/>
      <c r="O329" s="35"/>
      <c r="P329" s="35"/>
      <c r="Q329" s="35"/>
      <c r="R329" s="35"/>
      <c r="S329" s="35"/>
      <c r="T329" s="35"/>
      <c r="U329" s="35"/>
    </row>
    <row r="330">
      <c r="A330" s="35" t="b">
        <v>0</v>
      </c>
      <c r="B330" s="35"/>
      <c r="C330" s="35"/>
      <c r="D330" s="35"/>
      <c r="E330" s="35"/>
      <c r="F330" s="35"/>
      <c r="G330" s="35"/>
      <c r="H330" s="35"/>
      <c r="I330" s="35"/>
      <c r="J330" s="35"/>
      <c r="K330" s="35"/>
      <c r="L330" s="35"/>
      <c r="M330" s="35"/>
      <c r="N330" s="35"/>
      <c r="O330" s="35"/>
      <c r="P330" s="35"/>
      <c r="Q330" s="35"/>
      <c r="R330" s="35"/>
      <c r="S330" s="35"/>
      <c r="T330" s="35"/>
      <c r="U330" s="35"/>
    </row>
    <row r="331">
      <c r="A331" s="35" t="b">
        <v>0</v>
      </c>
      <c r="B331" s="35"/>
      <c r="C331" s="35"/>
      <c r="D331" s="35"/>
      <c r="E331" s="35"/>
      <c r="F331" s="35"/>
      <c r="G331" s="35"/>
      <c r="H331" s="35"/>
      <c r="I331" s="35"/>
      <c r="J331" s="35"/>
      <c r="K331" s="35"/>
      <c r="L331" s="35"/>
      <c r="M331" s="35"/>
      <c r="N331" s="35"/>
      <c r="O331" s="35"/>
      <c r="P331" s="35"/>
      <c r="Q331" s="35"/>
      <c r="R331" s="35"/>
      <c r="S331" s="35"/>
      <c r="T331" s="35"/>
      <c r="U331" s="35"/>
    </row>
    <row r="332">
      <c r="A332" s="35" t="b">
        <v>0</v>
      </c>
      <c r="B332" s="35"/>
      <c r="C332" s="35"/>
      <c r="D332" s="35"/>
      <c r="E332" s="35"/>
      <c r="F332" s="35"/>
      <c r="G332" s="35"/>
      <c r="H332" s="35"/>
      <c r="I332" s="35"/>
      <c r="J332" s="35"/>
      <c r="K332" s="35"/>
      <c r="L332" s="35"/>
      <c r="M332" s="35"/>
      <c r="N332" s="35"/>
      <c r="O332" s="35"/>
      <c r="P332" s="35"/>
      <c r="Q332" s="35"/>
      <c r="R332" s="35"/>
      <c r="S332" s="35"/>
      <c r="T332" s="35"/>
      <c r="U332" s="35"/>
    </row>
    <row r="333">
      <c r="A333" s="35" t="b">
        <v>0</v>
      </c>
      <c r="B333" s="35"/>
      <c r="C333" s="35"/>
      <c r="D333" s="35"/>
      <c r="E333" s="35"/>
      <c r="F333" s="35"/>
      <c r="G333" s="35"/>
      <c r="H333" s="35"/>
      <c r="I333" s="35"/>
      <c r="J333" s="35"/>
      <c r="K333" s="35"/>
      <c r="L333" s="35"/>
      <c r="M333" s="35"/>
      <c r="N333" s="35"/>
      <c r="O333" s="35"/>
      <c r="P333" s="35"/>
      <c r="Q333" s="35"/>
      <c r="R333" s="35"/>
      <c r="S333" s="35"/>
      <c r="T333" s="35"/>
      <c r="U333" s="35"/>
    </row>
    <row r="334">
      <c r="A334" s="35" t="b">
        <v>0</v>
      </c>
      <c r="B334" s="35"/>
      <c r="C334" s="35"/>
      <c r="D334" s="35"/>
      <c r="E334" s="35"/>
      <c r="F334" s="35"/>
      <c r="G334" s="35"/>
      <c r="H334" s="35"/>
      <c r="I334" s="35"/>
      <c r="J334" s="35"/>
      <c r="K334" s="35"/>
      <c r="L334" s="35"/>
      <c r="M334" s="35"/>
      <c r="N334" s="35"/>
      <c r="O334" s="35"/>
      <c r="P334" s="35"/>
      <c r="Q334" s="35"/>
      <c r="R334" s="35"/>
      <c r="S334" s="35"/>
      <c r="T334" s="35"/>
      <c r="U334" s="35"/>
    </row>
    <row r="335">
      <c r="A335" s="35" t="b">
        <v>0</v>
      </c>
      <c r="B335" s="35"/>
      <c r="C335" s="35"/>
      <c r="D335" s="35"/>
      <c r="E335" s="35"/>
      <c r="F335" s="35"/>
      <c r="G335" s="35"/>
      <c r="H335" s="35"/>
      <c r="I335" s="35"/>
      <c r="J335" s="35"/>
      <c r="K335" s="35"/>
      <c r="L335" s="35"/>
      <c r="M335" s="35"/>
      <c r="N335" s="35"/>
      <c r="O335" s="35"/>
      <c r="P335" s="35"/>
      <c r="Q335" s="35"/>
      <c r="R335" s="35"/>
      <c r="S335" s="35"/>
      <c r="T335" s="35"/>
      <c r="U335" s="35"/>
    </row>
    <row r="336">
      <c r="A336" s="35" t="b">
        <v>0</v>
      </c>
      <c r="B336" s="35"/>
      <c r="C336" s="35"/>
      <c r="D336" s="35"/>
      <c r="E336" s="35"/>
      <c r="F336" s="35"/>
      <c r="G336" s="35"/>
      <c r="H336" s="35"/>
      <c r="I336" s="35"/>
      <c r="J336" s="35"/>
      <c r="K336" s="35"/>
      <c r="L336" s="35"/>
      <c r="M336" s="35"/>
      <c r="N336" s="35"/>
      <c r="O336" s="35"/>
      <c r="P336" s="35"/>
      <c r="Q336" s="35"/>
      <c r="R336" s="35"/>
      <c r="S336" s="35"/>
      <c r="T336" s="35"/>
      <c r="U336" s="35"/>
    </row>
    <row r="337">
      <c r="A337" s="35" t="b">
        <v>0</v>
      </c>
      <c r="B337" s="35"/>
      <c r="C337" s="35"/>
      <c r="D337" s="35"/>
      <c r="E337" s="35"/>
      <c r="F337" s="35"/>
      <c r="G337" s="35"/>
      <c r="H337" s="35"/>
      <c r="I337" s="35"/>
      <c r="J337" s="35"/>
      <c r="K337" s="35"/>
      <c r="L337" s="35"/>
      <c r="M337" s="35"/>
      <c r="N337" s="35"/>
      <c r="O337" s="35"/>
      <c r="P337" s="35"/>
      <c r="Q337" s="35"/>
      <c r="R337" s="35"/>
      <c r="S337" s="35"/>
      <c r="T337" s="35"/>
      <c r="U337" s="35"/>
    </row>
    <row r="338">
      <c r="A338" s="35" t="b">
        <v>0</v>
      </c>
      <c r="B338" s="35"/>
      <c r="C338" s="35"/>
      <c r="D338" s="35"/>
      <c r="E338" s="35"/>
      <c r="F338" s="35"/>
      <c r="G338" s="35"/>
      <c r="H338" s="35"/>
      <c r="I338" s="35"/>
      <c r="J338" s="35"/>
      <c r="K338" s="35"/>
      <c r="L338" s="35"/>
      <c r="M338" s="35"/>
      <c r="N338" s="35"/>
      <c r="O338" s="35"/>
      <c r="P338" s="35"/>
      <c r="Q338" s="35"/>
      <c r="R338" s="35"/>
      <c r="S338" s="35"/>
      <c r="T338" s="35"/>
      <c r="U338" s="35"/>
    </row>
    <row r="339">
      <c r="A339" s="35" t="b">
        <v>0</v>
      </c>
      <c r="B339" s="35"/>
      <c r="C339" s="35"/>
      <c r="D339" s="35"/>
      <c r="E339" s="35"/>
      <c r="F339" s="35"/>
      <c r="G339" s="35"/>
      <c r="H339" s="35"/>
      <c r="I339" s="35"/>
      <c r="J339" s="35"/>
      <c r="K339" s="35"/>
      <c r="L339" s="35"/>
      <c r="M339" s="35"/>
      <c r="N339" s="35"/>
      <c r="O339" s="35"/>
      <c r="P339" s="35"/>
      <c r="Q339" s="35"/>
      <c r="R339" s="35"/>
      <c r="S339" s="35"/>
      <c r="T339" s="35"/>
      <c r="U339" s="35"/>
    </row>
    <row r="340">
      <c r="A340" s="35" t="b">
        <v>0</v>
      </c>
      <c r="B340" s="35"/>
      <c r="C340" s="35"/>
      <c r="D340" s="35"/>
      <c r="E340" s="35"/>
      <c r="F340" s="35"/>
      <c r="G340" s="35"/>
      <c r="H340" s="35"/>
      <c r="I340" s="35"/>
      <c r="J340" s="35"/>
      <c r="K340" s="35"/>
      <c r="L340" s="35"/>
      <c r="M340" s="35"/>
      <c r="N340" s="35"/>
      <c r="O340" s="35"/>
      <c r="P340" s="35"/>
      <c r="Q340" s="35"/>
      <c r="R340" s="35"/>
      <c r="S340" s="35"/>
      <c r="T340" s="35"/>
      <c r="U340" s="35"/>
    </row>
    <row r="341">
      <c r="A341" s="35" t="b">
        <v>0</v>
      </c>
      <c r="B341" s="35"/>
      <c r="C341" s="35"/>
      <c r="D341" s="35"/>
      <c r="E341" s="35"/>
      <c r="F341" s="35"/>
      <c r="G341" s="35"/>
      <c r="H341" s="35"/>
      <c r="I341" s="35"/>
      <c r="J341" s="35"/>
      <c r="K341" s="35"/>
      <c r="L341" s="35"/>
      <c r="M341" s="35"/>
      <c r="N341" s="35"/>
      <c r="O341" s="35"/>
      <c r="P341" s="35"/>
      <c r="Q341" s="35"/>
      <c r="R341" s="35"/>
      <c r="S341" s="35"/>
      <c r="T341" s="35"/>
      <c r="U341" s="35"/>
    </row>
    <row r="342">
      <c r="A342" s="35" t="b">
        <v>0</v>
      </c>
      <c r="B342" s="35"/>
      <c r="C342" s="35"/>
      <c r="D342" s="35"/>
      <c r="E342" s="35"/>
      <c r="F342" s="35"/>
      <c r="G342" s="35"/>
      <c r="H342" s="35"/>
      <c r="I342" s="35"/>
      <c r="J342" s="35"/>
      <c r="K342" s="35"/>
      <c r="L342" s="35"/>
      <c r="M342" s="35"/>
      <c r="N342" s="35"/>
      <c r="O342" s="35"/>
      <c r="P342" s="35"/>
      <c r="Q342" s="35"/>
      <c r="R342" s="35"/>
      <c r="S342" s="35"/>
      <c r="T342" s="35"/>
      <c r="U342" s="35"/>
    </row>
    <row r="343">
      <c r="A343" s="35" t="b">
        <v>0</v>
      </c>
      <c r="B343" s="35"/>
      <c r="C343" s="35"/>
      <c r="D343" s="35"/>
      <c r="E343" s="35"/>
      <c r="F343" s="35"/>
      <c r="G343" s="35"/>
      <c r="H343" s="35"/>
      <c r="I343" s="35"/>
      <c r="J343" s="35"/>
      <c r="K343" s="35"/>
      <c r="L343" s="35"/>
      <c r="M343" s="35"/>
      <c r="N343" s="35"/>
      <c r="O343" s="35"/>
      <c r="P343" s="35"/>
      <c r="Q343" s="35"/>
      <c r="R343" s="35"/>
      <c r="S343" s="35"/>
      <c r="T343" s="35"/>
      <c r="U343" s="35"/>
    </row>
    <row r="344">
      <c r="A344" s="35" t="b">
        <v>0</v>
      </c>
      <c r="B344" s="35"/>
      <c r="C344" s="35"/>
      <c r="D344" s="35"/>
      <c r="E344" s="35"/>
      <c r="F344" s="35"/>
      <c r="G344" s="35"/>
      <c r="H344" s="35"/>
      <c r="I344" s="35"/>
      <c r="J344" s="35"/>
      <c r="K344" s="35"/>
      <c r="L344" s="35"/>
      <c r="M344" s="35"/>
      <c r="N344" s="35"/>
      <c r="O344" s="35"/>
      <c r="P344" s="35"/>
      <c r="Q344" s="35"/>
      <c r="R344" s="35"/>
      <c r="S344" s="35"/>
      <c r="T344" s="35"/>
      <c r="U344" s="35"/>
    </row>
    <row r="345">
      <c r="A345" s="35" t="b">
        <v>0</v>
      </c>
      <c r="B345" s="35"/>
      <c r="C345" s="35"/>
      <c r="D345" s="35"/>
      <c r="E345" s="35"/>
      <c r="F345" s="35"/>
      <c r="G345" s="35"/>
      <c r="H345" s="35"/>
      <c r="I345" s="35"/>
      <c r="J345" s="35"/>
      <c r="K345" s="35"/>
      <c r="L345" s="35"/>
      <c r="M345" s="35"/>
      <c r="N345" s="35"/>
      <c r="O345" s="35"/>
      <c r="P345" s="35"/>
      <c r="Q345" s="35"/>
      <c r="R345" s="35"/>
      <c r="S345" s="35"/>
      <c r="T345" s="35"/>
      <c r="U345" s="35"/>
    </row>
    <row r="346">
      <c r="A346" s="35" t="b">
        <v>0</v>
      </c>
      <c r="B346" s="35"/>
      <c r="C346" s="35"/>
      <c r="D346" s="35"/>
      <c r="E346" s="35"/>
      <c r="F346" s="35"/>
      <c r="G346" s="35"/>
      <c r="H346" s="35"/>
      <c r="I346" s="35"/>
      <c r="J346" s="35"/>
      <c r="K346" s="35"/>
      <c r="L346" s="35"/>
      <c r="M346" s="35"/>
      <c r="N346" s="35"/>
      <c r="O346" s="35"/>
      <c r="P346" s="35"/>
      <c r="Q346" s="35"/>
      <c r="R346" s="35"/>
      <c r="S346" s="35"/>
      <c r="T346" s="35"/>
      <c r="U346" s="35"/>
    </row>
    <row r="347">
      <c r="A347" s="35" t="b">
        <v>0</v>
      </c>
      <c r="B347" s="35"/>
      <c r="C347" s="35"/>
      <c r="D347" s="35"/>
      <c r="E347" s="35"/>
      <c r="F347" s="35"/>
      <c r="G347" s="35"/>
      <c r="H347" s="35"/>
      <c r="I347" s="35"/>
      <c r="J347" s="35"/>
      <c r="K347" s="35"/>
      <c r="L347" s="35"/>
      <c r="M347" s="35"/>
      <c r="N347" s="35"/>
      <c r="O347" s="35"/>
      <c r="P347" s="35"/>
      <c r="Q347" s="35"/>
      <c r="R347" s="35"/>
      <c r="S347" s="35"/>
      <c r="T347" s="35"/>
      <c r="U347" s="35"/>
    </row>
    <row r="348">
      <c r="A348" s="35" t="b">
        <v>0</v>
      </c>
      <c r="B348" s="35"/>
      <c r="C348" s="35"/>
      <c r="D348" s="35"/>
      <c r="E348" s="35"/>
      <c r="F348" s="35"/>
      <c r="G348" s="35"/>
      <c r="H348" s="35"/>
      <c r="I348" s="35"/>
      <c r="J348" s="35"/>
      <c r="K348" s="35"/>
      <c r="L348" s="35"/>
      <c r="M348" s="35"/>
      <c r="N348" s="35"/>
      <c r="O348" s="35"/>
      <c r="P348" s="35"/>
      <c r="Q348" s="35"/>
      <c r="R348" s="35"/>
      <c r="S348" s="35"/>
      <c r="T348" s="35"/>
      <c r="U348" s="35"/>
    </row>
    <row r="349">
      <c r="A349" s="35" t="b">
        <v>0</v>
      </c>
      <c r="B349" s="35"/>
      <c r="C349" s="35"/>
      <c r="D349" s="35"/>
      <c r="E349" s="35"/>
      <c r="F349" s="35"/>
      <c r="G349" s="35"/>
      <c r="H349" s="35"/>
      <c r="I349" s="35"/>
      <c r="J349" s="35"/>
      <c r="K349" s="35"/>
      <c r="L349" s="35"/>
      <c r="M349" s="35"/>
      <c r="N349" s="35"/>
      <c r="O349" s="35"/>
      <c r="P349" s="35"/>
      <c r="Q349" s="35"/>
      <c r="R349" s="35"/>
      <c r="S349" s="35"/>
      <c r="T349" s="35"/>
      <c r="U349" s="35"/>
    </row>
    <row r="350">
      <c r="A350" s="35" t="b">
        <v>0</v>
      </c>
      <c r="B350" s="35"/>
      <c r="C350" s="35"/>
      <c r="D350" s="35"/>
      <c r="E350" s="35"/>
      <c r="F350" s="35"/>
      <c r="G350" s="35"/>
      <c r="H350" s="35"/>
      <c r="I350" s="35"/>
      <c r="J350" s="35"/>
      <c r="K350" s="35"/>
      <c r="L350" s="35"/>
      <c r="M350" s="35"/>
      <c r="N350" s="35"/>
      <c r="O350" s="35"/>
      <c r="P350" s="35"/>
      <c r="Q350" s="35"/>
      <c r="R350" s="35"/>
      <c r="S350" s="35"/>
      <c r="T350" s="35"/>
      <c r="U350" s="35"/>
    </row>
    <row r="351">
      <c r="A351" s="35" t="b">
        <v>0</v>
      </c>
      <c r="B351" s="35"/>
      <c r="C351" s="35"/>
      <c r="D351" s="35"/>
      <c r="E351" s="35"/>
      <c r="F351" s="35"/>
      <c r="G351" s="35"/>
      <c r="H351" s="35"/>
      <c r="I351" s="35"/>
      <c r="J351" s="35"/>
      <c r="K351" s="35"/>
      <c r="L351" s="35"/>
      <c r="M351" s="35"/>
      <c r="N351" s="35"/>
      <c r="O351" s="35"/>
      <c r="P351" s="35"/>
      <c r="Q351" s="35"/>
      <c r="R351" s="35"/>
      <c r="S351" s="35"/>
      <c r="T351" s="35"/>
      <c r="U351" s="35"/>
    </row>
    <row r="352">
      <c r="A352" s="35" t="b">
        <v>0</v>
      </c>
      <c r="B352" s="35"/>
      <c r="C352" s="35"/>
      <c r="D352" s="35"/>
      <c r="E352" s="35"/>
      <c r="F352" s="35"/>
      <c r="G352" s="35"/>
      <c r="H352" s="35"/>
      <c r="I352" s="35"/>
      <c r="J352" s="35"/>
      <c r="K352" s="35"/>
      <c r="L352" s="35"/>
      <c r="M352" s="35"/>
      <c r="N352" s="35"/>
      <c r="O352" s="35"/>
      <c r="P352" s="35"/>
      <c r="Q352" s="35"/>
      <c r="R352" s="35"/>
      <c r="S352" s="35"/>
      <c r="T352" s="35"/>
      <c r="U352" s="35"/>
    </row>
    <row r="353">
      <c r="A353" s="35" t="b">
        <v>0</v>
      </c>
      <c r="B353" s="35"/>
      <c r="C353" s="35"/>
      <c r="D353" s="35"/>
      <c r="E353" s="35"/>
      <c r="F353" s="35"/>
      <c r="G353" s="35"/>
      <c r="H353" s="35"/>
      <c r="I353" s="35"/>
      <c r="J353" s="35"/>
      <c r="K353" s="35"/>
      <c r="L353" s="35"/>
      <c r="M353" s="35"/>
      <c r="N353" s="35"/>
      <c r="O353" s="35"/>
      <c r="P353" s="35"/>
      <c r="Q353" s="35"/>
      <c r="R353" s="35"/>
      <c r="S353" s="35"/>
      <c r="T353" s="35"/>
      <c r="U353" s="35"/>
    </row>
    <row r="354">
      <c r="A354" s="35" t="b">
        <v>0</v>
      </c>
      <c r="B354" s="35"/>
      <c r="C354" s="35"/>
      <c r="D354" s="35"/>
      <c r="E354" s="35"/>
      <c r="F354" s="35"/>
      <c r="G354" s="35"/>
      <c r="H354" s="35"/>
      <c r="I354" s="35"/>
      <c r="J354" s="35"/>
      <c r="K354" s="35"/>
      <c r="L354" s="35"/>
      <c r="M354" s="35"/>
      <c r="N354" s="35"/>
      <c r="O354" s="35"/>
      <c r="P354" s="35"/>
      <c r="Q354" s="35"/>
      <c r="R354" s="35"/>
      <c r="S354" s="35"/>
      <c r="T354" s="35"/>
      <c r="U354" s="35"/>
    </row>
    <row r="355">
      <c r="A355" s="35" t="b">
        <v>0</v>
      </c>
      <c r="B355" s="35"/>
      <c r="C355" s="35"/>
      <c r="D355" s="35"/>
      <c r="E355" s="35"/>
      <c r="F355" s="35"/>
      <c r="G355" s="35"/>
      <c r="H355" s="35"/>
      <c r="I355" s="35"/>
      <c r="J355" s="35"/>
      <c r="K355" s="35"/>
      <c r="L355" s="35"/>
      <c r="M355" s="35"/>
      <c r="N355" s="35"/>
      <c r="O355" s="35"/>
      <c r="P355" s="35"/>
      <c r="Q355" s="35"/>
      <c r="R355" s="35"/>
      <c r="S355" s="35"/>
      <c r="T355" s="35"/>
      <c r="U355" s="35"/>
    </row>
    <row r="356">
      <c r="A356" s="35" t="b">
        <v>0</v>
      </c>
      <c r="B356" s="35"/>
      <c r="C356" s="35"/>
      <c r="D356" s="35"/>
      <c r="E356" s="35"/>
      <c r="F356" s="35"/>
      <c r="G356" s="35"/>
      <c r="H356" s="35"/>
      <c r="I356" s="35"/>
      <c r="J356" s="35"/>
      <c r="K356" s="35"/>
      <c r="L356" s="35"/>
      <c r="M356" s="35"/>
      <c r="N356" s="35"/>
      <c r="O356" s="35"/>
      <c r="P356" s="35"/>
      <c r="Q356" s="35"/>
      <c r="R356" s="35"/>
      <c r="S356" s="35"/>
      <c r="T356" s="35"/>
      <c r="U356" s="35"/>
    </row>
    <row r="357">
      <c r="A357" s="35" t="b">
        <v>0</v>
      </c>
      <c r="B357" s="35"/>
      <c r="C357" s="35"/>
      <c r="D357" s="35"/>
      <c r="E357" s="35"/>
      <c r="F357" s="35"/>
      <c r="G357" s="35"/>
      <c r="H357" s="35"/>
      <c r="I357" s="35"/>
      <c r="J357" s="35"/>
      <c r="K357" s="35"/>
      <c r="L357" s="35"/>
      <c r="M357" s="35"/>
      <c r="N357" s="35"/>
      <c r="O357" s="35"/>
      <c r="P357" s="35"/>
      <c r="Q357" s="35"/>
      <c r="R357" s="35"/>
      <c r="S357" s="35"/>
      <c r="T357" s="35"/>
      <c r="U357" s="35"/>
    </row>
    <row r="358">
      <c r="A358" s="35" t="b">
        <v>0</v>
      </c>
      <c r="B358" s="35"/>
      <c r="C358" s="35"/>
      <c r="D358" s="35"/>
      <c r="E358" s="35"/>
      <c r="F358" s="35"/>
      <c r="G358" s="35"/>
      <c r="H358" s="35"/>
      <c r="I358" s="35"/>
      <c r="J358" s="35"/>
      <c r="K358" s="35"/>
      <c r="L358" s="35"/>
      <c r="M358" s="35"/>
      <c r="N358" s="35"/>
      <c r="O358" s="35"/>
      <c r="P358" s="35"/>
      <c r="Q358" s="35"/>
      <c r="R358" s="35"/>
      <c r="S358" s="35"/>
      <c r="T358" s="35"/>
      <c r="U358" s="35"/>
    </row>
    <row r="359">
      <c r="A359" s="35" t="b">
        <v>0</v>
      </c>
      <c r="B359" s="35"/>
      <c r="C359" s="35"/>
      <c r="D359" s="35"/>
      <c r="E359" s="35"/>
      <c r="F359" s="35"/>
      <c r="G359" s="35"/>
      <c r="H359" s="35"/>
      <c r="I359" s="35"/>
      <c r="J359" s="35"/>
      <c r="K359" s="35"/>
      <c r="L359" s="35"/>
      <c r="M359" s="35"/>
      <c r="N359" s="35"/>
      <c r="O359" s="35"/>
      <c r="P359" s="35"/>
      <c r="Q359" s="35"/>
      <c r="R359" s="35"/>
      <c r="S359" s="35"/>
      <c r="T359" s="35"/>
      <c r="U359" s="35"/>
    </row>
    <row r="360">
      <c r="A360" s="35" t="b">
        <v>0</v>
      </c>
      <c r="B360" s="35"/>
      <c r="C360" s="35"/>
      <c r="D360" s="35"/>
      <c r="E360" s="35"/>
      <c r="F360" s="35"/>
      <c r="G360" s="35"/>
      <c r="H360" s="35"/>
      <c r="I360" s="35"/>
      <c r="J360" s="35"/>
      <c r="K360" s="35"/>
      <c r="L360" s="35"/>
      <c r="M360" s="35"/>
      <c r="N360" s="35"/>
      <c r="O360" s="35"/>
      <c r="P360" s="35"/>
      <c r="Q360" s="35"/>
      <c r="R360" s="35"/>
      <c r="S360" s="35"/>
      <c r="T360" s="35"/>
      <c r="U360" s="35"/>
    </row>
    <row r="361">
      <c r="A361" s="35" t="b">
        <v>0</v>
      </c>
      <c r="B361" s="35"/>
      <c r="C361" s="35"/>
      <c r="D361" s="35"/>
      <c r="E361" s="35"/>
      <c r="F361" s="35"/>
      <c r="G361" s="35"/>
      <c r="H361" s="35"/>
      <c r="I361" s="35"/>
      <c r="J361" s="35"/>
      <c r="K361" s="35"/>
      <c r="L361" s="35"/>
      <c r="M361" s="35"/>
      <c r="N361" s="35"/>
      <c r="O361" s="35"/>
      <c r="P361" s="35"/>
      <c r="Q361" s="35"/>
      <c r="R361" s="35"/>
      <c r="S361" s="35"/>
      <c r="T361" s="35"/>
      <c r="U361" s="35"/>
    </row>
    <row r="362">
      <c r="A362" s="35" t="b">
        <v>0</v>
      </c>
      <c r="B362" s="35"/>
      <c r="C362" s="35"/>
      <c r="D362" s="35"/>
      <c r="E362" s="35"/>
      <c r="F362" s="35"/>
      <c r="G362" s="35"/>
      <c r="H362" s="35"/>
      <c r="I362" s="35"/>
      <c r="J362" s="35"/>
      <c r="K362" s="35"/>
      <c r="L362" s="35"/>
      <c r="M362" s="35"/>
      <c r="N362" s="35"/>
      <c r="O362" s="35"/>
      <c r="P362" s="35"/>
      <c r="Q362" s="35"/>
      <c r="R362" s="35"/>
      <c r="S362" s="35"/>
      <c r="T362" s="35"/>
      <c r="U362" s="35"/>
    </row>
    <row r="363">
      <c r="A363" s="35" t="b">
        <v>0</v>
      </c>
      <c r="B363" s="35"/>
      <c r="C363" s="35"/>
      <c r="D363" s="35"/>
      <c r="E363" s="35"/>
      <c r="F363" s="35"/>
      <c r="G363" s="35"/>
      <c r="H363" s="35"/>
      <c r="I363" s="35"/>
      <c r="J363" s="35"/>
      <c r="K363" s="35"/>
      <c r="L363" s="35"/>
      <c r="M363" s="35"/>
      <c r="N363" s="35"/>
      <c r="O363" s="35"/>
      <c r="P363" s="35"/>
      <c r="Q363" s="35"/>
      <c r="R363" s="35"/>
      <c r="S363" s="35"/>
      <c r="T363" s="35"/>
      <c r="U363" s="35"/>
    </row>
    <row r="364">
      <c r="A364" s="35" t="b">
        <v>0</v>
      </c>
      <c r="B364" s="35"/>
      <c r="C364" s="35"/>
      <c r="D364" s="35"/>
      <c r="E364" s="35"/>
      <c r="F364" s="35"/>
      <c r="G364" s="35"/>
      <c r="H364" s="35"/>
      <c r="I364" s="35"/>
      <c r="J364" s="35"/>
      <c r="K364" s="35"/>
      <c r="L364" s="35"/>
      <c r="M364" s="35"/>
      <c r="N364" s="35"/>
      <c r="O364" s="35"/>
      <c r="P364" s="35"/>
      <c r="Q364" s="35"/>
      <c r="R364" s="35"/>
      <c r="S364" s="35"/>
      <c r="T364" s="35"/>
      <c r="U364" s="35"/>
    </row>
    <row r="365">
      <c r="A365" s="35" t="b">
        <v>0</v>
      </c>
      <c r="B365" s="35"/>
      <c r="C365" s="35"/>
      <c r="D365" s="35"/>
      <c r="E365" s="35"/>
      <c r="F365" s="35"/>
      <c r="G365" s="35"/>
      <c r="H365" s="35"/>
      <c r="I365" s="35"/>
      <c r="J365" s="35"/>
      <c r="K365" s="35"/>
      <c r="L365" s="35"/>
      <c r="M365" s="35"/>
      <c r="N365" s="35"/>
      <c r="O365" s="35"/>
      <c r="P365" s="35"/>
      <c r="Q365" s="35"/>
      <c r="R365" s="35"/>
      <c r="S365" s="35"/>
      <c r="T365" s="35"/>
      <c r="U365" s="35"/>
    </row>
    <row r="366">
      <c r="A366" s="35" t="b">
        <v>0</v>
      </c>
      <c r="B366" s="35"/>
      <c r="C366" s="35"/>
      <c r="D366" s="35"/>
      <c r="E366" s="35"/>
      <c r="F366" s="35"/>
      <c r="G366" s="35"/>
      <c r="H366" s="35"/>
      <c r="I366" s="35"/>
      <c r="J366" s="35"/>
      <c r="K366" s="35"/>
      <c r="L366" s="35"/>
      <c r="M366" s="35"/>
      <c r="N366" s="35"/>
      <c r="O366" s="35"/>
      <c r="P366" s="35"/>
      <c r="Q366" s="35"/>
      <c r="R366" s="35"/>
      <c r="S366" s="35"/>
      <c r="T366" s="35"/>
      <c r="U366" s="35"/>
    </row>
    <row r="367">
      <c r="A367" s="35" t="b">
        <v>0</v>
      </c>
      <c r="B367" s="35"/>
      <c r="C367" s="35"/>
      <c r="D367" s="35"/>
      <c r="E367" s="35"/>
      <c r="F367" s="35"/>
      <c r="G367" s="35"/>
      <c r="H367" s="35"/>
      <c r="I367" s="35"/>
      <c r="J367" s="35"/>
      <c r="K367" s="35"/>
      <c r="L367" s="35"/>
      <c r="M367" s="35"/>
      <c r="N367" s="35"/>
      <c r="O367" s="35"/>
      <c r="P367" s="35"/>
      <c r="Q367" s="35"/>
      <c r="R367" s="35"/>
      <c r="S367" s="35"/>
      <c r="T367" s="35"/>
      <c r="U367" s="35"/>
    </row>
    <row r="368">
      <c r="A368" s="35" t="b">
        <v>0</v>
      </c>
      <c r="B368" s="35"/>
      <c r="C368" s="35"/>
      <c r="D368" s="35"/>
      <c r="E368" s="35"/>
      <c r="F368" s="35"/>
      <c r="G368" s="35"/>
      <c r="H368" s="35"/>
      <c r="I368" s="35"/>
      <c r="J368" s="35"/>
      <c r="K368" s="35"/>
      <c r="L368" s="35"/>
      <c r="M368" s="35"/>
      <c r="N368" s="35"/>
      <c r="O368" s="35"/>
      <c r="P368" s="35"/>
      <c r="Q368" s="35"/>
      <c r="R368" s="35"/>
      <c r="S368" s="35"/>
      <c r="T368" s="35"/>
      <c r="U368" s="35"/>
    </row>
    <row r="369">
      <c r="A369" s="35" t="b">
        <v>0</v>
      </c>
      <c r="B369" s="35"/>
      <c r="C369" s="35"/>
      <c r="D369" s="35"/>
      <c r="E369" s="35"/>
      <c r="F369" s="35"/>
      <c r="G369" s="35"/>
      <c r="H369" s="35"/>
      <c r="I369" s="35"/>
      <c r="J369" s="35"/>
      <c r="K369" s="35"/>
      <c r="L369" s="35"/>
      <c r="M369" s="35"/>
      <c r="N369" s="35"/>
      <c r="O369" s="35"/>
      <c r="P369" s="35"/>
      <c r="Q369" s="35"/>
      <c r="R369" s="35"/>
      <c r="S369" s="35"/>
      <c r="T369" s="35"/>
      <c r="U369" s="35"/>
    </row>
    <row r="370">
      <c r="A370" s="35" t="b">
        <v>0</v>
      </c>
      <c r="B370" s="35"/>
      <c r="C370" s="35"/>
      <c r="D370" s="35"/>
      <c r="E370" s="35"/>
      <c r="F370" s="35"/>
      <c r="G370" s="35"/>
      <c r="H370" s="35"/>
      <c r="I370" s="35"/>
      <c r="J370" s="35"/>
      <c r="K370" s="35"/>
      <c r="L370" s="35"/>
      <c r="M370" s="35"/>
      <c r="N370" s="35"/>
      <c r="O370" s="35"/>
      <c r="P370" s="35"/>
      <c r="Q370" s="35"/>
      <c r="R370" s="35"/>
      <c r="S370" s="35"/>
      <c r="T370" s="35"/>
      <c r="U370" s="35"/>
    </row>
    <row r="371">
      <c r="A371" s="35" t="b">
        <v>0</v>
      </c>
      <c r="B371" s="35"/>
      <c r="C371" s="35"/>
      <c r="D371" s="35"/>
      <c r="E371" s="35"/>
      <c r="F371" s="35"/>
      <c r="G371" s="35"/>
      <c r="H371" s="35"/>
      <c r="I371" s="35"/>
      <c r="J371" s="35"/>
      <c r="K371" s="35"/>
      <c r="L371" s="35"/>
      <c r="M371" s="35"/>
      <c r="N371" s="35"/>
      <c r="O371" s="35"/>
      <c r="P371" s="35"/>
      <c r="Q371" s="35"/>
      <c r="R371" s="35"/>
      <c r="S371" s="35"/>
      <c r="T371" s="35"/>
      <c r="U371" s="35"/>
    </row>
    <row r="372">
      <c r="A372" s="35" t="b">
        <v>0</v>
      </c>
      <c r="B372" s="35"/>
      <c r="C372" s="35"/>
      <c r="D372" s="35"/>
      <c r="E372" s="35"/>
      <c r="F372" s="35"/>
      <c r="G372" s="35"/>
      <c r="H372" s="35"/>
      <c r="I372" s="35"/>
      <c r="J372" s="35"/>
      <c r="K372" s="35"/>
      <c r="L372" s="35"/>
      <c r="M372" s="35"/>
      <c r="N372" s="35"/>
      <c r="O372" s="35"/>
      <c r="P372" s="35"/>
      <c r="Q372" s="35"/>
      <c r="R372" s="35"/>
      <c r="S372" s="35"/>
      <c r="T372" s="35"/>
      <c r="U372" s="35"/>
    </row>
    <row r="373">
      <c r="A373" s="35" t="b">
        <v>0</v>
      </c>
      <c r="B373" s="35"/>
      <c r="C373" s="35"/>
      <c r="D373" s="35"/>
      <c r="E373" s="35"/>
      <c r="F373" s="35"/>
      <c r="G373" s="35"/>
      <c r="H373" s="35"/>
      <c r="I373" s="35"/>
      <c r="J373" s="35"/>
      <c r="K373" s="35"/>
      <c r="L373" s="35"/>
      <c r="M373" s="35"/>
      <c r="N373" s="35"/>
      <c r="O373" s="35"/>
      <c r="P373" s="35"/>
      <c r="Q373" s="35"/>
      <c r="R373" s="35"/>
      <c r="S373" s="35"/>
      <c r="T373" s="35"/>
      <c r="U373" s="35"/>
    </row>
    <row r="374">
      <c r="A374" s="35" t="b">
        <v>0</v>
      </c>
      <c r="B374" s="35"/>
      <c r="C374" s="35"/>
      <c r="D374" s="35"/>
      <c r="E374" s="35"/>
      <c r="F374" s="35"/>
      <c r="G374" s="35"/>
      <c r="H374" s="35"/>
      <c r="I374" s="35"/>
      <c r="J374" s="35"/>
      <c r="K374" s="35"/>
      <c r="L374" s="35"/>
      <c r="M374" s="35"/>
      <c r="N374" s="35"/>
      <c r="O374" s="35"/>
      <c r="P374" s="35"/>
      <c r="Q374" s="35"/>
      <c r="R374" s="35"/>
      <c r="S374" s="35"/>
      <c r="T374" s="35"/>
      <c r="U374" s="35"/>
    </row>
    <row r="375">
      <c r="A375" s="35" t="b">
        <v>0</v>
      </c>
      <c r="B375" s="35"/>
      <c r="C375" s="35"/>
      <c r="D375" s="35"/>
      <c r="E375" s="35"/>
      <c r="F375" s="35"/>
      <c r="G375" s="35"/>
      <c r="H375" s="35"/>
      <c r="I375" s="35"/>
      <c r="J375" s="35"/>
      <c r="K375" s="35"/>
      <c r="L375" s="35"/>
      <c r="M375" s="35"/>
      <c r="N375" s="35"/>
      <c r="O375" s="35"/>
      <c r="P375" s="35"/>
      <c r="Q375" s="35"/>
      <c r="R375" s="35"/>
      <c r="S375" s="35"/>
      <c r="T375" s="35"/>
      <c r="U375" s="35"/>
    </row>
    <row r="376">
      <c r="A376" s="35" t="b">
        <v>0</v>
      </c>
      <c r="B376" s="35"/>
      <c r="C376" s="35"/>
      <c r="D376" s="35"/>
      <c r="E376" s="35"/>
      <c r="F376" s="35"/>
      <c r="G376" s="35"/>
      <c r="H376" s="35"/>
      <c r="I376" s="35"/>
      <c r="J376" s="35"/>
      <c r="K376" s="35"/>
      <c r="L376" s="35"/>
      <c r="M376" s="35"/>
      <c r="N376" s="35"/>
      <c r="O376" s="35"/>
      <c r="P376" s="35"/>
      <c r="Q376" s="35"/>
      <c r="R376" s="35"/>
      <c r="S376" s="35"/>
      <c r="T376" s="35"/>
      <c r="U376" s="35"/>
    </row>
    <row r="377">
      <c r="A377" s="35" t="b">
        <v>0</v>
      </c>
      <c r="B377" s="35"/>
      <c r="C377" s="35"/>
      <c r="D377" s="35"/>
      <c r="E377" s="35"/>
      <c r="F377" s="35"/>
      <c r="G377" s="35"/>
      <c r="H377" s="35"/>
      <c r="I377" s="35"/>
      <c r="J377" s="35"/>
      <c r="K377" s="35"/>
      <c r="L377" s="35"/>
      <c r="M377" s="35"/>
      <c r="N377" s="35"/>
      <c r="O377" s="35"/>
      <c r="P377" s="35"/>
      <c r="Q377" s="35"/>
      <c r="R377" s="35"/>
      <c r="S377" s="35"/>
      <c r="T377" s="35"/>
      <c r="U377" s="35"/>
    </row>
    <row r="378">
      <c r="A378" s="35" t="b">
        <v>0</v>
      </c>
      <c r="B378" s="35"/>
      <c r="C378" s="35"/>
      <c r="D378" s="35"/>
      <c r="E378" s="35"/>
      <c r="F378" s="35"/>
      <c r="G378" s="35"/>
      <c r="H378" s="35"/>
      <c r="I378" s="35"/>
      <c r="J378" s="35"/>
      <c r="K378" s="35"/>
      <c r="L378" s="35"/>
      <c r="M378" s="35"/>
      <c r="N378" s="35"/>
      <c r="O378" s="35"/>
      <c r="P378" s="35"/>
      <c r="Q378" s="35"/>
      <c r="R378" s="35"/>
      <c r="S378" s="35"/>
      <c r="T378" s="35"/>
      <c r="U378" s="35"/>
    </row>
    <row r="379">
      <c r="A379" s="35" t="b">
        <v>0</v>
      </c>
      <c r="B379" s="35"/>
      <c r="C379" s="35"/>
      <c r="D379" s="35"/>
      <c r="E379" s="35"/>
      <c r="F379" s="35"/>
      <c r="G379" s="35"/>
      <c r="H379" s="35"/>
      <c r="I379" s="35"/>
      <c r="J379" s="35"/>
      <c r="K379" s="35"/>
      <c r="L379" s="35"/>
      <c r="M379" s="35"/>
      <c r="N379" s="35"/>
      <c r="O379" s="35"/>
      <c r="P379" s="35"/>
      <c r="Q379" s="35"/>
      <c r="R379" s="35"/>
      <c r="S379" s="35"/>
      <c r="T379" s="35"/>
      <c r="U379" s="35"/>
    </row>
    <row r="380">
      <c r="A380" s="35" t="b">
        <v>0</v>
      </c>
      <c r="B380" s="35"/>
      <c r="C380" s="35"/>
      <c r="D380" s="35"/>
      <c r="E380" s="35"/>
      <c r="F380" s="35"/>
      <c r="G380" s="35"/>
      <c r="H380" s="35"/>
      <c r="I380" s="35"/>
      <c r="J380" s="35"/>
      <c r="K380" s="35"/>
      <c r="L380" s="35"/>
      <c r="M380" s="35"/>
      <c r="N380" s="35"/>
      <c r="O380" s="35"/>
      <c r="P380" s="35"/>
      <c r="Q380" s="35"/>
      <c r="R380" s="35"/>
      <c r="S380" s="35"/>
      <c r="T380" s="35"/>
      <c r="U380" s="35"/>
    </row>
    <row r="381">
      <c r="A381" s="35" t="b">
        <v>0</v>
      </c>
      <c r="B381" s="35"/>
      <c r="C381" s="35"/>
      <c r="D381" s="35"/>
      <c r="E381" s="35"/>
      <c r="F381" s="35"/>
      <c r="G381" s="35"/>
      <c r="H381" s="35"/>
      <c r="I381" s="35"/>
      <c r="J381" s="35"/>
      <c r="K381" s="35"/>
      <c r="L381" s="35"/>
      <c r="M381" s="35"/>
      <c r="N381" s="35"/>
      <c r="O381" s="35"/>
      <c r="P381" s="35"/>
      <c r="Q381" s="35"/>
      <c r="R381" s="35"/>
      <c r="S381" s="35"/>
      <c r="T381" s="35"/>
      <c r="U381" s="35"/>
    </row>
    <row r="382">
      <c r="A382" s="35" t="b">
        <v>0</v>
      </c>
      <c r="B382" s="35"/>
      <c r="C382" s="35"/>
      <c r="D382" s="35"/>
      <c r="E382" s="35"/>
      <c r="F382" s="35"/>
      <c r="G382" s="35"/>
      <c r="H382" s="35"/>
      <c r="I382" s="35"/>
      <c r="J382" s="35"/>
      <c r="K382" s="35"/>
      <c r="L382" s="35"/>
      <c r="M382" s="35"/>
      <c r="N382" s="35"/>
      <c r="O382" s="35"/>
      <c r="P382" s="35"/>
      <c r="Q382" s="35"/>
      <c r="R382" s="35"/>
      <c r="S382" s="35"/>
      <c r="T382" s="35"/>
      <c r="U382" s="35"/>
    </row>
    <row r="383">
      <c r="A383" s="35" t="b">
        <v>0</v>
      </c>
      <c r="B383" s="35"/>
      <c r="C383" s="35"/>
      <c r="D383" s="35"/>
      <c r="E383" s="35"/>
      <c r="F383" s="35"/>
      <c r="G383" s="35"/>
      <c r="H383" s="35"/>
      <c r="I383" s="35"/>
      <c r="J383" s="35"/>
      <c r="K383" s="35"/>
      <c r="L383" s="35"/>
      <c r="M383" s="35"/>
      <c r="N383" s="35"/>
      <c r="O383" s="35"/>
      <c r="P383" s="35"/>
      <c r="Q383" s="35"/>
      <c r="R383" s="35"/>
      <c r="S383" s="35"/>
      <c r="T383" s="35"/>
      <c r="U383" s="35"/>
    </row>
    <row r="384">
      <c r="A384" s="35" t="b">
        <v>0</v>
      </c>
      <c r="B384" s="35"/>
      <c r="C384" s="35"/>
      <c r="D384" s="35"/>
      <c r="E384" s="35"/>
      <c r="F384" s="35"/>
      <c r="G384" s="35"/>
      <c r="H384" s="35"/>
      <c r="I384" s="35"/>
      <c r="J384" s="35"/>
      <c r="K384" s="35"/>
      <c r="L384" s="35"/>
      <c r="M384" s="35"/>
      <c r="N384" s="35"/>
      <c r="O384" s="35"/>
      <c r="P384" s="35"/>
      <c r="Q384" s="35"/>
      <c r="R384" s="35"/>
      <c r="S384" s="35"/>
      <c r="T384" s="35"/>
      <c r="U384" s="35"/>
    </row>
    <row r="385">
      <c r="A385" s="35" t="b">
        <v>0</v>
      </c>
      <c r="B385" s="35"/>
      <c r="C385" s="35"/>
      <c r="D385" s="35"/>
      <c r="E385" s="35"/>
      <c r="F385" s="35"/>
      <c r="G385" s="35"/>
      <c r="H385" s="35"/>
      <c r="I385" s="35"/>
      <c r="J385" s="35"/>
      <c r="K385" s="35"/>
      <c r="L385" s="35"/>
      <c r="M385" s="35"/>
      <c r="N385" s="35"/>
      <c r="O385" s="35"/>
      <c r="P385" s="35"/>
      <c r="Q385" s="35"/>
      <c r="R385" s="35"/>
      <c r="S385" s="35"/>
      <c r="T385" s="35"/>
      <c r="U385" s="35"/>
    </row>
    <row r="386">
      <c r="A386" s="35" t="b">
        <v>0</v>
      </c>
      <c r="B386" s="35"/>
      <c r="C386" s="35"/>
      <c r="D386" s="35"/>
      <c r="E386" s="35"/>
      <c r="F386" s="35"/>
      <c r="G386" s="35"/>
      <c r="H386" s="35"/>
      <c r="I386" s="35"/>
      <c r="J386" s="35"/>
      <c r="K386" s="35"/>
      <c r="L386" s="35"/>
      <c r="M386" s="35"/>
      <c r="N386" s="35"/>
      <c r="O386" s="35"/>
      <c r="P386" s="35"/>
      <c r="Q386" s="35"/>
      <c r="R386" s="35"/>
      <c r="S386" s="35"/>
      <c r="T386" s="35"/>
      <c r="U386" s="35"/>
    </row>
    <row r="387">
      <c r="A387" s="35" t="b">
        <v>0</v>
      </c>
      <c r="B387" s="35"/>
      <c r="C387" s="35"/>
      <c r="D387" s="35"/>
      <c r="E387" s="35"/>
      <c r="F387" s="35"/>
      <c r="G387" s="35"/>
      <c r="H387" s="35"/>
      <c r="I387" s="35"/>
      <c r="J387" s="35"/>
      <c r="K387" s="35"/>
      <c r="L387" s="35"/>
      <c r="M387" s="35"/>
      <c r="N387" s="35"/>
      <c r="O387" s="35"/>
      <c r="P387" s="35"/>
      <c r="Q387" s="35"/>
      <c r="R387" s="35"/>
      <c r="S387" s="35"/>
      <c r="T387" s="35"/>
      <c r="U387" s="35"/>
    </row>
    <row r="388">
      <c r="A388" s="35" t="b">
        <v>0</v>
      </c>
      <c r="B388" s="35"/>
      <c r="C388" s="35"/>
      <c r="D388" s="35"/>
      <c r="E388" s="35"/>
      <c r="F388" s="35"/>
      <c r="G388" s="35"/>
      <c r="H388" s="35"/>
      <c r="I388" s="35"/>
      <c r="J388" s="35"/>
      <c r="K388" s="35"/>
      <c r="L388" s="35"/>
      <c r="M388" s="35"/>
      <c r="N388" s="35"/>
      <c r="O388" s="35"/>
      <c r="P388" s="35"/>
      <c r="Q388" s="35"/>
      <c r="R388" s="35"/>
      <c r="S388" s="35"/>
      <c r="T388" s="35"/>
      <c r="U388" s="35"/>
    </row>
    <row r="389">
      <c r="A389" s="35" t="b">
        <v>0</v>
      </c>
      <c r="B389" s="35"/>
      <c r="C389" s="35"/>
      <c r="D389" s="35"/>
      <c r="E389" s="35"/>
      <c r="F389" s="35"/>
      <c r="G389" s="35"/>
      <c r="H389" s="35"/>
      <c r="I389" s="35"/>
      <c r="J389" s="35"/>
      <c r="K389" s="35"/>
      <c r="L389" s="35"/>
      <c r="M389" s="35"/>
      <c r="N389" s="35"/>
      <c r="O389" s="35"/>
      <c r="P389" s="35"/>
      <c r="Q389" s="35"/>
      <c r="R389" s="35"/>
      <c r="S389" s="35"/>
      <c r="T389" s="35"/>
      <c r="U389" s="35"/>
    </row>
    <row r="390">
      <c r="A390" s="35" t="b">
        <v>0</v>
      </c>
      <c r="B390" s="35"/>
      <c r="C390" s="35"/>
      <c r="D390" s="35"/>
      <c r="E390" s="35"/>
      <c r="F390" s="35"/>
      <c r="G390" s="35"/>
      <c r="H390" s="35"/>
      <c r="I390" s="35"/>
      <c r="J390" s="35"/>
      <c r="K390" s="35"/>
      <c r="L390" s="35"/>
      <c r="M390" s="35"/>
      <c r="N390" s="35"/>
      <c r="O390" s="35"/>
      <c r="P390" s="35"/>
      <c r="Q390" s="35"/>
      <c r="R390" s="35"/>
      <c r="S390" s="35"/>
      <c r="T390" s="35"/>
      <c r="U390" s="35"/>
    </row>
    <row r="391">
      <c r="A391" s="35" t="b">
        <v>0</v>
      </c>
      <c r="B391" s="35"/>
      <c r="C391" s="35"/>
      <c r="D391" s="35"/>
      <c r="E391" s="35"/>
      <c r="F391" s="35"/>
      <c r="G391" s="35"/>
      <c r="H391" s="35"/>
      <c r="I391" s="35"/>
      <c r="J391" s="35"/>
      <c r="K391" s="35"/>
      <c r="L391" s="35"/>
      <c r="M391" s="35"/>
      <c r="N391" s="35"/>
      <c r="O391" s="35"/>
      <c r="P391" s="35"/>
      <c r="Q391" s="35"/>
      <c r="R391" s="35"/>
      <c r="S391" s="35"/>
      <c r="T391" s="35"/>
      <c r="U391" s="35"/>
    </row>
    <row r="392">
      <c r="A392" s="35" t="b">
        <v>0</v>
      </c>
      <c r="B392" s="35"/>
      <c r="C392" s="35"/>
      <c r="D392" s="35"/>
      <c r="E392" s="35"/>
      <c r="F392" s="35"/>
      <c r="G392" s="35"/>
      <c r="H392" s="35"/>
      <c r="I392" s="35"/>
      <c r="J392" s="35"/>
      <c r="K392" s="35"/>
      <c r="L392" s="35"/>
      <c r="M392" s="35"/>
      <c r="N392" s="35"/>
      <c r="O392" s="35"/>
      <c r="P392" s="35"/>
      <c r="Q392" s="35"/>
      <c r="R392" s="35"/>
      <c r="S392" s="35"/>
      <c r="T392" s="35"/>
      <c r="U392" s="35"/>
    </row>
    <row r="393">
      <c r="A393" s="35" t="b">
        <v>0</v>
      </c>
      <c r="B393" s="35"/>
      <c r="C393" s="35"/>
      <c r="D393" s="35"/>
      <c r="E393" s="35"/>
      <c r="F393" s="35"/>
      <c r="G393" s="35"/>
      <c r="H393" s="35"/>
      <c r="I393" s="35"/>
      <c r="J393" s="35"/>
      <c r="K393" s="35"/>
      <c r="L393" s="35"/>
      <c r="M393" s="35"/>
      <c r="N393" s="35"/>
      <c r="O393" s="35"/>
      <c r="P393" s="35"/>
      <c r="Q393" s="35"/>
      <c r="R393" s="35"/>
      <c r="S393" s="35"/>
      <c r="T393" s="35"/>
      <c r="U393" s="35"/>
    </row>
    <row r="394">
      <c r="A394" s="35" t="b">
        <v>0</v>
      </c>
      <c r="B394" s="35"/>
      <c r="C394" s="35"/>
      <c r="D394" s="35"/>
      <c r="E394" s="35"/>
      <c r="F394" s="35"/>
      <c r="G394" s="35"/>
      <c r="H394" s="35"/>
      <c r="I394" s="35"/>
      <c r="J394" s="35"/>
      <c r="K394" s="35"/>
      <c r="L394" s="35"/>
      <c r="M394" s="35"/>
      <c r="N394" s="35"/>
      <c r="O394" s="35"/>
      <c r="P394" s="35"/>
      <c r="Q394" s="35"/>
      <c r="R394" s="35"/>
      <c r="S394" s="35"/>
      <c r="T394" s="35"/>
      <c r="U394" s="35"/>
    </row>
    <row r="395">
      <c r="A395" s="35" t="b">
        <v>0</v>
      </c>
      <c r="B395" s="35"/>
      <c r="C395" s="35"/>
      <c r="D395" s="35"/>
      <c r="E395" s="35"/>
      <c r="F395" s="35"/>
      <c r="G395" s="35"/>
      <c r="H395" s="35"/>
      <c r="I395" s="35"/>
      <c r="J395" s="35"/>
      <c r="K395" s="35"/>
      <c r="L395" s="35"/>
      <c r="M395" s="35"/>
      <c r="N395" s="35"/>
      <c r="O395" s="35"/>
      <c r="P395" s="35"/>
      <c r="Q395" s="35"/>
      <c r="R395" s="35"/>
      <c r="S395" s="35"/>
      <c r="T395" s="35"/>
      <c r="U395" s="35"/>
    </row>
    <row r="396">
      <c r="A396" s="35" t="b">
        <v>0</v>
      </c>
      <c r="B396" s="35"/>
      <c r="C396" s="35"/>
      <c r="D396" s="35"/>
      <c r="E396" s="35"/>
      <c r="F396" s="35"/>
      <c r="G396" s="35"/>
      <c r="H396" s="35"/>
      <c r="I396" s="35"/>
      <c r="J396" s="35"/>
      <c r="K396" s="35"/>
      <c r="L396" s="35"/>
      <c r="M396" s="35"/>
      <c r="N396" s="35"/>
      <c r="O396" s="35"/>
      <c r="P396" s="35"/>
      <c r="Q396" s="35"/>
      <c r="R396" s="35"/>
      <c r="S396" s="35"/>
      <c r="T396" s="35"/>
      <c r="U396" s="35"/>
    </row>
    <row r="397">
      <c r="A397" s="35" t="b">
        <v>0</v>
      </c>
      <c r="B397" s="35"/>
      <c r="C397" s="35"/>
      <c r="D397" s="35"/>
      <c r="E397" s="35"/>
      <c r="F397" s="35"/>
      <c r="G397" s="35"/>
      <c r="H397" s="35"/>
      <c r="I397" s="35"/>
      <c r="J397" s="35"/>
      <c r="K397" s="35"/>
      <c r="L397" s="35"/>
      <c r="M397" s="35"/>
      <c r="N397" s="35"/>
      <c r="O397" s="35"/>
      <c r="P397" s="35"/>
      <c r="Q397" s="35"/>
      <c r="R397" s="35"/>
      <c r="S397" s="35"/>
      <c r="T397" s="35"/>
      <c r="U397" s="35"/>
    </row>
    <row r="398">
      <c r="A398" s="35" t="b">
        <v>0</v>
      </c>
      <c r="B398" s="35"/>
      <c r="C398" s="35"/>
      <c r="D398" s="35"/>
      <c r="E398" s="35"/>
      <c r="F398" s="35"/>
      <c r="G398" s="35"/>
      <c r="H398" s="35"/>
      <c r="I398" s="35"/>
      <c r="J398" s="35"/>
      <c r="K398" s="35"/>
      <c r="L398" s="35"/>
      <c r="M398" s="35"/>
      <c r="N398" s="35"/>
      <c r="O398" s="35"/>
      <c r="P398" s="35"/>
      <c r="Q398" s="35"/>
      <c r="R398" s="35"/>
      <c r="S398" s="35"/>
      <c r="T398" s="35"/>
      <c r="U398" s="35"/>
    </row>
    <row r="399">
      <c r="A399" s="35" t="b">
        <v>0</v>
      </c>
      <c r="B399" s="35"/>
      <c r="C399" s="35"/>
      <c r="D399" s="35"/>
      <c r="E399" s="35"/>
      <c r="F399" s="35"/>
      <c r="G399" s="35"/>
      <c r="H399" s="35"/>
      <c r="I399" s="35"/>
      <c r="J399" s="35"/>
      <c r="K399" s="35"/>
      <c r="L399" s="35"/>
      <c r="M399" s="35"/>
      <c r="N399" s="35"/>
      <c r="O399" s="35"/>
      <c r="P399" s="35"/>
      <c r="Q399" s="35"/>
      <c r="R399" s="35"/>
      <c r="S399" s="35"/>
      <c r="T399" s="35"/>
      <c r="U399" s="35"/>
    </row>
    <row r="400">
      <c r="A400" s="35" t="b">
        <v>0</v>
      </c>
      <c r="B400" s="35"/>
      <c r="C400" s="35"/>
      <c r="D400" s="35"/>
      <c r="E400" s="35"/>
      <c r="F400" s="35"/>
      <c r="G400" s="35"/>
      <c r="H400" s="35"/>
      <c r="I400" s="35"/>
      <c r="J400" s="35"/>
      <c r="K400" s="35"/>
      <c r="L400" s="35"/>
      <c r="M400" s="35"/>
      <c r="N400" s="35"/>
      <c r="O400" s="35"/>
      <c r="P400" s="35"/>
      <c r="Q400" s="35"/>
      <c r="R400" s="35"/>
      <c r="S400" s="35"/>
      <c r="T400" s="35"/>
      <c r="U400" s="35"/>
    </row>
    <row r="401">
      <c r="A401" s="35" t="b">
        <v>0</v>
      </c>
      <c r="B401" s="35"/>
      <c r="C401" s="35"/>
      <c r="D401" s="35"/>
      <c r="E401" s="35"/>
      <c r="F401" s="35"/>
      <c r="G401" s="35"/>
      <c r="H401" s="35"/>
      <c r="I401" s="35"/>
      <c r="J401" s="35"/>
      <c r="K401" s="35"/>
      <c r="L401" s="35"/>
      <c r="M401" s="35"/>
      <c r="N401" s="35"/>
      <c r="O401" s="35"/>
      <c r="P401" s="35"/>
      <c r="Q401" s="35"/>
      <c r="R401" s="35"/>
      <c r="S401" s="35"/>
      <c r="T401" s="35"/>
      <c r="U401" s="35"/>
    </row>
    <row r="402">
      <c r="A402" s="35" t="b">
        <v>0</v>
      </c>
      <c r="B402" s="35"/>
      <c r="C402" s="35"/>
      <c r="D402" s="35"/>
      <c r="E402" s="35"/>
      <c r="F402" s="35"/>
      <c r="G402" s="35"/>
      <c r="H402" s="35"/>
      <c r="I402" s="35"/>
      <c r="J402" s="35"/>
      <c r="K402" s="35"/>
      <c r="L402" s="35"/>
      <c r="M402" s="35"/>
      <c r="N402" s="35"/>
      <c r="O402" s="35"/>
      <c r="P402" s="35"/>
      <c r="Q402" s="35"/>
      <c r="R402" s="35"/>
      <c r="S402" s="35"/>
      <c r="T402" s="35"/>
      <c r="U402" s="35"/>
    </row>
    <row r="403">
      <c r="A403" s="35" t="b">
        <v>0</v>
      </c>
      <c r="B403" s="35"/>
      <c r="C403" s="35"/>
      <c r="D403" s="35"/>
      <c r="E403" s="35"/>
      <c r="F403" s="35"/>
      <c r="G403" s="35"/>
      <c r="H403" s="35"/>
      <c r="I403" s="35"/>
      <c r="J403" s="35"/>
      <c r="K403" s="35"/>
      <c r="L403" s="35"/>
      <c r="M403" s="35"/>
      <c r="N403" s="35"/>
      <c r="O403" s="35"/>
      <c r="P403" s="35"/>
      <c r="Q403" s="35"/>
      <c r="R403" s="35"/>
      <c r="S403" s="35"/>
      <c r="T403" s="35"/>
      <c r="U403" s="35"/>
    </row>
    <row r="404">
      <c r="A404" s="35" t="b">
        <v>0</v>
      </c>
      <c r="B404" s="35"/>
      <c r="C404" s="35"/>
      <c r="D404" s="35"/>
      <c r="E404" s="35"/>
      <c r="F404" s="35"/>
      <c r="G404" s="35"/>
      <c r="H404" s="35"/>
      <c r="I404" s="35"/>
      <c r="J404" s="35"/>
      <c r="K404" s="35"/>
      <c r="L404" s="35"/>
      <c r="M404" s="35"/>
      <c r="N404" s="35"/>
      <c r="O404" s="35"/>
      <c r="P404" s="35"/>
      <c r="Q404" s="35"/>
      <c r="R404" s="35"/>
      <c r="S404" s="35"/>
      <c r="T404" s="35"/>
      <c r="U404" s="35"/>
    </row>
    <row r="405">
      <c r="A405" s="35" t="b">
        <v>0</v>
      </c>
      <c r="B405" s="35"/>
      <c r="C405" s="35"/>
      <c r="D405" s="35"/>
      <c r="E405" s="35"/>
      <c r="F405" s="35"/>
      <c r="G405" s="35"/>
      <c r="H405" s="35"/>
      <c r="I405" s="35"/>
      <c r="J405" s="35"/>
      <c r="K405" s="35"/>
      <c r="L405" s="35"/>
      <c r="M405" s="35"/>
      <c r="N405" s="35"/>
      <c r="O405" s="35"/>
      <c r="P405" s="35"/>
      <c r="Q405" s="35"/>
      <c r="R405" s="35"/>
      <c r="S405" s="35"/>
      <c r="T405" s="35"/>
      <c r="U405" s="35"/>
    </row>
    <row r="406">
      <c r="A406" s="35" t="b">
        <v>0</v>
      </c>
      <c r="B406" s="35"/>
      <c r="C406" s="35"/>
      <c r="D406" s="35"/>
      <c r="E406" s="35"/>
      <c r="F406" s="35"/>
      <c r="G406" s="35"/>
      <c r="H406" s="35"/>
      <c r="I406" s="35"/>
      <c r="J406" s="35"/>
      <c r="K406" s="35"/>
      <c r="L406" s="35"/>
      <c r="M406" s="35"/>
      <c r="N406" s="35"/>
      <c r="O406" s="35"/>
      <c r="P406" s="35"/>
      <c r="Q406" s="35"/>
      <c r="R406" s="35"/>
      <c r="S406" s="35"/>
      <c r="T406" s="35"/>
      <c r="U406" s="35"/>
    </row>
    <row r="407">
      <c r="A407" s="35" t="b">
        <v>0</v>
      </c>
      <c r="B407" s="35"/>
      <c r="C407" s="35"/>
      <c r="D407" s="35"/>
      <c r="E407" s="35"/>
      <c r="F407" s="35"/>
      <c r="G407" s="35"/>
      <c r="H407" s="35"/>
      <c r="I407" s="35"/>
      <c r="J407" s="35"/>
      <c r="K407" s="35"/>
      <c r="L407" s="35"/>
      <c r="M407" s="35"/>
      <c r="N407" s="35"/>
      <c r="O407" s="35"/>
      <c r="P407" s="35"/>
      <c r="Q407" s="35"/>
      <c r="R407" s="35"/>
      <c r="S407" s="35"/>
      <c r="T407" s="35"/>
      <c r="U407" s="35"/>
    </row>
    <row r="408">
      <c r="A408" s="35" t="b">
        <v>0</v>
      </c>
      <c r="B408" s="35"/>
      <c r="C408" s="35"/>
      <c r="D408" s="35"/>
      <c r="E408" s="35"/>
      <c r="F408" s="35"/>
      <c r="G408" s="35"/>
      <c r="H408" s="35"/>
      <c r="I408" s="35"/>
      <c r="J408" s="35"/>
      <c r="K408" s="35"/>
      <c r="L408" s="35"/>
      <c r="M408" s="35"/>
      <c r="N408" s="35"/>
      <c r="O408" s="35"/>
      <c r="P408" s="35"/>
      <c r="Q408" s="35"/>
      <c r="R408" s="35"/>
      <c r="S408" s="35"/>
      <c r="T408" s="35"/>
      <c r="U408" s="35"/>
    </row>
    <row r="409">
      <c r="A409" s="35" t="b">
        <v>0</v>
      </c>
      <c r="B409" s="35"/>
      <c r="C409" s="35"/>
      <c r="D409" s="35"/>
      <c r="E409" s="35"/>
      <c r="F409" s="35"/>
      <c r="G409" s="35"/>
      <c r="H409" s="35"/>
      <c r="I409" s="35"/>
      <c r="J409" s="35"/>
      <c r="K409" s="35"/>
      <c r="L409" s="35"/>
      <c r="M409" s="35"/>
      <c r="N409" s="35"/>
      <c r="O409" s="35"/>
      <c r="P409" s="35"/>
      <c r="Q409" s="35"/>
      <c r="R409" s="35"/>
      <c r="S409" s="35"/>
      <c r="T409" s="35"/>
      <c r="U409" s="35"/>
    </row>
    <row r="410">
      <c r="A410" s="35" t="b">
        <v>0</v>
      </c>
      <c r="B410" s="35"/>
      <c r="C410" s="35"/>
      <c r="D410" s="35"/>
      <c r="E410" s="35"/>
      <c r="F410" s="35"/>
      <c r="G410" s="35"/>
      <c r="H410" s="35"/>
      <c r="I410" s="35"/>
      <c r="J410" s="35"/>
      <c r="K410" s="35"/>
      <c r="L410" s="35"/>
      <c r="M410" s="35"/>
      <c r="N410" s="35"/>
      <c r="O410" s="35"/>
      <c r="P410" s="35"/>
      <c r="Q410" s="35"/>
      <c r="R410" s="35"/>
      <c r="S410" s="35"/>
      <c r="T410" s="35"/>
      <c r="U410" s="35"/>
    </row>
    <row r="411">
      <c r="A411" s="35" t="b">
        <v>0</v>
      </c>
      <c r="B411" s="35"/>
      <c r="C411" s="35"/>
      <c r="D411" s="35"/>
      <c r="E411" s="35"/>
      <c r="F411" s="35"/>
      <c r="G411" s="35"/>
      <c r="H411" s="35"/>
      <c r="I411" s="35"/>
      <c r="J411" s="35"/>
      <c r="K411" s="35"/>
      <c r="L411" s="35"/>
      <c r="M411" s="35"/>
      <c r="N411" s="35"/>
      <c r="O411" s="35"/>
      <c r="P411" s="35"/>
      <c r="Q411" s="35"/>
      <c r="R411" s="35"/>
      <c r="S411" s="35"/>
      <c r="T411" s="35"/>
      <c r="U411" s="35"/>
    </row>
    <row r="412">
      <c r="A412" s="35" t="b">
        <v>0</v>
      </c>
      <c r="B412" s="35"/>
      <c r="C412" s="35"/>
      <c r="D412" s="35"/>
      <c r="E412" s="35"/>
      <c r="F412" s="35"/>
      <c r="G412" s="35"/>
      <c r="H412" s="35"/>
      <c r="I412" s="35"/>
      <c r="J412" s="35"/>
      <c r="K412" s="35"/>
      <c r="L412" s="35"/>
      <c r="M412" s="35"/>
      <c r="N412" s="35"/>
      <c r="O412" s="35"/>
      <c r="P412" s="35"/>
      <c r="Q412" s="35"/>
      <c r="R412" s="35"/>
      <c r="S412" s="35"/>
      <c r="T412" s="35"/>
      <c r="U412" s="35"/>
    </row>
    <row r="413">
      <c r="A413" s="35" t="b">
        <v>0</v>
      </c>
      <c r="B413" s="35"/>
      <c r="C413" s="35"/>
      <c r="D413" s="35"/>
      <c r="E413" s="35"/>
      <c r="F413" s="35"/>
      <c r="G413" s="35"/>
      <c r="H413" s="35"/>
      <c r="I413" s="35"/>
      <c r="J413" s="35"/>
      <c r="K413" s="35"/>
      <c r="L413" s="35"/>
      <c r="M413" s="35"/>
      <c r="N413" s="35"/>
      <c r="O413" s="35"/>
      <c r="P413" s="35"/>
      <c r="Q413" s="35"/>
      <c r="R413" s="35"/>
      <c r="S413" s="35"/>
      <c r="T413" s="35"/>
      <c r="U413" s="35"/>
    </row>
    <row r="414">
      <c r="A414" s="35" t="b">
        <v>0</v>
      </c>
      <c r="B414" s="35"/>
      <c r="C414" s="35"/>
      <c r="D414" s="35"/>
      <c r="E414" s="35"/>
      <c r="F414" s="35"/>
      <c r="G414" s="35"/>
      <c r="H414" s="35"/>
      <c r="I414" s="35"/>
      <c r="J414" s="35"/>
      <c r="K414" s="35"/>
      <c r="L414" s="35"/>
      <c r="M414" s="35"/>
      <c r="N414" s="35"/>
      <c r="O414" s="35"/>
      <c r="P414" s="35"/>
      <c r="Q414" s="35"/>
      <c r="R414" s="35"/>
      <c r="S414" s="35"/>
      <c r="T414" s="35"/>
      <c r="U414" s="35"/>
    </row>
    <row r="415">
      <c r="A415" s="35" t="b">
        <v>0</v>
      </c>
      <c r="B415" s="35"/>
      <c r="C415" s="35"/>
      <c r="D415" s="35"/>
      <c r="E415" s="35"/>
      <c r="F415" s="35"/>
      <c r="G415" s="35"/>
      <c r="H415" s="35"/>
      <c r="I415" s="35"/>
      <c r="J415" s="35"/>
      <c r="K415" s="35"/>
      <c r="L415" s="35"/>
      <c r="M415" s="35"/>
      <c r="N415" s="35"/>
      <c r="O415" s="35"/>
      <c r="P415" s="35"/>
      <c r="Q415" s="35"/>
      <c r="R415" s="35"/>
      <c r="S415" s="35"/>
      <c r="T415" s="35"/>
      <c r="U415" s="35"/>
    </row>
    <row r="416">
      <c r="A416" s="35" t="b">
        <v>0</v>
      </c>
      <c r="B416" s="35"/>
      <c r="C416" s="35"/>
      <c r="D416" s="35"/>
      <c r="E416" s="35"/>
      <c r="F416" s="35"/>
      <c r="G416" s="35"/>
      <c r="H416" s="35"/>
      <c r="I416" s="35"/>
      <c r="J416" s="35"/>
      <c r="K416" s="35"/>
      <c r="L416" s="35"/>
      <c r="M416" s="35"/>
      <c r="N416" s="35"/>
      <c r="O416" s="35"/>
      <c r="P416" s="35"/>
      <c r="Q416" s="35"/>
      <c r="R416" s="35"/>
      <c r="S416" s="35"/>
      <c r="T416" s="35"/>
      <c r="U416" s="35"/>
    </row>
    <row r="417">
      <c r="A417" s="35" t="b">
        <v>0</v>
      </c>
      <c r="B417" s="35"/>
      <c r="C417" s="35"/>
      <c r="D417" s="35"/>
      <c r="E417" s="35"/>
      <c r="F417" s="35"/>
      <c r="G417" s="35"/>
      <c r="H417" s="35"/>
      <c r="I417" s="35"/>
      <c r="J417" s="35"/>
      <c r="K417" s="35"/>
      <c r="L417" s="35"/>
      <c r="M417" s="35"/>
      <c r="N417" s="35"/>
      <c r="O417" s="35"/>
      <c r="P417" s="35"/>
      <c r="Q417" s="35"/>
      <c r="R417" s="35"/>
      <c r="S417" s="35"/>
      <c r="T417" s="35"/>
      <c r="U417" s="35"/>
    </row>
    <row r="418">
      <c r="A418" s="35" t="b">
        <v>0</v>
      </c>
      <c r="B418" s="35"/>
      <c r="C418" s="35"/>
      <c r="D418" s="35"/>
      <c r="E418" s="35"/>
      <c r="F418" s="35"/>
      <c r="G418" s="35"/>
      <c r="H418" s="35"/>
      <c r="I418" s="35"/>
      <c r="J418" s="35"/>
      <c r="K418" s="35"/>
      <c r="L418" s="35"/>
      <c r="M418" s="35"/>
      <c r="N418" s="35"/>
      <c r="O418" s="35"/>
      <c r="P418" s="35"/>
      <c r="Q418" s="35"/>
      <c r="R418" s="35"/>
      <c r="S418" s="35"/>
      <c r="T418" s="35"/>
      <c r="U418" s="35"/>
    </row>
    <row r="419">
      <c r="A419" s="35" t="b">
        <v>0</v>
      </c>
      <c r="B419" s="35"/>
      <c r="C419" s="35"/>
      <c r="D419" s="35"/>
      <c r="E419" s="35"/>
      <c r="F419" s="35"/>
      <c r="G419" s="35"/>
      <c r="H419" s="35"/>
      <c r="I419" s="35"/>
      <c r="J419" s="35"/>
      <c r="K419" s="35"/>
      <c r="L419" s="35"/>
      <c r="M419" s="35"/>
      <c r="N419" s="35"/>
      <c r="O419" s="35"/>
      <c r="P419" s="35"/>
      <c r="Q419" s="35"/>
      <c r="R419" s="35"/>
      <c r="S419" s="35"/>
      <c r="T419" s="35"/>
      <c r="U419" s="35"/>
    </row>
    <row r="420">
      <c r="A420" s="35" t="b">
        <v>0</v>
      </c>
      <c r="B420" s="35"/>
      <c r="C420" s="35"/>
      <c r="D420" s="35"/>
      <c r="E420" s="35"/>
      <c r="F420" s="35"/>
      <c r="G420" s="35"/>
      <c r="H420" s="35"/>
      <c r="I420" s="35"/>
      <c r="J420" s="35"/>
      <c r="K420" s="35"/>
      <c r="L420" s="35"/>
      <c r="M420" s="35"/>
      <c r="N420" s="35"/>
      <c r="O420" s="35"/>
      <c r="P420" s="35"/>
      <c r="Q420" s="35"/>
      <c r="R420" s="35"/>
      <c r="S420" s="35"/>
      <c r="T420" s="35"/>
      <c r="U420" s="35"/>
    </row>
    <row r="421">
      <c r="A421" s="35" t="b">
        <v>0</v>
      </c>
      <c r="B421" s="35"/>
      <c r="C421" s="35"/>
      <c r="D421" s="35"/>
      <c r="E421" s="35"/>
      <c r="F421" s="35"/>
      <c r="G421" s="35"/>
      <c r="H421" s="35"/>
      <c r="I421" s="35"/>
      <c r="J421" s="35"/>
      <c r="K421" s="35"/>
      <c r="L421" s="35"/>
      <c r="M421" s="35"/>
      <c r="N421" s="35"/>
      <c r="O421" s="35"/>
      <c r="P421" s="35"/>
      <c r="Q421" s="35"/>
      <c r="R421" s="35"/>
      <c r="S421" s="35"/>
      <c r="T421" s="35"/>
      <c r="U421" s="35"/>
    </row>
    <row r="422">
      <c r="A422" s="35" t="b">
        <v>0</v>
      </c>
      <c r="B422" s="35"/>
      <c r="C422" s="35"/>
      <c r="D422" s="35"/>
      <c r="E422" s="35"/>
      <c r="F422" s="35"/>
      <c r="G422" s="35"/>
      <c r="H422" s="35"/>
      <c r="I422" s="35"/>
      <c r="J422" s="35"/>
      <c r="K422" s="35"/>
      <c r="L422" s="35"/>
      <c r="M422" s="35"/>
      <c r="N422" s="35"/>
      <c r="O422" s="35"/>
      <c r="P422" s="35"/>
      <c r="Q422" s="35"/>
      <c r="R422" s="35"/>
      <c r="S422" s="35"/>
      <c r="T422" s="35"/>
      <c r="U422" s="35"/>
    </row>
    <row r="423">
      <c r="A423" s="35" t="b">
        <v>0</v>
      </c>
      <c r="B423" s="35"/>
      <c r="C423" s="35"/>
      <c r="D423" s="35"/>
      <c r="E423" s="35"/>
      <c r="F423" s="35"/>
      <c r="G423" s="35"/>
      <c r="H423" s="35"/>
      <c r="I423" s="35"/>
      <c r="J423" s="35"/>
      <c r="K423" s="35"/>
      <c r="L423" s="35"/>
      <c r="M423" s="35"/>
      <c r="N423" s="35"/>
      <c r="O423" s="35"/>
      <c r="P423" s="35"/>
      <c r="Q423" s="35"/>
      <c r="R423" s="35"/>
      <c r="S423" s="35"/>
      <c r="T423" s="35"/>
      <c r="U423" s="35"/>
    </row>
    <row r="424">
      <c r="A424" s="35" t="b">
        <v>0</v>
      </c>
      <c r="B424" s="35"/>
      <c r="C424" s="35"/>
      <c r="D424" s="35"/>
      <c r="E424" s="35"/>
      <c r="F424" s="35"/>
      <c r="G424" s="35"/>
      <c r="H424" s="35"/>
      <c r="I424" s="35"/>
      <c r="J424" s="35"/>
      <c r="K424" s="35"/>
      <c r="L424" s="35"/>
      <c r="M424" s="35"/>
      <c r="N424" s="35"/>
      <c r="O424" s="35"/>
      <c r="P424" s="35"/>
      <c r="Q424" s="35"/>
      <c r="R424" s="35"/>
      <c r="S424" s="35"/>
      <c r="T424" s="35"/>
      <c r="U424" s="35"/>
    </row>
    <row r="425">
      <c r="A425" s="35" t="b">
        <v>0</v>
      </c>
      <c r="B425" s="35"/>
      <c r="C425" s="35"/>
      <c r="D425" s="35"/>
      <c r="E425" s="35"/>
      <c r="F425" s="35"/>
      <c r="G425" s="35"/>
      <c r="H425" s="35"/>
      <c r="I425" s="35"/>
      <c r="J425" s="35"/>
      <c r="K425" s="35"/>
      <c r="L425" s="35"/>
      <c r="M425" s="35"/>
      <c r="N425" s="35"/>
      <c r="O425" s="35"/>
      <c r="P425" s="35"/>
      <c r="Q425" s="35"/>
      <c r="R425" s="35"/>
      <c r="S425" s="35"/>
      <c r="T425" s="35"/>
      <c r="U425" s="35"/>
    </row>
    <row r="426">
      <c r="A426" s="35" t="b">
        <v>0</v>
      </c>
      <c r="B426" s="35"/>
      <c r="C426" s="35"/>
      <c r="D426" s="35"/>
      <c r="E426" s="35"/>
      <c r="F426" s="35"/>
      <c r="G426" s="35"/>
      <c r="H426" s="35"/>
      <c r="I426" s="35"/>
      <c r="J426" s="35"/>
      <c r="K426" s="35"/>
      <c r="L426" s="35"/>
      <c r="M426" s="35"/>
      <c r="N426" s="35"/>
      <c r="O426" s="35"/>
      <c r="P426" s="35"/>
      <c r="Q426" s="35"/>
      <c r="R426" s="35"/>
      <c r="S426" s="35"/>
      <c r="T426" s="35"/>
      <c r="U426" s="35"/>
    </row>
    <row r="427">
      <c r="A427" s="35" t="b">
        <v>0</v>
      </c>
      <c r="B427" s="35"/>
      <c r="C427" s="35"/>
      <c r="D427" s="35"/>
      <c r="E427" s="35"/>
      <c r="F427" s="35"/>
      <c r="G427" s="35"/>
      <c r="H427" s="35"/>
      <c r="I427" s="35"/>
      <c r="J427" s="35"/>
      <c r="K427" s="35"/>
      <c r="L427" s="35"/>
      <c r="M427" s="35"/>
      <c r="N427" s="35"/>
      <c r="O427" s="35"/>
      <c r="P427" s="35"/>
      <c r="Q427" s="35"/>
      <c r="R427" s="35"/>
      <c r="S427" s="35"/>
      <c r="T427" s="35"/>
      <c r="U427" s="35"/>
    </row>
    <row r="428">
      <c r="A428" s="35" t="b">
        <v>0</v>
      </c>
      <c r="B428" s="35"/>
      <c r="C428" s="35"/>
      <c r="D428" s="35"/>
      <c r="E428" s="35"/>
      <c r="F428" s="35"/>
      <c r="G428" s="35"/>
      <c r="H428" s="35"/>
      <c r="I428" s="35"/>
      <c r="J428" s="35"/>
      <c r="K428" s="35"/>
      <c r="L428" s="35"/>
      <c r="M428" s="35"/>
      <c r="N428" s="35"/>
      <c r="O428" s="35"/>
      <c r="P428" s="35"/>
      <c r="Q428" s="35"/>
      <c r="R428" s="35"/>
      <c r="S428" s="35"/>
      <c r="T428" s="35"/>
      <c r="U428" s="35"/>
    </row>
    <row r="429">
      <c r="A429" s="35" t="b">
        <v>0</v>
      </c>
      <c r="B429" s="35"/>
      <c r="C429" s="35"/>
      <c r="D429" s="35"/>
      <c r="E429" s="35"/>
      <c r="F429" s="35"/>
      <c r="G429" s="35"/>
      <c r="H429" s="35"/>
      <c r="I429" s="35"/>
      <c r="J429" s="35"/>
      <c r="K429" s="35"/>
      <c r="L429" s="35"/>
      <c r="M429" s="35"/>
      <c r="N429" s="35"/>
      <c r="O429" s="35"/>
      <c r="P429" s="35"/>
      <c r="Q429" s="35"/>
      <c r="R429" s="35"/>
      <c r="S429" s="35"/>
      <c r="T429" s="35"/>
      <c r="U429" s="35"/>
    </row>
    <row r="430">
      <c r="A430" s="35" t="b">
        <v>0</v>
      </c>
      <c r="B430" s="35"/>
      <c r="C430" s="35"/>
      <c r="D430" s="35"/>
      <c r="E430" s="35"/>
      <c r="F430" s="35"/>
      <c r="G430" s="35"/>
      <c r="H430" s="35"/>
      <c r="I430" s="35"/>
      <c r="J430" s="35"/>
      <c r="K430" s="35"/>
      <c r="L430" s="35"/>
      <c r="M430" s="35"/>
      <c r="N430" s="35"/>
      <c r="O430" s="35"/>
      <c r="P430" s="35"/>
      <c r="Q430" s="35"/>
      <c r="R430" s="35"/>
      <c r="S430" s="35"/>
      <c r="T430" s="35"/>
      <c r="U430" s="35"/>
    </row>
    <row r="431">
      <c r="A431" s="35" t="b">
        <v>0</v>
      </c>
      <c r="B431" s="35"/>
      <c r="C431" s="35"/>
      <c r="D431" s="35"/>
      <c r="E431" s="35"/>
      <c r="F431" s="35"/>
      <c r="G431" s="35"/>
      <c r="H431" s="35"/>
      <c r="I431" s="35"/>
      <c r="J431" s="35"/>
      <c r="K431" s="35"/>
      <c r="L431" s="35"/>
      <c r="M431" s="35"/>
      <c r="N431" s="35"/>
      <c r="O431" s="35"/>
      <c r="P431" s="35"/>
      <c r="Q431" s="35"/>
      <c r="R431" s="35"/>
      <c r="S431" s="35"/>
      <c r="T431" s="35"/>
      <c r="U431" s="35"/>
    </row>
    <row r="432">
      <c r="A432" s="35" t="b">
        <v>0</v>
      </c>
      <c r="B432" s="35"/>
      <c r="C432" s="35"/>
      <c r="D432" s="35"/>
      <c r="E432" s="35"/>
      <c r="F432" s="35"/>
      <c r="G432" s="35"/>
      <c r="H432" s="35"/>
      <c r="I432" s="35"/>
      <c r="J432" s="35"/>
      <c r="K432" s="35"/>
      <c r="L432" s="35"/>
      <c r="M432" s="35"/>
      <c r="N432" s="35"/>
      <c r="O432" s="35"/>
      <c r="P432" s="35"/>
      <c r="Q432" s="35"/>
      <c r="R432" s="35"/>
      <c r="S432" s="35"/>
      <c r="T432" s="35"/>
      <c r="U432" s="35"/>
    </row>
    <row r="433">
      <c r="A433" s="35" t="b">
        <v>0</v>
      </c>
      <c r="B433" s="35"/>
      <c r="C433" s="35"/>
      <c r="D433" s="35"/>
      <c r="E433" s="35"/>
      <c r="F433" s="35"/>
      <c r="G433" s="35"/>
      <c r="H433" s="35"/>
      <c r="I433" s="35"/>
      <c r="J433" s="35"/>
      <c r="K433" s="35"/>
      <c r="L433" s="35"/>
      <c r="M433" s="35"/>
      <c r="N433" s="35"/>
      <c r="O433" s="35"/>
      <c r="P433" s="35"/>
      <c r="Q433" s="35"/>
      <c r="R433" s="35"/>
      <c r="S433" s="35"/>
      <c r="T433" s="35"/>
      <c r="U433" s="35"/>
    </row>
    <row r="434">
      <c r="A434" s="35" t="b">
        <v>0</v>
      </c>
      <c r="B434" s="35"/>
      <c r="C434" s="35"/>
      <c r="D434" s="35"/>
      <c r="E434" s="35"/>
      <c r="F434" s="35"/>
      <c r="G434" s="35"/>
      <c r="H434" s="35"/>
      <c r="I434" s="35"/>
      <c r="J434" s="35"/>
      <c r="K434" s="35"/>
      <c r="L434" s="35"/>
      <c r="M434" s="35"/>
      <c r="N434" s="35"/>
      <c r="O434" s="35"/>
      <c r="P434" s="35"/>
      <c r="Q434" s="35"/>
      <c r="R434" s="35"/>
      <c r="S434" s="35"/>
      <c r="T434" s="35"/>
      <c r="U434" s="35"/>
    </row>
    <row r="435">
      <c r="A435" s="35" t="b">
        <v>0</v>
      </c>
      <c r="B435" s="35"/>
      <c r="C435" s="35"/>
      <c r="D435" s="35"/>
      <c r="E435" s="35"/>
      <c r="F435" s="35"/>
      <c r="G435" s="35"/>
      <c r="H435" s="35"/>
      <c r="I435" s="35"/>
      <c r="J435" s="35"/>
      <c r="K435" s="35"/>
      <c r="L435" s="35"/>
      <c r="M435" s="35"/>
      <c r="N435" s="35"/>
      <c r="O435" s="35"/>
      <c r="P435" s="35"/>
      <c r="Q435" s="35"/>
      <c r="R435" s="35"/>
      <c r="S435" s="35"/>
      <c r="T435" s="35"/>
      <c r="U435" s="35"/>
    </row>
    <row r="436">
      <c r="A436" s="35" t="b">
        <v>0</v>
      </c>
      <c r="B436" s="35"/>
      <c r="C436" s="35"/>
      <c r="D436" s="35"/>
      <c r="E436" s="35"/>
      <c r="F436" s="35"/>
      <c r="G436" s="35"/>
      <c r="H436" s="35"/>
      <c r="I436" s="35"/>
      <c r="J436" s="35"/>
      <c r="K436" s="35"/>
      <c r="L436" s="35"/>
      <c r="M436" s="35"/>
      <c r="N436" s="35"/>
      <c r="O436" s="35"/>
      <c r="P436" s="35"/>
      <c r="Q436" s="35"/>
      <c r="R436" s="35"/>
      <c r="S436" s="35"/>
      <c r="T436" s="35"/>
      <c r="U436" s="35"/>
    </row>
    <row r="437">
      <c r="A437" s="35" t="b">
        <v>0</v>
      </c>
      <c r="B437" s="35"/>
      <c r="C437" s="35"/>
      <c r="D437" s="35"/>
      <c r="E437" s="35"/>
      <c r="F437" s="35"/>
      <c r="G437" s="35"/>
      <c r="H437" s="35"/>
      <c r="I437" s="35"/>
      <c r="J437" s="35"/>
      <c r="K437" s="35"/>
      <c r="L437" s="35"/>
      <c r="M437" s="35"/>
      <c r="N437" s="35"/>
      <c r="O437" s="35"/>
      <c r="P437" s="35"/>
      <c r="Q437" s="35"/>
      <c r="R437" s="35"/>
      <c r="S437" s="35"/>
      <c r="T437" s="35"/>
      <c r="U437" s="35"/>
    </row>
    <row r="438">
      <c r="A438" s="35" t="b">
        <v>0</v>
      </c>
      <c r="B438" s="35"/>
      <c r="C438" s="35"/>
      <c r="D438" s="35"/>
      <c r="E438" s="35"/>
      <c r="F438" s="35"/>
      <c r="G438" s="35"/>
      <c r="H438" s="35"/>
      <c r="I438" s="35"/>
      <c r="J438" s="35"/>
      <c r="K438" s="35"/>
      <c r="L438" s="35"/>
      <c r="M438" s="35"/>
      <c r="N438" s="35"/>
      <c r="O438" s="35"/>
      <c r="P438" s="35"/>
      <c r="Q438" s="35"/>
      <c r="R438" s="35"/>
      <c r="S438" s="35"/>
      <c r="T438" s="35"/>
      <c r="U438" s="35"/>
    </row>
    <row r="439">
      <c r="A439" s="35" t="b">
        <v>0</v>
      </c>
      <c r="B439" s="35"/>
      <c r="C439" s="35"/>
      <c r="D439" s="35"/>
      <c r="E439" s="35"/>
      <c r="F439" s="35"/>
      <c r="G439" s="35"/>
      <c r="H439" s="35"/>
      <c r="I439" s="35"/>
      <c r="J439" s="35"/>
      <c r="K439" s="35"/>
      <c r="L439" s="35"/>
      <c r="M439" s="35"/>
      <c r="N439" s="35"/>
      <c r="O439" s="35"/>
      <c r="P439" s="35"/>
      <c r="Q439" s="35"/>
      <c r="R439" s="35"/>
      <c r="S439" s="35"/>
      <c r="T439" s="35"/>
      <c r="U439" s="35"/>
    </row>
    <row r="440">
      <c r="A440" s="35" t="b">
        <v>0</v>
      </c>
      <c r="B440" s="35"/>
      <c r="C440" s="35"/>
      <c r="D440" s="35"/>
      <c r="E440" s="35"/>
      <c r="F440" s="35"/>
      <c r="G440" s="35"/>
      <c r="H440" s="35"/>
      <c r="I440" s="35"/>
      <c r="J440" s="35"/>
      <c r="K440" s="35"/>
      <c r="L440" s="35"/>
      <c r="M440" s="35"/>
      <c r="N440" s="35"/>
      <c r="O440" s="35"/>
      <c r="P440" s="35"/>
      <c r="Q440" s="35"/>
      <c r="R440" s="35"/>
      <c r="S440" s="35"/>
      <c r="T440" s="35"/>
      <c r="U440" s="35"/>
    </row>
    <row r="441">
      <c r="A441" s="35" t="b">
        <v>0</v>
      </c>
      <c r="B441" s="35"/>
      <c r="C441" s="35"/>
      <c r="D441" s="35"/>
      <c r="E441" s="35"/>
      <c r="F441" s="35"/>
      <c r="G441" s="35"/>
      <c r="H441" s="35"/>
      <c r="I441" s="35"/>
      <c r="J441" s="35"/>
      <c r="K441" s="35"/>
      <c r="L441" s="35"/>
      <c r="M441" s="35"/>
      <c r="N441" s="35"/>
      <c r="O441" s="35"/>
      <c r="P441" s="35"/>
      <c r="Q441" s="35"/>
      <c r="R441" s="35"/>
      <c r="S441" s="35"/>
      <c r="T441" s="35"/>
      <c r="U441" s="35"/>
    </row>
    <row r="442">
      <c r="A442" s="35" t="b">
        <v>0</v>
      </c>
      <c r="B442" s="35"/>
      <c r="C442" s="35"/>
      <c r="D442" s="35"/>
      <c r="E442" s="35"/>
      <c r="F442" s="35"/>
      <c r="G442" s="35"/>
      <c r="H442" s="35"/>
      <c r="I442" s="35"/>
      <c r="J442" s="35"/>
      <c r="K442" s="35"/>
      <c r="L442" s="35"/>
      <c r="M442" s="35"/>
      <c r="N442" s="35"/>
      <c r="O442" s="35"/>
      <c r="P442" s="35"/>
      <c r="Q442" s="35"/>
      <c r="R442" s="35"/>
      <c r="S442" s="35"/>
      <c r="T442" s="35"/>
      <c r="U442" s="35"/>
    </row>
    <row r="443">
      <c r="A443" s="35" t="b">
        <v>0</v>
      </c>
      <c r="B443" s="35"/>
      <c r="C443" s="35"/>
      <c r="D443" s="35"/>
      <c r="E443" s="35"/>
      <c r="F443" s="35"/>
      <c r="G443" s="35"/>
      <c r="H443" s="35"/>
      <c r="I443" s="35"/>
      <c r="J443" s="35"/>
      <c r="K443" s="35"/>
      <c r="L443" s="35"/>
      <c r="M443" s="35"/>
      <c r="N443" s="35"/>
      <c r="O443" s="35"/>
      <c r="P443" s="35"/>
      <c r="Q443" s="35"/>
      <c r="R443" s="35"/>
      <c r="S443" s="35"/>
      <c r="T443" s="35"/>
      <c r="U443" s="35"/>
    </row>
    <row r="444">
      <c r="A444" s="35" t="b">
        <v>0</v>
      </c>
      <c r="B444" s="35"/>
      <c r="C444" s="35"/>
      <c r="D444" s="35"/>
      <c r="E444" s="35"/>
      <c r="F444" s="35"/>
      <c r="G444" s="35"/>
      <c r="H444" s="35"/>
      <c r="I444" s="35"/>
      <c r="J444" s="35"/>
      <c r="K444" s="35"/>
      <c r="L444" s="35"/>
      <c r="M444" s="35"/>
      <c r="N444" s="35"/>
      <c r="O444" s="35"/>
      <c r="P444" s="35"/>
      <c r="Q444" s="35"/>
      <c r="R444" s="35"/>
      <c r="S444" s="35"/>
      <c r="T444" s="35"/>
      <c r="U444" s="35"/>
    </row>
    <row r="445">
      <c r="A445" s="35" t="b">
        <v>0</v>
      </c>
      <c r="B445" s="35"/>
      <c r="C445" s="35"/>
      <c r="D445" s="35"/>
      <c r="E445" s="35"/>
      <c r="F445" s="35"/>
      <c r="G445" s="35"/>
      <c r="H445" s="35"/>
      <c r="I445" s="35"/>
      <c r="J445" s="35"/>
      <c r="K445" s="35"/>
      <c r="L445" s="35"/>
      <c r="M445" s="35"/>
      <c r="N445" s="35"/>
      <c r="O445" s="35"/>
      <c r="P445" s="35"/>
      <c r="Q445" s="35"/>
      <c r="R445" s="35"/>
      <c r="S445" s="35"/>
      <c r="T445" s="35"/>
      <c r="U445" s="35"/>
    </row>
    <row r="446">
      <c r="A446" s="35" t="b">
        <v>0</v>
      </c>
      <c r="B446" s="35"/>
      <c r="C446" s="35"/>
      <c r="D446" s="35"/>
      <c r="E446" s="35"/>
      <c r="F446" s="35"/>
      <c r="G446" s="35"/>
      <c r="H446" s="35"/>
      <c r="I446" s="35"/>
      <c r="J446" s="35"/>
      <c r="K446" s="35"/>
      <c r="L446" s="35"/>
      <c r="M446" s="35"/>
      <c r="N446" s="35"/>
      <c r="O446" s="35"/>
      <c r="P446" s="35"/>
      <c r="Q446" s="35"/>
      <c r="R446" s="35"/>
      <c r="S446" s="35"/>
      <c r="T446" s="35"/>
      <c r="U446" s="35"/>
    </row>
    <row r="447">
      <c r="A447" s="35" t="b">
        <v>0</v>
      </c>
      <c r="B447" s="35"/>
      <c r="C447" s="35"/>
      <c r="D447" s="35"/>
      <c r="E447" s="35"/>
      <c r="F447" s="35"/>
      <c r="G447" s="35"/>
      <c r="H447" s="35"/>
      <c r="I447" s="35"/>
      <c r="J447" s="35"/>
      <c r="K447" s="35"/>
      <c r="L447" s="35"/>
      <c r="M447" s="35"/>
      <c r="N447" s="35"/>
      <c r="O447" s="35"/>
      <c r="P447" s="35"/>
      <c r="Q447" s="35"/>
      <c r="R447" s="35"/>
      <c r="S447" s="35"/>
      <c r="T447" s="35"/>
      <c r="U447" s="35"/>
    </row>
    <row r="448">
      <c r="A448" s="35" t="b">
        <v>0</v>
      </c>
      <c r="B448" s="35"/>
      <c r="C448" s="35"/>
      <c r="D448" s="35"/>
      <c r="E448" s="35"/>
      <c r="F448" s="35"/>
      <c r="G448" s="35"/>
      <c r="H448" s="35"/>
      <c r="I448" s="35"/>
      <c r="J448" s="35"/>
      <c r="K448" s="35"/>
      <c r="L448" s="35"/>
      <c r="M448" s="35"/>
      <c r="N448" s="35"/>
      <c r="O448" s="35"/>
      <c r="P448" s="35"/>
      <c r="Q448" s="35"/>
      <c r="R448" s="35"/>
      <c r="S448" s="35"/>
      <c r="T448" s="35"/>
      <c r="U448" s="35"/>
    </row>
    <row r="449">
      <c r="A449" s="35" t="b">
        <v>0</v>
      </c>
      <c r="B449" s="35"/>
      <c r="C449" s="35"/>
      <c r="D449" s="35"/>
      <c r="E449" s="35"/>
      <c r="F449" s="35"/>
      <c r="G449" s="35"/>
      <c r="H449" s="35"/>
      <c r="I449" s="35"/>
      <c r="J449" s="35"/>
      <c r="K449" s="35"/>
      <c r="L449" s="35"/>
      <c r="M449" s="35"/>
      <c r="N449" s="35"/>
      <c r="O449" s="35"/>
      <c r="P449" s="35"/>
      <c r="Q449" s="35"/>
      <c r="R449" s="35"/>
      <c r="S449" s="35"/>
      <c r="T449" s="35"/>
      <c r="U449" s="35"/>
    </row>
    <row r="450">
      <c r="A450" s="35" t="b">
        <v>0</v>
      </c>
      <c r="B450" s="35"/>
      <c r="C450" s="35"/>
      <c r="D450" s="35"/>
      <c r="E450" s="35"/>
      <c r="F450" s="35"/>
      <c r="G450" s="35"/>
      <c r="H450" s="35"/>
      <c r="I450" s="35"/>
      <c r="J450" s="35"/>
      <c r="K450" s="35"/>
      <c r="L450" s="35"/>
      <c r="M450" s="35"/>
      <c r="N450" s="35"/>
      <c r="O450" s="35"/>
      <c r="P450" s="35"/>
      <c r="Q450" s="35"/>
      <c r="R450" s="35"/>
      <c r="S450" s="35"/>
      <c r="T450" s="35"/>
      <c r="U450" s="35"/>
    </row>
    <row r="451">
      <c r="A451" s="35" t="b">
        <v>0</v>
      </c>
      <c r="B451" s="35"/>
      <c r="C451" s="35"/>
      <c r="D451" s="35"/>
      <c r="E451" s="35"/>
      <c r="F451" s="35"/>
      <c r="G451" s="35"/>
      <c r="H451" s="35"/>
      <c r="I451" s="35"/>
      <c r="J451" s="35"/>
      <c r="K451" s="35"/>
      <c r="L451" s="35"/>
      <c r="M451" s="35"/>
      <c r="N451" s="35"/>
      <c r="O451" s="35"/>
      <c r="P451" s="35"/>
      <c r="Q451" s="35"/>
      <c r="R451" s="35"/>
      <c r="S451" s="35"/>
      <c r="T451" s="35"/>
      <c r="U451" s="35"/>
    </row>
    <row r="452">
      <c r="A452" s="35" t="b">
        <v>0</v>
      </c>
      <c r="B452" s="35"/>
      <c r="C452" s="35"/>
      <c r="D452" s="35"/>
      <c r="E452" s="35"/>
      <c r="F452" s="35"/>
      <c r="G452" s="35"/>
      <c r="H452" s="35"/>
      <c r="I452" s="35"/>
      <c r="J452" s="35"/>
      <c r="K452" s="35"/>
      <c r="L452" s="35"/>
      <c r="M452" s="35"/>
      <c r="N452" s="35"/>
      <c r="O452" s="35"/>
      <c r="P452" s="35"/>
      <c r="Q452" s="35"/>
      <c r="R452" s="35"/>
      <c r="S452" s="35"/>
      <c r="T452" s="35"/>
      <c r="U452" s="35"/>
    </row>
    <row r="453">
      <c r="A453" s="35" t="b">
        <v>0</v>
      </c>
      <c r="B453" s="35"/>
      <c r="C453" s="35"/>
      <c r="D453" s="35"/>
      <c r="E453" s="35"/>
      <c r="F453" s="35"/>
      <c r="G453" s="35"/>
      <c r="H453" s="35"/>
      <c r="I453" s="35"/>
      <c r="J453" s="35"/>
      <c r="K453" s="35"/>
      <c r="L453" s="35"/>
      <c r="M453" s="35"/>
      <c r="N453" s="35"/>
      <c r="O453" s="35"/>
      <c r="P453" s="35"/>
      <c r="Q453" s="35"/>
      <c r="R453" s="35"/>
      <c r="S453" s="35"/>
      <c r="T453" s="35"/>
      <c r="U453" s="35"/>
    </row>
    <row r="454">
      <c r="A454" s="35" t="b">
        <v>0</v>
      </c>
      <c r="B454" s="35"/>
      <c r="C454" s="35"/>
      <c r="D454" s="35"/>
      <c r="E454" s="35"/>
      <c r="F454" s="35"/>
      <c r="G454" s="35"/>
      <c r="H454" s="35"/>
      <c r="I454" s="35"/>
      <c r="J454" s="35"/>
      <c r="K454" s="35"/>
      <c r="L454" s="35"/>
      <c r="M454" s="35"/>
      <c r="N454" s="35"/>
      <c r="O454" s="35"/>
      <c r="P454" s="35"/>
      <c r="Q454" s="35"/>
      <c r="R454" s="35"/>
      <c r="S454" s="35"/>
      <c r="T454" s="35"/>
      <c r="U454" s="35"/>
    </row>
    <row r="455">
      <c r="A455" s="35" t="b">
        <v>0</v>
      </c>
      <c r="B455" s="35"/>
      <c r="C455" s="35"/>
      <c r="D455" s="35"/>
      <c r="E455" s="35"/>
      <c r="F455" s="35"/>
      <c r="G455" s="35"/>
      <c r="H455" s="35"/>
      <c r="I455" s="35"/>
      <c r="J455" s="35"/>
      <c r="K455" s="35"/>
      <c r="L455" s="35"/>
      <c r="M455" s="35"/>
      <c r="N455" s="35"/>
      <c r="O455" s="35"/>
      <c r="P455" s="35"/>
      <c r="Q455" s="35"/>
      <c r="R455" s="35"/>
      <c r="S455" s="35"/>
      <c r="T455" s="35"/>
      <c r="U455" s="35"/>
    </row>
    <row r="456">
      <c r="A456" s="35" t="b">
        <v>0</v>
      </c>
      <c r="B456" s="35"/>
      <c r="C456" s="35"/>
      <c r="D456" s="35"/>
      <c r="E456" s="35"/>
      <c r="F456" s="35"/>
      <c r="G456" s="35"/>
      <c r="H456" s="35"/>
      <c r="I456" s="35"/>
      <c r="J456" s="35"/>
      <c r="K456" s="35"/>
      <c r="L456" s="35"/>
      <c r="M456" s="35"/>
      <c r="N456" s="35"/>
      <c r="O456" s="35"/>
      <c r="P456" s="35"/>
      <c r="Q456" s="35"/>
      <c r="R456" s="35"/>
      <c r="S456" s="35"/>
      <c r="T456" s="35"/>
      <c r="U456" s="35"/>
    </row>
    <row r="457">
      <c r="A457" s="35" t="b">
        <v>0</v>
      </c>
      <c r="B457" s="35"/>
      <c r="C457" s="35"/>
      <c r="D457" s="35"/>
      <c r="E457" s="35"/>
      <c r="F457" s="35"/>
      <c r="G457" s="35"/>
      <c r="H457" s="35"/>
      <c r="I457" s="35"/>
      <c r="J457" s="35"/>
      <c r="K457" s="35"/>
      <c r="L457" s="35"/>
      <c r="M457" s="35"/>
      <c r="N457" s="35"/>
      <c r="O457" s="35"/>
      <c r="P457" s="35"/>
      <c r="Q457" s="35"/>
      <c r="R457" s="35"/>
      <c r="S457" s="35"/>
      <c r="T457" s="35"/>
      <c r="U457" s="35"/>
    </row>
    <row r="458">
      <c r="A458" s="35" t="b">
        <v>0</v>
      </c>
      <c r="B458" s="35"/>
      <c r="C458" s="35"/>
      <c r="D458" s="35"/>
      <c r="E458" s="35"/>
      <c r="F458" s="35"/>
      <c r="G458" s="35"/>
      <c r="H458" s="35"/>
      <c r="I458" s="35"/>
      <c r="J458" s="35"/>
      <c r="K458" s="35"/>
      <c r="L458" s="35"/>
      <c r="M458" s="35"/>
      <c r="N458" s="35"/>
      <c r="O458" s="35"/>
      <c r="P458" s="35"/>
      <c r="Q458" s="35"/>
      <c r="R458" s="35"/>
      <c r="S458" s="35"/>
      <c r="T458" s="35"/>
      <c r="U458" s="35"/>
    </row>
    <row r="459">
      <c r="A459" s="35" t="b">
        <v>0</v>
      </c>
      <c r="B459" s="35"/>
      <c r="C459" s="35"/>
      <c r="D459" s="35"/>
      <c r="E459" s="35"/>
      <c r="F459" s="35"/>
      <c r="G459" s="35"/>
      <c r="H459" s="35"/>
      <c r="I459" s="35"/>
      <c r="J459" s="35"/>
      <c r="K459" s="35"/>
      <c r="L459" s="35"/>
      <c r="M459" s="35"/>
      <c r="N459" s="35"/>
      <c r="O459" s="35"/>
      <c r="P459" s="35"/>
      <c r="Q459" s="35"/>
      <c r="R459" s="35"/>
      <c r="S459" s="35"/>
      <c r="T459" s="35"/>
      <c r="U459" s="35"/>
    </row>
    <row r="460">
      <c r="A460" s="35" t="b">
        <v>0</v>
      </c>
      <c r="B460" s="35"/>
      <c r="C460" s="35"/>
      <c r="D460" s="35"/>
      <c r="E460" s="35"/>
      <c r="F460" s="35"/>
      <c r="G460" s="35"/>
      <c r="H460" s="35"/>
      <c r="I460" s="35"/>
      <c r="J460" s="35"/>
      <c r="K460" s="35"/>
      <c r="L460" s="35"/>
      <c r="M460" s="35"/>
      <c r="N460" s="35"/>
      <c r="O460" s="35"/>
      <c r="P460" s="35"/>
      <c r="Q460" s="35"/>
      <c r="R460" s="35"/>
      <c r="S460" s="35"/>
      <c r="T460" s="35"/>
      <c r="U460" s="35"/>
    </row>
    <row r="461">
      <c r="A461" s="35" t="b">
        <v>0</v>
      </c>
      <c r="B461" s="35"/>
      <c r="C461" s="35"/>
      <c r="D461" s="35"/>
      <c r="E461" s="35"/>
      <c r="F461" s="35"/>
      <c r="G461" s="35"/>
      <c r="H461" s="35"/>
      <c r="I461" s="35"/>
      <c r="J461" s="35"/>
      <c r="K461" s="35"/>
      <c r="L461" s="35"/>
      <c r="M461" s="35"/>
      <c r="N461" s="35"/>
      <c r="O461" s="35"/>
      <c r="P461" s="35"/>
      <c r="Q461" s="35"/>
      <c r="R461" s="35"/>
      <c r="S461" s="35"/>
      <c r="T461" s="35"/>
      <c r="U461" s="35"/>
    </row>
    <row r="462">
      <c r="A462" s="35" t="b">
        <v>0</v>
      </c>
      <c r="B462" s="35"/>
      <c r="C462" s="35"/>
      <c r="D462" s="35"/>
      <c r="E462" s="35"/>
      <c r="F462" s="35"/>
      <c r="G462" s="35"/>
      <c r="H462" s="35"/>
      <c r="I462" s="35"/>
      <c r="J462" s="35"/>
      <c r="K462" s="35"/>
      <c r="L462" s="35"/>
      <c r="M462" s="35"/>
      <c r="N462" s="35"/>
      <c r="O462" s="35"/>
      <c r="P462" s="35"/>
      <c r="Q462" s="35"/>
      <c r="R462" s="35"/>
      <c r="S462" s="35"/>
      <c r="T462" s="35"/>
      <c r="U462" s="35"/>
    </row>
    <row r="463">
      <c r="A463" s="35" t="b">
        <v>0</v>
      </c>
      <c r="B463" s="35"/>
      <c r="C463" s="35"/>
      <c r="D463" s="35"/>
      <c r="E463" s="35"/>
      <c r="F463" s="35"/>
      <c r="G463" s="35"/>
      <c r="H463" s="35"/>
      <c r="I463" s="35"/>
      <c r="J463" s="35"/>
      <c r="K463" s="35"/>
      <c r="L463" s="35"/>
      <c r="M463" s="35"/>
      <c r="N463" s="35"/>
      <c r="O463" s="35"/>
      <c r="P463" s="35"/>
      <c r="Q463" s="35"/>
      <c r="R463" s="35"/>
      <c r="S463" s="35"/>
      <c r="T463" s="35"/>
      <c r="U463" s="35"/>
    </row>
    <row r="464">
      <c r="A464" s="35" t="b">
        <v>0</v>
      </c>
      <c r="B464" s="35"/>
      <c r="C464" s="35"/>
      <c r="D464" s="35"/>
      <c r="E464" s="35"/>
      <c r="F464" s="35"/>
      <c r="G464" s="35"/>
      <c r="H464" s="35"/>
      <c r="I464" s="35"/>
      <c r="J464" s="35"/>
      <c r="K464" s="35"/>
      <c r="L464" s="35"/>
      <c r="M464" s="35"/>
      <c r="N464" s="35"/>
      <c r="O464" s="35"/>
      <c r="P464" s="35"/>
      <c r="Q464" s="35"/>
      <c r="R464" s="35"/>
      <c r="S464" s="35"/>
      <c r="T464" s="35"/>
      <c r="U464" s="35"/>
    </row>
    <row r="465">
      <c r="A465" s="35" t="b">
        <v>0</v>
      </c>
      <c r="B465" s="35"/>
      <c r="C465" s="35"/>
      <c r="D465" s="35"/>
      <c r="E465" s="35"/>
      <c r="F465" s="35"/>
      <c r="G465" s="35"/>
      <c r="H465" s="35"/>
      <c r="I465" s="35"/>
      <c r="J465" s="35"/>
      <c r="K465" s="35"/>
      <c r="L465" s="35"/>
      <c r="M465" s="35"/>
      <c r="N465" s="35"/>
      <c r="O465" s="35"/>
      <c r="P465" s="35"/>
      <c r="Q465" s="35"/>
      <c r="R465" s="35"/>
      <c r="S465" s="35"/>
      <c r="T465" s="35"/>
      <c r="U465" s="35"/>
    </row>
    <row r="466">
      <c r="A466" s="35" t="b">
        <v>0</v>
      </c>
      <c r="B466" s="35"/>
      <c r="C466" s="35"/>
      <c r="D466" s="35"/>
      <c r="E466" s="35"/>
      <c r="F466" s="35"/>
      <c r="G466" s="35"/>
      <c r="H466" s="35"/>
      <c r="I466" s="35"/>
      <c r="J466" s="35"/>
      <c r="K466" s="35"/>
      <c r="L466" s="35"/>
      <c r="M466" s="35"/>
      <c r="N466" s="35"/>
      <c r="O466" s="35"/>
      <c r="P466" s="35"/>
      <c r="Q466" s="35"/>
      <c r="R466" s="35"/>
      <c r="S466" s="35"/>
      <c r="T466" s="35"/>
      <c r="U466" s="35"/>
    </row>
    <row r="467">
      <c r="A467" s="35" t="b">
        <v>0</v>
      </c>
      <c r="B467" s="35"/>
      <c r="C467" s="35"/>
      <c r="D467" s="35"/>
      <c r="E467" s="35"/>
      <c r="F467" s="35"/>
      <c r="G467" s="35"/>
      <c r="H467" s="35"/>
      <c r="I467" s="35"/>
      <c r="J467" s="35"/>
      <c r="K467" s="35"/>
      <c r="L467" s="35"/>
      <c r="M467" s="35"/>
      <c r="N467" s="35"/>
      <c r="O467" s="35"/>
      <c r="P467" s="35"/>
      <c r="Q467" s="35"/>
      <c r="R467" s="35"/>
      <c r="S467" s="35"/>
      <c r="T467" s="35"/>
      <c r="U467" s="35"/>
    </row>
    <row r="468">
      <c r="A468" s="35" t="b">
        <v>0</v>
      </c>
      <c r="B468" s="35"/>
      <c r="C468" s="35"/>
      <c r="D468" s="35"/>
      <c r="E468" s="35"/>
      <c r="F468" s="35"/>
      <c r="G468" s="35"/>
      <c r="H468" s="35"/>
      <c r="I468" s="35"/>
      <c r="J468" s="35"/>
      <c r="K468" s="35"/>
      <c r="L468" s="35"/>
      <c r="M468" s="35"/>
      <c r="N468" s="35"/>
      <c r="O468" s="35"/>
      <c r="P468" s="35"/>
      <c r="Q468" s="35"/>
      <c r="R468" s="35"/>
      <c r="S468" s="35"/>
      <c r="T468" s="35"/>
      <c r="U468" s="35"/>
    </row>
    <row r="469">
      <c r="A469" s="35" t="b">
        <v>0</v>
      </c>
      <c r="B469" s="35"/>
      <c r="C469" s="35"/>
      <c r="D469" s="35"/>
      <c r="E469" s="35"/>
      <c r="F469" s="35"/>
      <c r="G469" s="35"/>
      <c r="H469" s="35"/>
      <c r="I469" s="35"/>
      <c r="J469" s="35"/>
      <c r="K469" s="35"/>
      <c r="L469" s="35"/>
      <c r="M469" s="35"/>
      <c r="N469" s="35"/>
      <c r="O469" s="35"/>
      <c r="P469" s="35"/>
      <c r="Q469" s="35"/>
      <c r="R469" s="35"/>
      <c r="S469" s="35"/>
      <c r="T469" s="35"/>
      <c r="U469" s="35"/>
    </row>
    <row r="470">
      <c r="A470" s="35" t="b">
        <v>0</v>
      </c>
      <c r="B470" s="35"/>
      <c r="C470" s="35"/>
      <c r="D470" s="35"/>
      <c r="E470" s="35"/>
      <c r="F470" s="35"/>
      <c r="G470" s="35"/>
      <c r="H470" s="35"/>
      <c r="I470" s="35"/>
      <c r="J470" s="35"/>
      <c r="K470" s="35"/>
      <c r="L470" s="35"/>
      <c r="M470" s="35"/>
      <c r="N470" s="35"/>
      <c r="O470" s="35"/>
      <c r="P470" s="35"/>
      <c r="Q470" s="35"/>
      <c r="R470" s="35"/>
      <c r="S470" s="35"/>
      <c r="T470" s="35"/>
      <c r="U470" s="35"/>
    </row>
    <row r="471">
      <c r="A471" s="35" t="b">
        <v>0</v>
      </c>
      <c r="B471" s="35"/>
      <c r="C471" s="35"/>
      <c r="D471" s="35"/>
      <c r="E471" s="35"/>
      <c r="F471" s="35"/>
      <c r="G471" s="35"/>
      <c r="H471" s="35"/>
      <c r="I471" s="35"/>
      <c r="J471" s="35"/>
      <c r="K471" s="35"/>
      <c r="L471" s="35"/>
      <c r="M471" s="35"/>
      <c r="N471" s="35"/>
      <c r="O471" s="35"/>
      <c r="P471" s="35"/>
      <c r="Q471" s="35"/>
      <c r="R471" s="35"/>
      <c r="S471" s="35"/>
      <c r="T471" s="35"/>
      <c r="U471" s="35"/>
    </row>
    <row r="472">
      <c r="A472" s="35" t="b">
        <v>0</v>
      </c>
      <c r="B472" s="35"/>
      <c r="C472" s="35"/>
      <c r="D472" s="35"/>
      <c r="E472" s="35"/>
      <c r="F472" s="35"/>
      <c r="G472" s="35"/>
      <c r="H472" s="35"/>
      <c r="I472" s="35"/>
      <c r="J472" s="35"/>
      <c r="K472" s="35"/>
      <c r="L472" s="35"/>
      <c r="M472" s="35"/>
      <c r="N472" s="35"/>
      <c r="O472" s="35"/>
      <c r="P472" s="35"/>
      <c r="Q472" s="35"/>
      <c r="R472" s="35"/>
      <c r="S472" s="35"/>
      <c r="T472" s="35"/>
      <c r="U472" s="35"/>
    </row>
    <row r="473">
      <c r="A473" s="35" t="b">
        <v>0</v>
      </c>
      <c r="B473" s="35"/>
      <c r="C473" s="35"/>
      <c r="D473" s="35"/>
      <c r="E473" s="35"/>
      <c r="F473" s="35"/>
      <c r="G473" s="35"/>
      <c r="H473" s="35"/>
      <c r="I473" s="35"/>
      <c r="J473" s="35"/>
      <c r="K473" s="35"/>
      <c r="L473" s="35"/>
      <c r="M473" s="35"/>
      <c r="N473" s="35"/>
      <c r="O473" s="35"/>
      <c r="P473" s="35"/>
      <c r="Q473" s="35"/>
      <c r="R473" s="35"/>
      <c r="S473" s="35"/>
      <c r="T473" s="35"/>
      <c r="U473" s="35"/>
    </row>
    <row r="474">
      <c r="A474" s="35" t="b">
        <v>0</v>
      </c>
      <c r="B474" s="35"/>
      <c r="C474" s="35"/>
      <c r="D474" s="35"/>
      <c r="E474" s="35"/>
      <c r="F474" s="35"/>
      <c r="G474" s="35"/>
      <c r="H474" s="35"/>
      <c r="I474" s="35"/>
      <c r="J474" s="35"/>
      <c r="K474" s="35"/>
      <c r="L474" s="35"/>
      <c r="M474" s="35"/>
      <c r="N474" s="35"/>
      <c r="O474" s="35"/>
      <c r="P474" s="35"/>
      <c r="Q474" s="35"/>
      <c r="R474" s="35"/>
      <c r="S474" s="35"/>
      <c r="T474" s="35"/>
      <c r="U474" s="35"/>
    </row>
    <row r="475">
      <c r="A475" s="35" t="b">
        <v>0</v>
      </c>
      <c r="B475" s="35"/>
      <c r="C475" s="35"/>
      <c r="D475" s="35"/>
      <c r="E475" s="35"/>
      <c r="F475" s="35"/>
      <c r="G475" s="35"/>
      <c r="H475" s="35"/>
      <c r="I475" s="35"/>
      <c r="J475" s="35"/>
      <c r="K475" s="35"/>
      <c r="L475" s="35"/>
      <c r="M475" s="35"/>
      <c r="N475" s="35"/>
      <c r="O475" s="35"/>
      <c r="P475" s="35"/>
      <c r="Q475" s="35"/>
      <c r="R475" s="35"/>
      <c r="S475" s="35"/>
      <c r="T475" s="35"/>
      <c r="U475" s="35"/>
    </row>
    <row r="476">
      <c r="A476" s="35" t="b">
        <v>0</v>
      </c>
      <c r="B476" s="35"/>
      <c r="C476" s="35"/>
      <c r="D476" s="35"/>
      <c r="E476" s="35"/>
      <c r="F476" s="35"/>
      <c r="G476" s="35"/>
      <c r="H476" s="35"/>
      <c r="I476" s="35"/>
      <c r="J476" s="35"/>
      <c r="K476" s="35"/>
      <c r="L476" s="35"/>
      <c r="M476" s="35"/>
      <c r="N476" s="35"/>
      <c r="O476" s="35"/>
      <c r="P476" s="35"/>
      <c r="Q476" s="35"/>
      <c r="R476" s="35"/>
      <c r="S476" s="35"/>
      <c r="T476" s="35"/>
      <c r="U476" s="35"/>
    </row>
    <row r="477">
      <c r="A477" s="35" t="b">
        <v>0</v>
      </c>
      <c r="B477" s="35"/>
      <c r="C477" s="35"/>
      <c r="D477" s="35"/>
      <c r="E477" s="35"/>
      <c r="F477" s="35"/>
      <c r="G477" s="35"/>
      <c r="H477" s="35"/>
      <c r="I477" s="35"/>
      <c r="J477" s="35"/>
      <c r="K477" s="35"/>
      <c r="L477" s="35"/>
      <c r="M477" s="35"/>
      <c r="N477" s="35"/>
      <c r="O477" s="35"/>
      <c r="P477" s="35"/>
      <c r="Q477" s="35"/>
      <c r="R477" s="35"/>
      <c r="S477" s="35"/>
      <c r="T477" s="35"/>
      <c r="U477" s="35"/>
    </row>
    <row r="478">
      <c r="A478" s="35" t="b">
        <v>0</v>
      </c>
      <c r="B478" s="35"/>
      <c r="C478" s="35"/>
      <c r="D478" s="35"/>
      <c r="E478" s="35"/>
      <c r="F478" s="35"/>
      <c r="G478" s="35"/>
      <c r="H478" s="35"/>
      <c r="I478" s="35"/>
      <c r="J478" s="35"/>
      <c r="K478" s="35"/>
      <c r="L478" s="35"/>
      <c r="M478" s="35"/>
      <c r="N478" s="35"/>
      <c r="O478" s="35"/>
      <c r="P478" s="35"/>
      <c r="Q478" s="35"/>
      <c r="R478" s="35"/>
      <c r="S478" s="35"/>
      <c r="T478" s="35"/>
      <c r="U478" s="35"/>
    </row>
    <row r="479">
      <c r="A479" s="35" t="b">
        <v>0</v>
      </c>
      <c r="B479" s="35"/>
      <c r="C479" s="35"/>
      <c r="D479" s="35"/>
      <c r="E479" s="35"/>
      <c r="F479" s="35"/>
      <c r="G479" s="35"/>
      <c r="H479" s="35"/>
      <c r="I479" s="35"/>
      <c r="J479" s="35"/>
      <c r="K479" s="35"/>
      <c r="L479" s="35"/>
      <c r="M479" s="35"/>
      <c r="N479" s="35"/>
      <c r="O479" s="35"/>
      <c r="P479" s="35"/>
      <c r="Q479" s="35"/>
      <c r="R479" s="35"/>
      <c r="S479" s="35"/>
      <c r="T479" s="35"/>
      <c r="U479" s="35"/>
    </row>
    <row r="480">
      <c r="A480" s="35" t="b">
        <v>0</v>
      </c>
      <c r="B480" s="35"/>
      <c r="C480" s="35"/>
      <c r="D480" s="35"/>
      <c r="E480" s="35"/>
      <c r="F480" s="35"/>
      <c r="G480" s="35"/>
      <c r="H480" s="35"/>
      <c r="I480" s="35"/>
      <c r="J480" s="35"/>
      <c r="K480" s="35"/>
      <c r="L480" s="35"/>
      <c r="M480" s="35"/>
      <c r="N480" s="35"/>
      <c r="O480" s="35"/>
      <c r="P480" s="35"/>
      <c r="Q480" s="35"/>
      <c r="R480" s="35"/>
      <c r="S480" s="35"/>
      <c r="T480" s="35"/>
      <c r="U480" s="35"/>
    </row>
    <row r="481">
      <c r="A481" s="35" t="b">
        <v>0</v>
      </c>
      <c r="B481" s="35"/>
      <c r="C481" s="35"/>
      <c r="D481" s="35"/>
      <c r="E481" s="35"/>
      <c r="F481" s="35"/>
      <c r="G481" s="35"/>
      <c r="H481" s="35"/>
      <c r="I481" s="35"/>
      <c r="J481" s="35"/>
      <c r="K481" s="35"/>
      <c r="L481" s="35"/>
      <c r="M481" s="35"/>
      <c r="N481" s="35"/>
      <c r="O481" s="35"/>
      <c r="P481" s="35"/>
      <c r="Q481" s="35"/>
      <c r="R481" s="35"/>
      <c r="S481" s="35"/>
      <c r="T481" s="35"/>
      <c r="U481" s="35"/>
    </row>
    <row r="482">
      <c r="A482" s="35" t="b">
        <v>0</v>
      </c>
      <c r="B482" s="35"/>
      <c r="C482" s="35"/>
      <c r="D482" s="35"/>
      <c r="E482" s="35"/>
      <c r="F482" s="35"/>
      <c r="G482" s="35"/>
      <c r="H482" s="35"/>
      <c r="I482" s="35"/>
      <c r="J482" s="35"/>
      <c r="K482" s="35"/>
      <c r="L482" s="35"/>
      <c r="M482" s="35"/>
      <c r="N482" s="35"/>
      <c r="O482" s="35"/>
      <c r="P482" s="35"/>
      <c r="Q482" s="35"/>
      <c r="R482" s="35"/>
      <c r="S482" s="35"/>
      <c r="T482" s="35"/>
      <c r="U482" s="35"/>
    </row>
    <row r="483">
      <c r="A483" s="35" t="b">
        <v>0</v>
      </c>
      <c r="B483" s="35"/>
      <c r="C483" s="35"/>
      <c r="D483" s="35"/>
      <c r="E483" s="35"/>
      <c r="F483" s="35"/>
      <c r="G483" s="35"/>
      <c r="H483" s="35"/>
      <c r="I483" s="35"/>
      <c r="J483" s="35"/>
      <c r="K483" s="35"/>
      <c r="L483" s="35"/>
      <c r="M483" s="35"/>
      <c r="N483" s="35"/>
      <c r="O483" s="35"/>
      <c r="P483" s="35"/>
      <c r="Q483" s="35"/>
      <c r="R483" s="35"/>
      <c r="S483" s="35"/>
      <c r="T483" s="35"/>
      <c r="U483" s="35"/>
    </row>
    <row r="484">
      <c r="A484" s="35" t="b">
        <v>0</v>
      </c>
      <c r="B484" s="35"/>
      <c r="C484" s="35"/>
      <c r="D484" s="35"/>
      <c r="E484" s="35"/>
      <c r="F484" s="35"/>
      <c r="G484" s="35"/>
      <c r="H484" s="35"/>
      <c r="I484" s="35"/>
      <c r="J484" s="35"/>
      <c r="K484" s="35"/>
      <c r="L484" s="35"/>
      <c r="M484" s="35"/>
      <c r="N484" s="35"/>
      <c r="O484" s="35"/>
      <c r="P484" s="35"/>
      <c r="Q484" s="35"/>
      <c r="R484" s="35"/>
      <c r="S484" s="35"/>
      <c r="T484" s="35"/>
      <c r="U484" s="35"/>
    </row>
    <row r="485">
      <c r="A485" s="35" t="b">
        <v>0</v>
      </c>
      <c r="B485" s="35"/>
      <c r="C485" s="35"/>
      <c r="D485" s="35"/>
      <c r="E485" s="35"/>
      <c r="F485" s="35"/>
      <c r="G485" s="35"/>
      <c r="H485" s="35"/>
      <c r="I485" s="35"/>
      <c r="J485" s="35"/>
      <c r="K485" s="35"/>
      <c r="L485" s="35"/>
      <c r="M485" s="35"/>
      <c r="N485" s="35"/>
      <c r="O485" s="35"/>
      <c r="P485" s="35"/>
      <c r="Q485" s="35"/>
      <c r="R485" s="35"/>
      <c r="S485" s="35"/>
      <c r="T485" s="35"/>
      <c r="U485" s="35"/>
    </row>
    <row r="486">
      <c r="A486" s="35" t="b">
        <v>0</v>
      </c>
      <c r="B486" s="35"/>
      <c r="C486" s="35"/>
      <c r="D486" s="35"/>
      <c r="E486" s="35"/>
      <c r="F486" s="35"/>
      <c r="G486" s="35"/>
      <c r="H486" s="35"/>
      <c r="I486" s="35"/>
      <c r="J486" s="35"/>
      <c r="K486" s="35"/>
      <c r="L486" s="35"/>
      <c r="M486" s="35"/>
      <c r="N486" s="35"/>
      <c r="O486" s="35"/>
      <c r="P486" s="35"/>
      <c r="Q486" s="35"/>
      <c r="R486" s="35"/>
      <c r="S486" s="35"/>
      <c r="T486" s="35"/>
      <c r="U486" s="35"/>
    </row>
    <row r="487">
      <c r="A487" s="35" t="b">
        <v>0</v>
      </c>
      <c r="B487" s="35"/>
      <c r="C487" s="35"/>
      <c r="D487" s="35"/>
      <c r="E487" s="35"/>
      <c r="F487" s="35"/>
      <c r="G487" s="35"/>
      <c r="H487" s="35"/>
      <c r="I487" s="35"/>
      <c r="J487" s="35"/>
      <c r="K487" s="35"/>
      <c r="L487" s="35"/>
      <c r="M487" s="35"/>
      <c r="N487" s="35"/>
      <c r="O487" s="35"/>
      <c r="P487" s="35"/>
      <c r="Q487" s="35"/>
      <c r="R487" s="35"/>
      <c r="S487" s="35"/>
      <c r="T487" s="35"/>
      <c r="U487" s="35"/>
    </row>
    <row r="488">
      <c r="A488" s="35" t="b">
        <v>0</v>
      </c>
      <c r="B488" s="35"/>
      <c r="C488" s="35"/>
      <c r="D488" s="35"/>
      <c r="E488" s="35"/>
      <c r="F488" s="35"/>
      <c r="G488" s="35"/>
      <c r="H488" s="35"/>
      <c r="I488" s="35"/>
      <c r="J488" s="35"/>
      <c r="K488" s="35"/>
      <c r="L488" s="35"/>
      <c r="M488" s="35"/>
      <c r="N488" s="35"/>
      <c r="O488" s="35"/>
      <c r="P488" s="35"/>
      <c r="Q488" s="35"/>
      <c r="R488" s="35"/>
      <c r="S488" s="35"/>
      <c r="T488" s="35"/>
      <c r="U488" s="35"/>
    </row>
    <row r="489">
      <c r="A489" s="35" t="b">
        <v>0</v>
      </c>
      <c r="B489" s="35"/>
      <c r="C489" s="35"/>
      <c r="D489" s="35"/>
      <c r="E489" s="35"/>
      <c r="F489" s="35"/>
      <c r="G489" s="35"/>
      <c r="H489" s="35"/>
      <c r="I489" s="35"/>
      <c r="J489" s="35"/>
      <c r="K489" s="35"/>
      <c r="L489" s="35"/>
      <c r="M489" s="35"/>
      <c r="N489" s="35"/>
      <c r="O489" s="35"/>
      <c r="P489" s="35"/>
      <c r="Q489" s="35"/>
      <c r="R489" s="35"/>
      <c r="S489" s="35"/>
      <c r="T489" s="35"/>
      <c r="U489" s="35"/>
    </row>
    <row r="490">
      <c r="A490" s="35" t="b">
        <v>0</v>
      </c>
      <c r="B490" s="35"/>
      <c r="C490" s="35"/>
      <c r="D490" s="35"/>
      <c r="E490" s="35"/>
      <c r="F490" s="35"/>
      <c r="G490" s="35"/>
      <c r="H490" s="35"/>
      <c r="I490" s="35"/>
      <c r="J490" s="35"/>
      <c r="K490" s="35"/>
      <c r="L490" s="35"/>
      <c r="M490" s="35"/>
      <c r="N490" s="35"/>
      <c r="O490" s="35"/>
      <c r="P490" s="35"/>
      <c r="Q490" s="35"/>
      <c r="R490" s="35"/>
      <c r="S490" s="35"/>
      <c r="T490" s="35"/>
      <c r="U490" s="35"/>
    </row>
    <row r="491">
      <c r="A491" s="35" t="b">
        <v>0</v>
      </c>
      <c r="B491" s="35"/>
      <c r="C491" s="35"/>
      <c r="D491" s="35"/>
      <c r="E491" s="35"/>
      <c r="F491" s="35"/>
      <c r="G491" s="35"/>
      <c r="H491" s="35"/>
      <c r="I491" s="35"/>
      <c r="J491" s="35"/>
      <c r="K491" s="35"/>
      <c r="L491" s="35"/>
      <c r="M491" s="35"/>
      <c r="N491" s="35"/>
      <c r="O491" s="35"/>
      <c r="P491" s="35"/>
      <c r="Q491" s="35"/>
      <c r="R491" s="35"/>
      <c r="S491" s="35"/>
      <c r="T491" s="35"/>
      <c r="U491" s="35"/>
    </row>
    <row r="492">
      <c r="A492" s="35" t="b">
        <v>0</v>
      </c>
      <c r="B492" s="35"/>
      <c r="C492" s="35"/>
      <c r="D492" s="35"/>
      <c r="E492" s="35"/>
      <c r="F492" s="35"/>
      <c r="G492" s="35"/>
      <c r="H492" s="35"/>
      <c r="I492" s="35"/>
      <c r="J492" s="35"/>
      <c r="K492" s="35"/>
      <c r="L492" s="35"/>
      <c r="M492" s="35"/>
      <c r="N492" s="35"/>
      <c r="O492" s="35"/>
      <c r="P492" s="35"/>
      <c r="Q492" s="35"/>
      <c r="R492" s="35"/>
      <c r="S492" s="35"/>
      <c r="T492" s="35"/>
      <c r="U492" s="35"/>
    </row>
    <row r="493">
      <c r="A493" s="35" t="b">
        <v>0</v>
      </c>
      <c r="B493" s="35"/>
      <c r="C493" s="35"/>
      <c r="D493" s="35"/>
      <c r="E493" s="35"/>
      <c r="F493" s="35"/>
      <c r="G493" s="35"/>
      <c r="H493" s="35"/>
      <c r="I493" s="35"/>
      <c r="J493" s="35"/>
      <c r="K493" s="35"/>
      <c r="L493" s="35"/>
      <c r="M493" s="35"/>
      <c r="N493" s="35"/>
      <c r="O493" s="35"/>
      <c r="P493" s="35"/>
      <c r="Q493" s="35"/>
      <c r="R493" s="35"/>
      <c r="S493" s="35"/>
      <c r="T493" s="35"/>
      <c r="U493" s="35"/>
    </row>
    <row r="494">
      <c r="A494" s="35" t="b">
        <v>0</v>
      </c>
      <c r="B494" s="35"/>
      <c r="C494" s="35"/>
      <c r="D494" s="35"/>
      <c r="E494" s="35"/>
      <c r="F494" s="35"/>
      <c r="G494" s="35"/>
      <c r="H494" s="35"/>
      <c r="I494" s="35"/>
      <c r="J494" s="35"/>
      <c r="K494" s="35"/>
      <c r="L494" s="35"/>
      <c r="M494" s="35"/>
      <c r="N494" s="35"/>
      <c r="O494" s="35"/>
      <c r="P494" s="35"/>
      <c r="Q494" s="35"/>
      <c r="R494" s="35"/>
      <c r="S494" s="35"/>
      <c r="T494" s="35"/>
      <c r="U494" s="35"/>
    </row>
    <row r="495">
      <c r="A495" s="35" t="b">
        <v>0</v>
      </c>
      <c r="B495" s="35"/>
      <c r="C495" s="35"/>
      <c r="D495" s="35"/>
      <c r="E495" s="35"/>
      <c r="F495" s="35"/>
      <c r="G495" s="35"/>
      <c r="H495" s="35"/>
      <c r="I495" s="35"/>
      <c r="J495" s="35"/>
      <c r="K495" s="35"/>
      <c r="L495" s="35"/>
      <c r="M495" s="35"/>
      <c r="N495" s="35"/>
      <c r="O495" s="35"/>
      <c r="P495" s="35"/>
      <c r="Q495" s="35"/>
      <c r="R495" s="35"/>
      <c r="S495" s="35"/>
      <c r="T495" s="35"/>
      <c r="U495" s="35"/>
    </row>
    <row r="496">
      <c r="A496" s="35" t="b">
        <v>0</v>
      </c>
      <c r="B496" s="35"/>
      <c r="C496" s="35"/>
      <c r="D496" s="35"/>
      <c r="E496" s="35"/>
      <c r="F496" s="35"/>
      <c r="G496" s="35"/>
      <c r="H496" s="35"/>
      <c r="I496" s="35"/>
      <c r="J496" s="35"/>
      <c r="K496" s="35"/>
      <c r="L496" s="35"/>
      <c r="M496" s="35"/>
      <c r="N496" s="35"/>
      <c r="O496" s="35"/>
      <c r="P496" s="35"/>
      <c r="Q496" s="35"/>
      <c r="R496" s="35"/>
      <c r="S496" s="35"/>
      <c r="T496" s="35"/>
      <c r="U496" s="35"/>
    </row>
    <row r="497">
      <c r="A497" s="35" t="b">
        <v>0</v>
      </c>
      <c r="B497" s="35"/>
      <c r="C497" s="35"/>
      <c r="D497" s="35"/>
      <c r="E497" s="35"/>
      <c r="F497" s="35"/>
      <c r="G497" s="35"/>
      <c r="H497" s="35"/>
      <c r="I497" s="35"/>
      <c r="J497" s="35"/>
      <c r="K497" s="35"/>
      <c r="L497" s="35"/>
      <c r="M497" s="35"/>
      <c r="N497" s="35"/>
      <c r="O497" s="35"/>
      <c r="P497" s="35"/>
      <c r="Q497" s="35"/>
      <c r="R497" s="35"/>
      <c r="S497" s="35"/>
      <c r="T497" s="35"/>
      <c r="U497" s="35"/>
    </row>
    <row r="498">
      <c r="A498" s="35" t="b">
        <v>0</v>
      </c>
      <c r="B498" s="35"/>
      <c r="C498" s="35"/>
      <c r="D498" s="35"/>
      <c r="E498" s="35"/>
      <c r="F498" s="35"/>
      <c r="G498" s="35"/>
      <c r="H498" s="35"/>
      <c r="I498" s="35"/>
      <c r="J498" s="35"/>
      <c r="K498" s="35"/>
      <c r="L498" s="35"/>
      <c r="M498" s="35"/>
      <c r="N498" s="35"/>
      <c r="O498" s="35"/>
      <c r="P498" s="35"/>
      <c r="Q498" s="35"/>
      <c r="R498" s="35"/>
      <c r="S498" s="35"/>
      <c r="T498" s="35"/>
      <c r="U498" s="35"/>
    </row>
    <row r="499">
      <c r="A499" s="35" t="b">
        <v>0</v>
      </c>
      <c r="B499" s="35"/>
      <c r="C499" s="35"/>
      <c r="D499" s="35"/>
      <c r="E499" s="35"/>
      <c r="F499" s="35"/>
      <c r="G499" s="35"/>
      <c r="H499" s="35"/>
      <c r="I499" s="35"/>
      <c r="J499" s="35"/>
      <c r="K499" s="35"/>
      <c r="L499" s="35"/>
      <c r="M499" s="35"/>
      <c r="N499" s="35"/>
      <c r="O499" s="35"/>
      <c r="P499" s="35"/>
      <c r="Q499" s="35"/>
      <c r="R499" s="35"/>
      <c r="S499" s="35"/>
      <c r="T499" s="35"/>
      <c r="U499" s="35"/>
    </row>
    <row r="500">
      <c r="A500" s="35" t="b">
        <v>0</v>
      </c>
      <c r="B500" s="35"/>
      <c r="C500" s="35"/>
      <c r="D500" s="35"/>
      <c r="E500" s="35"/>
      <c r="F500" s="35"/>
      <c r="G500" s="35"/>
      <c r="H500" s="35"/>
      <c r="I500" s="35"/>
      <c r="J500" s="35"/>
      <c r="K500" s="35"/>
      <c r="L500" s="35"/>
      <c r="M500" s="35"/>
      <c r="N500" s="35"/>
      <c r="O500" s="35"/>
      <c r="P500" s="35"/>
      <c r="Q500" s="35"/>
      <c r="R500" s="35"/>
      <c r="S500" s="35"/>
      <c r="T500" s="35"/>
      <c r="U500" s="35"/>
    </row>
    <row r="501">
      <c r="A501" s="35" t="b">
        <v>0</v>
      </c>
      <c r="B501" s="35"/>
      <c r="C501" s="35"/>
      <c r="D501" s="35"/>
      <c r="E501" s="35"/>
      <c r="F501" s="35"/>
      <c r="G501" s="35"/>
      <c r="H501" s="35"/>
      <c r="I501" s="35"/>
      <c r="J501" s="35"/>
      <c r="K501" s="35"/>
      <c r="L501" s="35"/>
      <c r="M501" s="35"/>
      <c r="N501" s="35"/>
      <c r="O501" s="35"/>
      <c r="P501" s="35"/>
      <c r="Q501" s="35"/>
      <c r="R501" s="35"/>
      <c r="S501" s="35"/>
      <c r="T501" s="35"/>
      <c r="U501" s="35"/>
    </row>
    <row r="502">
      <c r="A502" s="35" t="b">
        <v>0</v>
      </c>
      <c r="B502" s="35"/>
      <c r="C502" s="35"/>
      <c r="D502" s="35"/>
      <c r="E502" s="35"/>
      <c r="F502" s="35"/>
      <c r="G502" s="35"/>
      <c r="H502" s="35"/>
      <c r="I502" s="35"/>
      <c r="J502" s="35"/>
      <c r="K502" s="35"/>
      <c r="L502" s="35"/>
      <c r="M502" s="35"/>
      <c r="N502" s="35"/>
      <c r="O502" s="35"/>
      <c r="P502" s="35"/>
      <c r="Q502" s="35"/>
      <c r="R502" s="35"/>
      <c r="S502" s="35"/>
      <c r="T502" s="35"/>
      <c r="U502" s="35"/>
    </row>
    <row r="503">
      <c r="A503" s="35" t="b">
        <v>0</v>
      </c>
      <c r="B503" s="35"/>
      <c r="C503" s="35"/>
      <c r="D503" s="35"/>
      <c r="E503" s="35"/>
      <c r="F503" s="35"/>
      <c r="G503" s="35"/>
      <c r="H503" s="35"/>
      <c r="I503" s="35"/>
      <c r="J503" s="35"/>
      <c r="K503" s="35"/>
      <c r="L503" s="35"/>
      <c r="M503" s="35"/>
      <c r="N503" s="35"/>
      <c r="O503" s="35"/>
      <c r="P503" s="35"/>
      <c r="Q503" s="35"/>
      <c r="R503" s="35"/>
      <c r="S503" s="35"/>
      <c r="T503" s="35"/>
      <c r="U503" s="35"/>
    </row>
    <row r="504">
      <c r="A504" s="35" t="b">
        <v>0</v>
      </c>
      <c r="B504" s="35"/>
      <c r="C504" s="35"/>
      <c r="D504" s="35"/>
      <c r="E504" s="35"/>
      <c r="F504" s="35"/>
      <c r="G504" s="35"/>
      <c r="H504" s="35"/>
      <c r="I504" s="35"/>
      <c r="J504" s="35"/>
      <c r="K504" s="35"/>
      <c r="L504" s="35"/>
      <c r="M504" s="35"/>
      <c r="N504" s="35"/>
      <c r="O504" s="35"/>
      <c r="P504" s="35"/>
      <c r="Q504" s="35"/>
      <c r="R504" s="35"/>
      <c r="S504" s="35"/>
      <c r="T504" s="35"/>
      <c r="U504" s="35"/>
    </row>
    <row r="505">
      <c r="A505" s="35" t="b">
        <v>0</v>
      </c>
      <c r="B505" s="35"/>
      <c r="C505" s="35"/>
      <c r="D505" s="35"/>
      <c r="E505" s="35"/>
      <c r="F505" s="35"/>
      <c r="G505" s="35"/>
      <c r="H505" s="35"/>
      <c r="I505" s="35"/>
      <c r="J505" s="35"/>
      <c r="K505" s="35"/>
      <c r="L505" s="35"/>
      <c r="M505" s="35"/>
      <c r="N505" s="35"/>
      <c r="O505" s="35"/>
      <c r="P505" s="35"/>
      <c r="Q505" s="35"/>
      <c r="R505" s="35"/>
      <c r="S505" s="35"/>
      <c r="T505" s="35"/>
      <c r="U505" s="35"/>
    </row>
    <row r="506">
      <c r="A506" s="35" t="b">
        <v>0</v>
      </c>
      <c r="B506" s="35"/>
      <c r="C506" s="35"/>
      <c r="D506" s="35"/>
      <c r="E506" s="35"/>
      <c r="F506" s="35"/>
      <c r="G506" s="35"/>
      <c r="H506" s="35"/>
      <c r="I506" s="35"/>
      <c r="J506" s="35"/>
      <c r="K506" s="35"/>
      <c r="L506" s="35"/>
      <c r="M506" s="35"/>
      <c r="N506" s="35"/>
      <c r="O506" s="35"/>
      <c r="P506" s="35"/>
      <c r="Q506" s="35"/>
      <c r="R506" s="35"/>
      <c r="S506" s="35"/>
      <c r="T506" s="35"/>
      <c r="U506" s="35"/>
    </row>
    <row r="507">
      <c r="A507" s="35" t="b">
        <v>0</v>
      </c>
      <c r="B507" s="35"/>
      <c r="C507" s="35"/>
      <c r="D507" s="35"/>
      <c r="E507" s="35"/>
      <c r="F507" s="35"/>
      <c r="G507" s="35"/>
      <c r="H507" s="35"/>
      <c r="I507" s="35"/>
      <c r="J507" s="35"/>
      <c r="K507" s="35"/>
      <c r="L507" s="35"/>
      <c r="M507" s="35"/>
      <c r="N507" s="35"/>
      <c r="O507" s="35"/>
      <c r="P507" s="35"/>
      <c r="Q507" s="35"/>
      <c r="R507" s="35"/>
      <c r="S507" s="35"/>
      <c r="T507" s="35"/>
      <c r="U507" s="35"/>
    </row>
    <row r="508">
      <c r="A508" s="35" t="b">
        <v>0</v>
      </c>
      <c r="B508" s="35"/>
      <c r="C508" s="35"/>
      <c r="D508" s="35"/>
      <c r="E508" s="35"/>
      <c r="F508" s="35"/>
      <c r="G508" s="35"/>
      <c r="H508" s="35"/>
      <c r="I508" s="35"/>
      <c r="J508" s="35"/>
      <c r="K508" s="35"/>
      <c r="L508" s="35"/>
      <c r="M508" s="35"/>
      <c r="N508" s="35"/>
      <c r="O508" s="35"/>
      <c r="P508" s="35"/>
      <c r="Q508" s="35"/>
      <c r="R508" s="35"/>
      <c r="S508" s="35"/>
      <c r="T508" s="35"/>
      <c r="U508" s="35"/>
    </row>
    <row r="509">
      <c r="A509" s="35" t="b">
        <v>0</v>
      </c>
      <c r="B509" s="35"/>
      <c r="C509" s="35"/>
      <c r="D509" s="35"/>
      <c r="E509" s="35"/>
      <c r="F509" s="35"/>
      <c r="G509" s="35"/>
      <c r="H509" s="35"/>
      <c r="I509" s="35"/>
      <c r="J509" s="35"/>
      <c r="K509" s="35"/>
      <c r="L509" s="35"/>
      <c r="M509" s="35"/>
      <c r="N509" s="35"/>
      <c r="O509" s="35"/>
      <c r="P509" s="35"/>
      <c r="Q509" s="35"/>
      <c r="R509" s="35"/>
      <c r="S509" s="35"/>
      <c r="T509" s="35"/>
      <c r="U509" s="35"/>
    </row>
    <row r="510">
      <c r="A510" s="35" t="b">
        <v>0</v>
      </c>
      <c r="B510" s="35"/>
      <c r="C510" s="35"/>
      <c r="D510" s="35"/>
      <c r="E510" s="35"/>
      <c r="F510" s="35"/>
      <c r="G510" s="35"/>
      <c r="H510" s="35"/>
      <c r="I510" s="35"/>
      <c r="J510" s="35"/>
      <c r="K510" s="35"/>
      <c r="L510" s="35"/>
      <c r="M510" s="35"/>
      <c r="N510" s="35"/>
      <c r="O510" s="35"/>
      <c r="P510" s="35"/>
      <c r="Q510" s="35"/>
      <c r="R510" s="35"/>
      <c r="S510" s="35"/>
      <c r="T510" s="35"/>
      <c r="U510" s="35"/>
    </row>
    <row r="511">
      <c r="A511" s="35" t="b">
        <v>0</v>
      </c>
      <c r="B511" s="35"/>
      <c r="C511" s="35"/>
      <c r="D511" s="35"/>
      <c r="E511" s="35"/>
      <c r="F511" s="35"/>
      <c r="G511" s="35"/>
      <c r="H511" s="35"/>
      <c r="I511" s="35"/>
      <c r="J511" s="35"/>
      <c r="K511" s="35"/>
      <c r="L511" s="35"/>
      <c r="M511" s="35"/>
      <c r="N511" s="35"/>
      <c r="O511" s="35"/>
      <c r="P511" s="35"/>
      <c r="Q511" s="35"/>
      <c r="R511" s="35"/>
      <c r="S511" s="35"/>
      <c r="T511" s="35"/>
      <c r="U511" s="35"/>
    </row>
    <row r="512">
      <c r="A512" s="35" t="b">
        <v>0</v>
      </c>
      <c r="B512" s="35"/>
      <c r="C512" s="35"/>
      <c r="D512" s="35"/>
      <c r="E512" s="35"/>
      <c r="F512" s="35"/>
      <c r="G512" s="35"/>
      <c r="H512" s="35"/>
      <c r="I512" s="35"/>
      <c r="J512" s="35"/>
      <c r="K512" s="35"/>
      <c r="L512" s="35"/>
      <c r="M512" s="35"/>
      <c r="N512" s="35"/>
      <c r="O512" s="35"/>
      <c r="P512" s="35"/>
      <c r="Q512" s="35"/>
      <c r="R512" s="35"/>
      <c r="S512" s="35"/>
      <c r="T512" s="35"/>
      <c r="U512" s="35"/>
    </row>
    <row r="513">
      <c r="A513" s="35" t="b">
        <v>0</v>
      </c>
      <c r="B513" s="35"/>
      <c r="C513" s="35"/>
      <c r="D513" s="35"/>
      <c r="E513" s="35"/>
      <c r="F513" s="35"/>
      <c r="G513" s="35"/>
      <c r="H513" s="35"/>
      <c r="I513" s="35"/>
      <c r="J513" s="35"/>
      <c r="K513" s="35"/>
      <c r="L513" s="35"/>
      <c r="M513" s="35"/>
      <c r="N513" s="35"/>
      <c r="O513" s="35"/>
      <c r="P513" s="35"/>
      <c r="Q513" s="35"/>
      <c r="R513" s="35"/>
      <c r="S513" s="35"/>
      <c r="T513" s="35"/>
      <c r="U513" s="35"/>
    </row>
    <row r="514">
      <c r="A514" s="35" t="b">
        <v>0</v>
      </c>
      <c r="B514" s="35"/>
      <c r="C514" s="35"/>
      <c r="D514" s="35"/>
      <c r="E514" s="35"/>
      <c r="F514" s="35"/>
      <c r="G514" s="35"/>
      <c r="H514" s="35"/>
      <c r="I514" s="35"/>
      <c r="J514" s="35"/>
      <c r="K514" s="35"/>
      <c r="L514" s="35"/>
      <c r="M514" s="35"/>
      <c r="N514" s="35"/>
      <c r="O514" s="35"/>
      <c r="P514" s="35"/>
      <c r="Q514" s="35"/>
      <c r="R514" s="35"/>
      <c r="S514" s="35"/>
      <c r="T514" s="35"/>
      <c r="U514" s="35"/>
    </row>
    <row r="515">
      <c r="A515" s="35" t="b">
        <v>0</v>
      </c>
      <c r="B515" s="35"/>
      <c r="C515" s="35"/>
      <c r="D515" s="35"/>
      <c r="E515" s="35"/>
      <c r="F515" s="35"/>
      <c r="G515" s="35"/>
      <c r="H515" s="35"/>
      <c r="I515" s="35"/>
      <c r="J515" s="35"/>
      <c r="K515" s="35"/>
      <c r="L515" s="35"/>
      <c r="M515" s="35"/>
      <c r="N515" s="35"/>
      <c r="O515" s="35"/>
      <c r="P515" s="35"/>
      <c r="Q515" s="35"/>
      <c r="R515" s="35"/>
      <c r="S515" s="35"/>
      <c r="T515" s="35"/>
      <c r="U515" s="35"/>
    </row>
    <row r="516">
      <c r="A516" s="35" t="b">
        <v>0</v>
      </c>
      <c r="B516" s="35"/>
      <c r="C516" s="35"/>
      <c r="D516" s="35"/>
      <c r="E516" s="35"/>
      <c r="F516" s="35"/>
      <c r="G516" s="35"/>
      <c r="H516" s="35"/>
      <c r="I516" s="35"/>
      <c r="J516" s="35"/>
      <c r="K516" s="35"/>
      <c r="L516" s="35"/>
      <c r="M516" s="35"/>
      <c r="N516" s="35"/>
      <c r="O516" s="35"/>
      <c r="P516" s="35"/>
      <c r="Q516" s="35"/>
      <c r="R516" s="35"/>
      <c r="S516" s="35"/>
      <c r="T516" s="35"/>
      <c r="U516" s="35"/>
    </row>
    <row r="517">
      <c r="A517" s="35" t="b">
        <v>0</v>
      </c>
      <c r="B517" s="35"/>
      <c r="C517" s="35"/>
      <c r="D517" s="35"/>
      <c r="E517" s="35"/>
      <c r="F517" s="35"/>
      <c r="G517" s="35"/>
      <c r="H517" s="35"/>
      <c r="I517" s="35"/>
      <c r="J517" s="35"/>
      <c r="K517" s="35"/>
      <c r="L517" s="35"/>
      <c r="M517" s="35"/>
      <c r="N517" s="35"/>
      <c r="O517" s="35"/>
      <c r="P517" s="35"/>
      <c r="Q517" s="35"/>
      <c r="R517" s="35"/>
      <c r="S517" s="35"/>
      <c r="T517" s="35"/>
      <c r="U517" s="35"/>
    </row>
    <row r="518">
      <c r="A518" s="35" t="b">
        <v>0</v>
      </c>
      <c r="B518" s="35"/>
      <c r="C518" s="35"/>
      <c r="D518" s="35"/>
      <c r="E518" s="35"/>
      <c r="F518" s="35"/>
      <c r="G518" s="35"/>
      <c r="H518" s="35"/>
      <c r="I518" s="35"/>
      <c r="J518" s="35"/>
      <c r="K518" s="35"/>
      <c r="L518" s="35"/>
      <c r="M518" s="35"/>
      <c r="N518" s="35"/>
      <c r="O518" s="35"/>
      <c r="P518" s="35"/>
      <c r="Q518" s="35"/>
      <c r="R518" s="35"/>
      <c r="S518" s="35"/>
      <c r="T518" s="35"/>
      <c r="U518" s="35"/>
    </row>
    <row r="519">
      <c r="A519" s="35" t="b">
        <v>0</v>
      </c>
      <c r="B519" s="35"/>
      <c r="C519" s="35"/>
      <c r="D519" s="35"/>
      <c r="E519" s="35"/>
      <c r="F519" s="35"/>
      <c r="G519" s="35"/>
      <c r="H519" s="35"/>
      <c r="I519" s="35"/>
      <c r="J519" s="35"/>
      <c r="K519" s="35"/>
      <c r="L519" s="35"/>
      <c r="M519" s="35"/>
      <c r="N519" s="35"/>
      <c r="O519" s="35"/>
      <c r="P519" s="35"/>
      <c r="Q519" s="35"/>
      <c r="R519" s="35"/>
      <c r="S519" s="35"/>
      <c r="T519" s="35"/>
      <c r="U519" s="35"/>
    </row>
    <row r="520">
      <c r="A520" s="35" t="b">
        <v>0</v>
      </c>
      <c r="B520" s="35"/>
      <c r="C520" s="35"/>
      <c r="D520" s="35"/>
      <c r="E520" s="35"/>
      <c r="F520" s="35"/>
      <c r="G520" s="35"/>
      <c r="H520" s="35"/>
      <c r="I520" s="35"/>
      <c r="J520" s="35"/>
      <c r="K520" s="35"/>
      <c r="L520" s="35"/>
      <c r="M520" s="35"/>
      <c r="N520" s="35"/>
      <c r="O520" s="35"/>
      <c r="P520" s="35"/>
      <c r="Q520" s="35"/>
      <c r="R520" s="35"/>
      <c r="S520" s="35"/>
      <c r="T520" s="35"/>
      <c r="U520" s="35"/>
    </row>
    <row r="521">
      <c r="A521" s="35" t="b">
        <v>0</v>
      </c>
      <c r="B521" s="35"/>
      <c r="C521" s="35"/>
      <c r="D521" s="35"/>
      <c r="E521" s="35"/>
      <c r="F521" s="35"/>
      <c r="G521" s="35"/>
      <c r="H521" s="35"/>
      <c r="I521" s="35"/>
      <c r="J521" s="35"/>
      <c r="K521" s="35"/>
      <c r="L521" s="35"/>
      <c r="M521" s="35"/>
      <c r="N521" s="35"/>
      <c r="O521" s="35"/>
      <c r="P521" s="35"/>
      <c r="Q521" s="35"/>
      <c r="R521" s="35"/>
      <c r="S521" s="35"/>
      <c r="T521" s="35"/>
      <c r="U521" s="35"/>
    </row>
    <row r="522">
      <c r="A522" s="35" t="b">
        <v>0</v>
      </c>
      <c r="B522" s="35"/>
      <c r="C522" s="35"/>
      <c r="D522" s="35"/>
      <c r="E522" s="35"/>
      <c r="F522" s="35"/>
      <c r="G522" s="35"/>
      <c r="H522" s="35"/>
      <c r="I522" s="35"/>
      <c r="J522" s="35"/>
      <c r="K522" s="35"/>
      <c r="L522" s="35"/>
      <c r="M522" s="35"/>
      <c r="N522" s="35"/>
      <c r="O522" s="35"/>
      <c r="P522" s="35"/>
      <c r="Q522" s="35"/>
      <c r="R522" s="35"/>
      <c r="S522" s="35"/>
      <c r="T522" s="35"/>
      <c r="U522" s="35"/>
    </row>
    <row r="523">
      <c r="A523" s="35" t="b">
        <v>0</v>
      </c>
      <c r="B523" s="35"/>
      <c r="C523" s="35"/>
      <c r="D523" s="35"/>
      <c r="E523" s="35"/>
      <c r="F523" s="35"/>
      <c r="G523" s="35"/>
      <c r="H523" s="35"/>
      <c r="I523" s="35"/>
      <c r="J523" s="35"/>
      <c r="K523" s="35"/>
      <c r="L523" s="35"/>
      <c r="M523" s="35"/>
      <c r="N523" s="35"/>
      <c r="O523" s="35"/>
      <c r="P523" s="35"/>
      <c r="Q523" s="35"/>
      <c r="R523" s="35"/>
      <c r="S523" s="35"/>
      <c r="T523" s="35"/>
      <c r="U523" s="35"/>
    </row>
    <row r="524">
      <c r="A524" s="35" t="b">
        <v>0</v>
      </c>
      <c r="B524" s="35"/>
      <c r="C524" s="35"/>
      <c r="D524" s="35"/>
      <c r="E524" s="35"/>
      <c r="F524" s="35"/>
      <c r="G524" s="35"/>
      <c r="H524" s="35"/>
      <c r="I524" s="35"/>
      <c r="J524" s="35"/>
      <c r="K524" s="35"/>
      <c r="L524" s="35"/>
      <c r="M524" s="35"/>
      <c r="N524" s="35"/>
      <c r="O524" s="35"/>
      <c r="P524" s="35"/>
      <c r="Q524" s="35"/>
      <c r="R524" s="35"/>
      <c r="S524" s="35"/>
      <c r="T524" s="35"/>
      <c r="U524" s="35"/>
    </row>
    <row r="525">
      <c r="A525" s="35" t="b">
        <v>0</v>
      </c>
      <c r="B525" s="35"/>
      <c r="C525" s="35"/>
      <c r="D525" s="35"/>
      <c r="E525" s="35"/>
      <c r="F525" s="35"/>
      <c r="G525" s="35"/>
      <c r="H525" s="35"/>
      <c r="I525" s="35"/>
      <c r="J525" s="35"/>
      <c r="K525" s="35"/>
      <c r="L525" s="35"/>
      <c r="M525" s="35"/>
      <c r="N525" s="35"/>
      <c r="O525" s="35"/>
      <c r="P525" s="35"/>
      <c r="Q525" s="35"/>
      <c r="R525" s="35"/>
      <c r="S525" s="35"/>
      <c r="T525" s="35"/>
      <c r="U525" s="35"/>
    </row>
    <row r="526">
      <c r="A526" s="35" t="b">
        <v>0</v>
      </c>
      <c r="B526" s="35"/>
      <c r="C526" s="35"/>
      <c r="D526" s="35"/>
      <c r="E526" s="35"/>
      <c r="F526" s="35"/>
      <c r="G526" s="35"/>
      <c r="H526" s="35"/>
      <c r="I526" s="35"/>
      <c r="J526" s="35"/>
      <c r="K526" s="35"/>
      <c r="L526" s="35"/>
      <c r="M526" s="35"/>
      <c r="N526" s="35"/>
      <c r="O526" s="35"/>
      <c r="P526" s="35"/>
      <c r="Q526" s="35"/>
      <c r="R526" s="35"/>
      <c r="S526" s="35"/>
      <c r="T526" s="35"/>
      <c r="U526" s="35"/>
    </row>
    <row r="527">
      <c r="A527" s="35" t="b">
        <v>0</v>
      </c>
      <c r="B527" s="35"/>
      <c r="C527" s="35"/>
      <c r="D527" s="35"/>
      <c r="E527" s="35"/>
      <c r="F527" s="35"/>
      <c r="G527" s="35"/>
      <c r="H527" s="35"/>
      <c r="I527" s="35"/>
      <c r="J527" s="35"/>
      <c r="K527" s="35"/>
      <c r="L527" s="35"/>
      <c r="M527" s="35"/>
      <c r="N527" s="35"/>
      <c r="O527" s="35"/>
      <c r="P527" s="35"/>
      <c r="Q527" s="35"/>
      <c r="R527" s="35"/>
      <c r="S527" s="35"/>
      <c r="T527" s="35"/>
      <c r="U527" s="35"/>
    </row>
    <row r="528">
      <c r="A528" s="35" t="b">
        <v>0</v>
      </c>
      <c r="B528" s="35"/>
      <c r="C528" s="35"/>
      <c r="D528" s="35"/>
      <c r="E528" s="35"/>
      <c r="F528" s="35"/>
      <c r="G528" s="35"/>
      <c r="H528" s="35"/>
      <c r="I528" s="35"/>
      <c r="J528" s="35"/>
      <c r="K528" s="35"/>
      <c r="L528" s="35"/>
      <c r="M528" s="35"/>
      <c r="N528" s="35"/>
      <c r="O528" s="35"/>
      <c r="P528" s="35"/>
      <c r="Q528" s="35"/>
      <c r="R528" s="35"/>
      <c r="S528" s="35"/>
      <c r="T528" s="35"/>
      <c r="U528" s="35"/>
    </row>
    <row r="529">
      <c r="A529" s="35" t="b">
        <v>0</v>
      </c>
      <c r="B529" s="35"/>
      <c r="C529" s="35"/>
      <c r="D529" s="35"/>
      <c r="E529" s="35"/>
      <c r="F529" s="35"/>
      <c r="G529" s="35"/>
      <c r="H529" s="35"/>
      <c r="I529" s="35"/>
      <c r="J529" s="35"/>
      <c r="K529" s="35"/>
      <c r="L529" s="35"/>
      <c r="M529" s="35"/>
      <c r="N529" s="35"/>
      <c r="O529" s="35"/>
      <c r="P529" s="35"/>
      <c r="Q529" s="35"/>
      <c r="R529" s="35"/>
      <c r="S529" s="35"/>
      <c r="T529" s="35"/>
      <c r="U529" s="35"/>
    </row>
    <row r="530">
      <c r="A530" s="35" t="b">
        <v>0</v>
      </c>
      <c r="B530" s="35"/>
      <c r="C530" s="35"/>
      <c r="D530" s="35"/>
      <c r="E530" s="35"/>
      <c r="F530" s="35"/>
      <c r="G530" s="35"/>
      <c r="H530" s="35"/>
      <c r="I530" s="35"/>
      <c r="J530" s="35"/>
      <c r="K530" s="35"/>
      <c r="L530" s="35"/>
      <c r="M530" s="35"/>
      <c r="N530" s="35"/>
      <c r="O530" s="35"/>
      <c r="P530" s="35"/>
      <c r="Q530" s="35"/>
      <c r="R530" s="35"/>
      <c r="S530" s="35"/>
      <c r="T530" s="35"/>
      <c r="U530" s="35"/>
    </row>
    <row r="531">
      <c r="A531" s="35" t="b">
        <v>0</v>
      </c>
      <c r="B531" s="35"/>
      <c r="C531" s="35"/>
      <c r="D531" s="35"/>
      <c r="E531" s="35"/>
      <c r="F531" s="35"/>
      <c r="G531" s="35"/>
      <c r="H531" s="35"/>
      <c r="I531" s="35"/>
      <c r="J531" s="35"/>
      <c r="K531" s="35"/>
      <c r="L531" s="35"/>
      <c r="M531" s="35"/>
      <c r="N531" s="35"/>
      <c r="O531" s="35"/>
      <c r="P531" s="35"/>
      <c r="Q531" s="35"/>
      <c r="R531" s="35"/>
      <c r="S531" s="35"/>
      <c r="T531" s="35"/>
      <c r="U531" s="35"/>
    </row>
    <row r="532">
      <c r="A532" s="35" t="b">
        <v>0</v>
      </c>
      <c r="B532" s="35"/>
      <c r="C532" s="35"/>
      <c r="D532" s="35"/>
      <c r="E532" s="35"/>
      <c r="F532" s="35"/>
      <c r="G532" s="35"/>
      <c r="H532" s="35"/>
      <c r="I532" s="35"/>
      <c r="J532" s="35"/>
      <c r="K532" s="35"/>
      <c r="L532" s="35"/>
      <c r="M532" s="35"/>
      <c r="N532" s="35"/>
      <c r="O532" s="35"/>
      <c r="P532" s="35"/>
      <c r="Q532" s="35"/>
      <c r="R532" s="35"/>
      <c r="S532" s="35"/>
      <c r="T532" s="35"/>
      <c r="U532" s="35"/>
    </row>
    <row r="533">
      <c r="A533" s="35" t="b">
        <v>0</v>
      </c>
      <c r="B533" s="35"/>
      <c r="C533" s="35"/>
      <c r="D533" s="35"/>
      <c r="E533" s="35"/>
      <c r="F533" s="35"/>
      <c r="G533" s="35"/>
      <c r="H533" s="35"/>
      <c r="I533" s="35"/>
      <c r="J533" s="35"/>
      <c r="K533" s="35"/>
      <c r="L533" s="35"/>
      <c r="M533" s="35"/>
      <c r="N533" s="35"/>
      <c r="O533" s="35"/>
      <c r="P533" s="35"/>
      <c r="Q533" s="35"/>
      <c r="R533" s="35"/>
      <c r="S533" s="35"/>
      <c r="T533" s="35"/>
      <c r="U533" s="35"/>
    </row>
    <row r="534">
      <c r="A534" s="35" t="b">
        <v>0</v>
      </c>
      <c r="B534" s="35"/>
      <c r="C534" s="35"/>
      <c r="D534" s="35"/>
      <c r="E534" s="35"/>
      <c r="F534" s="35"/>
      <c r="G534" s="35"/>
      <c r="H534" s="35"/>
      <c r="I534" s="35"/>
      <c r="J534" s="35"/>
      <c r="K534" s="35"/>
      <c r="L534" s="35"/>
      <c r="M534" s="35"/>
      <c r="N534" s="35"/>
      <c r="O534" s="35"/>
      <c r="P534" s="35"/>
      <c r="Q534" s="35"/>
      <c r="R534" s="35"/>
      <c r="S534" s="35"/>
      <c r="T534" s="35"/>
      <c r="U534" s="35"/>
    </row>
    <row r="535">
      <c r="A535" s="35" t="b">
        <v>0</v>
      </c>
      <c r="B535" s="35"/>
      <c r="C535" s="35"/>
      <c r="D535" s="35"/>
      <c r="E535" s="35"/>
      <c r="F535" s="35"/>
      <c r="G535" s="35"/>
      <c r="H535" s="35"/>
      <c r="I535" s="35"/>
      <c r="J535" s="35"/>
      <c r="K535" s="35"/>
      <c r="L535" s="35"/>
      <c r="M535" s="35"/>
      <c r="N535" s="35"/>
      <c r="O535" s="35"/>
      <c r="P535" s="35"/>
      <c r="Q535" s="35"/>
      <c r="R535" s="35"/>
      <c r="S535" s="35"/>
      <c r="T535" s="35"/>
      <c r="U535" s="35"/>
    </row>
    <row r="536">
      <c r="A536" s="35" t="b">
        <v>0</v>
      </c>
      <c r="B536" s="35"/>
      <c r="C536" s="35"/>
      <c r="D536" s="35"/>
      <c r="E536" s="35"/>
      <c r="F536" s="35"/>
      <c r="G536" s="35"/>
      <c r="H536" s="35"/>
      <c r="I536" s="35"/>
      <c r="J536" s="35"/>
      <c r="K536" s="35"/>
      <c r="L536" s="35"/>
      <c r="M536" s="35"/>
      <c r="N536" s="35"/>
      <c r="O536" s="35"/>
      <c r="P536" s="35"/>
      <c r="Q536" s="35"/>
      <c r="R536" s="35"/>
      <c r="S536" s="35"/>
      <c r="T536" s="35"/>
      <c r="U536" s="35"/>
    </row>
    <row r="537">
      <c r="A537" s="35" t="b">
        <v>0</v>
      </c>
      <c r="B537" s="35"/>
      <c r="C537" s="35"/>
      <c r="D537" s="35"/>
      <c r="E537" s="35"/>
      <c r="F537" s="35"/>
      <c r="G537" s="35"/>
      <c r="H537" s="35"/>
      <c r="I537" s="35"/>
      <c r="J537" s="35"/>
      <c r="K537" s="35"/>
      <c r="L537" s="35"/>
      <c r="M537" s="35"/>
      <c r="N537" s="35"/>
      <c r="O537" s="35"/>
      <c r="P537" s="35"/>
      <c r="Q537" s="35"/>
      <c r="R537" s="35"/>
      <c r="S537" s="35"/>
      <c r="T537" s="35"/>
      <c r="U537" s="35"/>
    </row>
    <row r="538">
      <c r="A538" s="35" t="b">
        <v>0</v>
      </c>
      <c r="B538" s="35"/>
      <c r="C538" s="35"/>
      <c r="D538" s="35"/>
      <c r="E538" s="35"/>
      <c r="F538" s="35"/>
      <c r="G538" s="35"/>
      <c r="H538" s="35"/>
      <c r="I538" s="35"/>
      <c r="J538" s="35"/>
      <c r="K538" s="35"/>
      <c r="L538" s="35"/>
      <c r="M538" s="35"/>
      <c r="N538" s="35"/>
      <c r="O538" s="35"/>
      <c r="P538" s="35"/>
      <c r="Q538" s="35"/>
      <c r="R538" s="35"/>
      <c r="S538" s="35"/>
      <c r="T538" s="35"/>
      <c r="U538" s="35"/>
    </row>
    <row r="539">
      <c r="A539" s="35" t="b">
        <v>0</v>
      </c>
      <c r="B539" s="35"/>
      <c r="C539" s="35"/>
      <c r="D539" s="35"/>
      <c r="E539" s="35"/>
      <c r="F539" s="35"/>
      <c r="G539" s="35"/>
      <c r="H539" s="35"/>
      <c r="I539" s="35"/>
      <c r="J539" s="35"/>
      <c r="K539" s="35"/>
      <c r="L539" s="35"/>
      <c r="M539" s="35"/>
      <c r="N539" s="35"/>
      <c r="O539" s="35"/>
      <c r="P539" s="35"/>
      <c r="Q539" s="35"/>
      <c r="R539" s="35"/>
      <c r="S539" s="35"/>
      <c r="T539" s="35"/>
      <c r="U539" s="35"/>
    </row>
    <row r="540">
      <c r="A540" s="35" t="b">
        <v>0</v>
      </c>
      <c r="B540" s="35"/>
      <c r="C540" s="35"/>
      <c r="D540" s="35"/>
      <c r="E540" s="35"/>
      <c r="F540" s="35"/>
      <c r="G540" s="35"/>
      <c r="H540" s="35"/>
      <c r="I540" s="35"/>
      <c r="J540" s="35"/>
      <c r="K540" s="35"/>
      <c r="L540" s="35"/>
      <c r="M540" s="35"/>
      <c r="N540" s="35"/>
      <c r="O540" s="35"/>
      <c r="P540" s="35"/>
      <c r="Q540" s="35"/>
      <c r="R540" s="35"/>
      <c r="S540" s="35"/>
      <c r="T540" s="35"/>
      <c r="U540" s="35"/>
    </row>
    <row r="541">
      <c r="A541" s="35" t="b">
        <v>0</v>
      </c>
      <c r="B541" s="35"/>
      <c r="C541" s="35"/>
      <c r="D541" s="35"/>
      <c r="E541" s="35"/>
      <c r="F541" s="35"/>
      <c r="G541" s="35"/>
      <c r="H541" s="35"/>
      <c r="I541" s="35"/>
      <c r="J541" s="35"/>
      <c r="K541" s="35"/>
      <c r="L541" s="35"/>
      <c r="M541" s="35"/>
      <c r="N541" s="35"/>
      <c r="O541" s="35"/>
      <c r="P541" s="35"/>
      <c r="Q541" s="35"/>
      <c r="R541" s="35"/>
      <c r="S541" s="35"/>
      <c r="T541" s="35"/>
      <c r="U541" s="35"/>
    </row>
    <row r="542">
      <c r="A542" s="35" t="b">
        <v>0</v>
      </c>
      <c r="B542" s="35"/>
      <c r="C542" s="35"/>
      <c r="D542" s="35"/>
      <c r="E542" s="35"/>
      <c r="F542" s="35"/>
      <c r="G542" s="35"/>
      <c r="H542" s="35"/>
      <c r="I542" s="35"/>
      <c r="J542" s="35"/>
      <c r="K542" s="35"/>
      <c r="L542" s="35"/>
      <c r="M542" s="35"/>
      <c r="N542" s="35"/>
      <c r="O542" s="35"/>
      <c r="P542" s="35"/>
      <c r="Q542" s="35"/>
      <c r="R542" s="35"/>
      <c r="S542" s="35"/>
      <c r="T542" s="35"/>
      <c r="U542" s="35"/>
    </row>
    <row r="543">
      <c r="A543" s="35" t="b">
        <v>0</v>
      </c>
      <c r="B543" s="35"/>
      <c r="C543" s="35"/>
      <c r="D543" s="35"/>
      <c r="E543" s="35"/>
      <c r="F543" s="35"/>
      <c r="G543" s="35"/>
      <c r="H543" s="35"/>
      <c r="I543" s="35"/>
      <c r="J543" s="35"/>
      <c r="K543" s="35"/>
      <c r="L543" s="35"/>
      <c r="M543" s="35"/>
      <c r="N543" s="35"/>
      <c r="O543" s="35"/>
      <c r="P543" s="35"/>
      <c r="Q543" s="35"/>
      <c r="R543" s="35"/>
      <c r="S543" s="35"/>
      <c r="T543" s="35"/>
      <c r="U543" s="35"/>
    </row>
    <row r="544">
      <c r="A544" s="35" t="b">
        <v>0</v>
      </c>
      <c r="B544" s="35"/>
      <c r="C544" s="35"/>
      <c r="D544" s="35"/>
      <c r="E544" s="35"/>
      <c r="F544" s="35"/>
      <c r="G544" s="35"/>
      <c r="H544" s="35"/>
      <c r="I544" s="35"/>
      <c r="J544" s="35"/>
      <c r="K544" s="35"/>
      <c r="L544" s="35"/>
      <c r="M544" s="35"/>
      <c r="N544" s="35"/>
      <c r="O544" s="35"/>
      <c r="P544" s="35"/>
      <c r="Q544" s="35"/>
      <c r="R544" s="35"/>
      <c r="S544" s="35"/>
      <c r="T544" s="35"/>
      <c r="U544" s="35"/>
    </row>
    <row r="545">
      <c r="A545" s="35" t="b">
        <v>0</v>
      </c>
      <c r="B545" s="35"/>
      <c r="C545" s="35"/>
      <c r="D545" s="35"/>
      <c r="E545" s="35"/>
      <c r="F545" s="35"/>
      <c r="G545" s="35"/>
      <c r="H545" s="35"/>
      <c r="I545" s="35"/>
      <c r="J545" s="35"/>
      <c r="K545" s="35"/>
      <c r="L545" s="35"/>
      <c r="M545" s="35"/>
      <c r="N545" s="35"/>
      <c r="O545" s="35"/>
      <c r="P545" s="35"/>
      <c r="Q545" s="35"/>
      <c r="R545" s="35"/>
      <c r="S545" s="35"/>
      <c r="T545" s="35"/>
      <c r="U545" s="35"/>
    </row>
    <row r="546">
      <c r="A546" s="35" t="b">
        <v>0</v>
      </c>
      <c r="B546" s="35"/>
      <c r="C546" s="35"/>
      <c r="D546" s="35"/>
      <c r="E546" s="35"/>
      <c r="F546" s="35"/>
      <c r="G546" s="35"/>
      <c r="H546" s="35"/>
      <c r="I546" s="35"/>
      <c r="J546" s="35"/>
      <c r="K546" s="35"/>
      <c r="L546" s="35"/>
      <c r="M546" s="35"/>
      <c r="N546" s="35"/>
      <c r="O546" s="35"/>
      <c r="P546" s="35"/>
      <c r="Q546" s="35"/>
      <c r="R546" s="35"/>
      <c r="S546" s="35"/>
      <c r="T546" s="35"/>
      <c r="U546" s="35"/>
    </row>
    <row r="547">
      <c r="A547" s="35" t="b">
        <v>0</v>
      </c>
      <c r="B547" s="35"/>
      <c r="C547" s="35"/>
      <c r="D547" s="35"/>
      <c r="E547" s="35"/>
      <c r="F547" s="35"/>
      <c r="G547" s="35"/>
      <c r="H547" s="35"/>
      <c r="I547" s="35"/>
      <c r="J547" s="35"/>
      <c r="K547" s="35"/>
      <c r="L547" s="35"/>
      <c r="M547" s="35"/>
      <c r="N547" s="35"/>
      <c r="O547" s="35"/>
      <c r="P547" s="35"/>
      <c r="Q547" s="35"/>
      <c r="R547" s="35"/>
      <c r="S547" s="35"/>
      <c r="T547" s="35"/>
      <c r="U547" s="35"/>
    </row>
    <row r="548">
      <c r="A548" s="35" t="b">
        <v>0</v>
      </c>
      <c r="B548" s="35"/>
      <c r="C548" s="35"/>
      <c r="D548" s="35"/>
      <c r="E548" s="35"/>
      <c r="F548" s="35"/>
      <c r="G548" s="35"/>
      <c r="H548" s="35"/>
      <c r="I548" s="35"/>
      <c r="J548" s="35"/>
      <c r="K548" s="35"/>
      <c r="L548" s="35"/>
      <c r="M548" s="35"/>
      <c r="N548" s="35"/>
      <c r="O548" s="35"/>
      <c r="P548" s="35"/>
      <c r="Q548" s="35"/>
      <c r="R548" s="35"/>
      <c r="S548" s="35"/>
      <c r="T548" s="35"/>
      <c r="U548" s="35"/>
    </row>
    <row r="549">
      <c r="A549" s="35" t="b">
        <v>0</v>
      </c>
      <c r="B549" s="35"/>
      <c r="C549" s="35"/>
      <c r="D549" s="35"/>
      <c r="E549" s="35"/>
      <c r="F549" s="35"/>
      <c r="G549" s="35"/>
      <c r="H549" s="35"/>
      <c r="I549" s="35"/>
      <c r="J549" s="35"/>
      <c r="K549" s="35"/>
      <c r="L549" s="35"/>
      <c r="M549" s="35"/>
      <c r="N549" s="35"/>
      <c r="O549" s="35"/>
      <c r="P549" s="35"/>
      <c r="Q549" s="35"/>
      <c r="R549" s="35"/>
      <c r="S549" s="35"/>
      <c r="T549" s="35"/>
      <c r="U549" s="35"/>
    </row>
    <row r="550">
      <c r="A550" s="35" t="b">
        <v>0</v>
      </c>
      <c r="B550" s="35"/>
      <c r="C550" s="35"/>
      <c r="D550" s="35"/>
      <c r="E550" s="35"/>
      <c r="F550" s="35"/>
      <c r="G550" s="35"/>
      <c r="H550" s="35"/>
      <c r="I550" s="35"/>
      <c r="J550" s="35"/>
      <c r="K550" s="35"/>
      <c r="L550" s="35"/>
      <c r="M550" s="35"/>
      <c r="N550" s="35"/>
      <c r="O550" s="35"/>
      <c r="P550" s="35"/>
      <c r="Q550" s="35"/>
      <c r="R550" s="35"/>
      <c r="S550" s="35"/>
      <c r="T550" s="35"/>
      <c r="U550" s="35"/>
    </row>
    <row r="551">
      <c r="A551" s="35" t="b">
        <v>0</v>
      </c>
      <c r="B551" s="35"/>
      <c r="C551" s="35"/>
      <c r="D551" s="35"/>
      <c r="E551" s="35"/>
      <c r="F551" s="35"/>
      <c r="G551" s="35"/>
      <c r="H551" s="35"/>
      <c r="I551" s="35"/>
      <c r="J551" s="35"/>
      <c r="K551" s="35"/>
      <c r="L551" s="35"/>
      <c r="M551" s="35"/>
      <c r="N551" s="35"/>
      <c r="O551" s="35"/>
      <c r="P551" s="35"/>
      <c r="Q551" s="35"/>
      <c r="R551" s="35"/>
      <c r="S551" s="35"/>
      <c r="T551" s="35"/>
      <c r="U551" s="35"/>
    </row>
    <row r="552">
      <c r="A552" s="35" t="b">
        <v>0</v>
      </c>
      <c r="B552" s="35"/>
      <c r="C552" s="35"/>
      <c r="D552" s="35"/>
      <c r="E552" s="35"/>
      <c r="F552" s="35"/>
      <c r="G552" s="35"/>
      <c r="H552" s="35"/>
      <c r="I552" s="35"/>
      <c r="J552" s="35"/>
      <c r="K552" s="35"/>
      <c r="L552" s="35"/>
      <c r="M552" s="35"/>
      <c r="N552" s="35"/>
      <c r="O552" s="35"/>
      <c r="P552" s="35"/>
      <c r="Q552" s="35"/>
      <c r="R552" s="35"/>
      <c r="S552" s="35"/>
      <c r="T552" s="35"/>
      <c r="U552" s="35"/>
    </row>
    <row r="553">
      <c r="A553" s="35" t="b">
        <v>0</v>
      </c>
      <c r="B553" s="35"/>
      <c r="C553" s="35"/>
      <c r="D553" s="35"/>
      <c r="E553" s="35"/>
      <c r="F553" s="35"/>
      <c r="G553" s="35"/>
      <c r="H553" s="35"/>
      <c r="I553" s="35"/>
      <c r="J553" s="35"/>
      <c r="K553" s="35"/>
      <c r="L553" s="35"/>
      <c r="M553" s="35"/>
      <c r="N553" s="35"/>
      <c r="O553" s="35"/>
      <c r="P553" s="35"/>
      <c r="Q553" s="35"/>
      <c r="R553" s="35"/>
      <c r="S553" s="35"/>
      <c r="T553" s="35"/>
      <c r="U553" s="35"/>
    </row>
    <row r="554">
      <c r="A554" s="35" t="b">
        <v>0</v>
      </c>
      <c r="B554" s="35"/>
      <c r="C554" s="35"/>
      <c r="D554" s="35"/>
      <c r="E554" s="35"/>
      <c r="F554" s="35"/>
      <c r="G554" s="35"/>
      <c r="H554" s="35"/>
      <c r="I554" s="35"/>
      <c r="J554" s="35"/>
      <c r="K554" s="35"/>
      <c r="L554" s="35"/>
      <c r="M554" s="35"/>
      <c r="N554" s="35"/>
      <c r="O554" s="35"/>
      <c r="P554" s="35"/>
      <c r="Q554" s="35"/>
      <c r="R554" s="35"/>
      <c r="S554" s="35"/>
      <c r="T554" s="35"/>
      <c r="U554" s="35"/>
    </row>
    <row r="555">
      <c r="A555" s="35" t="b">
        <v>0</v>
      </c>
      <c r="B555" s="35"/>
      <c r="C555" s="35"/>
      <c r="D555" s="35"/>
      <c r="E555" s="35"/>
      <c r="F555" s="35"/>
      <c r="G555" s="35"/>
      <c r="H555" s="35"/>
      <c r="I555" s="35"/>
      <c r="J555" s="35"/>
      <c r="K555" s="35"/>
      <c r="L555" s="35"/>
      <c r="M555" s="35"/>
      <c r="N555" s="35"/>
      <c r="O555" s="35"/>
      <c r="P555" s="35"/>
      <c r="Q555" s="35"/>
      <c r="R555" s="35"/>
      <c r="S555" s="35"/>
      <c r="T555" s="35"/>
      <c r="U555" s="35"/>
    </row>
    <row r="556">
      <c r="A556" s="35" t="b">
        <v>0</v>
      </c>
      <c r="B556" s="35"/>
      <c r="C556" s="35"/>
      <c r="D556" s="35"/>
      <c r="E556" s="35"/>
      <c r="F556" s="35"/>
      <c r="G556" s="35"/>
      <c r="H556" s="35"/>
      <c r="I556" s="35"/>
      <c r="J556" s="35"/>
      <c r="K556" s="35"/>
      <c r="L556" s="35"/>
      <c r="M556" s="35"/>
      <c r="N556" s="35"/>
      <c r="O556" s="35"/>
      <c r="P556" s="35"/>
      <c r="Q556" s="35"/>
      <c r="R556" s="35"/>
      <c r="S556" s="35"/>
      <c r="T556" s="35"/>
      <c r="U556" s="35"/>
    </row>
    <row r="557">
      <c r="A557" s="35" t="b">
        <v>0</v>
      </c>
      <c r="B557" s="35"/>
      <c r="C557" s="35"/>
      <c r="D557" s="35"/>
      <c r="E557" s="35"/>
      <c r="F557" s="35"/>
      <c r="G557" s="35"/>
      <c r="H557" s="35"/>
      <c r="I557" s="35"/>
      <c r="J557" s="35"/>
      <c r="K557" s="35"/>
      <c r="L557" s="35"/>
      <c r="M557" s="35"/>
      <c r="N557" s="35"/>
      <c r="O557" s="35"/>
      <c r="P557" s="35"/>
      <c r="Q557" s="35"/>
      <c r="R557" s="35"/>
      <c r="S557" s="35"/>
      <c r="T557" s="35"/>
      <c r="U557" s="35"/>
    </row>
    <row r="558">
      <c r="A558" s="35" t="b">
        <v>0</v>
      </c>
      <c r="B558" s="35"/>
      <c r="C558" s="35"/>
      <c r="D558" s="35"/>
      <c r="E558" s="35"/>
      <c r="F558" s="35"/>
      <c r="G558" s="35"/>
      <c r="H558" s="35"/>
      <c r="I558" s="35"/>
      <c r="J558" s="35"/>
      <c r="K558" s="35"/>
      <c r="L558" s="35"/>
      <c r="M558" s="35"/>
      <c r="N558" s="35"/>
      <c r="O558" s="35"/>
      <c r="P558" s="35"/>
      <c r="Q558" s="35"/>
      <c r="R558" s="35"/>
      <c r="S558" s="35"/>
      <c r="T558" s="35"/>
      <c r="U558" s="35"/>
    </row>
    <row r="559">
      <c r="A559" s="35" t="b">
        <v>0</v>
      </c>
      <c r="B559" s="35"/>
      <c r="C559" s="35"/>
      <c r="D559" s="35"/>
      <c r="E559" s="35"/>
      <c r="F559" s="35"/>
      <c r="G559" s="35"/>
      <c r="H559" s="35"/>
      <c r="I559" s="35"/>
      <c r="J559" s="35"/>
      <c r="K559" s="35"/>
      <c r="L559" s="35"/>
      <c r="M559" s="35"/>
      <c r="N559" s="35"/>
      <c r="O559" s="35"/>
      <c r="P559" s="35"/>
      <c r="Q559" s="35"/>
      <c r="R559" s="35"/>
      <c r="S559" s="35"/>
      <c r="T559" s="35"/>
      <c r="U559" s="35"/>
    </row>
    <row r="560">
      <c r="A560" s="35" t="b">
        <v>0</v>
      </c>
      <c r="B560" s="35"/>
      <c r="C560" s="35"/>
      <c r="D560" s="35"/>
      <c r="E560" s="35"/>
      <c r="F560" s="35"/>
      <c r="G560" s="35"/>
      <c r="H560" s="35"/>
      <c r="I560" s="35"/>
      <c r="J560" s="35"/>
      <c r="K560" s="35"/>
      <c r="L560" s="35"/>
      <c r="M560" s="35"/>
      <c r="N560" s="35"/>
      <c r="O560" s="35"/>
      <c r="P560" s="35"/>
      <c r="Q560" s="35"/>
      <c r="R560" s="35"/>
      <c r="S560" s="35"/>
      <c r="T560" s="35"/>
      <c r="U560" s="35"/>
    </row>
    <row r="561">
      <c r="A561" s="35" t="b">
        <v>0</v>
      </c>
      <c r="B561" s="35"/>
      <c r="C561" s="35"/>
      <c r="D561" s="35"/>
      <c r="E561" s="35"/>
      <c r="F561" s="35"/>
      <c r="G561" s="35"/>
      <c r="H561" s="35"/>
      <c r="I561" s="35"/>
      <c r="J561" s="35"/>
      <c r="K561" s="35"/>
      <c r="L561" s="35"/>
      <c r="M561" s="35"/>
      <c r="N561" s="35"/>
      <c r="O561" s="35"/>
      <c r="P561" s="35"/>
      <c r="Q561" s="35"/>
      <c r="R561" s="35"/>
      <c r="S561" s="35"/>
      <c r="T561" s="35"/>
      <c r="U561" s="35"/>
    </row>
    <row r="562">
      <c r="A562" s="35" t="b">
        <v>0</v>
      </c>
      <c r="B562" s="35"/>
      <c r="C562" s="35"/>
      <c r="D562" s="35"/>
      <c r="E562" s="35"/>
      <c r="F562" s="35"/>
      <c r="G562" s="35"/>
      <c r="H562" s="35"/>
      <c r="I562" s="35"/>
      <c r="J562" s="35"/>
      <c r="K562" s="35"/>
      <c r="L562" s="35"/>
      <c r="M562" s="35"/>
      <c r="N562" s="35"/>
      <c r="O562" s="35"/>
      <c r="P562" s="35"/>
      <c r="Q562" s="35"/>
      <c r="R562" s="35"/>
      <c r="S562" s="35"/>
      <c r="T562" s="35"/>
      <c r="U562" s="35"/>
    </row>
    <row r="563">
      <c r="A563" s="35" t="b">
        <v>0</v>
      </c>
      <c r="B563" s="35"/>
      <c r="C563" s="35"/>
      <c r="D563" s="35"/>
      <c r="E563" s="35"/>
      <c r="F563" s="35"/>
      <c r="G563" s="35"/>
      <c r="H563" s="35"/>
      <c r="I563" s="35"/>
      <c r="J563" s="35"/>
      <c r="K563" s="35"/>
      <c r="L563" s="35"/>
      <c r="M563" s="35"/>
      <c r="N563" s="35"/>
      <c r="O563" s="35"/>
      <c r="P563" s="35"/>
      <c r="Q563" s="35"/>
      <c r="R563" s="35"/>
      <c r="S563" s="35"/>
      <c r="T563" s="35"/>
      <c r="U563" s="35"/>
    </row>
    <row r="564">
      <c r="A564" s="35" t="b">
        <v>0</v>
      </c>
      <c r="B564" s="35"/>
      <c r="C564" s="35"/>
      <c r="D564" s="35"/>
      <c r="E564" s="35"/>
      <c r="F564" s="35"/>
      <c r="G564" s="35"/>
      <c r="H564" s="35"/>
      <c r="I564" s="35"/>
      <c r="J564" s="35"/>
      <c r="K564" s="35"/>
      <c r="L564" s="35"/>
      <c r="M564" s="35"/>
      <c r="N564" s="35"/>
      <c r="O564" s="35"/>
      <c r="P564" s="35"/>
      <c r="Q564" s="35"/>
      <c r="R564" s="35"/>
      <c r="S564" s="35"/>
      <c r="T564" s="35"/>
      <c r="U564" s="35"/>
    </row>
    <row r="565">
      <c r="A565" s="35" t="b">
        <v>0</v>
      </c>
      <c r="B565" s="35"/>
      <c r="C565" s="35"/>
      <c r="D565" s="35"/>
      <c r="E565" s="35"/>
      <c r="F565" s="35"/>
      <c r="G565" s="35"/>
      <c r="H565" s="35"/>
      <c r="I565" s="35"/>
      <c r="J565" s="35"/>
      <c r="K565" s="35"/>
      <c r="L565" s="35"/>
      <c r="M565" s="35"/>
      <c r="N565" s="35"/>
      <c r="O565" s="35"/>
      <c r="P565" s="35"/>
      <c r="Q565" s="35"/>
      <c r="R565" s="35"/>
      <c r="S565" s="35"/>
      <c r="T565" s="35"/>
      <c r="U565" s="35"/>
    </row>
    <row r="566">
      <c r="A566" s="35" t="b">
        <v>0</v>
      </c>
      <c r="B566" s="35"/>
      <c r="C566" s="35"/>
      <c r="D566" s="35"/>
      <c r="E566" s="35"/>
      <c r="F566" s="35"/>
      <c r="G566" s="35"/>
      <c r="H566" s="35"/>
      <c r="I566" s="35"/>
      <c r="J566" s="35"/>
      <c r="K566" s="35"/>
      <c r="L566" s="35"/>
      <c r="M566" s="35"/>
      <c r="N566" s="35"/>
      <c r="O566" s="35"/>
      <c r="P566" s="35"/>
      <c r="Q566" s="35"/>
      <c r="R566" s="35"/>
      <c r="S566" s="35"/>
      <c r="T566" s="35"/>
      <c r="U566" s="35"/>
    </row>
    <row r="567">
      <c r="A567" s="35" t="b">
        <v>0</v>
      </c>
      <c r="B567" s="35"/>
      <c r="C567" s="35"/>
      <c r="D567" s="35"/>
      <c r="E567" s="35"/>
      <c r="F567" s="35"/>
      <c r="G567" s="35"/>
      <c r="H567" s="35"/>
      <c r="I567" s="35"/>
      <c r="J567" s="35"/>
      <c r="K567" s="35"/>
      <c r="L567" s="35"/>
      <c r="M567" s="35"/>
      <c r="N567" s="35"/>
      <c r="O567" s="35"/>
      <c r="P567" s="35"/>
      <c r="Q567" s="35"/>
      <c r="R567" s="35"/>
      <c r="S567" s="35"/>
      <c r="T567" s="35"/>
      <c r="U567" s="35"/>
    </row>
    <row r="568">
      <c r="A568" s="35" t="b">
        <v>0</v>
      </c>
      <c r="B568" s="35"/>
      <c r="C568" s="35"/>
      <c r="D568" s="35"/>
      <c r="E568" s="35"/>
      <c r="F568" s="35"/>
      <c r="G568" s="35"/>
      <c r="H568" s="35"/>
      <c r="I568" s="35"/>
      <c r="J568" s="35"/>
      <c r="K568" s="35"/>
      <c r="L568" s="35"/>
      <c r="M568" s="35"/>
      <c r="N568" s="35"/>
      <c r="O568" s="35"/>
      <c r="P568" s="35"/>
      <c r="Q568" s="35"/>
      <c r="R568" s="35"/>
      <c r="S568" s="35"/>
      <c r="T568" s="35"/>
      <c r="U568" s="35"/>
    </row>
    <row r="569">
      <c r="A569" s="35" t="b">
        <v>0</v>
      </c>
      <c r="B569" s="35"/>
      <c r="C569" s="35"/>
      <c r="D569" s="35"/>
      <c r="E569" s="35"/>
      <c r="F569" s="35"/>
      <c r="G569" s="35"/>
      <c r="H569" s="35"/>
      <c r="I569" s="35"/>
      <c r="J569" s="35"/>
      <c r="K569" s="35"/>
      <c r="L569" s="35"/>
      <c r="M569" s="35"/>
      <c r="N569" s="35"/>
      <c r="O569" s="35"/>
      <c r="P569" s="35"/>
      <c r="Q569" s="35"/>
      <c r="R569" s="35"/>
      <c r="S569" s="35"/>
      <c r="T569" s="35"/>
      <c r="U569" s="35"/>
    </row>
    <row r="570">
      <c r="A570" s="35" t="b">
        <v>0</v>
      </c>
      <c r="B570" s="35"/>
      <c r="C570" s="35"/>
      <c r="D570" s="35"/>
      <c r="E570" s="35"/>
      <c r="F570" s="35"/>
      <c r="G570" s="35"/>
      <c r="H570" s="35"/>
      <c r="I570" s="35"/>
      <c r="J570" s="35"/>
      <c r="K570" s="35"/>
      <c r="L570" s="35"/>
      <c r="M570" s="35"/>
      <c r="N570" s="35"/>
      <c r="O570" s="35"/>
      <c r="P570" s="35"/>
      <c r="Q570" s="35"/>
      <c r="R570" s="35"/>
      <c r="S570" s="35"/>
      <c r="T570" s="35"/>
      <c r="U570" s="35"/>
    </row>
    <row r="571">
      <c r="A571" s="35" t="b">
        <v>0</v>
      </c>
      <c r="B571" s="35"/>
      <c r="C571" s="35"/>
      <c r="D571" s="35"/>
      <c r="E571" s="35"/>
      <c r="F571" s="35"/>
      <c r="G571" s="35"/>
      <c r="H571" s="35"/>
      <c r="I571" s="35"/>
      <c r="J571" s="35"/>
      <c r="K571" s="35"/>
      <c r="L571" s="35"/>
      <c r="M571" s="35"/>
      <c r="N571" s="35"/>
      <c r="O571" s="35"/>
      <c r="P571" s="35"/>
      <c r="Q571" s="35"/>
      <c r="R571" s="35"/>
      <c r="S571" s="35"/>
      <c r="T571" s="35"/>
      <c r="U571" s="35"/>
    </row>
    <row r="572">
      <c r="A572" s="35" t="b">
        <v>0</v>
      </c>
      <c r="B572" s="35"/>
      <c r="C572" s="35"/>
      <c r="D572" s="35"/>
      <c r="E572" s="35"/>
      <c r="F572" s="35"/>
      <c r="G572" s="35"/>
      <c r="H572" s="35"/>
      <c r="I572" s="35"/>
      <c r="J572" s="35"/>
      <c r="K572" s="35"/>
      <c r="L572" s="35"/>
      <c r="M572" s="35"/>
      <c r="N572" s="35"/>
      <c r="O572" s="35"/>
      <c r="P572" s="35"/>
      <c r="Q572" s="35"/>
      <c r="R572" s="35"/>
      <c r="S572" s="35"/>
      <c r="T572" s="35"/>
      <c r="U572" s="35"/>
    </row>
    <row r="573">
      <c r="A573" s="35" t="b">
        <v>0</v>
      </c>
      <c r="B573" s="35"/>
      <c r="C573" s="35"/>
      <c r="D573" s="35"/>
      <c r="E573" s="35"/>
      <c r="F573" s="35"/>
      <c r="G573" s="35"/>
      <c r="H573" s="35"/>
      <c r="I573" s="35"/>
      <c r="J573" s="35"/>
      <c r="K573" s="35"/>
      <c r="L573" s="35"/>
      <c r="M573" s="35"/>
      <c r="N573" s="35"/>
      <c r="O573" s="35"/>
      <c r="P573" s="35"/>
      <c r="Q573" s="35"/>
      <c r="R573" s="35"/>
      <c r="S573" s="35"/>
      <c r="T573" s="35"/>
      <c r="U573" s="35"/>
    </row>
    <row r="574">
      <c r="A574" s="35" t="b">
        <v>0</v>
      </c>
      <c r="B574" s="35"/>
      <c r="C574" s="35"/>
      <c r="D574" s="35"/>
      <c r="E574" s="35"/>
      <c r="F574" s="35"/>
      <c r="G574" s="35"/>
      <c r="H574" s="35"/>
      <c r="I574" s="35"/>
      <c r="J574" s="35"/>
      <c r="K574" s="35"/>
      <c r="L574" s="35"/>
      <c r="M574" s="35"/>
      <c r="N574" s="35"/>
      <c r="O574" s="35"/>
      <c r="P574" s="35"/>
      <c r="Q574" s="35"/>
      <c r="R574" s="35"/>
      <c r="S574" s="35"/>
      <c r="T574" s="35"/>
      <c r="U574" s="35"/>
    </row>
    <row r="575">
      <c r="A575" s="35" t="b">
        <v>0</v>
      </c>
      <c r="B575" s="35"/>
      <c r="C575" s="35"/>
      <c r="D575" s="35"/>
      <c r="E575" s="35"/>
      <c r="F575" s="35"/>
      <c r="G575" s="35"/>
      <c r="H575" s="35"/>
      <c r="I575" s="35"/>
      <c r="J575" s="35"/>
      <c r="K575" s="35"/>
      <c r="L575" s="35"/>
      <c r="M575" s="35"/>
      <c r="N575" s="35"/>
      <c r="O575" s="35"/>
      <c r="P575" s="35"/>
      <c r="Q575" s="35"/>
      <c r="R575" s="35"/>
      <c r="S575" s="35"/>
      <c r="T575" s="35"/>
      <c r="U575" s="35"/>
    </row>
    <row r="576">
      <c r="A576" s="35" t="b">
        <v>0</v>
      </c>
      <c r="B576" s="35"/>
      <c r="C576" s="35"/>
      <c r="D576" s="35"/>
      <c r="E576" s="35"/>
      <c r="F576" s="35"/>
      <c r="G576" s="35"/>
      <c r="H576" s="35"/>
      <c r="I576" s="35"/>
      <c r="J576" s="35"/>
      <c r="K576" s="35"/>
      <c r="L576" s="35"/>
      <c r="M576" s="35"/>
      <c r="N576" s="35"/>
      <c r="O576" s="35"/>
      <c r="P576" s="35"/>
      <c r="Q576" s="35"/>
      <c r="R576" s="35"/>
      <c r="S576" s="35"/>
      <c r="T576" s="35"/>
      <c r="U576" s="35"/>
    </row>
    <row r="577">
      <c r="A577" s="35" t="b">
        <v>0</v>
      </c>
      <c r="B577" s="35"/>
      <c r="C577" s="35"/>
      <c r="D577" s="35"/>
      <c r="E577" s="35"/>
      <c r="F577" s="35"/>
      <c r="G577" s="35"/>
      <c r="H577" s="35"/>
      <c r="I577" s="35"/>
      <c r="J577" s="35"/>
      <c r="K577" s="35"/>
      <c r="L577" s="35"/>
      <c r="M577" s="35"/>
      <c r="N577" s="35"/>
      <c r="O577" s="35"/>
      <c r="P577" s="35"/>
      <c r="Q577" s="35"/>
      <c r="R577" s="35"/>
      <c r="S577" s="35"/>
      <c r="T577" s="35"/>
      <c r="U577" s="35"/>
    </row>
    <row r="578">
      <c r="A578" s="35" t="b">
        <v>0</v>
      </c>
      <c r="B578" s="35"/>
      <c r="C578" s="35"/>
      <c r="D578" s="35"/>
      <c r="E578" s="35"/>
      <c r="F578" s="35"/>
      <c r="G578" s="35"/>
      <c r="H578" s="35"/>
      <c r="I578" s="35"/>
      <c r="J578" s="35"/>
      <c r="K578" s="35"/>
      <c r="L578" s="35"/>
      <c r="M578" s="35"/>
      <c r="N578" s="35"/>
      <c r="O578" s="35"/>
      <c r="P578" s="35"/>
      <c r="Q578" s="35"/>
      <c r="R578" s="35"/>
      <c r="S578" s="35"/>
      <c r="T578" s="35"/>
      <c r="U578" s="35"/>
    </row>
    <row r="579">
      <c r="A579" s="35" t="b">
        <v>0</v>
      </c>
      <c r="B579" s="35"/>
      <c r="C579" s="35"/>
      <c r="D579" s="35"/>
      <c r="E579" s="35"/>
      <c r="F579" s="35"/>
      <c r="G579" s="35"/>
      <c r="H579" s="35"/>
      <c r="I579" s="35"/>
      <c r="J579" s="35"/>
      <c r="K579" s="35"/>
      <c r="L579" s="35"/>
      <c r="M579" s="35"/>
      <c r="N579" s="35"/>
      <c r="O579" s="35"/>
      <c r="P579" s="35"/>
      <c r="Q579" s="35"/>
      <c r="R579" s="35"/>
      <c r="S579" s="35"/>
      <c r="T579" s="35"/>
      <c r="U579" s="35"/>
    </row>
    <row r="580">
      <c r="A580" s="35" t="b">
        <v>0</v>
      </c>
      <c r="B580" s="35"/>
      <c r="C580" s="35"/>
      <c r="D580" s="35"/>
      <c r="E580" s="35"/>
      <c r="F580" s="35"/>
      <c r="G580" s="35"/>
      <c r="H580" s="35"/>
      <c r="I580" s="35"/>
      <c r="J580" s="35"/>
      <c r="K580" s="35"/>
      <c r="L580" s="35"/>
      <c r="M580" s="35"/>
      <c r="N580" s="35"/>
      <c r="O580" s="35"/>
      <c r="P580" s="35"/>
      <c r="Q580" s="35"/>
      <c r="R580" s="35"/>
      <c r="S580" s="35"/>
      <c r="T580" s="35"/>
      <c r="U580" s="35"/>
    </row>
    <row r="581">
      <c r="A581" s="35" t="b">
        <v>0</v>
      </c>
      <c r="B581" s="35"/>
      <c r="C581" s="35"/>
      <c r="D581" s="35"/>
      <c r="E581" s="35"/>
      <c r="F581" s="35"/>
      <c r="G581" s="35"/>
      <c r="H581" s="35"/>
      <c r="I581" s="35"/>
      <c r="J581" s="35"/>
      <c r="K581" s="35"/>
      <c r="L581" s="35"/>
      <c r="M581" s="35"/>
      <c r="N581" s="35"/>
      <c r="O581" s="35"/>
      <c r="P581" s="35"/>
      <c r="Q581" s="35"/>
      <c r="R581" s="35"/>
      <c r="S581" s="35"/>
      <c r="T581" s="35"/>
      <c r="U581" s="35"/>
    </row>
    <row r="582">
      <c r="A582" s="35" t="b">
        <v>0</v>
      </c>
      <c r="B582" s="35"/>
      <c r="C582" s="35"/>
      <c r="D582" s="35"/>
      <c r="E582" s="35"/>
      <c r="F582" s="35"/>
      <c r="G582" s="35"/>
      <c r="H582" s="35"/>
      <c r="I582" s="35"/>
      <c r="J582" s="35"/>
      <c r="K582" s="35"/>
      <c r="L582" s="35"/>
      <c r="M582" s="35"/>
      <c r="N582" s="35"/>
      <c r="O582" s="35"/>
      <c r="P582" s="35"/>
      <c r="Q582" s="35"/>
      <c r="R582" s="35"/>
      <c r="S582" s="35"/>
      <c r="T582" s="35"/>
      <c r="U582" s="35"/>
    </row>
    <row r="583">
      <c r="A583" s="35" t="b">
        <v>0</v>
      </c>
      <c r="B583" s="35"/>
      <c r="C583" s="35"/>
      <c r="D583" s="35"/>
      <c r="E583" s="35"/>
      <c r="F583" s="35"/>
      <c r="G583" s="35"/>
      <c r="H583" s="35"/>
      <c r="I583" s="35"/>
      <c r="J583" s="35"/>
      <c r="K583" s="35"/>
      <c r="L583" s="35"/>
      <c r="M583" s="35"/>
      <c r="N583" s="35"/>
      <c r="O583" s="35"/>
      <c r="P583" s="35"/>
      <c r="Q583" s="35"/>
      <c r="R583" s="35"/>
      <c r="S583" s="35"/>
      <c r="T583" s="35"/>
      <c r="U583" s="35"/>
    </row>
    <row r="584">
      <c r="A584" s="35" t="b">
        <v>0</v>
      </c>
      <c r="B584" s="35"/>
      <c r="C584" s="35"/>
      <c r="D584" s="35"/>
      <c r="E584" s="35"/>
      <c r="F584" s="35"/>
      <c r="G584" s="35"/>
      <c r="H584" s="35"/>
      <c r="I584" s="35"/>
      <c r="J584" s="35"/>
      <c r="K584" s="35"/>
      <c r="L584" s="35"/>
      <c r="M584" s="35"/>
      <c r="N584" s="35"/>
      <c r="O584" s="35"/>
      <c r="P584" s="35"/>
      <c r="Q584" s="35"/>
      <c r="R584" s="35"/>
      <c r="S584" s="35"/>
      <c r="T584" s="35"/>
      <c r="U584" s="35"/>
    </row>
    <row r="585">
      <c r="A585" s="35" t="b">
        <v>0</v>
      </c>
      <c r="B585" s="35"/>
      <c r="C585" s="35"/>
      <c r="D585" s="35"/>
      <c r="E585" s="35"/>
      <c r="F585" s="35"/>
      <c r="G585" s="35"/>
      <c r="H585" s="35"/>
      <c r="I585" s="35"/>
      <c r="J585" s="35"/>
      <c r="K585" s="35"/>
      <c r="L585" s="35"/>
      <c r="M585" s="35"/>
      <c r="N585" s="35"/>
      <c r="O585" s="35"/>
      <c r="P585" s="35"/>
      <c r="Q585" s="35"/>
      <c r="R585" s="35"/>
      <c r="S585" s="35"/>
      <c r="T585" s="35"/>
      <c r="U585" s="35"/>
    </row>
    <row r="586">
      <c r="A586" s="35" t="b">
        <v>0</v>
      </c>
      <c r="B586" s="35"/>
      <c r="C586" s="35"/>
      <c r="D586" s="35"/>
      <c r="E586" s="35"/>
      <c r="F586" s="35"/>
      <c r="G586" s="35"/>
      <c r="H586" s="35"/>
      <c r="I586" s="35"/>
      <c r="J586" s="35"/>
      <c r="K586" s="35"/>
      <c r="L586" s="35"/>
      <c r="M586" s="35"/>
      <c r="N586" s="35"/>
      <c r="O586" s="35"/>
      <c r="P586" s="35"/>
      <c r="Q586" s="35"/>
      <c r="R586" s="35"/>
      <c r="S586" s="35"/>
      <c r="T586" s="35"/>
      <c r="U586" s="35"/>
    </row>
    <row r="587">
      <c r="A587" s="35" t="b">
        <v>0</v>
      </c>
      <c r="B587" s="35"/>
      <c r="C587" s="35"/>
      <c r="D587" s="35"/>
      <c r="E587" s="35"/>
      <c r="F587" s="35"/>
      <c r="G587" s="35"/>
      <c r="H587" s="35"/>
      <c r="I587" s="35"/>
      <c r="J587" s="35"/>
      <c r="K587" s="35"/>
      <c r="L587" s="35"/>
      <c r="M587" s="35"/>
      <c r="N587" s="35"/>
      <c r="O587" s="35"/>
      <c r="P587" s="35"/>
      <c r="Q587" s="35"/>
      <c r="R587" s="35"/>
      <c r="S587" s="35"/>
      <c r="T587" s="35"/>
      <c r="U587" s="35"/>
    </row>
    <row r="588">
      <c r="A588" s="35" t="b">
        <v>0</v>
      </c>
      <c r="B588" s="35"/>
      <c r="C588" s="35"/>
      <c r="D588" s="35"/>
      <c r="E588" s="35"/>
      <c r="F588" s="35"/>
      <c r="G588" s="35"/>
      <c r="H588" s="35"/>
      <c r="I588" s="35"/>
      <c r="J588" s="35"/>
      <c r="K588" s="35"/>
      <c r="L588" s="35"/>
      <c r="M588" s="35"/>
      <c r="N588" s="35"/>
      <c r="O588" s="35"/>
      <c r="P588" s="35"/>
      <c r="Q588" s="35"/>
      <c r="R588" s="35"/>
      <c r="S588" s="35"/>
      <c r="T588" s="35"/>
      <c r="U588" s="35"/>
    </row>
    <row r="589">
      <c r="A589" s="35" t="b">
        <v>0</v>
      </c>
      <c r="B589" s="35"/>
      <c r="C589" s="35"/>
      <c r="D589" s="35"/>
      <c r="E589" s="35"/>
      <c r="F589" s="35"/>
      <c r="G589" s="35"/>
      <c r="H589" s="35"/>
      <c r="I589" s="35"/>
      <c r="J589" s="35"/>
      <c r="K589" s="35"/>
      <c r="L589" s="35"/>
      <c r="M589" s="35"/>
      <c r="N589" s="35"/>
      <c r="O589" s="35"/>
      <c r="P589" s="35"/>
      <c r="Q589" s="35"/>
      <c r="R589" s="35"/>
      <c r="S589" s="35"/>
      <c r="T589" s="35"/>
      <c r="U589" s="35"/>
    </row>
    <row r="590">
      <c r="A590" s="35" t="b">
        <v>0</v>
      </c>
      <c r="B590" s="35"/>
      <c r="C590" s="35"/>
      <c r="D590" s="35"/>
      <c r="E590" s="35"/>
      <c r="F590" s="35"/>
      <c r="G590" s="35"/>
      <c r="H590" s="35"/>
      <c r="I590" s="35"/>
      <c r="J590" s="35"/>
      <c r="K590" s="35"/>
      <c r="L590" s="35"/>
      <c r="M590" s="35"/>
      <c r="N590" s="35"/>
      <c r="O590" s="35"/>
      <c r="P590" s="35"/>
      <c r="Q590" s="35"/>
      <c r="R590" s="35"/>
      <c r="S590" s="35"/>
      <c r="T590" s="35"/>
      <c r="U590" s="35"/>
    </row>
    <row r="591">
      <c r="A591" s="35" t="b">
        <v>0</v>
      </c>
      <c r="B591" s="35"/>
      <c r="C591" s="35"/>
      <c r="D591" s="35"/>
      <c r="E591" s="35"/>
      <c r="F591" s="35"/>
      <c r="G591" s="35"/>
      <c r="H591" s="35"/>
      <c r="I591" s="35"/>
      <c r="J591" s="35"/>
      <c r="K591" s="35"/>
      <c r="L591" s="35"/>
      <c r="M591" s="35"/>
      <c r="N591" s="35"/>
      <c r="O591" s="35"/>
      <c r="P591" s="35"/>
      <c r="Q591" s="35"/>
      <c r="R591" s="35"/>
      <c r="S591" s="35"/>
      <c r="T591" s="35"/>
      <c r="U591" s="35"/>
    </row>
    <row r="592">
      <c r="A592" s="35" t="b">
        <v>0</v>
      </c>
      <c r="B592" s="35"/>
      <c r="C592" s="35"/>
      <c r="D592" s="35"/>
      <c r="E592" s="35"/>
      <c r="F592" s="35"/>
      <c r="G592" s="35"/>
      <c r="H592" s="35"/>
      <c r="I592" s="35"/>
      <c r="J592" s="35"/>
      <c r="K592" s="35"/>
      <c r="L592" s="35"/>
      <c r="M592" s="35"/>
      <c r="N592" s="35"/>
      <c r="O592" s="35"/>
      <c r="P592" s="35"/>
      <c r="Q592" s="35"/>
      <c r="R592" s="35"/>
      <c r="S592" s="35"/>
      <c r="T592" s="35"/>
      <c r="U592" s="35"/>
    </row>
    <row r="593">
      <c r="A593" s="35" t="b">
        <v>0</v>
      </c>
      <c r="B593" s="35"/>
      <c r="C593" s="35"/>
      <c r="D593" s="35"/>
      <c r="E593" s="35"/>
      <c r="F593" s="35"/>
      <c r="G593" s="35"/>
      <c r="H593" s="35"/>
      <c r="I593" s="35"/>
      <c r="J593" s="35"/>
      <c r="K593" s="35"/>
      <c r="L593" s="35"/>
      <c r="M593" s="35"/>
      <c r="N593" s="35"/>
      <c r="O593" s="35"/>
      <c r="P593" s="35"/>
      <c r="Q593" s="35"/>
      <c r="R593" s="35"/>
      <c r="S593" s="35"/>
      <c r="T593" s="35"/>
      <c r="U593" s="35"/>
    </row>
    <row r="594">
      <c r="A594" s="35" t="b">
        <v>0</v>
      </c>
      <c r="B594" s="35"/>
      <c r="C594" s="35"/>
      <c r="D594" s="35"/>
      <c r="E594" s="35"/>
      <c r="F594" s="35"/>
      <c r="G594" s="35"/>
      <c r="H594" s="35"/>
      <c r="I594" s="35"/>
      <c r="J594" s="35"/>
      <c r="K594" s="35"/>
      <c r="L594" s="35"/>
      <c r="M594" s="35"/>
      <c r="N594" s="35"/>
      <c r="O594" s="35"/>
      <c r="P594" s="35"/>
      <c r="Q594" s="35"/>
      <c r="R594" s="35"/>
      <c r="S594" s="35"/>
      <c r="T594" s="35"/>
      <c r="U594" s="35"/>
    </row>
    <row r="595">
      <c r="A595" s="35" t="b">
        <v>0</v>
      </c>
      <c r="B595" s="35"/>
      <c r="C595" s="35"/>
      <c r="D595" s="35"/>
      <c r="E595" s="35"/>
      <c r="F595" s="35"/>
      <c r="G595" s="35"/>
      <c r="H595" s="35"/>
      <c r="I595" s="35"/>
      <c r="J595" s="35"/>
      <c r="K595" s="35"/>
      <c r="L595" s="35"/>
      <c r="M595" s="35"/>
      <c r="N595" s="35"/>
      <c r="O595" s="35"/>
      <c r="P595" s="35"/>
      <c r="Q595" s="35"/>
      <c r="R595" s="35"/>
      <c r="S595" s="35"/>
      <c r="T595" s="35"/>
      <c r="U595" s="35"/>
    </row>
    <row r="596">
      <c r="A596" s="35" t="b">
        <v>0</v>
      </c>
      <c r="B596" s="35"/>
      <c r="C596" s="35"/>
      <c r="D596" s="35"/>
      <c r="E596" s="35"/>
      <c r="F596" s="35"/>
      <c r="G596" s="35"/>
      <c r="H596" s="35"/>
      <c r="I596" s="35"/>
      <c r="J596" s="35"/>
      <c r="K596" s="35"/>
      <c r="L596" s="35"/>
      <c r="M596" s="35"/>
      <c r="N596" s="35"/>
      <c r="O596" s="35"/>
      <c r="P596" s="35"/>
      <c r="Q596" s="35"/>
      <c r="R596" s="35"/>
      <c r="S596" s="35"/>
      <c r="T596" s="35"/>
      <c r="U596" s="35"/>
    </row>
    <row r="597">
      <c r="A597" s="35" t="b">
        <v>0</v>
      </c>
      <c r="B597" s="35"/>
      <c r="C597" s="35"/>
      <c r="D597" s="35"/>
      <c r="E597" s="35"/>
      <c r="F597" s="35"/>
      <c r="G597" s="35"/>
      <c r="H597" s="35"/>
      <c r="I597" s="35"/>
      <c r="J597" s="35"/>
      <c r="K597" s="35"/>
      <c r="L597" s="35"/>
      <c r="M597" s="35"/>
      <c r="N597" s="35"/>
      <c r="O597" s="35"/>
      <c r="P597" s="35"/>
      <c r="Q597" s="35"/>
      <c r="R597" s="35"/>
      <c r="S597" s="35"/>
      <c r="T597" s="35"/>
      <c r="U597" s="35"/>
    </row>
    <row r="598">
      <c r="A598" s="35" t="b">
        <v>0</v>
      </c>
      <c r="B598" s="35"/>
      <c r="C598" s="35"/>
      <c r="D598" s="35"/>
      <c r="E598" s="35"/>
      <c r="F598" s="35"/>
      <c r="G598" s="35"/>
      <c r="H598" s="35"/>
      <c r="I598" s="35"/>
      <c r="J598" s="35"/>
      <c r="K598" s="35"/>
      <c r="L598" s="35"/>
      <c r="M598" s="35"/>
      <c r="N598" s="35"/>
      <c r="O598" s="35"/>
      <c r="P598" s="35"/>
      <c r="Q598" s="35"/>
      <c r="R598" s="35"/>
      <c r="S598" s="35"/>
      <c r="T598" s="35"/>
      <c r="U598" s="35"/>
    </row>
    <row r="599">
      <c r="A599" s="35" t="b">
        <v>0</v>
      </c>
      <c r="B599" s="35"/>
      <c r="C599" s="35"/>
      <c r="D599" s="35"/>
      <c r="E599" s="35"/>
      <c r="F599" s="35"/>
      <c r="G599" s="35"/>
      <c r="H599" s="35"/>
      <c r="I599" s="35"/>
      <c r="J599" s="35"/>
      <c r="K599" s="35"/>
      <c r="L599" s="35"/>
      <c r="M599" s="35"/>
      <c r="N599" s="35"/>
      <c r="O599" s="35"/>
      <c r="P599" s="35"/>
      <c r="Q599" s="35"/>
      <c r="R599" s="35"/>
      <c r="S599" s="35"/>
      <c r="T599" s="35"/>
      <c r="U599" s="35"/>
    </row>
    <row r="600">
      <c r="A600" s="35" t="b">
        <v>0</v>
      </c>
      <c r="B600" s="35"/>
      <c r="C600" s="35"/>
      <c r="D600" s="35"/>
      <c r="E600" s="35"/>
      <c r="F600" s="35"/>
      <c r="G600" s="35"/>
      <c r="H600" s="35"/>
      <c r="I600" s="35"/>
      <c r="J600" s="35"/>
      <c r="K600" s="35"/>
      <c r="L600" s="35"/>
      <c r="M600" s="35"/>
      <c r="N600" s="35"/>
      <c r="O600" s="35"/>
      <c r="P600" s="35"/>
      <c r="Q600" s="35"/>
      <c r="R600" s="35"/>
      <c r="S600" s="35"/>
      <c r="T600" s="35"/>
      <c r="U600" s="35"/>
    </row>
    <row r="601">
      <c r="A601" s="35" t="b">
        <v>0</v>
      </c>
      <c r="B601" s="35"/>
      <c r="C601" s="35"/>
      <c r="D601" s="35"/>
      <c r="E601" s="35"/>
      <c r="F601" s="35"/>
      <c r="G601" s="35"/>
      <c r="H601" s="35"/>
      <c r="I601" s="35"/>
      <c r="J601" s="35"/>
      <c r="K601" s="35"/>
      <c r="L601" s="35"/>
      <c r="M601" s="35"/>
      <c r="N601" s="35"/>
      <c r="O601" s="35"/>
      <c r="P601" s="35"/>
      <c r="Q601" s="35"/>
      <c r="R601" s="35"/>
      <c r="S601" s="35"/>
      <c r="T601" s="35"/>
      <c r="U601" s="35"/>
    </row>
    <row r="602">
      <c r="A602" s="35" t="b">
        <v>0</v>
      </c>
      <c r="B602" s="35"/>
      <c r="C602" s="35"/>
      <c r="D602" s="35"/>
      <c r="E602" s="35"/>
      <c r="F602" s="35"/>
      <c r="G602" s="35"/>
      <c r="H602" s="35"/>
      <c r="I602" s="35"/>
      <c r="J602" s="35"/>
      <c r="K602" s="35"/>
      <c r="L602" s="35"/>
      <c r="M602" s="35"/>
      <c r="N602" s="35"/>
      <c r="O602" s="35"/>
      <c r="P602" s="35"/>
      <c r="Q602" s="35"/>
      <c r="R602" s="35"/>
      <c r="S602" s="35"/>
      <c r="T602" s="35"/>
      <c r="U602" s="35"/>
    </row>
    <row r="603">
      <c r="A603" s="35" t="b">
        <v>0</v>
      </c>
      <c r="B603" s="35"/>
      <c r="C603" s="35"/>
      <c r="D603" s="35"/>
      <c r="E603" s="35"/>
      <c r="F603" s="35"/>
      <c r="G603" s="35"/>
      <c r="H603" s="35"/>
      <c r="I603" s="35"/>
      <c r="J603" s="35"/>
      <c r="K603" s="35"/>
      <c r="L603" s="35"/>
      <c r="M603" s="35"/>
      <c r="N603" s="35"/>
      <c r="O603" s="35"/>
      <c r="P603" s="35"/>
      <c r="Q603" s="35"/>
      <c r="R603" s="35"/>
      <c r="S603" s="35"/>
      <c r="T603" s="35"/>
      <c r="U603" s="35"/>
    </row>
    <row r="604">
      <c r="A604" s="35" t="b">
        <v>0</v>
      </c>
      <c r="B604" s="35"/>
      <c r="C604" s="35"/>
      <c r="D604" s="35"/>
      <c r="E604" s="35"/>
      <c r="F604" s="35"/>
      <c r="G604" s="35"/>
      <c r="H604" s="35"/>
      <c r="I604" s="35"/>
      <c r="J604" s="35"/>
      <c r="K604" s="35"/>
      <c r="L604" s="35"/>
      <c r="M604" s="35"/>
      <c r="N604" s="35"/>
      <c r="O604" s="35"/>
      <c r="P604" s="35"/>
      <c r="Q604" s="35"/>
      <c r="R604" s="35"/>
      <c r="S604" s="35"/>
      <c r="T604" s="35"/>
      <c r="U604" s="35"/>
    </row>
    <row r="605">
      <c r="A605" s="35" t="b">
        <v>0</v>
      </c>
      <c r="B605" s="35"/>
      <c r="C605" s="35"/>
      <c r="D605" s="35"/>
      <c r="E605" s="35"/>
      <c r="F605" s="35"/>
      <c r="G605" s="35"/>
      <c r="H605" s="35"/>
      <c r="I605" s="35"/>
      <c r="J605" s="35"/>
      <c r="K605" s="35"/>
      <c r="L605" s="35"/>
      <c r="M605" s="35"/>
      <c r="N605" s="35"/>
      <c r="O605" s="35"/>
      <c r="P605" s="35"/>
      <c r="Q605" s="35"/>
      <c r="R605" s="35"/>
      <c r="S605" s="35"/>
      <c r="T605" s="35"/>
      <c r="U605" s="35"/>
    </row>
    <row r="606">
      <c r="A606" s="35" t="b">
        <v>0</v>
      </c>
      <c r="B606" s="35"/>
      <c r="C606" s="35"/>
      <c r="D606" s="35"/>
      <c r="E606" s="35"/>
      <c r="F606" s="35"/>
      <c r="G606" s="35"/>
      <c r="H606" s="35"/>
      <c r="I606" s="35"/>
      <c r="J606" s="35"/>
      <c r="K606" s="35"/>
      <c r="L606" s="35"/>
      <c r="M606" s="35"/>
      <c r="N606" s="35"/>
      <c r="O606" s="35"/>
      <c r="P606" s="35"/>
      <c r="Q606" s="35"/>
      <c r="R606" s="35"/>
      <c r="S606" s="35"/>
      <c r="T606" s="35"/>
      <c r="U606" s="35"/>
    </row>
    <row r="607">
      <c r="A607" s="35" t="b">
        <v>0</v>
      </c>
      <c r="B607" s="35"/>
      <c r="C607" s="35"/>
      <c r="D607" s="35"/>
      <c r="E607" s="35"/>
      <c r="F607" s="35"/>
      <c r="G607" s="35"/>
      <c r="H607" s="35"/>
      <c r="I607" s="35"/>
      <c r="J607" s="35"/>
      <c r="K607" s="35"/>
      <c r="L607" s="35"/>
      <c r="M607" s="35"/>
      <c r="N607" s="35"/>
      <c r="O607" s="35"/>
      <c r="P607" s="35"/>
      <c r="Q607" s="35"/>
      <c r="R607" s="35"/>
      <c r="S607" s="35"/>
      <c r="T607" s="35"/>
      <c r="U607" s="35"/>
    </row>
    <row r="608">
      <c r="A608" s="35" t="b">
        <v>0</v>
      </c>
      <c r="B608" s="35"/>
      <c r="C608" s="35"/>
      <c r="D608" s="35"/>
      <c r="E608" s="35"/>
      <c r="F608" s="35"/>
      <c r="G608" s="35"/>
      <c r="H608" s="35"/>
      <c r="I608" s="35"/>
      <c r="J608" s="35"/>
      <c r="K608" s="35"/>
      <c r="L608" s="35"/>
      <c r="M608" s="35"/>
      <c r="N608" s="35"/>
      <c r="O608" s="35"/>
      <c r="P608" s="35"/>
      <c r="Q608" s="35"/>
      <c r="R608" s="35"/>
      <c r="S608" s="35"/>
      <c r="T608" s="35"/>
      <c r="U608" s="35"/>
    </row>
    <row r="609">
      <c r="A609" s="35" t="b">
        <v>0</v>
      </c>
      <c r="B609" s="35"/>
      <c r="C609" s="35"/>
      <c r="D609" s="35"/>
      <c r="E609" s="35"/>
      <c r="F609" s="35"/>
      <c r="G609" s="35"/>
      <c r="H609" s="35"/>
      <c r="I609" s="35"/>
      <c r="J609" s="35"/>
      <c r="K609" s="35"/>
      <c r="L609" s="35"/>
      <c r="M609" s="35"/>
      <c r="N609" s="35"/>
      <c r="O609" s="35"/>
      <c r="P609" s="35"/>
      <c r="Q609" s="35"/>
      <c r="R609" s="35"/>
      <c r="S609" s="35"/>
      <c r="T609" s="35"/>
      <c r="U609" s="35"/>
    </row>
    <row r="610">
      <c r="A610" s="35" t="b">
        <v>0</v>
      </c>
      <c r="B610" s="35"/>
      <c r="C610" s="35"/>
      <c r="D610" s="35"/>
      <c r="E610" s="35"/>
      <c r="F610" s="35"/>
      <c r="G610" s="35"/>
      <c r="H610" s="35"/>
      <c r="I610" s="35"/>
      <c r="J610" s="35"/>
      <c r="K610" s="35"/>
      <c r="L610" s="35"/>
      <c r="M610" s="35"/>
      <c r="N610" s="35"/>
      <c r="O610" s="35"/>
      <c r="P610" s="35"/>
      <c r="Q610" s="35"/>
      <c r="R610" s="35"/>
      <c r="S610" s="35"/>
      <c r="T610" s="35"/>
      <c r="U610" s="35"/>
    </row>
    <row r="611">
      <c r="A611" s="35" t="b">
        <v>0</v>
      </c>
      <c r="B611" s="35"/>
      <c r="C611" s="35"/>
      <c r="D611" s="35"/>
      <c r="E611" s="35"/>
      <c r="F611" s="35"/>
      <c r="G611" s="35"/>
      <c r="H611" s="35"/>
      <c r="I611" s="35"/>
      <c r="J611" s="35"/>
      <c r="K611" s="35"/>
      <c r="L611" s="35"/>
      <c r="M611" s="35"/>
      <c r="N611" s="35"/>
      <c r="O611" s="35"/>
      <c r="P611" s="35"/>
      <c r="Q611" s="35"/>
      <c r="R611" s="35"/>
      <c r="S611" s="35"/>
      <c r="T611" s="35"/>
      <c r="U611" s="35"/>
    </row>
    <row r="612">
      <c r="A612" s="35" t="b">
        <v>0</v>
      </c>
      <c r="B612" s="35"/>
      <c r="C612" s="35"/>
      <c r="D612" s="35"/>
      <c r="E612" s="35"/>
      <c r="F612" s="35"/>
      <c r="G612" s="35"/>
      <c r="H612" s="35"/>
      <c r="I612" s="35"/>
      <c r="J612" s="35"/>
      <c r="K612" s="35"/>
      <c r="L612" s="35"/>
      <c r="M612" s="35"/>
      <c r="N612" s="35"/>
      <c r="O612" s="35"/>
      <c r="P612" s="35"/>
      <c r="Q612" s="35"/>
      <c r="R612" s="35"/>
      <c r="S612" s="35"/>
      <c r="T612" s="35"/>
      <c r="U612" s="35"/>
    </row>
    <row r="613">
      <c r="A613" s="35" t="b">
        <v>0</v>
      </c>
      <c r="B613" s="35"/>
      <c r="C613" s="35"/>
      <c r="D613" s="35"/>
      <c r="E613" s="35"/>
      <c r="F613" s="35"/>
      <c r="G613" s="35"/>
      <c r="H613" s="35"/>
      <c r="I613" s="35"/>
      <c r="J613" s="35"/>
      <c r="K613" s="35"/>
      <c r="L613" s="35"/>
      <c r="M613" s="35"/>
      <c r="N613" s="35"/>
      <c r="O613" s="35"/>
      <c r="P613" s="35"/>
      <c r="Q613" s="35"/>
      <c r="R613" s="35"/>
      <c r="S613" s="35"/>
      <c r="T613" s="35"/>
      <c r="U613" s="35"/>
    </row>
    <row r="614">
      <c r="A614" s="35" t="b">
        <v>0</v>
      </c>
      <c r="B614" s="35"/>
      <c r="C614" s="35"/>
      <c r="D614" s="35"/>
      <c r="E614" s="35"/>
      <c r="F614" s="35"/>
      <c r="G614" s="35"/>
      <c r="H614" s="35"/>
      <c r="I614" s="35"/>
      <c r="J614" s="35"/>
      <c r="K614" s="35"/>
      <c r="L614" s="35"/>
      <c r="M614" s="35"/>
      <c r="N614" s="35"/>
      <c r="O614" s="35"/>
      <c r="P614" s="35"/>
      <c r="Q614" s="35"/>
      <c r="R614" s="35"/>
      <c r="S614" s="35"/>
      <c r="T614" s="35"/>
      <c r="U614" s="35"/>
    </row>
    <row r="615">
      <c r="A615" s="35" t="b">
        <v>0</v>
      </c>
      <c r="B615" s="35"/>
      <c r="C615" s="35"/>
      <c r="D615" s="35"/>
      <c r="E615" s="35"/>
      <c r="F615" s="35"/>
      <c r="G615" s="35"/>
      <c r="H615" s="35"/>
      <c r="I615" s="35"/>
      <c r="J615" s="35"/>
      <c r="K615" s="35"/>
      <c r="L615" s="35"/>
      <c r="M615" s="35"/>
      <c r="N615" s="35"/>
      <c r="O615" s="35"/>
      <c r="P615" s="35"/>
      <c r="Q615" s="35"/>
      <c r="R615" s="35"/>
      <c r="S615" s="35"/>
      <c r="T615" s="35"/>
      <c r="U615" s="35"/>
    </row>
    <row r="616">
      <c r="A616" s="35" t="b">
        <v>0</v>
      </c>
      <c r="B616" s="35"/>
      <c r="C616" s="35"/>
      <c r="D616" s="35"/>
      <c r="E616" s="35"/>
      <c r="F616" s="35"/>
      <c r="G616" s="35"/>
      <c r="H616" s="35"/>
      <c r="I616" s="35"/>
      <c r="J616" s="35"/>
      <c r="K616" s="35"/>
      <c r="L616" s="35"/>
      <c r="M616" s="35"/>
      <c r="N616" s="35"/>
      <c r="O616" s="35"/>
      <c r="P616" s="35"/>
      <c r="Q616" s="35"/>
      <c r="R616" s="35"/>
      <c r="S616" s="35"/>
      <c r="T616" s="35"/>
      <c r="U616" s="35"/>
    </row>
    <row r="617">
      <c r="A617" s="35" t="b">
        <v>0</v>
      </c>
      <c r="B617" s="35"/>
      <c r="C617" s="35"/>
      <c r="D617" s="35"/>
      <c r="E617" s="35"/>
      <c r="F617" s="35"/>
      <c r="G617" s="35"/>
      <c r="H617" s="35"/>
      <c r="I617" s="35"/>
      <c r="J617" s="35"/>
      <c r="K617" s="35"/>
      <c r="L617" s="35"/>
      <c r="M617" s="35"/>
      <c r="N617" s="35"/>
      <c r="O617" s="35"/>
      <c r="P617" s="35"/>
      <c r="Q617" s="35"/>
      <c r="R617" s="35"/>
      <c r="S617" s="35"/>
      <c r="T617" s="35"/>
      <c r="U617" s="35"/>
    </row>
    <row r="618">
      <c r="A618" s="35" t="b">
        <v>0</v>
      </c>
      <c r="B618" s="35"/>
      <c r="C618" s="35"/>
      <c r="D618" s="35"/>
      <c r="E618" s="35"/>
      <c r="F618" s="35"/>
      <c r="G618" s="35"/>
      <c r="H618" s="35"/>
      <c r="I618" s="35"/>
      <c r="J618" s="35"/>
      <c r="K618" s="35"/>
      <c r="L618" s="35"/>
      <c r="M618" s="35"/>
      <c r="N618" s="35"/>
      <c r="O618" s="35"/>
      <c r="P618" s="35"/>
      <c r="Q618" s="35"/>
      <c r="R618" s="35"/>
      <c r="S618" s="35"/>
      <c r="T618" s="35"/>
      <c r="U618" s="35"/>
    </row>
    <row r="619">
      <c r="A619" s="35" t="b">
        <v>0</v>
      </c>
      <c r="B619" s="35"/>
      <c r="C619" s="35"/>
      <c r="D619" s="35"/>
      <c r="E619" s="35"/>
      <c r="F619" s="35"/>
      <c r="G619" s="35"/>
      <c r="H619" s="35"/>
      <c r="I619" s="35"/>
      <c r="J619" s="35"/>
      <c r="K619" s="35"/>
      <c r="L619" s="35"/>
      <c r="M619" s="35"/>
      <c r="N619" s="35"/>
      <c r="O619" s="35"/>
      <c r="P619" s="35"/>
      <c r="Q619" s="35"/>
      <c r="R619" s="35"/>
      <c r="S619" s="35"/>
      <c r="T619" s="35"/>
      <c r="U619" s="35"/>
    </row>
    <row r="620">
      <c r="A620" s="35" t="b">
        <v>0</v>
      </c>
      <c r="B620" s="35"/>
      <c r="C620" s="35"/>
      <c r="D620" s="35"/>
      <c r="E620" s="35"/>
      <c r="F620" s="35"/>
      <c r="G620" s="35"/>
      <c r="H620" s="35"/>
      <c r="I620" s="35"/>
      <c r="J620" s="35"/>
      <c r="K620" s="35"/>
      <c r="L620" s="35"/>
      <c r="M620" s="35"/>
      <c r="N620" s="35"/>
      <c r="O620" s="35"/>
      <c r="P620" s="35"/>
      <c r="Q620" s="35"/>
      <c r="R620" s="35"/>
      <c r="S620" s="35"/>
      <c r="T620" s="35"/>
      <c r="U620" s="35"/>
    </row>
    <row r="621">
      <c r="A621" s="35" t="b">
        <v>0</v>
      </c>
      <c r="B621" s="35"/>
      <c r="C621" s="35"/>
      <c r="D621" s="35"/>
      <c r="E621" s="35"/>
      <c r="F621" s="35"/>
      <c r="G621" s="35"/>
      <c r="H621" s="35"/>
      <c r="I621" s="35"/>
      <c r="J621" s="35"/>
      <c r="K621" s="35"/>
      <c r="L621" s="35"/>
      <c r="M621" s="35"/>
      <c r="N621" s="35"/>
      <c r="O621" s="35"/>
      <c r="P621" s="35"/>
      <c r="Q621" s="35"/>
      <c r="R621" s="35"/>
      <c r="S621" s="35"/>
      <c r="T621" s="35"/>
      <c r="U621" s="35"/>
    </row>
    <row r="622">
      <c r="A622" s="35" t="b">
        <v>0</v>
      </c>
      <c r="B622" s="35"/>
      <c r="C622" s="35"/>
      <c r="D622" s="35"/>
      <c r="E622" s="35"/>
      <c r="F622" s="35"/>
      <c r="G622" s="35"/>
      <c r="H622" s="35"/>
      <c r="I622" s="35"/>
      <c r="J622" s="35"/>
      <c r="K622" s="35"/>
      <c r="L622" s="35"/>
      <c r="M622" s="35"/>
      <c r="N622" s="35"/>
      <c r="O622" s="35"/>
      <c r="P622" s="35"/>
      <c r="Q622" s="35"/>
      <c r="R622" s="35"/>
      <c r="S622" s="35"/>
      <c r="T622" s="35"/>
      <c r="U622" s="35"/>
    </row>
    <row r="623">
      <c r="A623" s="35" t="b">
        <v>0</v>
      </c>
      <c r="B623" s="35"/>
      <c r="C623" s="35"/>
      <c r="D623" s="35"/>
      <c r="E623" s="35"/>
      <c r="F623" s="35"/>
      <c r="G623" s="35"/>
      <c r="H623" s="35"/>
      <c r="I623" s="35"/>
      <c r="J623" s="35"/>
      <c r="K623" s="35"/>
      <c r="L623" s="35"/>
      <c r="M623" s="35"/>
      <c r="N623" s="35"/>
      <c r="O623" s="35"/>
      <c r="P623" s="35"/>
      <c r="Q623" s="35"/>
      <c r="R623" s="35"/>
      <c r="S623" s="35"/>
      <c r="T623" s="35"/>
      <c r="U623" s="35"/>
    </row>
    <row r="624">
      <c r="A624" s="35" t="b">
        <v>0</v>
      </c>
      <c r="B624" s="35"/>
      <c r="C624" s="35"/>
      <c r="D624" s="35"/>
      <c r="E624" s="35"/>
      <c r="F624" s="35"/>
      <c r="G624" s="35"/>
      <c r="H624" s="35"/>
      <c r="I624" s="35"/>
      <c r="J624" s="35"/>
      <c r="K624" s="35"/>
      <c r="L624" s="35"/>
      <c r="M624" s="35"/>
      <c r="N624" s="35"/>
      <c r="O624" s="35"/>
      <c r="P624" s="35"/>
      <c r="Q624" s="35"/>
      <c r="R624" s="35"/>
      <c r="S624" s="35"/>
      <c r="T624" s="35"/>
      <c r="U624" s="35"/>
    </row>
    <row r="625">
      <c r="A625" s="35" t="b">
        <v>0</v>
      </c>
      <c r="B625" s="35"/>
      <c r="C625" s="35"/>
      <c r="D625" s="35"/>
      <c r="E625" s="35"/>
      <c r="F625" s="35"/>
      <c r="G625" s="35"/>
      <c r="H625" s="35"/>
      <c r="I625" s="35"/>
      <c r="J625" s="35"/>
      <c r="K625" s="35"/>
      <c r="L625" s="35"/>
      <c r="M625" s="35"/>
      <c r="N625" s="35"/>
      <c r="O625" s="35"/>
      <c r="P625" s="35"/>
      <c r="Q625" s="35"/>
      <c r="R625" s="35"/>
      <c r="S625" s="35"/>
      <c r="T625" s="35"/>
      <c r="U625" s="35"/>
    </row>
    <row r="626">
      <c r="A626" s="35" t="b">
        <v>0</v>
      </c>
      <c r="B626" s="35"/>
      <c r="C626" s="35"/>
      <c r="D626" s="35"/>
      <c r="E626" s="35"/>
      <c r="F626" s="35"/>
      <c r="G626" s="35"/>
      <c r="H626" s="35"/>
      <c r="I626" s="35"/>
      <c r="J626" s="35"/>
      <c r="K626" s="35"/>
      <c r="L626" s="35"/>
      <c r="M626" s="35"/>
      <c r="N626" s="35"/>
      <c r="O626" s="35"/>
      <c r="P626" s="35"/>
      <c r="Q626" s="35"/>
      <c r="R626" s="35"/>
      <c r="S626" s="35"/>
      <c r="T626" s="35"/>
      <c r="U626" s="35"/>
    </row>
    <row r="627">
      <c r="A627" s="35" t="b">
        <v>0</v>
      </c>
      <c r="B627" s="35"/>
      <c r="C627" s="35"/>
      <c r="D627" s="35"/>
      <c r="E627" s="35"/>
      <c r="F627" s="35"/>
      <c r="G627" s="35"/>
      <c r="H627" s="35"/>
      <c r="I627" s="35"/>
      <c r="J627" s="35"/>
      <c r="K627" s="35"/>
      <c r="L627" s="35"/>
      <c r="M627" s="35"/>
      <c r="N627" s="35"/>
      <c r="O627" s="35"/>
      <c r="P627" s="35"/>
      <c r="Q627" s="35"/>
      <c r="R627" s="35"/>
      <c r="S627" s="35"/>
      <c r="T627" s="35"/>
      <c r="U627" s="35"/>
    </row>
    <row r="628">
      <c r="A628" s="35" t="b">
        <v>0</v>
      </c>
      <c r="B628" s="35"/>
      <c r="C628" s="35"/>
      <c r="D628" s="35"/>
      <c r="E628" s="35"/>
      <c r="F628" s="35"/>
      <c r="G628" s="35"/>
      <c r="H628" s="35"/>
      <c r="I628" s="35"/>
      <c r="J628" s="35"/>
      <c r="K628" s="35"/>
      <c r="L628" s="35"/>
      <c r="M628" s="35"/>
      <c r="N628" s="35"/>
      <c r="O628" s="35"/>
      <c r="P628" s="35"/>
      <c r="Q628" s="35"/>
      <c r="R628" s="35"/>
      <c r="S628" s="35"/>
      <c r="T628" s="35"/>
      <c r="U628" s="35"/>
    </row>
    <row r="629">
      <c r="A629" s="35" t="b">
        <v>0</v>
      </c>
      <c r="B629" s="35"/>
      <c r="C629" s="35"/>
      <c r="D629" s="35"/>
      <c r="E629" s="35"/>
      <c r="F629" s="35"/>
      <c r="G629" s="35"/>
      <c r="H629" s="35"/>
      <c r="I629" s="35"/>
      <c r="J629" s="35"/>
      <c r="K629" s="35"/>
      <c r="L629" s="35"/>
      <c r="M629" s="35"/>
      <c r="N629" s="35"/>
      <c r="O629" s="35"/>
      <c r="P629" s="35"/>
      <c r="Q629" s="35"/>
      <c r="R629" s="35"/>
      <c r="S629" s="35"/>
      <c r="T629" s="35"/>
      <c r="U629" s="35"/>
    </row>
    <row r="630">
      <c r="A630" s="35" t="b">
        <v>0</v>
      </c>
      <c r="B630" s="35"/>
      <c r="C630" s="35"/>
      <c r="D630" s="35"/>
      <c r="E630" s="35"/>
      <c r="F630" s="35"/>
      <c r="G630" s="35"/>
      <c r="H630" s="35"/>
      <c r="I630" s="35"/>
      <c r="J630" s="35"/>
      <c r="K630" s="35"/>
      <c r="L630" s="35"/>
      <c r="M630" s="35"/>
      <c r="N630" s="35"/>
      <c r="O630" s="35"/>
      <c r="P630" s="35"/>
      <c r="Q630" s="35"/>
      <c r="R630" s="35"/>
      <c r="S630" s="35"/>
      <c r="T630" s="35"/>
      <c r="U630" s="35"/>
    </row>
    <row r="631">
      <c r="A631" s="35" t="b">
        <v>0</v>
      </c>
      <c r="B631" s="35"/>
      <c r="C631" s="35"/>
      <c r="D631" s="35"/>
      <c r="E631" s="35"/>
      <c r="F631" s="35"/>
      <c r="G631" s="35"/>
      <c r="H631" s="35"/>
      <c r="I631" s="35"/>
      <c r="J631" s="35"/>
      <c r="K631" s="35"/>
      <c r="L631" s="35"/>
      <c r="M631" s="35"/>
      <c r="N631" s="35"/>
      <c r="O631" s="35"/>
      <c r="P631" s="35"/>
      <c r="Q631" s="35"/>
      <c r="R631" s="35"/>
      <c r="S631" s="35"/>
      <c r="T631" s="35"/>
      <c r="U631" s="35"/>
    </row>
    <row r="632">
      <c r="A632" s="35" t="b">
        <v>0</v>
      </c>
      <c r="B632" s="35"/>
      <c r="C632" s="35"/>
      <c r="D632" s="35"/>
      <c r="E632" s="35"/>
      <c r="F632" s="35"/>
      <c r="G632" s="35"/>
      <c r="H632" s="35"/>
      <c r="I632" s="35"/>
      <c r="J632" s="35"/>
      <c r="K632" s="35"/>
      <c r="L632" s="35"/>
      <c r="M632" s="35"/>
      <c r="N632" s="35"/>
      <c r="O632" s="35"/>
      <c r="P632" s="35"/>
      <c r="Q632" s="35"/>
      <c r="R632" s="35"/>
      <c r="S632" s="35"/>
      <c r="T632" s="35"/>
      <c r="U632" s="35"/>
    </row>
    <row r="633">
      <c r="A633" s="35" t="b">
        <v>0</v>
      </c>
      <c r="B633" s="35"/>
      <c r="C633" s="35"/>
      <c r="D633" s="35"/>
      <c r="E633" s="35"/>
      <c r="F633" s="35"/>
      <c r="G633" s="35"/>
      <c r="H633" s="35"/>
      <c r="I633" s="35"/>
      <c r="J633" s="35"/>
      <c r="K633" s="35"/>
      <c r="L633" s="35"/>
      <c r="M633" s="35"/>
      <c r="N633" s="35"/>
      <c r="O633" s="35"/>
      <c r="P633" s="35"/>
      <c r="Q633" s="35"/>
      <c r="R633" s="35"/>
      <c r="S633" s="35"/>
      <c r="T633" s="35"/>
      <c r="U633" s="35"/>
    </row>
    <row r="634">
      <c r="A634" s="35" t="b">
        <v>0</v>
      </c>
      <c r="B634" s="35"/>
      <c r="C634" s="35"/>
      <c r="D634" s="35"/>
      <c r="E634" s="35"/>
      <c r="F634" s="35"/>
      <c r="G634" s="35"/>
      <c r="H634" s="35"/>
      <c r="I634" s="35"/>
      <c r="J634" s="35"/>
      <c r="K634" s="35"/>
      <c r="L634" s="35"/>
      <c r="M634" s="35"/>
      <c r="N634" s="35"/>
      <c r="O634" s="35"/>
      <c r="P634" s="35"/>
      <c r="Q634" s="35"/>
      <c r="R634" s="35"/>
      <c r="S634" s="35"/>
      <c r="T634" s="35"/>
      <c r="U634" s="35"/>
    </row>
    <row r="635">
      <c r="A635" s="35" t="b">
        <v>0</v>
      </c>
      <c r="B635" s="35"/>
      <c r="C635" s="35"/>
      <c r="D635" s="35"/>
      <c r="E635" s="35"/>
      <c r="F635" s="35"/>
      <c r="G635" s="35"/>
      <c r="H635" s="35"/>
      <c r="I635" s="35"/>
      <c r="J635" s="35"/>
      <c r="K635" s="35"/>
      <c r="L635" s="35"/>
      <c r="M635" s="35"/>
      <c r="N635" s="35"/>
      <c r="O635" s="35"/>
      <c r="P635" s="35"/>
      <c r="Q635" s="35"/>
      <c r="R635" s="35"/>
      <c r="S635" s="35"/>
      <c r="T635" s="35"/>
      <c r="U635" s="35"/>
    </row>
    <row r="636">
      <c r="A636" s="35" t="b">
        <v>0</v>
      </c>
      <c r="B636" s="35"/>
      <c r="C636" s="35"/>
      <c r="D636" s="35"/>
      <c r="E636" s="35"/>
      <c r="F636" s="35"/>
      <c r="G636" s="35"/>
      <c r="H636" s="35"/>
      <c r="I636" s="35"/>
      <c r="J636" s="35"/>
      <c r="K636" s="35"/>
      <c r="L636" s="35"/>
      <c r="M636" s="35"/>
      <c r="N636" s="35"/>
      <c r="O636" s="35"/>
      <c r="P636" s="35"/>
      <c r="Q636" s="35"/>
      <c r="R636" s="35"/>
      <c r="S636" s="35"/>
      <c r="T636" s="35"/>
      <c r="U636" s="35"/>
    </row>
    <row r="637">
      <c r="A637" s="35" t="b">
        <v>0</v>
      </c>
      <c r="B637" s="35"/>
      <c r="C637" s="35"/>
      <c r="D637" s="35"/>
      <c r="E637" s="35"/>
      <c r="F637" s="35"/>
      <c r="G637" s="35"/>
      <c r="H637" s="35"/>
      <c r="I637" s="35"/>
      <c r="J637" s="35"/>
      <c r="K637" s="35"/>
      <c r="L637" s="35"/>
      <c r="M637" s="35"/>
      <c r="N637" s="35"/>
      <c r="O637" s="35"/>
      <c r="P637" s="35"/>
      <c r="Q637" s="35"/>
      <c r="R637" s="35"/>
      <c r="S637" s="35"/>
      <c r="T637" s="35"/>
      <c r="U637" s="35"/>
    </row>
    <row r="638">
      <c r="A638" s="35" t="b">
        <v>0</v>
      </c>
      <c r="B638" s="35"/>
      <c r="C638" s="35"/>
      <c r="D638" s="35"/>
      <c r="E638" s="35"/>
      <c r="F638" s="35"/>
      <c r="G638" s="35"/>
      <c r="H638" s="35"/>
      <c r="I638" s="35"/>
      <c r="J638" s="35"/>
      <c r="K638" s="35"/>
      <c r="L638" s="35"/>
      <c r="M638" s="35"/>
      <c r="N638" s="35"/>
      <c r="O638" s="35"/>
      <c r="P638" s="35"/>
      <c r="Q638" s="35"/>
      <c r="R638" s="35"/>
      <c r="S638" s="35"/>
      <c r="T638" s="35"/>
      <c r="U638" s="35"/>
    </row>
    <row r="639">
      <c r="A639" s="35" t="b">
        <v>0</v>
      </c>
      <c r="B639" s="35"/>
      <c r="C639" s="35"/>
      <c r="D639" s="35"/>
      <c r="E639" s="35"/>
      <c r="F639" s="35"/>
      <c r="G639" s="35"/>
      <c r="H639" s="35"/>
      <c r="I639" s="35"/>
      <c r="J639" s="35"/>
      <c r="K639" s="35"/>
      <c r="L639" s="35"/>
      <c r="M639" s="35"/>
      <c r="N639" s="35"/>
      <c r="O639" s="35"/>
      <c r="P639" s="35"/>
      <c r="Q639" s="35"/>
      <c r="R639" s="35"/>
      <c r="S639" s="35"/>
      <c r="T639" s="35"/>
      <c r="U639" s="35"/>
    </row>
    <row r="640">
      <c r="A640" s="35" t="b">
        <v>0</v>
      </c>
      <c r="B640" s="35"/>
      <c r="C640" s="35"/>
      <c r="D640" s="35"/>
      <c r="E640" s="35"/>
      <c r="F640" s="35"/>
      <c r="G640" s="35"/>
      <c r="H640" s="35"/>
      <c r="I640" s="35"/>
      <c r="J640" s="35"/>
      <c r="K640" s="35"/>
      <c r="L640" s="35"/>
      <c r="M640" s="35"/>
      <c r="N640" s="35"/>
      <c r="O640" s="35"/>
      <c r="P640" s="35"/>
      <c r="Q640" s="35"/>
      <c r="R640" s="35"/>
      <c r="S640" s="35"/>
      <c r="T640" s="35"/>
      <c r="U640" s="35"/>
    </row>
    <row r="641">
      <c r="A641" s="35" t="b">
        <v>0</v>
      </c>
      <c r="B641" s="35"/>
      <c r="C641" s="35"/>
      <c r="D641" s="35"/>
      <c r="E641" s="35"/>
      <c r="F641" s="35"/>
      <c r="G641" s="35"/>
      <c r="H641" s="35"/>
      <c r="I641" s="35"/>
      <c r="J641" s="35"/>
      <c r="K641" s="35"/>
      <c r="L641" s="35"/>
      <c r="M641" s="35"/>
      <c r="N641" s="35"/>
      <c r="O641" s="35"/>
      <c r="P641" s="35"/>
      <c r="Q641" s="35"/>
      <c r="R641" s="35"/>
      <c r="S641" s="35"/>
      <c r="T641" s="35"/>
      <c r="U641" s="35"/>
    </row>
    <row r="642">
      <c r="A642" s="35" t="b">
        <v>0</v>
      </c>
      <c r="B642" s="35"/>
      <c r="C642" s="35"/>
      <c r="D642" s="35"/>
      <c r="E642" s="35"/>
      <c r="F642" s="35"/>
      <c r="G642" s="35"/>
      <c r="H642" s="35"/>
      <c r="I642" s="35"/>
      <c r="J642" s="35"/>
      <c r="K642" s="35"/>
      <c r="L642" s="35"/>
      <c r="M642" s="35"/>
      <c r="N642" s="35"/>
      <c r="O642" s="35"/>
      <c r="P642" s="35"/>
      <c r="Q642" s="35"/>
      <c r="R642" s="35"/>
      <c r="S642" s="35"/>
      <c r="T642" s="35"/>
      <c r="U642" s="35"/>
    </row>
    <row r="643">
      <c r="A643" s="35" t="b">
        <v>0</v>
      </c>
      <c r="B643" s="35"/>
      <c r="C643" s="35"/>
      <c r="D643" s="35"/>
      <c r="E643" s="35"/>
      <c r="F643" s="35"/>
      <c r="G643" s="35"/>
      <c r="H643" s="35"/>
      <c r="I643" s="35"/>
      <c r="J643" s="35"/>
      <c r="K643" s="35"/>
      <c r="L643" s="35"/>
      <c r="M643" s="35"/>
      <c r="N643" s="35"/>
      <c r="O643" s="35"/>
      <c r="P643" s="35"/>
      <c r="Q643" s="35"/>
      <c r="R643" s="35"/>
      <c r="S643" s="35"/>
      <c r="T643" s="35"/>
      <c r="U643" s="35"/>
    </row>
    <row r="644">
      <c r="A644" s="35" t="b">
        <v>0</v>
      </c>
      <c r="B644" s="35"/>
      <c r="C644" s="35"/>
      <c r="D644" s="35"/>
      <c r="E644" s="35"/>
      <c r="F644" s="35"/>
      <c r="G644" s="35"/>
      <c r="H644" s="35"/>
      <c r="I644" s="35"/>
      <c r="J644" s="35"/>
      <c r="K644" s="35"/>
      <c r="L644" s="35"/>
      <c r="M644" s="35"/>
      <c r="N644" s="35"/>
      <c r="O644" s="35"/>
      <c r="P644" s="35"/>
      <c r="Q644" s="35"/>
      <c r="R644" s="35"/>
      <c r="S644" s="35"/>
      <c r="T644" s="35"/>
      <c r="U644" s="35"/>
    </row>
    <row r="645">
      <c r="A645" s="35" t="b">
        <v>0</v>
      </c>
      <c r="B645" s="35"/>
      <c r="C645" s="35"/>
      <c r="D645" s="35"/>
      <c r="E645" s="35"/>
      <c r="F645" s="35"/>
      <c r="G645" s="35"/>
      <c r="H645" s="35"/>
      <c r="I645" s="35"/>
      <c r="J645" s="35"/>
      <c r="K645" s="35"/>
      <c r="L645" s="35"/>
      <c r="M645" s="35"/>
      <c r="N645" s="35"/>
      <c r="O645" s="35"/>
      <c r="P645" s="35"/>
      <c r="Q645" s="35"/>
      <c r="R645" s="35"/>
      <c r="S645" s="35"/>
      <c r="T645" s="35"/>
      <c r="U645" s="35"/>
    </row>
    <row r="646">
      <c r="A646" s="35" t="b">
        <v>0</v>
      </c>
      <c r="B646" s="35"/>
      <c r="C646" s="35"/>
      <c r="D646" s="35"/>
      <c r="E646" s="35"/>
      <c r="F646" s="35"/>
      <c r="G646" s="35"/>
      <c r="H646" s="35"/>
      <c r="I646" s="35"/>
      <c r="J646" s="35"/>
      <c r="K646" s="35"/>
      <c r="L646" s="35"/>
      <c r="M646" s="35"/>
      <c r="N646" s="35"/>
      <c r="O646" s="35"/>
      <c r="P646" s="35"/>
      <c r="Q646" s="35"/>
      <c r="R646" s="35"/>
      <c r="S646" s="35"/>
      <c r="T646" s="35"/>
      <c r="U646" s="35"/>
    </row>
    <row r="647">
      <c r="A647" s="35" t="b">
        <v>0</v>
      </c>
      <c r="B647" s="35"/>
      <c r="C647" s="35"/>
      <c r="D647" s="35"/>
      <c r="E647" s="35"/>
      <c r="F647" s="35"/>
      <c r="G647" s="35"/>
      <c r="H647" s="35"/>
      <c r="I647" s="35"/>
      <c r="J647" s="35"/>
      <c r="K647" s="35"/>
      <c r="L647" s="35"/>
      <c r="M647" s="35"/>
      <c r="N647" s="35"/>
      <c r="O647" s="35"/>
      <c r="P647" s="35"/>
      <c r="Q647" s="35"/>
      <c r="R647" s="35"/>
      <c r="S647" s="35"/>
      <c r="T647" s="35"/>
      <c r="U647" s="35"/>
    </row>
    <row r="648">
      <c r="A648" s="35" t="b">
        <v>0</v>
      </c>
      <c r="B648" s="35"/>
      <c r="C648" s="35"/>
      <c r="D648" s="35"/>
      <c r="E648" s="35"/>
      <c r="F648" s="35"/>
      <c r="G648" s="35"/>
      <c r="H648" s="35"/>
      <c r="I648" s="35"/>
      <c r="J648" s="35"/>
      <c r="K648" s="35"/>
      <c r="L648" s="35"/>
      <c r="M648" s="35"/>
      <c r="N648" s="35"/>
      <c r="O648" s="35"/>
      <c r="P648" s="35"/>
      <c r="Q648" s="35"/>
      <c r="R648" s="35"/>
      <c r="S648" s="35"/>
      <c r="T648" s="35"/>
      <c r="U648" s="35"/>
    </row>
    <row r="649">
      <c r="A649" s="35" t="b">
        <v>0</v>
      </c>
      <c r="B649" s="35"/>
      <c r="C649" s="35"/>
      <c r="D649" s="35"/>
      <c r="E649" s="35"/>
      <c r="F649" s="35"/>
      <c r="G649" s="35"/>
      <c r="H649" s="35"/>
      <c r="I649" s="35"/>
      <c r="J649" s="35"/>
      <c r="K649" s="35"/>
      <c r="L649" s="35"/>
      <c r="M649" s="35"/>
      <c r="N649" s="35"/>
      <c r="O649" s="35"/>
      <c r="P649" s="35"/>
      <c r="Q649" s="35"/>
      <c r="R649" s="35"/>
      <c r="S649" s="35"/>
      <c r="T649" s="35"/>
      <c r="U649" s="35"/>
    </row>
    <row r="650">
      <c r="A650" s="35" t="b">
        <v>0</v>
      </c>
      <c r="B650" s="35"/>
      <c r="C650" s="35"/>
      <c r="D650" s="35"/>
      <c r="E650" s="35"/>
      <c r="F650" s="35"/>
      <c r="G650" s="35"/>
      <c r="H650" s="35"/>
      <c r="I650" s="35"/>
      <c r="J650" s="35"/>
      <c r="K650" s="35"/>
      <c r="L650" s="35"/>
      <c r="M650" s="35"/>
      <c r="N650" s="35"/>
      <c r="O650" s="35"/>
      <c r="P650" s="35"/>
      <c r="Q650" s="35"/>
      <c r="R650" s="35"/>
      <c r="S650" s="35"/>
      <c r="T650" s="35"/>
      <c r="U650" s="35"/>
    </row>
    <row r="651">
      <c r="A651" s="35" t="b">
        <v>0</v>
      </c>
      <c r="B651" s="35"/>
      <c r="C651" s="35"/>
      <c r="D651" s="35"/>
      <c r="E651" s="35"/>
      <c r="F651" s="35"/>
      <c r="G651" s="35"/>
      <c r="H651" s="35"/>
      <c r="I651" s="35"/>
      <c r="J651" s="35"/>
      <c r="K651" s="35"/>
      <c r="L651" s="35"/>
      <c r="M651" s="35"/>
      <c r="N651" s="35"/>
      <c r="O651" s="35"/>
      <c r="P651" s="35"/>
      <c r="Q651" s="35"/>
      <c r="R651" s="35"/>
      <c r="S651" s="35"/>
      <c r="T651" s="35"/>
      <c r="U651" s="35"/>
    </row>
    <row r="652">
      <c r="A652" s="35" t="b">
        <v>0</v>
      </c>
      <c r="B652" s="35"/>
      <c r="C652" s="35"/>
      <c r="D652" s="35"/>
      <c r="E652" s="35"/>
      <c r="F652" s="35"/>
      <c r="G652" s="35"/>
      <c r="H652" s="35"/>
      <c r="I652" s="35"/>
      <c r="J652" s="35"/>
      <c r="K652" s="35"/>
      <c r="L652" s="35"/>
      <c r="M652" s="35"/>
      <c r="N652" s="35"/>
      <c r="O652" s="35"/>
      <c r="P652" s="35"/>
      <c r="Q652" s="35"/>
      <c r="R652" s="35"/>
      <c r="S652" s="35"/>
      <c r="T652" s="35"/>
      <c r="U652" s="35"/>
    </row>
    <row r="653">
      <c r="A653" s="35" t="b">
        <v>0</v>
      </c>
      <c r="B653" s="35"/>
      <c r="C653" s="35"/>
      <c r="D653" s="35"/>
      <c r="E653" s="35"/>
      <c r="F653" s="35"/>
      <c r="G653" s="35"/>
      <c r="H653" s="35"/>
      <c r="I653" s="35"/>
      <c r="J653" s="35"/>
      <c r="K653" s="35"/>
      <c r="L653" s="35"/>
      <c r="M653" s="35"/>
      <c r="N653" s="35"/>
      <c r="O653" s="35"/>
      <c r="P653" s="35"/>
      <c r="Q653" s="35"/>
      <c r="R653" s="35"/>
      <c r="S653" s="35"/>
      <c r="T653" s="35"/>
      <c r="U653" s="35"/>
    </row>
    <row r="654">
      <c r="A654" s="35" t="b">
        <v>0</v>
      </c>
      <c r="B654" s="35"/>
      <c r="C654" s="35"/>
      <c r="D654" s="35"/>
      <c r="E654" s="35"/>
      <c r="F654" s="35"/>
      <c r="G654" s="35"/>
      <c r="H654" s="35"/>
      <c r="I654" s="35"/>
      <c r="J654" s="35"/>
      <c r="K654" s="35"/>
      <c r="L654" s="35"/>
      <c r="M654" s="35"/>
      <c r="N654" s="35"/>
      <c r="O654" s="35"/>
      <c r="P654" s="35"/>
      <c r="Q654" s="35"/>
      <c r="R654" s="35"/>
      <c r="S654" s="35"/>
      <c r="T654" s="35"/>
      <c r="U654" s="35"/>
    </row>
    <row r="655">
      <c r="A655" s="35" t="b">
        <v>0</v>
      </c>
      <c r="B655" s="35"/>
      <c r="C655" s="35"/>
      <c r="D655" s="35"/>
      <c r="E655" s="35"/>
      <c r="F655" s="35"/>
      <c r="G655" s="35"/>
      <c r="H655" s="35"/>
      <c r="I655" s="35"/>
      <c r="J655" s="35"/>
      <c r="K655" s="35"/>
      <c r="L655" s="35"/>
      <c r="M655" s="35"/>
      <c r="N655" s="35"/>
      <c r="O655" s="35"/>
      <c r="P655" s="35"/>
      <c r="Q655" s="35"/>
      <c r="R655" s="35"/>
      <c r="S655" s="35"/>
      <c r="T655" s="35"/>
      <c r="U655" s="35"/>
    </row>
    <row r="656">
      <c r="A656" s="35" t="b">
        <v>0</v>
      </c>
      <c r="B656" s="35"/>
      <c r="C656" s="35"/>
      <c r="D656" s="35"/>
      <c r="E656" s="35"/>
      <c r="F656" s="35"/>
      <c r="G656" s="35"/>
      <c r="H656" s="35"/>
      <c r="I656" s="35"/>
      <c r="J656" s="35"/>
      <c r="K656" s="35"/>
      <c r="L656" s="35"/>
      <c r="M656" s="35"/>
      <c r="N656" s="35"/>
      <c r="O656" s="35"/>
      <c r="P656" s="35"/>
      <c r="Q656" s="35"/>
      <c r="R656" s="35"/>
      <c r="S656" s="35"/>
      <c r="T656" s="35"/>
      <c r="U656" s="35"/>
    </row>
    <row r="657">
      <c r="A657" s="35" t="b">
        <v>0</v>
      </c>
      <c r="B657" s="35"/>
      <c r="C657" s="35"/>
      <c r="D657" s="35"/>
      <c r="E657" s="35"/>
      <c r="F657" s="35"/>
      <c r="G657" s="35"/>
      <c r="H657" s="35"/>
      <c r="I657" s="35"/>
      <c r="J657" s="35"/>
      <c r="K657" s="35"/>
      <c r="L657" s="35"/>
      <c r="M657" s="35"/>
      <c r="N657" s="35"/>
      <c r="O657" s="35"/>
      <c r="P657" s="35"/>
      <c r="Q657" s="35"/>
      <c r="R657" s="35"/>
      <c r="S657" s="35"/>
      <c r="T657" s="35"/>
      <c r="U657" s="35"/>
    </row>
    <row r="658">
      <c r="A658" s="35" t="b">
        <v>0</v>
      </c>
      <c r="B658" s="35"/>
      <c r="C658" s="35"/>
      <c r="D658" s="35"/>
      <c r="E658" s="35"/>
      <c r="F658" s="35"/>
      <c r="G658" s="35"/>
      <c r="H658" s="35"/>
      <c r="I658" s="35"/>
      <c r="J658" s="35"/>
      <c r="K658" s="35"/>
      <c r="L658" s="35"/>
      <c r="M658" s="35"/>
      <c r="N658" s="35"/>
      <c r="O658" s="35"/>
      <c r="P658" s="35"/>
      <c r="Q658" s="35"/>
      <c r="R658" s="35"/>
      <c r="S658" s="35"/>
      <c r="T658" s="35"/>
      <c r="U658" s="35"/>
    </row>
    <row r="659">
      <c r="A659" s="35" t="b">
        <v>0</v>
      </c>
      <c r="B659" s="35"/>
      <c r="C659" s="35"/>
      <c r="D659" s="35"/>
      <c r="E659" s="35"/>
      <c r="F659" s="35"/>
      <c r="G659" s="35"/>
      <c r="H659" s="35"/>
      <c r="I659" s="35"/>
      <c r="J659" s="35"/>
      <c r="K659" s="35"/>
      <c r="L659" s="35"/>
      <c r="M659" s="35"/>
      <c r="N659" s="35"/>
      <c r="O659" s="35"/>
      <c r="P659" s="35"/>
      <c r="Q659" s="35"/>
      <c r="R659" s="35"/>
      <c r="S659" s="35"/>
      <c r="T659" s="35"/>
      <c r="U659" s="35"/>
    </row>
    <row r="660">
      <c r="A660" s="35" t="b">
        <v>0</v>
      </c>
      <c r="B660" s="35"/>
      <c r="C660" s="35"/>
      <c r="D660" s="35"/>
      <c r="E660" s="35"/>
      <c r="F660" s="35"/>
      <c r="G660" s="35"/>
      <c r="H660" s="35"/>
      <c r="I660" s="35"/>
      <c r="J660" s="35"/>
      <c r="K660" s="35"/>
      <c r="L660" s="35"/>
      <c r="M660" s="35"/>
      <c r="N660" s="35"/>
      <c r="O660" s="35"/>
      <c r="P660" s="35"/>
      <c r="Q660" s="35"/>
      <c r="R660" s="35"/>
      <c r="S660" s="35"/>
      <c r="T660" s="35"/>
      <c r="U660" s="35"/>
    </row>
    <row r="661">
      <c r="A661" s="35" t="b">
        <v>0</v>
      </c>
      <c r="B661" s="35"/>
      <c r="C661" s="35"/>
      <c r="D661" s="35"/>
      <c r="E661" s="35"/>
      <c r="F661" s="35"/>
      <c r="G661" s="35"/>
      <c r="H661" s="35"/>
      <c r="I661" s="35"/>
      <c r="J661" s="35"/>
      <c r="K661" s="35"/>
      <c r="L661" s="35"/>
      <c r="M661" s="35"/>
      <c r="N661" s="35"/>
      <c r="O661" s="35"/>
      <c r="P661" s="35"/>
      <c r="Q661" s="35"/>
      <c r="R661" s="35"/>
      <c r="S661" s="35"/>
      <c r="T661" s="35"/>
      <c r="U661" s="35"/>
    </row>
    <row r="662">
      <c r="A662" s="35" t="b">
        <v>0</v>
      </c>
      <c r="B662" s="35"/>
      <c r="C662" s="35"/>
      <c r="D662" s="35"/>
      <c r="E662" s="35"/>
      <c r="F662" s="35"/>
      <c r="G662" s="35"/>
      <c r="H662" s="35"/>
      <c r="I662" s="35"/>
      <c r="J662" s="35"/>
      <c r="K662" s="35"/>
      <c r="L662" s="35"/>
      <c r="M662" s="35"/>
      <c r="N662" s="35"/>
      <c r="O662" s="35"/>
      <c r="P662" s="35"/>
      <c r="Q662" s="35"/>
      <c r="R662" s="35"/>
      <c r="S662" s="35"/>
      <c r="T662" s="35"/>
      <c r="U662" s="35"/>
    </row>
    <row r="663">
      <c r="A663" s="35" t="b">
        <v>0</v>
      </c>
      <c r="B663" s="35"/>
      <c r="C663" s="35"/>
      <c r="D663" s="35"/>
      <c r="E663" s="35"/>
      <c r="F663" s="35"/>
      <c r="G663" s="35"/>
      <c r="H663" s="35"/>
      <c r="I663" s="35"/>
      <c r="J663" s="35"/>
      <c r="K663" s="35"/>
      <c r="L663" s="35"/>
      <c r="M663" s="35"/>
      <c r="N663" s="35"/>
      <c r="O663" s="35"/>
      <c r="P663" s="35"/>
      <c r="Q663" s="35"/>
      <c r="R663" s="35"/>
      <c r="S663" s="35"/>
      <c r="T663" s="35"/>
      <c r="U663" s="35"/>
    </row>
    <row r="664">
      <c r="A664" s="35" t="b">
        <v>0</v>
      </c>
      <c r="B664" s="35"/>
      <c r="C664" s="35"/>
      <c r="D664" s="35"/>
      <c r="E664" s="35"/>
      <c r="F664" s="35"/>
      <c r="G664" s="35"/>
      <c r="H664" s="35"/>
      <c r="I664" s="35"/>
      <c r="J664" s="35"/>
      <c r="K664" s="35"/>
      <c r="L664" s="35"/>
      <c r="M664" s="35"/>
      <c r="N664" s="35"/>
      <c r="O664" s="35"/>
      <c r="P664" s="35"/>
      <c r="Q664" s="35"/>
      <c r="R664" s="35"/>
      <c r="S664" s="35"/>
      <c r="T664" s="35"/>
      <c r="U664" s="35"/>
    </row>
    <row r="665">
      <c r="A665" s="35" t="b">
        <v>0</v>
      </c>
      <c r="B665" s="35"/>
      <c r="C665" s="35"/>
      <c r="D665" s="35"/>
      <c r="E665" s="35"/>
      <c r="F665" s="35"/>
      <c r="G665" s="35"/>
      <c r="H665" s="35"/>
      <c r="I665" s="35"/>
      <c r="J665" s="35"/>
      <c r="K665" s="35"/>
      <c r="L665" s="35"/>
      <c r="M665" s="35"/>
      <c r="N665" s="35"/>
      <c r="O665" s="35"/>
      <c r="P665" s="35"/>
      <c r="Q665" s="35"/>
      <c r="R665" s="35"/>
      <c r="S665" s="35"/>
      <c r="T665" s="35"/>
      <c r="U665" s="35"/>
    </row>
    <row r="666">
      <c r="A666" s="35" t="b">
        <v>0</v>
      </c>
      <c r="B666" s="35"/>
      <c r="C666" s="35"/>
      <c r="D666" s="35"/>
      <c r="E666" s="35"/>
      <c r="F666" s="35"/>
      <c r="G666" s="35"/>
      <c r="H666" s="35"/>
      <c r="I666" s="35"/>
      <c r="J666" s="35"/>
      <c r="K666" s="35"/>
      <c r="L666" s="35"/>
      <c r="M666" s="35"/>
      <c r="N666" s="35"/>
      <c r="O666" s="35"/>
      <c r="P666" s="35"/>
      <c r="Q666" s="35"/>
      <c r="R666" s="35"/>
      <c r="S666" s="35"/>
      <c r="T666" s="35"/>
      <c r="U666" s="35"/>
    </row>
    <row r="667">
      <c r="A667" s="35" t="b">
        <v>0</v>
      </c>
      <c r="B667" s="35"/>
      <c r="C667" s="35"/>
      <c r="D667" s="35"/>
      <c r="E667" s="35"/>
      <c r="F667" s="35"/>
      <c r="G667" s="35"/>
      <c r="H667" s="35"/>
      <c r="I667" s="35"/>
      <c r="J667" s="35"/>
      <c r="K667" s="35"/>
      <c r="L667" s="35"/>
      <c r="M667" s="35"/>
      <c r="N667" s="35"/>
      <c r="O667" s="35"/>
      <c r="P667" s="35"/>
      <c r="Q667" s="35"/>
      <c r="R667" s="35"/>
      <c r="S667" s="35"/>
      <c r="T667" s="35"/>
      <c r="U667" s="35"/>
    </row>
    <row r="668">
      <c r="A668" s="35" t="b">
        <v>0</v>
      </c>
      <c r="B668" s="35"/>
      <c r="C668" s="35"/>
      <c r="D668" s="35"/>
      <c r="E668" s="35"/>
      <c r="F668" s="35"/>
      <c r="G668" s="35"/>
      <c r="H668" s="35"/>
      <c r="I668" s="35"/>
      <c r="J668" s="35"/>
      <c r="K668" s="35"/>
      <c r="L668" s="35"/>
      <c r="M668" s="35"/>
      <c r="N668" s="35"/>
      <c r="O668" s="35"/>
      <c r="P668" s="35"/>
      <c r="Q668" s="35"/>
      <c r="R668" s="35"/>
      <c r="S668" s="35"/>
      <c r="T668" s="35"/>
      <c r="U668" s="35"/>
    </row>
    <row r="669">
      <c r="A669" s="35" t="b">
        <v>0</v>
      </c>
      <c r="B669" s="35"/>
      <c r="C669" s="35"/>
      <c r="D669" s="35"/>
      <c r="E669" s="35"/>
      <c r="F669" s="35"/>
      <c r="G669" s="35"/>
      <c r="H669" s="35"/>
      <c r="I669" s="35"/>
      <c r="J669" s="35"/>
      <c r="K669" s="35"/>
      <c r="L669" s="35"/>
      <c r="M669" s="35"/>
      <c r="N669" s="35"/>
      <c r="O669" s="35"/>
      <c r="P669" s="35"/>
      <c r="Q669" s="35"/>
      <c r="R669" s="35"/>
      <c r="S669" s="35"/>
      <c r="T669" s="35"/>
      <c r="U669" s="35"/>
    </row>
    <row r="670">
      <c r="A670" s="35" t="b">
        <v>0</v>
      </c>
      <c r="B670" s="35"/>
      <c r="C670" s="35"/>
      <c r="D670" s="35"/>
      <c r="E670" s="35"/>
      <c r="F670" s="35"/>
      <c r="G670" s="35"/>
      <c r="H670" s="35"/>
      <c r="I670" s="35"/>
      <c r="J670" s="35"/>
      <c r="K670" s="35"/>
      <c r="L670" s="35"/>
      <c r="M670" s="35"/>
      <c r="N670" s="35"/>
      <c r="O670" s="35"/>
      <c r="P670" s="35"/>
      <c r="Q670" s="35"/>
      <c r="R670" s="35"/>
      <c r="S670" s="35"/>
      <c r="T670" s="35"/>
      <c r="U670" s="35"/>
    </row>
    <row r="671">
      <c r="A671" s="35" t="b">
        <v>0</v>
      </c>
      <c r="B671" s="35"/>
      <c r="C671" s="35"/>
      <c r="D671" s="35"/>
      <c r="E671" s="35"/>
      <c r="F671" s="35"/>
      <c r="G671" s="35"/>
      <c r="H671" s="35"/>
      <c r="I671" s="35"/>
      <c r="J671" s="35"/>
      <c r="K671" s="35"/>
      <c r="L671" s="35"/>
      <c r="M671" s="35"/>
      <c r="N671" s="35"/>
      <c r="O671" s="35"/>
      <c r="P671" s="35"/>
      <c r="Q671" s="35"/>
      <c r="R671" s="35"/>
      <c r="S671" s="35"/>
      <c r="T671" s="35"/>
      <c r="U671" s="35"/>
    </row>
    <row r="672">
      <c r="A672" s="35" t="b">
        <v>0</v>
      </c>
      <c r="B672" s="35"/>
      <c r="C672" s="35"/>
      <c r="D672" s="35"/>
      <c r="E672" s="35"/>
      <c r="F672" s="35"/>
      <c r="G672" s="35"/>
      <c r="H672" s="35"/>
      <c r="I672" s="35"/>
      <c r="J672" s="35"/>
      <c r="K672" s="35"/>
      <c r="L672" s="35"/>
      <c r="M672" s="35"/>
      <c r="N672" s="35"/>
      <c r="O672" s="35"/>
      <c r="P672" s="35"/>
      <c r="Q672" s="35"/>
      <c r="R672" s="35"/>
      <c r="S672" s="35"/>
      <c r="T672" s="35"/>
      <c r="U672" s="35"/>
    </row>
    <row r="673">
      <c r="A673" s="35" t="b">
        <v>0</v>
      </c>
      <c r="B673" s="35"/>
      <c r="C673" s="35"/>
      <c r="D673" s="35"/>
      <c r="E673" s="35"/>
      <c r="F673" s="35"/>
      <c r="G673" s="35"/>
      <c r="H673" s="35"/>
      <c r="I673" s="35"/>
      <c r="J673" s="35"/>
      <c r="K673" s="35"/>
      <c r="L673" s="35"/>
      <c r="M673" s="35"/>
      <c r="N673" s="35"/>
      <c r="O673" s="35"/>
      <c r="P673" s="35"/>
      <c r="Q673" s="35"/>
      <c r="R673" s="35"/>
      <c r="S673" s="35"/>
      <c r="T673" s="35"/>
      <c r="U673" s="35"/>
    </row>
    <row r="674">
      <c r="A674" s="35" t="b">
        <v>0</v>
      </c>
      <c r="B674" s="35"/>
      <c r="C674" s="35"/>
      <c r="D674" s="35"/>
      <c r="E674" s="35"/>
      <c r="F674" s="35"/>
      <c r="G674" s="35"/>
      <c r="H674" s="35"/>
      <c r="I674" s="35"/>
      <c r="J674" s="35"/>
      <c r="K674" s="35"/>
      <c r="L674" s="35"/>
      <c r="M674" s="35"/>
      <c r="N674" s="35"/>
      <c r="O674" s="35"/>
      <c r="P674" s="35"/>
      <c r="Q674" s="35"/>
      <c r="R674" s="35"/>
      <c r="S674" s="35"/>
      <c r="T674" s="35"/>
      <c r="U674" s="35"/>
    </row>
    <row r="675">
      <c r="A675" s="35" t="b">
        <v>0</v>
      </c>
      <c r="B675" s="35"/>
      <c r="C675" s="35"/>
      <c r="D675" s="35"/>
      <c r="E675" s="35"/>
      <c r="F675" s="35"/>
      <c r="G675" s="35"/>
      <c r="H675" s="35"/>
      <c r="I675" s="35"/>
      <c r="J675" s="35"/>
      <c r="K675" s="35"/>
      <c r="L675" s="35"/>
      <c r="M675" s="35"/>
      <c r="N675" s="35"/>
      <c r="O675" s="35"/>
      <c r="P675" s="35"/>
      <c r="Q675" s="35"/>
      <c r="R675" s="35"/>
      <c r="S675" s="35"/>
      <c r="T675" s="35"/>
      <c r="U675" s="35"/>
    </row>
    <row r="676">
      <c r="A676" s="35" t="b">
        <v>0</v>
      </c>
      <c r="B676" s="35"/>
      <c r="C676" s="35"/>
      <c r="D676" s="35"/>
      <c r="E676" s="35"/>
      <c r="F676" s="35"/>
      <c r="G676" s="35"/>
      <c r="H676" s="35"/>
      <c r="I676" s="35"/>
      <c r="J676" s="35"/>
      <c r="K676" s="35"/>
      <c r="L676" s="35"/>
      <c r="M676" s="35"/>
      <c r="N676" s="35"/>
      <c r="O676" s="35"/>
      <c r="P676" s="35"/>
      <c r="Q676" s="35"/>
      <c r="R676" s="35"/>
      <c r="S676" s="35"/>
      <c r="T676" s="35"/>
      <c r="U676" s="35"/>
    </row>
    <row r="677">
      <c r="A677" s="35" t="b">
        <v>0</v>
      </c>
      <c r="B677" s="35"/>
      <c r="C677" s="35"/>
      <c r="D677" s="35"/>
      <c r="E677" s="35"/>
      <c r="F677" s="35"/>
      <c r="G677" s="35"/>
      <c r="H677" s="35"/>
      <c r="I677" s="35"/>
      <c r="J677" s="35"/>
      <c r="K677" s="35"/>
      <c r="L677" s="35"/>
      <c r="M677" s="35"/>
      <c r="N677" s="35"/>
      <c r="O677" s="35"/>
      <c r="P677" s="35"/>
      <c r="Q677" s="35"/>
      <c r="R677" s="35"/>
      <c r="S677" s="35"/>
      <c r="T677" s="35"/>
      <c r="U677" s="35"/>
    </row>
    <row r="678">
      <c r="A678" s="35" t="b">
        <v>0</v>
      </c>
      <c r="B678" s="35"/>
      <c r="C678" s="35"/>
      <c r="D678" s="35"/>
      <c r="E678" s="35"/>
      <c r="F678" s="35"/>
      <c r="G678" s="35"/>
      <c r="H678" s="35"/>
      <c r="I678" s="35"/>
      <c r="J678" s="35"/>
      <c r="K678" s="35"/>
      <c r="L678" s="35"/>
      <c r="M678" s="35"/>
      <c r="N678" s="35"/>
      <c r="O678" s="35"/>
      <c r="P678" s="35"/>
      <c r="Q678" s="35"/>
      <c r="R678" s="35"/>
      <c r="S678" s="35"/>
      <c r="T678" s="35"/>
      <c r="U678" s="35"/>
    </row>
    <row r="679">
      <c r="A679" s="35" t="b">
        <v>0</v>
      </c>
      <c r="B679" s="35"/>
      <c r="C679" s="35"/>
      <c r="D679" s="35"/>
      <c r="E679" s="35"/>
      <c r="F679" s="35"/>
      <c r="G679" s="35"/>
      <c r="H679" s="35"/>
      <c r="I679" s="35"/>
      <c r="J679" s="35"/>
      <c r="K679" s="35"/>
      <c r="L679" s="35"/>
      <c r="M679" s="35"/>
      <c r="N679" s="35"/>
      <c r="O679" s="35"/>
      <c r="P679" s="35"/>
      <c r="Q679" s="35"/>
      <c r="R679" s="35"/>
      <c r="S679" s="35"/>
      <c r="T679" s="35"/>
      <c r="U679" s="35"/>
    </row>
    <row r="680">
      <c r="A680" s="35" t="b">
        <v>0</v>
      </c>
      <c r="B680" s="35"/>
      <c r="C680" s="35"/>
      <c r="D680" s="35"/>
      <c r="E680" s="35"/>
      <c r="F680" s="35"/>
      <c r="G680" s="35"/>
      <c r="H680" s="35"/>
      <c r="I680" s="35"/>
      <c r="J680" s="35"/>
      <c r="K680" s="35"/>
      <c r="L680" s="35"/>
      <c r="M680" s="35"/>
      <c r="N680" s="35"/>
      <c r="O680" s="35"/>
      <c r="P680" s="35"/>
      <c r="Q680" s="35"/>
      <c r="R680" s="35"/>
      <c r="S680" s="35"/>
      <c r="T680" s="35"/>
      <c r="U680" s="35"/>
    </row>
    <row r="681">
      <c r="A681" s="35" t="b">
        <v>0</v>
      </c>
      <c r="B681" s="35"/>
      <c r="C681" s="35"/>
      <c r="D681" s="35"/>
      <c r="E681" s="35"/>
      <c r="F681" s="35"/>
      <c r="G681" s="35"/>
      <c r="H681" s="35"/>
      <c r="I681" s="35"/>
      <c r="J681" s="35"/>
      <c r="K681" s="35"/>
      <c r="L681" s="35"/>
      <c r="M681" s="35"/>
      <c r="N681" s="35"/>
      <c r="O681" s="35"/>
      <c r="P681" s="35"/>
      <c r="Q681" s="35"/>
      <c r="R681" s="35"/>
      <c r="S681" s="35"/>
      <c r="T681" s="35"/>
      <c r="U681" s="35"/>
    </row>
    <row r="682">
      <c r="A682" s="35" t="b">
        <v>0</v>
      </c>
      <c r="B682" s="35"/>
      <c r="C682" s="35"/>
      <c r="D682" s="35"/>
      <c r="E682" s="35"/>
      <c r="F682" s="35"/>
      <c r="G682" s="35"/>
      <c r="H682" s="35"/>
      <c r="I682" s="35"/>
      <c r="J682" s="35"/>
      <c r="K682" s="35"/>
      <c r="L682" s="35"/>
      <c r="M682" s="35"/>
      <c r="N682" s="35"/>
      <c r="O682" s="35"/>
      <c r="P682" s="35"/>
      <c r="Q682" s="35"/>
      <c r="R682" s="35"/>
      <c r="S682" s="35"/>
      <c r="T682" s="35"/>
      <c r="U682" s="35"/>
    </row>
    <row r="683">
      <c r="A683" s="35" t="b">
        <v>0</v>
      </c>
      <c r="B683" s="35"/>
      <c r="C683" s="35"/>
      <c r="D683" s="35"/>
      <c r="E683" s="35"/>
      <c r="F683" s="35"/>
      <c r="G683" s="35"/>
      <c r="H683" s="35"/>
      <c r="I683" s="35"/>
      <c r="J683" s="35"/>
      <c r="K683" s="35"/>
      <c r="L683" s="35"/>
      <c r="M683" s="35"/>
      <c r="N683" s="35"/>
      <c r="O683" s="35"/>
      <c r="P683" s="35"/>
      <c r="Q683" s="35"/>
      <c r="R683" s="35"/>
      <c r="S683" s="35"/>
      <c r="T683" s="35"/>
      <c r="U683" s="35"/>
    </row>
    <row r="684">
      <c r="A684" s="35" t="b">
        <v>0</v>
      </c>
      <c r="B684" s="35"/>
      <c r="C684" s="35"/>
      <c r="D684" s="35"/>
      <c r="E684" s="35"/>
      <c r="F684" s="35"/>
      <c r="G684" s="35"/>
      <c r="H684" s="35"/>
      <c r="I684" s="35"/>
      <c r="J684" s="35"/>
      <c r="K684" s="35"/>
      <c r="L684" s="35"/>
      <c r="M684" s="35"/>
      <c r="N684" s="35"/>
      <c r="O684" s="35"/>
      <c r="P684" s="35"/>
      <c r="Q684" s="35"/>
      <c r="R684" s="35"/>
      <c r="S684" s="35"/>
      <c r="T684" s="35"/>
      <c r="U684" s="35"/>
    </row>
    <row r="685">
      <c r="A685" s="35" t="b">
        <v>0</v>
      </c>
      <c r="B685" s="35"/>
      <c r="C685" s="35"/>
      <c r="D685" s="35"/>
      <c r="E685" s="35"/>
      <c r="F685" s="35"/>
      <c r="G685" s="35"/>
      <c r="H685" s="35"/>
      <c r="I685" s="35"/>
      <c r="J685" s="35"/>
      <c r="K685" s="35"/>
      <c r="L685" s="35"/>
      <c r="M685" s="35"/>
      <c r="N685" s="35"/>
      <c r="O685" s="35"/>
      <c r="P685" s="35"/>
      <c r="Q685" s="35"/>
      <c r="R685" s="35"/>
      <c r="S685" s="35"/>
      <c r="T685" s="35"/>
      <c r="U685" s="35"/>
    </row>
    <row r="686">
      <c r="A686" s="35" t="b">
        <v>0</v>
      </c>
      <c r="B686" s="35"/>
      <c r="C686" s="35"/>
      <c r="D686" s="35"/>
      <c r="E686" s="35"/>
      <c r="F686" s="35"/>
      <c r="G686" s="35"/>
      <c r="H686" s="35"/>
      <c r="I686" s="35"/>
      <c r="J686" s="35"/>
      <c r="K686" s="35"/>
      <c r="L686" s="35"/>
      <c r="M686" s="35"/>
      <c r="N686" s="35"/>
      <c r="O686" s="35"/>
      <c r="P686" s="35"/>
      <c r="Q686" s="35"/>
      <c r="R686" s="35"/>
      <c r="S686" s="35"/>
      <c r="T686" s="35"/>
      <c r="U686" s="35"/>
    </row>
    <row r="687">
      <c r="A687" s="35" t="b">
        <v>0</v>
      </c>
      <c r="B687" s="35"/>
      <c r="C687" s="35"/>
      <c r="D687" s="35"/>
      <c r="E687" s="35"/>
      <c r="F687" s="35"/>
      <c r="G687" s="35"/>
      <c r="H687" s="35"/>
      <c r="I687" s="35"/>
      <c r="J687" s="35"/>
      <c r="K687" s="35"/>
      <c r="L687" s="35"/>
      <c r="M687" s="35"/>
      <c r="N687" s="35"/>
      <c r="O687" s="35"/>
      <c r="P687" s="35"/>
      <c r="Q687" s="35"/>
      <c r="R687" s="35"/>
      <c r="S687" s="35"/>
      <c r="T687" s="35"/>
      <c r="U687" s="35"/>
    </row>
    <row r="688">
      <c r="A688" s="35" t="b">
        <v>0</v>
      </c>
      <c r="B688" s="35"/>
      <c r="C688" s="35"/>
      <c r="D688" s="35"/>
      <c r="E688" s="35"/>
      <c r="F688" s="35"/>
      <c r="G688" s="35"/>
      <c r="H688" s="35"/>
      <c r="I688" s="35"/>
      <c r="J688" s="35"/>
      <c r="K688" s="35"/>
      <c r="L688" s="35"/>
      <c r="M688" s="35"/>
      <c r="N688" s="35"/>
      <c r="O688" s="35"/>
      <c r="P688" s="35"/>
      <c r="Q688" s="35"/>
      <c r="R688" s="35"/>
      <c r="S688" s="35"/>
      <c r="T688" s="35"/>
      <c r="U688" s="35"/>
    </row>
    <row r="689">
      <c r="A689" s="35" t="b">
        <v>0</v>
      </c>
      <c r="B689" s="35"/>
      <c r="C689" s="35"/>
      <c r="D689" s="35"/>
      <c r="E689" s="35"/>
      <c r="F689" s="35"/>
      <c r="G689" s="35"/>
      <c r="H689" s="35"/>
      <c r="I689" s="35"/>
      <c r="J689" s="35"/>
      <c r="K689" s="35"/>
      <c r="L689" s="35"/>
      <c r="M689" s="35"/>
      <c r="N689" s="35"/>
      <c r="O689" s="35"/>
      <c r="P689" s="35"/>
      <c r="Q689" s="35"/>
      <c r="R689" s="35"/>
      <c r="S689" s="35"/>
      <c r="T689" s="35"/>
      <c r="U689" s="35"/>
    </row>
    <row r="690">
      <c r="A690" s="35" t="b">
        <v>0</v>
      </c>
      <c r="B690" s="35"/>
      <c r="C690" s="35"/>
      <c r="D690" s="35"/>
      <c r="E690" s="35"/>
      <c r="F690" s="35"/>
      <c r="G690" s="35"/>
      <c r="H690" s="35"/>
      <c r="I690" s="35"/>
      <c r="J690" s="35"/>
      <c r="K690" s="35"/>
      <c r="L690" s="35"/>
      <c r="M690" s="35"/>
      <c r="N690" s="35"/>
      <c r="O690" s="35"/>
      <c r="P690" s="35"/>
      <c r="Q690" s="35"/>
      <c r="R690" s="35"/>
      <c r="S690" s="35"/>
      <c r="T690" s="35"/>
      <c r="U690" s="35"/>
    </row>
    <row r="691">
      <c r="A691" s="35" t="b">
        <v>0</v>
      </c>
      <c r="B691" s="35"/>
      <c r="C691" s="35"/>
      <c r="D691" s="35"/>
      <c r="E691" s="35"/>
      <c r="F691" s="35"/>
      <c r="G691" s="35"/>
      <c r="H691" s="35"/>
      <c r="I691" s="35"/>
      <c r="J691" s="35"/>
      <c r="K691" s="35"/>
      <c r="L691" s="35"/>
      <c r="M691" s="35"/>
      <c r="N691" s="35"/>
      <c r="O691" s="35"/>
      <c r="P691" s="35"/>
      <c r="Q691" s="35"/>
      <c r="R691" s="35"/>
      <c r="S691" s="35"/>
      <c r="T691" s="35"/>
      <c r="U691" s="35"/>
    </row>
    <row r="692">
      <c r="A692" s="35" t="b">
        <v>0</v>
      </c>
      <c r="B692" s="35"/>
      <c r="C692" s="35"/>
      <c r="D692" s="35"/>
      <c r="E692" s="35"/>
      <c r="F692" s="35"/>
      <c r="G692" s="35"/>
      <c r="H692" s="35"/>
      <c r="I692" s="35"/>
      <c r="J692" s="35"/>
      <c r="K692" s="35"/>
      <c r="L692" s="35"/>
      <c r="M692" s="35"/>
      <c r="N692" s="35"/>
      <c r="O692" s="35"/>
      <c r="P692" s="35"/>
      <c r="Q692" s="35"/>
      <c r="R692" s="35"/>
      <c r="S692" s="35"/>
      <c r="T692" s="35"/>
      <c r="U692" s="35"/>
    </row>
    <row r="693">
      <c r="A693" s="35" t="b">
        <v>0</v>
      </c>
      <c r="B693" s="35"/>
      <c r="C693" s="35"/>
      <c r="D693" s="35"/>
      <c r="E693" s="35"/>
      <c r="F693" s="35"/>
      <c r="G693" s="35"/>
      <c r="H693" s="35"/>
      <c r="I693" s="35"/>
      <c r="J693" s="35"/>
      <c r="K693" s="35"/>
      <c r="L693" s="35"/>
      <c r="M693" s="35"/>
      <c r="N693" s="35"/>
      <c r="O693" s="35"/>
      <c r="P693" s="35"/>
      <c r="Q693" s="35"/>
      <c r="R693" s="35"/>
      <c r="S693" s="35"/>
      <c r="T693" s="35"/>
      <c r="U693" s="35"/>
    </row>
    <row r="694">
      <c r="A694" s="35" t="b">
        <v>0</v>
      </c>
      <c r="B694" s="35"/>
      <c r="C694" s="35"/>
      <c r="D694" s="35"/>
      <c r="E694" s="35"/>
      <c r="F694" s="35"/>
      <c r="G694" s="35"/>
      <c r="H694" s="35"/>
      <c r="I694" s="35"/>
      <c r="J694" s="35"/>
      <c r="K694" s="35"/>
      <c r="L694" s="35"/>
      <c r="M694" s="35"/>
      <c r="N694" s="35"/>
      <c r="O694" s="35"/>
      <c r="P694" s="35"/>
      <c r="Q694" s="35"/>
      <c r="R694" s="35"/>
      <c r="S694" s="35"/>
      <c r="T694" s="35"/>
      <c r="U694" s="35"/>
    </row>
    <row r="695">
      <c r="A695" s="35" t="b">
        <v>0</v>
      </c>
      <c r="B695" s="35"/>
      <c r="C695" s="35"/>
      <c r="D695" s="35"/>
      <c r="E695" s="35"/>
      <c r="F695" s="35"/>
      <c r="G695" s="35"/>
      <c r="H695" s="35"/>
      <c r="I695" s="35"/>
      <c r="J695" s="35"/>
      <c r="K695" s="35"/>
      <c r="L695" s="35"/>
      <c r="M695" s="35"/>
      <c r="N695" s="35"/>
      <c r="O695" s="35"/>
      <c r="P695" s="35"/>
      <c r="Q695" s="35"/>
      <c r="R695" s="35"/>
      <c r="S695" s="35"/>
      <c r="T695" s="35"/>
      <c r="U695" s="35"/>
    </row>
    <row r="696">
      <c r="A696" s="35" t="b">
        <v>0</v>
      </c>
      <c r="B696" s="35"/>
      <c r="C696" s="35"/>
      <c r="D696" s="35"/>
      <c r="E696" s="35"/>
      <c r="F696" s="35"/>
      <c r="G696" s="35"/>
      <c r="H696" s="35"/>
      <c r="I696" s="35"/>
      <c r="J696" s="35"/>
      <c r="K696" s="35"/>
      <c r="L696" s="35"/>
      <c r="M696" s="35"/>
      <c r="N696" s="35"/>
      <c r="O696" s="35"/>
      <c r="P696" s="35"/>
      <c r="Q696" s="35"/>
      <c r="R696" s="35"/>
      <c r="S696" s="35"/>
      <c r="T696" s="35"/>
      <c r="U696" s="35"/>
    </row>
    <row r="697">
      <c r="A697" s="35" t="b">
        <v>0</v>
      </c>
      <c r="B697" s="35"/>
      <c r="C697" s="35"/>
      <c r="D697" s="35"/>
      <c r="E697" s="35"/>
      <c r="F697" s="35"/>
      <c r="G697" s="35"/>
      <c r="H697" s="35"/>
      <c r="I697" s="35"/>
      <c r="J697" s="35"/>
      <c r="K697" s="35"/>
      <c r="L697" s="35"/>
      <c r="M697" s="35"/>
      <c r="N697" s="35"/>
      <c r="O697" s="35"/>
      <c r="P697" s="35"/>
      <c r="Q697" s="35"/>
      <c r="R697" s="35"/>
      <c r="S697" s="35"/>
      <c r="T697" s="35"/>
      <c r="U697" s="35"/>
    </row>
    <row r="698">
      <c r="A698" s="35" t="b">
        <v>0</v>
      </c>
      <c r="B698" s="35"/>
      <c r="C698" s="35"/>
      <c r="D698" s="35"/>
      <c r="E698" s="35"/>
      <c r="F698" s="35"/>
      <c r="G698" s="35"/>
      <c r="H698" s="35"/>
      <c r="I698" s="35"/>
      <c r="J698" s="35"/>
      <c r="K698" s="35"/>
      <c r="L698" s="35"/>
      <c r="M698" s="35"/>
      <c r="N698" s="35"/>
      <c r="O698" s="35"/>
      <c r="P698" s="35"/>
      <c r="Q698" s="35"/>
      <c r="R698" s="35"/>
      <c r="S698" s="35"/>
      <c r="T698" s="35"/>
      <c r="U698" s="35"/>
    </row>
    <row r="699">
      <c r="A699" s="35" t="b">
        <v>0</v>
      </c>
      <c r="B699" s="35"/>
      <c r="C699" s="35"/>
      <c r="D699" s="35"/>
      <c r="E699" s="35"/>
      <c r="F699" s="35"/>
      <c r="G699" s="35"/>
      <c r="H699" s="35"/>
      <c r="I699" s="35"/>
      <c r="J699" s="35"/>
      <c r="K699" s="35"/>
      <c r="L699" s="35"/>
      <c r="M699" s="35"/>
      <c r="N699" s="35"/>
      <c r="O699" s="35"/>
      <c r="P699" s="35"/>
      <c r="Q699" s="35"/>
      <c r="R699" s="35"/>
      <c r="S699" s="35"/>
      <c r="T699" s="35"/>
      <c r="U699" s="35"/>
    </row>
    <row r="700">
      <c r="A700" s="35" t="b">
        <v>0</v>
      </c>
      <c r="B700" s="35"/>
      <c r="C700" s="35"/>
      <c r="D700" s="35"/>
      <c r="E700" s="35"/>
      <c r="F700" s="35"/>
      <c r="G700" s="35"/>
      <c r="H700" s="35"/>
      <c r="I700" s="35"/>
      <c r="J700" s="35"/>
      <c r="K700" s="35"/>
      <c r="L700" s="35"/>
      <c r="M700" s="35"/>
      <c r="N700" s="35"/>
      <c r="O700" s="35"/>
      <c r="P700" s="35"/>
      <c r="Q700" s="35"/>
      <c r="R700" s="35"/>
      <c r="S700" s="35"/>
      <c r="T700" s="35"/>
      <c r="U700" s="35"/>
    </row>
    <row r="701">
      <c r="A701" s="35" t="b">
        <v>0</v>
      </c>
      <c r="B701" s="35"/>
      <c r="C701" s="35"/>
      <c r="D701" s="35"/>
      <c r="E701" s="35"/>
      <c r="F701" s="35"/>
      <c r="G701" s="35"/>
      <c r="H701" s="35"/>
      <c r="I701" s="35"/>
      <c r="J701" s="35"/>
      <c r="K701" s="35"/>
      <c r="L701" s="35"/>
      <c r="M701" s="35"/>
      <c r="N701" s="35"/>
      <c r="O701" s="35"/>
      <c r="P701" s="35"/>
      <c r="Q701" s="35"/>
      <c r="R701" s="35"/>
      <c r="S701" s="35"/>
      <c r="T701" s="35"/>
      <c r="U701" s="35"/>
    </row>
    <row r="702">
      <c r="A702" s="35" t="b">
        <v>0</v>
      </c>
      <c r="B702" s="35"/>
      <c r="C702" s="35"/>
      <c r="D702" s="35"/>
      <c r="E702" s="35"/>
      <c r="F702" s="35"/>
      <c r="G702" s="35"/>
      <c r="H702" s="35"/>
      <c r="I702" s="35"/>
      <c r="J702" s="35"/>
      <c r="K702" s="35"/>
      <c r="L702" s="35"/>
      <c r="M702" s="35"/>
      <c r="N702" s="35"/>
      <c r="O702" s="35"/>
      <c r="P702" s="35"/>
      <c r="Q702" s="35"/>
      <c r="R702" s="35"/>
      <c r="S702" s="35"/>
      <c r="T702" s="35"/>
      <c r="U702" s="35"/>
    </row>
    <row r="703">
      <c r="A703" s="35" t="b">
        <v>0</v>
      </c>
      <c r="B703" s="35"/>
      <c r="C703" s="35"/>
      <c r="D703" s="35"/>
      <c r="E703" s="35"/>
      <c r="F703" s="35"/>
      <c r="G703" s="35"/>
      <c r="H703" s="35"/>
      <c r="I703" s="35"/>
      <c r="J703" s="35"/>
      <c r="K703" s="35"/>
      <c r="L703" s="35"/>
      <c r="M703" s="35"/>
      <c r="N703" s="35"/>
      <c r="O703" s="35"/>
      <c r="P703" s="35"/>
      <c r="Q703" s="35"/>
      <c r="R703" s="35"/>
      <c r="S703" s="35"/>
      <c r="T703" s="35"/>
      <c r="U703" s="35"/>
    </row>
    <row r="704">
      <c r="A704" s="35" t="b">
        <v>0</v>
      </c>
      <c r="B704" s="35"/>
      <c r="C704" s="35"/>
      <c r="D704" s="35"/>
      <c r="E704" s="35"/>
      <c r="F704" s="35"/>
      <c r="G704" s="35"/>
      <c r="H704" s="35"/>
      <c r="I704" s="35"/>
      <c r="J704" s="35"/>
      <c r="K704" s="35"/>
      <c r="L704" s="35"/>
      <c r="M704" s="35"/>
      <c r="N704" s="35"/>
      <c r="O704" s="35"/>
      <c r="P704" s="35"/>
      <c r="Q704" s="35"/>
      <c r="R704" s="35"/>
      <c r="S704" s="35"/>
      <c r="T704" s="35"/>
      <c r="U704" s="35"/>
    </row>
    <row r="705">
      <c r="A705" s="35" t="b">
        <v>0</v>
      </c>
      <c r="B705" s="35"/>
      <c r="C705" s="35"/>
      <c r="D705" s="35"/>
      <c r="E705" s="35"/>
      <c r="F705" s="35"/>
      <c r="G705" s="35"/>
      <c r="H705" s="35"/>
      <c r="I705" s="35"/>
      <c r="J705" s="35"/>
      <c r="K705" s="35"/>
      <c r="L705" s="35"/>
      <c r="M705" s="35"/>
      <c r="N705" s="35"/>
      <c r="O705" s="35"/>
      <c r="P705" s="35"/>
      <c r="Q705" s="35"/>
      <c r="R705" s="35"/>
      <c r="S705" s="35"/>
      <c r="T705" s="35"/>
      <c r="U705" s="35"/>
    </row>
    <row r="706">
      <c r="A706" s="35" t="b">
        <v>0</v>
      </c>
      <c r="B706" s="35"/>
      <c r="C706" s="35"/>
      <c r="D706" s="35"/>
      <c r="E706" s="35"/>
      <c r="F706" s="35"/>
      <c r="G706" s="35"/>
      <c r="H706" s="35"/>
      <c r="I706" s="35"/>
      <c r="J706" s="35"/>
      <c r="K706" s="35"/>
      <c r="L706" s="35"/>
      <c r="M706" s="35"/>
      <c r="N706" s="35"/>
      <c r="O706" s="35"/>
      <c r="P706" s="35"/>
      <c r="Q706" s="35"/>
      <c r="R706" s="35"/>
      <c r="S706" s="35"/>
      <c r="T706" s="35"/>
      <c r="U706" s="35"/>
    </row>
    <row r="707">
      <c r="A707" s="35" t="b">
        <v>0</v>
      </c>
      <c r="B707" s="35"/>
      <c r="C707" s="35"/>
      <c r="D707" s="35"/>
      <c r="E707" s="35"/>
      <c r="F707" s="35"/>
      <c r="G707" s="35"/>
      <c r="H707" s="35"/>
      <c r="I707" s="35"/>
      <c r="J707" s="35"/>
      <c r="K707" s="35"/>
      <c r="L707" s="35"/>
      <c r="M707" s="35"/>
      <c r="N707" s="35"/>
      <c r="O707" s="35"/>
      <c r="P707" s="35"/>
      <c r="Q707" s="35"/>
      <c r="R707" s="35"/>
      <c r="S707" s="35"/>
      <c r="T707" s="35"/>
      <c r="U707" s="35"/>
    </row>
    <row r="708">
      <c r="A708" s="35" t="b">
        <v>0</v>
      </c>
      <c r="B708" s="35"/>
      <c r="C708" s="35"/>
      <c r="D708" s="35"/>
      <c r="E708" s="35"/>
      <c r="F708" s="35"/>
      <c r="G708" s="35"/>
      <c r="H708" s="35"/>
      <c r="I708" s="35"/>
      <c r="J708" s="35"/>
      <c r="K708" s="35"/>
      <c r="L708" s="35"/>
      <c r="M708" s="35"/>
      <c r="N708" s="35"/>
      <c r="O708" s="35"/>
      <c r="P708" s="35"/>
      <c r="Q708" s="35"/>
      <c r="R708" s="35"/>
      <c r="S708" s="35"/>
      <c r="T708" s="35"/>
      <c r="U708" s="35"/>
    </row>
    <row r="709">
      <c r="A709" s="35" t="b">
        <v>0</v>
      </c>
      <c r="B709" s="35"/>
      <c r="C709" s="35"/>
      <c r="D709" s="35"/>
      <c r="E709" s="35"/>
      <c r="F709" s="35"/>
      <c r="G709" s="35"/>
      <c r="H709" s="35"/>
      <c r="I709" s="35"/>
      <c r="J709" s="35"/>
      <c r="K709" s="35"/>
      <c r="L709" s="35"/>
      <c r="M709" s="35"/>
      <c r="N709" s="35"/>
      <c r="O709" s="35"/>
      <c r="P709" s="35"/>
      <c r="Q709" s="35"/>
      <c r="R709" s="35"/>
      <c r="S709" s="35"/>
      <c r="T709" s="35"/>
      <c r="U709" s="35"/>
    </row>
    <row r="710">
      <c r="A710" s="35" t="b">
        <v>0</v>
      </c>
      <c r="B710" s="35"/>
      <c r="C710" s="35"/>
      <c r="D710" s="35"/>
      <c r="E710" s="35"/>
      <c r="F710" s="35"/>
      <c r="G710" s="35"/>
      <c r="H710" s="35"/>
      <c r="I710" s="35"/>
      <c r="J710" s="35"/>
      <c r="K710" s="35"/>
      <c r="L710" s="35"/>
      <c r="M710" s="35"/>
      <c r="N710" s="35"/>
      <c r="O710" s="35"/>
      <c r="P710" s="35"/>
      <c r="Q710" s="35"/>
      <c r="R710" s="35"/>
      <c r="S710" s="35"/>
      <c r="T710" s="35"/>
      <c r="U710" s="35"/>
    </row>
    <row r="711">
      <c r="A711" s="35" t="b">
        <v>0</v>
      </c>
      <c r="B711" s="35"/>
      <c r="C711" s="35"/>
      <c r="D711" s="35"/>
      <c r="E711" s="35"/>
      <c r="F711" s="35"/>
      <c r="G711" s="35"/>
      <c r="H711" s="35"/>
      <c r="I711" s="35"/>
      <c r="J711" s="35"/>
      <c r="K711" s="35"/>
      <c r="L711" s="35"/>
      <c r="M711" s="35"/>
      <c r="N711" s="35"/>
      <c r="O711" s="35"/>
      <c r="P711" s="35"/>
      <c r="Q711" s="35"/>
      <c r="R711" s="35"/>
      <c r="S711" s="35"/>
      <c r="T711" s="35"/>
      <c r="U711" s="35"/>
    </row>
    <row r="712">
      <c r="A712" s="35" t="b">
        <v>0</v>
      </c>
      <c r="B712" s="35"/>
      <c r="C712" s="35"/>
      <c r="D712" s="35"/>
      <c r="E712" s="35"/>
      <c r="F712" s="35"/>
      <c r="G712" s="35"/>
      <c r="H712" s="35"/>
      <c r="I712" s="35"/>
      <c r="J712" s="35"/>
      <c r="K712" s="35"/>
      <c r="L712" s="35"/>
      <c r="M712" s="35"/>
      <c r="N712" s="35"/>
      <c r="O712" s="35"/>
      <c r="P712" s="35"/>
      <c r="Q712" s="35"/>
      <c r="R712" s="35"/>
      <c r="S712" s="35"/>
      <c r="T712" s="35"/>
      <c r="U712" s="35"/>
    </row>
    <row r="713">
      <c r="A713" s="35" t="b">
        <v>0</v>
      </c>
      <c r="B713" s="35"/>
      <c r="C713" s="35"/>
      <c r="D713" s="35"/>
      <c r="E713" s="35"/>
      <c r="F713" s="35"/>
      <c r="G713" s="35"/>
      <c r="H713" s="35"/>
      <c r="I713" s="35"/>
      <c r="J713" s="35"/>
      <c r="K713" s="35"/>
      <c r="L713" s="35"/>
      <c r="M713" s="35"/>
      <c r="N713" s="35"/>
      <c r="O713" s="35"/>
      <c r="P713" s="35"/>
      <c r="Q713" s="35"/>
      <c r="R713" s="35"/>
      <c r="S713" s="35"/>
      <c r="T713" s="35"/>
      <c r="U713" s="35"/>
    </row>
    <row r="714">
      <c r="A714" s="35" t="b">
        <v>0</v>
      </c>
      <c r="B714" s="35"/>
      <c r="C714" s="35"/>
      <c r="D714" s="35"/>
      <c r="E714" s="35"/>
      <c r="F714" s="35"/>
      <c r="G714" s="35"/>
      <c r="H714" s="35"/>
      <c r="I714" s="35"/>
      <c r="J714" s="35"/>
      <c r="K714" s="35"/>
      <c r="L714" s="35"/>
      <c r="M714" s="35"/>
      <c r="N714" s="35"/>
      <c r="O714" s="35"/>
      <c r="P714" s="35"/>
      <c r="Q714" s="35"/>
      <c r="R714" s="35"/>
      <c r="S714" s="35"/>
      <c r="T714" s="35"/>
      <c r="U714" s="35"/>
    </row>
    <row r="715">
      <c r="A715" s="35" t="b">
        <v>0</v>
      </c>
      <c r="B715" s="35"/>
      <c r="C715" s="35"/>
      <c r="D715" s="35"/>
      <c r="E715" s="35"/>
      <c r="F715" s="35"/>
      <c r="G715" s="35"/>
      <c r="H715" s="35"/>
      <c r="I715" s="35"/>
      <c r="J715" s="35"/>
      <c r="K715" s="35"/>
      <c r="L715" s="35"/>
      <c r="M715" s="35"/>
      <c r="N715" s="35"/>
      <c r="O715" s="35"/>
      <c r="P715" s="35"/>
      <c r="Q715" s="35"/>
      <c r="R715" s="35"/>
      <c r="S715" s="35"/>
      <c r="T715" s="35"/>
      <c r="U715" s="35"/>
    </row>
    <row r="716">
      <c r="A716" s="35" t="b">
        <v>0</v>
      </c>
      <c r="B716" s="35"/>
      <c r="C716" s="35"/>
      <c r="D716" s="35"/>
      <c r="E716" s="35"/>
      <c r="F716" s="35"/>
      <c r="G716" s="35"/>
      <c r="H716" s="35"/>
      <c r="I716" s="35"/>
      <c r="J716" s="35"/>
      <c r="K716" s="35"/>
      <c r="L716" s="35"/>
      <c r="M716" s="35"/>
      <c r="N716" s="35"/>
      <c r="O716" s="35"/>
      <c r="P716" s="35"/>
      <c r="Q716" s="35"/>
      <c r="R716" s="35"/>
      <c r="S716" s="35"/>
      <c r="T716" s="35"/>
      <c r="U716" s="35"/>
    </row>
    <row r="717">
      <c r="A717" s="35" t="b">
        <v>0</v>
      </c>
      <c r="B717" s="35"/>
      <c r="C717" s="35"/>
      <c r="D717" s="35"/>
      <c r="E717" s="35"/>
      <c r="F717" s="35"/>
      <c r="G717" s="35"/>
      <c r="H717" s="35"/>
      <c r="I717" s="35"/>
      <c r="J717" s="35"/>
      <c r="K717" s="35"/>
      <c r="L717" s="35"/>
      <c r="M717" s="35"/>
      <c r="N717" s="35"/>
      <c r="O717" s="35"/>
      <c r="P717" s="35"/>
      <c r="Q717" s="35"/>
      <c r="R717" s="35"/>
      <c r="S717" s="35"/>
      <c r="T717" s="35"/>
      <c r="U717" s="35"/>
    </row>
    <row r="718">
      <c r="A718" s="35" t="b">
        <v>0</v>
      </c>
      <c r="B718" s="35"/>
      <c r="C718" s="35"/>
      <c r="D718" s="35"/>
      <c r="E718" s="35"/>
      <c r="F718" s="35"/>
      <c r="G718" s="35"/>
      <c r="H718" s="35"/>
      <c r="I718" s="35"/>
      <c r="J718" s="35"/>
      <c r="K718" s="35"/>
      <c r="L718" s="35"/>
      <c r="M718" s="35"/>
      <c r="N718" s="35"/>
      <c r="O718" s="35"/>
      <c r="P718" s="35"/>
      <c r="Q718" s="35"/>
      <c r="R718" s="35"/>
      <c r="S718" s="35"/>
      <c r="T718" s="35"/>
      <c r="U718" s="35"/>
    </row>
    <row r="719">
      <c r="A719" s="35" t="b">
        <v>0</v>
      </c>
      <c r="B719" s="35"/>
      <c r="C719" s="35"/>
      <c r="D719" s="35"/>
      <c r="E719" s="35"/>
      <c r="F719" s="35"/>
      <c r="G719" s="35"/>
      <c r="H719" s="35"/>
      <c r="I719" s="35"/>
      <c r="J719" s="35"/>
      <c r="K719" s="35"/>
      <c r="L719" s="35"/>
      <c r="M719" s="35"/>
      <c r="N719" s="35"/>
      <c r="O719" s="35"/>
      <c r="P719" s="35"/>
      <c r="Q719" s="35"/>
      <c r="R719" s="35"/>
      <c r="S719" s="35"/>
      <c r="T719" s="35"/>
      <c r="U719" s="35"/>
    </row>
    <row r="720">
      <c r="A720" s="35" t="b">
        <v>0</v>
      </c>
      <c r="B720" s="35"/>
      <c r="C720" s="35"/>
      <c r="D720" s="35"/>
      <c r="E720" s="35"/>
      <c r="F720" s="35"/>
      <c r="G720" s="35"/>
      <c r="H720" s="35"/>
      <c r="I720" s="35"/>
      <c r="J720" s="35"/>
      <c r="K720" s="35"/>
      <c r="L720" s="35"/>
      <c r="M720" s="35"/>
      <c r="N720" s="35"/>
      <c r="O720" s="35"/>
      <c r="P720" s="35"/>
      <c r="Q720" s="35"/>
      <c r="R720" s="35"/>
      <c r="S720" s="35"/>
      <c r="T720" s="35"/>
      <c r="U720" s="35"/>
    </row>
    <row r="721">
      <c r="A721" s="35" t="b">
        <v>0</v>
      </c>
      <c r="B721" s="35"/>
      <c r="C721" s="35"/>
      <c r="D721" s="35"/>
      <c r="E721" s="35"/>
      <c r="F721" s="35"/>
      <c r="G721" s="35"/>
      <c r="H721" s="35"/>
      <c r="I721" s="35"/>
      <c r="J721" s="35"/>
      <c r="K721" s="35"/>
      <c r="L721" s="35"/>
      <c r="M721" s="35"/>
      <c r="N721" s="35"/>
      <c r="O721" s="35"/>
      <c r="P721" s="35"/>
      <c r="Q721" s="35"/>
      <c r="R721" s="35"/>
      <c r="S721" s="35"/>
      <c r="T721" s="35"/>
      <c r="U721" s="35"/>
    </row>
    <row r="722">
      <c r="A722" s="35" t="b">
        <v>0</v>
      </c>
      <c r="B722" s="35"/>
      <c r="C722" s="35"/>
      <c r="D722" s="35"/>
      <c r="E722" s="35"/>
      <c r="F722" s="35"/>
      <c r="G722" s="35"/>
      <c r="H722" s="35"/>
      <c r="I722" s="35"/>
      <c r="J722" s="35"/>
      <c r="K722" s="35"/>
      <c r="L722" s="35"/>
      <c r="M722" s="35"/>
      <c r="N722" s="35"/>
      <c r="O722" s="35"/>
      <c r="P722" s="35"/>
      <c r="Q722" s="35"/>
      <c r="R722" s="35"/>
      <c r="S722" s="35"/>
      <c r="T722" s="35"/>
      <c r="U722" s="35"/>
    </row>
    <row r="723">
      <c r="A723" s="35" t="b">
        <v>0</v>
      </c>
      <c r="B723" s="35"/>
      <c r="C723" s="35"/>
      <c r="D723" s="35"/>
      <c r="E723" s="35"/>
      <c r="F723" s="35"/>
      <c r="G723" s="35"/>
      <c r="H723" s="35"/>
      <c r="I723" s="35"/>
      <c r="J723" s="35"/>
      <c r="K723" s="35"/>
      <c r="L723" s="35"/>
      <c r="M723" s="35"/>
      <c r="N723" s="35"/>
      <c r="O723" s="35"/>
      <c r="P723" s="35"/>
      <c r="Q723" s="35"/>
      <c r="R723" s="35"/>
      <c r="S723" s="35"/>
      <c r="T723" s="35"/>
      <c r="U723" s="35"/>
    </row>
    <row r="724">
      <c r="A724" s="35" t="b">
        <v>0</v>
      </c>
      <c r="B724" s="35"/>
      <c r="C724" s="35"/>
      <c r="D724" s="35"/>
      <c r="E724" s="35"/>
      <c r="F724" s="35"/>
      <c r="G724" s="35"/>
      <c r="H724" s="35"/>
      <c r="I724" s="35"/>
      <c r="J724" s="35"/>
      <c r="K724" s="35"/>
      <c r="L724" s="35"/>
      <c r="M724" s="35"/>
      <c r="N724" s="35"/>
      <c r="O724" s="35"/>
      <c r="P724" s="35"/>
      <c r="Q724" s="35"/>
      <c r="R724" s="35"/>
      <c r="S724" s="35"/>
      <c r="T724" s="35"/>
      <c r="U724" s="35"/>
    </row>
    <row r="725">
      <c r="A725" s="35" t="b">
        <v>0</v>
      </c>
      <c r="B725" s="35"/>
      <c r="C725" s="35"/>
      <c r="D725" s="35"/>
      <c r="E725" s="35"/>
      <c r="F725" s="35"/>
      <c r="G725" s="35"/>
      <c r="H725" s="35"/>
      <c r="I725" s="35"/>
      <c r="J725" s="35"/>
      <c r="K725" s="35"/>
      <c r="L725" s="35"/>
      <c r="M725" s="35"/>
      <c r="N725" s="35"/>
      <c r="O725" s="35"/>
      <c r="P725" s="35"/>
      <c r="Q725" s="35"/>
      <c r="R725" s="35"/>
      <c r="S725" s="35"/>
      <c r="T725" s="35"/>
      <c r="U725" s="35"/>
    </row>
    <row r="726">
      <c r="A726" s="35" t="b">
        <v>0</v>
      </c>
      <c r="B726" s="35"/>
      <c r="C726" s="35"/>
      <c r="D726" s="35"/>
      <c r="E726" s="35"/>
      <c r="F726" s="35"/>
      <c r="G726" s="35"/>
      <c r="H726" s="35"/>
      <c r="I726" s="35"/>
      <c r="J726" s="35"/>
      <c r="K726" s="35"/>
      <c r="L726" s="35"/>
      <c r="M726" s="35"/>
      <c r="N726" s="35"/>
      <c r="O726" s="35"/>
      <c r="P726" s="35"/>
      <c r="Q726" s="35"/>
      <c r="R726" s="35"/>
      <c r="S726" s="35"/>
      <c r="T726" s="35"/>
      <c r="U726" s="35"/>
    </row>
    <row r="727">
      <c r="A727" s="35" t="b">
        <v>0</v>
      </c>
      <c r="B727" s="35"/>
      <c r="C727" s="35"/>
      <c r="D727" s="35"/>
      <c r="E727" s="35"/>
      <c r="F727" s="35"/>
      <c r="G727" s="35"/>
      <c r="H727" s="35"/>
      <c r="I727" s="35"/>
      <c r="J727" s="35"/>
      <c r="K727" s="35"/>
      <c r="L727" s="35"/>
      <c r="M727" s="35"/>
      <c r="N727" s="35"/>
      <c r="O727" s="35"/>
      <c r="P727" s="35"/>
      <c r="Q727" s="35"/>
      <c r="R727" s="35"/>
      <c r="S727" s="35"/>
      <c r="T727" s="35"/>
      <c r="U727" s="35"/>
    </row>
    <row r="728">
      <c r="A728" s="35" t="b">
        <v>0</v>
      </c>
      <c r="B728" s="35"/>
      <c r="C728" s="35"/>
      <c r="D728" s="35"/>
      <c r="E728" s="35"/>
      <c r="F728" s="35"/>
      <c r="G728" s="35"/>
      <c r="H728" s="35"/>
      <c r="I728" s="35"/>
      <c r="J728" s="35"/>
      <c r="K728" s="35"/>
      <c r="L728" s="35"/>
      <c r="M728" s="35"/>
      <c r="N728" s="35"/>
      <c r="O728" s="35"/>
      <c r="P728" s="35"/>
      <c r="Q728" s="35"/>
      <c r="R728" s="35"/>
      <c r="S728" s="35"/>
      <c r="T728" s="35"/>
      <c r="U728" s="35"/>
    </row>
    <row r="729">
      <c r="A729" s="35" t="b">
        <v>0</v>
      </c>
      <c r="B729" s="35"/>
      <c r="C729" s="35"/>
      <c r="D729" s="35"/>
      <c r="E729" s="35"/>
      <c r="F729" s="35"/>
      <c r="G729" s="35"/>
      <c r="H729" s="35"/>
      <c r="I729" s="35"/>
      <c r="J729" s="35"/>
      <c r="K729" s="35"/>
      <c r="L729" s="35"/>
      <c r="M729" s="35"/>
      <c r="N729" s="35"/>
      <c r="O729" s="35"/>
      <c r="P729" s="35"/>
      <c r="Q729" s="35"/>
      <c r="R729" s="35"/>
      <c r="S729" s="35"/>
      <c r="T729" s="35"/>
      <c r="U729" s="35"/>
    </row>
    <row r="730">
      <c r="A730" s="35" t="b">
        <v>0</v>
      </c>
      <c r="B730" s="35"/>
      <c r="C730" s="35"/>
      <c r="D730" s="35"/>
      <c r="E730" s="35"/>
      <c r="F730" s="35"/>
      <c r="G730" s="35"/>
      <c r="H730" s="35"/>
      <c r="I730" s="35"/>
      <c r="J730" s="35"/>
      <c r="K730" s="35"/>
      <c r="L730" s="35"/>
      <c r="M730" s="35"/>
      <c r="N730" s="35"/>
      <c r="O730" s="35"/>
      <c r="P730" s="35"/>
      <c r="Q730" s="35"/>
      <c r="R730" s="35"/>
      <c r="S730" s="35"/>
      <c r="T730" s="35"/>
      <c r="U730" s="35"/>
    </row>
    <row r="731">
      <c r="A731" s="35" t="b">
        <v>0</v>
      </c>
      <c r="B731" s="35"/>
      <c r="C731" s="35"/>
      <c r="D731" s="35"/>
      <c r="E731" s="35"/>
      <c r="F731" s="35"/>
      <c r="G731" s="35"/>
      <c r="H731" s="35"/>
      <c r="I731" s="35"/>
      <c r="J731" s="35"/>
      <c r="K731" s="35"/>
      <c r="L731" s="35"/>
      <c r="M731" s="35"/>
      <c r="N731" s="35"/>
      <c r="O731" s="35"/>
      <c r="P731" s="35"/>
      <c r="Q731" s="35"/>
      <c r="R731" s="35"/>
      <c r="S731" s="35"/>
      <c r="T731" s="35"/>
      <c r="U731" s="35"/>
    </row>
    <row r="732">
      <c r="A732" s="35" t="b">
        <v>0</v>
      </c>
      <c r="B732" s="35"/>
      <c r="C732" s="35"/>
      <c r="D732" s="35"/>
      <c r="E732" s="35"/>
      <c r="F732" s="35"/>
      <c r="G732" s="35"/>
      <c r="H732" s="35"/>
      <c r="I732" s="35"/>
      <c r="J732" s="35"/>
      <c r="K732" s="35"/>
      <c r="L732" s="35"/>
      <c r="M732" s="35"/>
      <c r="N732" s="35"/>
      <c r="O732" s="35"/>
      <c r="P732" s="35"/>
      <c r="Q732" s="35"/>
      <c r="R732" s="35"/>
      <c r="S732" s="35"/>
      <c r="T732" s="35"/>
      <c r="U732" s="35"/>
    </row>
    <row r="733">
      <c r="A733" s="35" t="b">
        <v>0</v>
      </c>
      <c r="B733" s="35"/>
      <c r="C733" s="35"/>
      <c r="D733" s="35"/>
      <c r="E733" s="35"/>
      <c r="F733" s="35"/>
      <c r="G733" s="35"/>
      <c r="H733" s="35"/>
      <c r="I733" s="35"/>
      <c r="J733" s="35"/>
      <c r="K733" s="35"/>
      <c r="L733" s="35"/>
      <c r="M733" s="35"/>
      <c r="N733" s="35"/>
      <c r="O733" s="35"/>
      <c r="P733" s="35"/>
      <c r="Q733" s="35"/>
      <c r="R733" s="35"/>
      <c r="S733" s="35"/>
      <c r="T733" s="35"/>
      <c r="U733" s="35"/>
    </row>
    <row r="734">
      <c r="A734" s="35" t="b">
        <v>0</v>
      </c>
      <c r="B734" s="35"/>
      <c r="C734" s="35"/>
      <c r="D734" s="35"/>
      <c r="E734" s="35"/>
      <c r="F734" s="35"/>
      <c r="G734" s="35"/>
      <c r="H734" s="35"/>
      <c r="I734" s="35"/>
      <c r="J734" s="35"/>
      <c r="K734" s="35"/>
      <c r="L734" s="35"/>
      <c r="M734" s="35"/>
      <c r="N734" s="35"/>
      <c r="O734" s="35"/>
      <c r="P734" s="35"/>
      <c r="Q734" s="35"/>
      <c r="R734" s="35"/>
      <c r="S734" s="35"/>
      <c r="T734" s="35"/>
      <c r="U734" s="35"/>
    </row>
    <row r="735">
      <c r="A735" s="35" t="b">
        <v>0</v>
      </c>
      <c r="B735" s="35"/>
      <c r="C735" s="35"/>
      <c r="D735" s="35"/>
      <c r="E735" s="35"/>
      <c r="F735" s="35"/>
      <c r="G735" s="35"/>
      <c r="H735" s="35"/>
      <c r="I735" s="35"/>
      <c r="J735" s="35"/>
      <c r="K735" s="35"/>
      <c r="L735" s="35"/>
      <c r="M735" s="35"/>
      <c r="N735" s="35"/>
      <c r="O735" s="35"/>
      <c r="P735" s="35"/>
      <c r="Q735" s="35"/>
      <c r="R735" s="35"/>
      <c r="S735" s="35"/>
      <c r="T735" s="35"/>
      <c r="U735" s="35"/>
    </row>
    <row r="736">
      <c r="A736" s="35" t="b">
        <v>0</v>
      </c>
      <c r="B736" s="35"/>
      <c r="C736" s="35"/>
      <c r="D736" s="35"/>
      <c r="E736" s="35"/>
      <c r="F736" s="35"/>
      <c r="G736" s="35"/>
      <c r="H736" s="35"/>
      <c r="I736" s="35"/>
      <c r="J736" s="35"/>
      <c r="K736" s="35"/>
      <c r="L736" s="35"/>
      <c r="M736" s="35"/>
      <c r="N736" s="35"/>
      <c r="O736" s="35"/>
      <c r="P736" s="35"/>
      <c r="Q736" s="35"/>
      <c r="R736" s="35"/>
      <c r="S736" s="35"/>
      <c r="T736" s="35"/>
      <c r="U736" s="35"/>
    </row>
    <row r="737">
      <c r="A737" s="35" t="b">
        <v>0</v>
      </c>
      <c r="B737" s="35"/>
      <c r="C737" s="35"/>
      <c r="D737" s="35"/>
      <c r="E737" s="35"/>
      <c r="F737" s="35"/>
      <c r="G737" s="35"/>
      <c r="H737" s="35"/>
      <c r="I737" s="35"/>
      <c r="J737" s="35"/>
      <c r="K737" s="35"/>
      <c r="L737" s="35"/>
      <c r="M737" s="35"/>
      <c r="N737" s="35"/>
      <c r="O737" s="35"/>
      <c r="P737" s="35"/>
      <c r="Q737" s="35"/>
      <c r="R737" s="35"/>
      <c r="S737" s="35"/>
      <c r="T737" s="35"/>
      <c r="U737" s="35"/>
    </row>
    <row r="738">
      <c r="A738" s="35" t="b">
        <v>0</v>
      </c>
      <c r="B738" s="35"/>
      <c r="C738" s="35"/>
      <c r="D738" s="35"/>
      <c r="E738" s="35"/>
      <c r="F738" s="35"/>
      <c r="G738" s="35"/>
      <c r="H738" s="35"/>
      <c r="I738" s="35"/>
      <c r="J738" s="35"/>
      <c r="K738" s="35"/>
      <c r="L738" s="35"/>
      <c r="M738" s="35"/>
      <c r="N738" s="35"/>
      <c r="O738" s="35"/>
      <c r="P738" s="35"/>
      <c r="Q738" s="35"/>
      <c r="R738" s="35"/>
      <c r="S738" s="35"/>
      <c r="T738" s="35"/>
      <c r="U738" s="35"/>
    </row>
    <row r="739">
      <c r="A739" s="35" t="b">
        <v>0</v>
      </c>
      <c r="B739" s="35"/>
      <c r="C739" s="35"/>
      <c r="D739" s="35"/>
      <c r="E739" s="35"/>
      <c r="F739" s="35"/>
      <c r="G739" s="35"/>
      <c r="H739" s="35"/>
      <c r="I739" s="35"/>
      <c r="J739" s="35"/>
      <c r="K739" s="35"/>
      <c r="L739" s="35"/>
      <c r="M739" s="35"/>
      <c r="N739" s="35"/>
      <c r="O739" s="35"/>
      <c r="P739" s="35"/>
      <c r="Q739" s="35"/>
      <c r="R739" s="35"/>
      <c r="S739" s="35"/>
      <c r="T739" s="35"/>
      <c r="U739" s="35"/>
    </row>
    <row r="740">
      <c r="A740" s="35" t="b">
        <v>0</v>
      </c>
      <c r="B740" s="35"/>
      <c r="C740" s="35"/>
      <c r="D740" s="35"/>
      <c r="E740" s="35"/>
      <c r="F740" s="35"/>
      <c r="G740" s="35"/>
      <c r="H740" s="35"/>
      <c r="I740" s="35"/>
      <c r="J740" s="35"/>
      <c r="K740" s="35"/>
      <c r="L740" s="35"/>
      <c r="M740" s="35"/>
      <c r="N740" s="35"/>
      <c r="O740" s="35"/>
      <c r="P740" s="35"/>
      <c r="Q740" s="35"/>
      <c r="R740" s="35"/>
      <c r="S740" s="35"/>
      <c r="T740" s="35"/>
      <c r="U740" s="35"/>
    </row>
    <row r="741">
      <c r="A741" s="35" t="b">
        <v>0</v>
      </c>
      <c r="B741" s="35"/>
      <c r="C741" s="35"/>
      <c r="D741" s="35"/>
      <c r="E741" s="35"/>
      <c r="F741" s="35"/>
      <c r="G741" s="35"/>
      <c r="H741" s="35"/>
      <c r="I741" s="35"/>
      <c r="J741" s="35"/>
      <c r="K741" s="35"/>
      <c r="L741" s="35"/>
      <c r="M741" s="35"/>
      <c r="N741" s="35"/>
      <c r="O741" s="35"/>
      <c r="P741" s="35"/>
      <c r="Q741" s="35"/>
      <c r="R741" s="35"/>
      <c r="S741" s="35"/>
      <c r="T741" s="35"/>
      <c r="U741" s="35"/>
    </row>
    <row r="742">
      <c r="A742" s="35" t="b">
        <v>0</v>
      </c>
      <c r="B742" s="35"/>
      <c r="C742" s="35"/>
      <c r="D742" s="35"/>
      <c r="E742" s="35"/>
      <c r="F742" s="35"/>
      <c r="G742" s="35"/>
      <c r="H742" s="35"/>
      <c r="I742" s="35"/>
      <c r="J742" s="35"/>
      <c r="K742" s="35"/>
      <c r="L742" s="35"/>
      <c r="M742" s="35"/>
      <c r="N742" s="35"/>
      <c r="O742" s="35"/>
      <c r="P742" s="35"/>
      <c r="Q742" s="35"/>
      <c r="R742" s="35"/>
      <c r="S742" s="35"/>
      <c r="T742" s="35"/>
      <c r="U742" s="35"/>
    </row>
    <row r="743">
      <c r="A743" s="35" t="b">
        <v>0</v>
      </c>
      <c r="B743" s="35"/>
      <c r="C743" s="35"/>
      <c r="D743" s="35"/>
      <c r="E743" s="35"/>
      <c r="F743" s="35"/>
      <c r="G743" s="35"/>
      <c r="H743" s="35"/>
      <c r="I743" s="35"/>
      <c r="J743" s="35"/>
      <c r="K743" s="35"/>
      <c r="L743" s="35"/>
      <c r="M743" s="35"/>
      <c r="N743" s="35"/>
      <c r="O743" s="35"/>
      <c r="P743" s="35"/>
      <c r="Q743" s="35"/>
      <c r="R743" s="35"/>
      <c r="S743" s="35"/>
      <c r="T743" s="35"/>
      <c r="U743" s="35"/>
    </row>
    <row r="744">
      <c r="A744" s="35" t="b">
        <v>0</v>
      </c>
      <c r="B744" s="35"/>
      <c r="C744" s="35"/>
      <c r="D744" s="35"/>
      <c r="E744" s="35"/>
      <c r="F744" s="35"/>
      <c r="G744" s="35"/>
      <c r="H744" s="35"/>
      <c r="I744" s="35"/>
      <c r="J744" s="35"/>
      <c r="K744" s="35"/>
      <c r="L744" s="35"/>
      <c r="M744" s="35"/>
      <c r="N744" s="35"/>
      <c r="O744" s="35"/>
      <c r="P744" s="35"/>
      <c r="Q744" s="35"/>
      <c r="R744" s="35"/>
      <c r="S744" s="35"/>
      <c r="T744" s="35"/>
      <c r="U744" s="35"/>
    </row>
    <row r="745">
      <c r="A745" s="35" t="b">
        <v>0</v>
      </c>
      <c r="B745" s="35"/>
      <c r="C745" s="35"/>
      <c r="D745" s="35"/>
      <c r="E745" s="35"/>
      <c r="F745" s="35"/>
      <c r="G745" s="35"/>
      <c r="H745" s="35"/>
      <c r="I745" s="35"/>
      <c r="J745" s="35"/>
      <c r="K745" s="35"/>
      <c r="L745" s="35"/>
      <c r="M745" s="35"/>
      <c r="N745" s="35"/>
      <c r="O745" s="35"/>
      <c r="P745" s="35"/>
      <c r="Q745" s="35"/>
      <c r="R745" s="35"/>
      <c r="S745" s="35"/>
      <c r="T745" s="35"/>
      <c r="U745" s="35"/>
    </row>
    <row r="746">
      <c r="A746" s="35" t="b">
        <v>0</v>
      </c>
      <c r="B746" s="35"/>
      <c r="C746" s="35"/>
      <c r="D746" s="35"/>
      <c r="E746" s="35"/>
      <c r="F746" s="35"/>
      <c r="G746" s="35"/>
      <c r="H746" s="35"/>
      <c r="I746" s="35"/>
      <c r="J746" s="35"/>
      <c r="K746" s="35"/>
      <c r="L746" s="35"/>
      <c r="M746" s="35"/>
      <c r="N746" s="35"/>
      <c r="O746" s="35"/>
      <c r="P746" s="35"/>
      <c r="Q746" s="35"/>
      <c r="R746" s="35"/>
      <c r="S746" s="35"/>
      <c r="T746" s="35"/>
      <c r="U746" s="35"/>
    </row>
    <row r="747">
      <c r="A747" s="35" t="b">
        <v>0</v>
      </c>
      <c r="B747" s="35"/>
      <c r="C747" s="35"/>
      <c r="D747" s="35"/>
      <c r="E747" s="35"/>
      <c r="F747" s="35"/>
      <c r="G747" s="35"/>
      <c r="H747" s="35"/>
      <c r="I747" s="35"/>
      <c r="J747" s="35"/>
      <c r="K747" s="35"/>
      <c r="L747" s="35"/>
      <c r="M747" s="35"/>
      <c r="N747" s="35"/>
      <c r="O747" s="35"/>
      <c r="P747" s="35"/>
      <c r="Q747" s="35"/>
      <c r="R747" s="35"/>
      <c r="S747" s="35"/>
      <c r="T747" s="35"/>
      <c r="U747" s="35"/>
    </row>
    <row r="748">
      <c r="A748" s="35" t="b">
        <v>0</v>
      </c>
      <c r="B748" s="35"/>
      <c r="C748" s="35"/>
      <c r="D748" s="35"/>
      <c r="E748" s="35"/>
      <c r="F748" s="35"/>
      <c r="G748" s="35"/>
      <c r="H748" s="35"/>
      <c r="I748" s="35"/>
      <c r="J748" s="35"/>
      <c r="K748" s="35"/>
      <c r="L748" s="35"/>
      <c r="M748" s="35"/>
      <c r="N748" s="35"/>
      <c r="O748" s="35"/>
      <c r="P748" s="35"/>
      <c r="Q748" s="35"/>
      <c r="R748" s="35"/>
      <c r="S748" s="35"/>
      <c r="T748" s="35"/>
      <c r="U748" s="35"/>
    </row>
    <row r="749">
      <c r="A749" s="35" t="b">
        <v>0</v>
      </c>
      <c r="B749" s="35"/>
      <c r="C749" s="35"/>
      <c r="D749" s="35"/>
      <c r="E749" s="35"/>
      <c r="F749" s="35"/>
      <c r="G749" s="35"/>
      <c r="H749" s="35"/>
      <c r="I749" s="35"/>
      <c r="J749" s="35"/>
      <c r="K749" s="35"/>
      <c r="L749" s="35"/>
      <c r="M749" s="35"/>
      <c r="N749" s="35"/>
      <c r="O749" s="35"/>
      <c r="P749" s="35"/>
      <c r="Q749" s="35"/>
      <c r="R749" s="35"/>
      <c r="S749" s="35"/>
      <c r="T749" s="35"/>
      <c r="U749" s="35"/>
    </row>
    <row r="750">
      <c r="A750" s="35" t="b">
        <v>0</v>
      </c>
      <c r="B750" s="35"/>
      <c r="C750" s="35"/>
      <c r="D750" s="35"/>
      <c r="E750" s="35"/>
      <c r="F750" s="35"/>
      <c r="G750" s="35"/>
      <c r="H750" s="35"/>
      <c r="I750" s="35"/>
      <c r="J750" s="35"/>
      <c r="K750" s="35"/>
      <c r="L750" s="35"/>
      <c r="M750" s="35"/>
      <c r="N750" s="35"/>
      <c r="O750" s="35"/>
      <c r="P750" s="35"/>
      <c r="Q750" s="35"/>
      <c r="R750" s="35"/>
      <c r="S750" s="35"/>
      <c r="T750" s="35"/>
      <c r="U750" s="35"/>
    </row>
    <row r="751">
      <c r="A751" s="35" t="b">
        <v>0</v>
      </c>
      <c r="B751" s="35"/>
      <c r="C751" s="35"/>
      <c r="D751" s="35"/>
      <c r="E751" s="35"/>
      <c r="F751" s="35"/>
      <c r="G751" s="35"/>
      <c r="H751" s="35"/>
      <c r="I751" s="35"/>
      <c r="J751" s="35"/>
      <c r="K751" s="35"/>
      <c r="L751" s="35"/>
      <c r="M751" s="35"/>
      <c r="N751" s="35"/>
      <c r="O751" s="35"/>
      <c r="P751" s="35"/>
      <c r="Q751" s="35"/>
      <c r="R751" s="35"/>
      <c r="S751" s="35"/>
      <c r="T751" s="35"/>
      <c r="U751" s="35"/>
    </row>
    <row r="752">
      <c r="A752" s="35" t="b">
        <v>0</v>
      </c>
      <c r="B752" s="35"/>
      <c r="C752" s="35"/>
      <c r="D752" s="35"/>
      <c r="E752" s="35"/>
      <c r="F752" s="35"/>
      <c r="G752" s="35"/>
      <c r="H752" s="35"/>
      <c r="I752" s="35"/>
      <c r="J752" s="35"/>
      <c r="K752" s="35"/>
      <c r="L752" s="35"/>
      <c r="M752" s="35"/>
      <c r="N752" s="35"/>
      <c r="O752" s="35"/>
      <c r="P752" s="35"/>
      <c r="Q752" s="35"/>
      <c r="R752" s="35"/>
      <c r="S752" s="35"/>
      <c r="T752" s="35"/>
      <c r="U752" s="35"/>
    </row>
    <row r="753">
      <c r="A753" s="35" t="b">
        <v>0</v>
      </c>
      <c r="B753" s="35"/>
      <c r="C753" s="35"/>
      <c r="D753" s="35"/>
      <c r="E753" s="35"/>
      <c r="F753" s="35"/>
      <c r="G753" s="35"/>
      <c r="H753" s="35"/>
      <c r="I753" s="35"/>
      <c r="J753" s="35"/>
      <c r="K753" s="35"/>
      <c r="L753" s="35"/>
      <c r="M753" s="35"/>
      <c r="N753" s="35"/>
      <c r="O753" s="35"/>
      <c r="P753" s="35"/>
      <c r="Q753" s="35"/>
      <c r="R753" s="35"/>
      <c r="S753" s="35"/>
      <c r="T753" s="35"/>
      <c r="U753" s="35"/>
    </row>
    <row r="754">
      <c r="A754" s="35" t="b">
        <v>0</v>
      </c>
      <c r="B754" s="35"/>
      <c r="C754" s="35"/>
      <c r="D754" s="35"/>
      <c r="E754" s="35"/>
      <c r="F754" s="35"/>
      <c r="G754" s="35"/>
      <c r="H754" s="35"/>
      <c r="I754" s="35"/>
      <c r="J754" s="35"/>
      <c r="K754" s="35"/>
      <c r="L754" s="35"/>
      <c r="M754" s="35"/>
      <c r="N754" s="35"/>
      <c r="O754" s="35"/>
      <c r="P754" s="35"/>
      <c r="Q754" s="35"/>
      <c r="R754" s="35"/>
      <c r="S754" s="35"/>
      <c r="T754" s="35"/>
      <c r="U754" s="35"/>
    </row>
    <row r="755">
      <c r="A755" s="35" t="b">
        <v>0</v>
      </c>
      <c r="B755" s="35"/>
      <c r="C755" s="35"/>
      <c r="D755" s="35"/>
      <c r="E755" s="35"/>
      <c r="F755" s="35"/>
      <c r="G755" s="35"/>
      <c r="H755" s="35"/>
      <c r="I755" s="35"/>
      <c r="J755" s="35"/>
      <c r="K755" s="35"/>
      <c r="L755" s="35"/>
      <c r="M755" s="35"/>
      <c r="N755" s="35"/>
      <c r="O755" s="35"/>
      <c r="P755" s="35"/>
      <c r="Q755" s="35"/>
      <c r="R755" s="35"/>
      <c r="S755" s="35"/>
      <c r="T755" s="35"/>
      <c r="U755" s="35"/>
    </row>
    <row r="756">
      <c r="A756" s="35" t="b">
        <v>0</v>
      </c>
      <c r="B756" s="35"/>
      <c r="C756" s="35"/>
      <c r="D756" s="35"/>
      <c r="E756" s="35"/>
      <c r="F756" s="35"/>
      <c r="G756" s="35"/>
      <c r="H756" s="35"/>
      <c r="I756" s="35"/>
      <c r="J756" s="35"/>
      <c r="K756" s="35"/>
      <c r="L756" s="35"/>
      <c r="M756" s="35"/>
      <c r="N756" s="35"/>
      <c r="O756" s="35"/>
      <c r="P756" s="35"/>
      <c r="Q756" s="35"/>
      <c r="R756" s="35"/>
      <c r="S756" s="35"/>
      <c r="T756" s="35"/>
      <c r="U756" s="35"/>
    </row>
    <row r="757">
      <c r="A757" s="35" t="b">
        <v>0</v>
      </c>
      <c r="B757" s="35"/>
      <c r="C757" s="35"/>
      <c r="D757" s="35"/>
      <c r="E757" s="35"/>
      <c r="F757" s="35"/>
      <c r="G757" s="35"/>
      <c r="H757" s="35"/>
      <c r="I757" s="35"/>
      <c r="J757" s="35"/>
      <c r="K757" s="35"/>
      <c r="L757" s="35"/>
      <c r="M757" s="35"/>
      <c r="N757" s="35"/>
      <c r="O757" s="35"/>
      <c r="P757" s="35"/>
      <c r="Q757" s="35"/>
      <c r="R757" s="35"/>
      <c r="S757" s="35"/>
      <c r="T757" s="35"/>
      <c r="U757" s="35"/>
    </row>
    <row r="758">
      <c r="A758" s="35" t="b">
        <v>0</v>
      </c>
      <c r="B758" s="35"/>
      <c r="C758" s="35"/>
      <c r="D758" s="35"/>
      <c r="E758" s="35"/>
      <c r="F758" s="35"/>
      <c r="G758" s="35"/>
      <c r="H758" s="35"/>
      <c r="I758" s="35"/>
      <c r="J758" s="35"/>
      <c r="K758" s="35"/>
      <c r="L758" s="35"/>
      <c r="M758" s="35"/>
      <c r="N758" s="35"/>
      <c r="O758" s="35"/>
      <c r="P758" s="35"/>
      <c r="Q758" s="35"/>
      <c r="R758" s="35"/>
      <c r="S758" s="35"/>
      <c r="T758" s="35"/>
      <c r="U758" s="35"/>
    </row>
    <row r="759">
      <c r="A759" s="35" t="b">
        <v>0</v>
      </c>
      <c r="B759" s="35"/>
      <c r="C759" s="35"/>
      <c r="D759" s="35"/>
      <c r="E759" s="35"/>
      <c r="F759" s="35"/>
      <c r="G759" s="35"/>
      <c r="H759" s="35"/>
      <c r="I759" s="35"/>
      <c r="J759" s="35"/>
      <c r="K759" s="35"/>
      <c r="L759" s="35"/>
      <c r="M759" s="35"/>
      <c r="N759" s="35"/>
      <c r="O759" s="35"/>
      <c r="P759" s="35"/>
      <c r="Q759" s="35"/>
      <c r="R759" s="35"/>
      <c r="S759" s="35"/>
      <c r="T759" s="35"/>
      <c r="U759" s="35"/>
    </row>
    <row r="760">
      <c r="A760" s="35" t="b">
        <v>0</v>
      </c>
      <c r="B760" s="35"/>
      <c r="C760" s="35"/>
      <c r="D760" s="35"/>
      <c r="E760" s="35"/>
      <c r="F760" s="35"/>
      <c r="G760" s="35"/>
      <c r="H760" s="35"/>
      <c r="I760" s="35"/>
      <c r="J760" s="35"/>
      <c r="K760" s="35"/>
      <c r="L760" s="35"/>
      <c r="M760" s="35"/>
      <c r="N760" s="35"/>
      <c r="O760" s="35"/>
      <c r="P760" s="35"/>
      <c r="Q760" s="35"/>
      <c r="R760" s="35"/>
      <c r="S760" s="35"/>
      <c r="T760" s="35"/>
      <c r="U760" s="35"/>
    </row>
    <row r="761">
      <c r="A761" s="35" t="b">
        <v>0</v>
      </c>
      <c r="B761" s="35"/>
      <c r="C761" s="35"/>
      <c r="D761" s="35"/>
      <c r="E761" s="35"/>
      <c r="F761" s="35"/>
      <c r="G761" s="35"/>
      <c r="H761" s="35"/>
      <c r="I761" s="35"/>
      <c r="J761" s="35"/>
      <c r="K761" s="35"/>
      <c r="L761" s="35"/>
      <c r="M761" s="35"/>
      <c r="N761" s="35"/>
      <c r="O761" s="35"/>
      <c r="P761" s="35"/>
      <c r="Q761" s="35"/>
      <c r="R761" s="35"/>
      <c r="S761" s="35"/>
      <c r="T761" s="35"/>
      <c r="U761" s="35"/>
    </row>
    <row r="762">
      <c r="A762" s="35" t="b">
        <v>0</v>
      </c>
      <c r="B762" s="35"/>
      <c r="C762" s="35"/>
      <c r="D762" s="35"/>
      <c r="E762" s="35"/>
      <c r="F762" s="35"/>
      <c r="G762" s="35"/>
      <c r="H762" s="35"/>
      <c r="I762" s="35"/>
      <c r="J762" s="35"/>
      <c r="K762" s="35"/>
      <c r="L762" s="35"/>
      <c r="M762" s="35"/>
      <c r="N762" s="35"/>
      <c r="O762" s="35"/>
      <c r="P762" s="35"/>
      <c r="Q762" s="35"/>
      <c r="R762" s="35"/>
      <c r="S762" s="35"/>
      <c r="T762" s="35"/>
      <c r="U762" s="35"/>
    </row>
    <row r="763">
      <c r="A763" s="35" t="b">
        <v>0</v>
      </c>
      <c r="B763" s="35"/>
      <c r="C763" s="35"/>
      <c r="D763" s="35"/>
      <c r="E763" s="35"/>
      <c r="F763" s="35"/>
      <c r="G763" s="35"/>
      <c r="H763" s="35"/>
      <c r="I763" s="35"/>
      <c r="J763" s="35"/>
      <c r="K763" s="35"/>
      <c r="L763" s="35"/>
      <c r="M763" s="35"/>
      <c r="N763" s="35"/>
      <c r="O763" s="35"/>
      <c r="P763" s="35"/>
      <c r="Q763" s="35"/>
      <c r="R763" s="35"/>
      <c r="S763" s="35"/>
      <c r="T763" s="35"/>
      <c r="U763" s="35"/>
    </row>
    <row r="764">
      <c r="A764" s="35" t="b">
        <v>0</v>
      </c>
      <c r="B764" s="35"/>
      <c r="C764" s="35"/>
      <c r="D764" s="35"/>
      <c r="E764" s="35"/>
      <c r="F764" s="35"/>
      <c r="G764" s="35"/>
      <c r="H764" s="35"/>
      <c r="I764" s="35"/>
      <c r="J764" s="35"/>
      <c r="K764" s="35"/>
      <c r="L764" s="35"/>
      <c r="M764" s="35"/>
      <c r="N764" s="35"/>
      <c r="O764" s="35"/>
      <c r="P764" s="35"/>
      <c r="Q764" s="35"/>
      <c r="R764" s="35"/>
      <c r="S764" s="35"/>
      <c r="T764" s="35"/>
      <c r="U764" s="35"/>
    </row>
    <row r="765">
      <c r="A765" s="35" t="b">
        <v>0</v>
      </c>
      <c r="B765" s="35"/>
      <c r="C765" s="35"/>
      <c r="D765" s="35"/>
      <c r="E765" s="35"/>
      <c r="F765" s="35"/>
      <c r="G765" s="35"/>
      <c r="H765" s="35"/>
      <c r="I765" s="35"/>
      <c r="J765" s="35"/>
      <c r="K765" s="35"/>
      <c r="L765" s="35"/>
      <c r="M765" s="35"/>
      <c r="N765" s="35"/>
      <c r="O765" s="35"/>
      <c r="P765" s="35"/>
      <c r="Q765" s="35"/>
      <c r="R765" s="35"/>
      <c r="S765" s="35"/>
      <c r="T765" s="35"/>
      <c r="U765" s="35"/>
    </row>
    <row r="766">
      <c r="A766" s="35" t="b">
        <v>0</v>
      </c>
      <c r="B766" s="35"/>
      <c r="C766" s="35"/>
      <c r="D766" s="35"/>
      <c r="E766" s="35"/>
      <c r="F766" s="35"/>
      <c r="G766" s="35"/>
      <c r="H766" s="35"/>
      <c r="I766" s="35"/>
      <c r="J766" s="35"/>
      <c r="K766" s="35"/>
      <c r="L766" s="35"/>
      <c r="M766" s="35"/>
      <c r="N766" s="35"/>
      <c r="O766" s="35"/>
      <c r="P766" s="35"/>
      <c r="Q766" s="35"/>
      <c r="R766" s="35"/>
      <c r="S766" s="35"/>
      <c r="T766" s="35"/>
      <c r="U766" s="35"/>
    </row>
    <row r="767">
      <c r="A767" s="35" t="b">
        <v>0</v>
      </c>
      <c r="B767" s="35"/>
      <c r="C767" s="35"/>
      <c r="D767" s="35"/>
      <c r="E767" s="35"/>
      <c r="F767" s="35"/>
      <c r="G767" s="35"/>
      <c r="H767" s="35"/>
      <c r="I767" s="35"/>
      <c r="J767" s="35"/>
      <c r="K767" s="35"/>
      <c r="L767" s="35"/>
      <c r="M767" s="35"/>
      <c r="N767" s="35"/>
      <c r="O767" s="35"/>
      <c r="P767" s="35"/>
      <c r="Q767" s="35"/>
      <c r="R767" s="35"/>
      <c r="S767" s="35"/>
      <c r="T767" s="35"/>
      <c r="U767" s="35"/>
    </row>
    <row r="768">
      <c r="A768" s="35" t="b">
        <v>0</v>
      </c>
      <c r="B768" s="35"/>
      <c r="C768" s="35"/>
      <c r="D768" s="35"/>
      <c r="E768" s="35"/>
      <c r="F768" s="35"/>
      <c r="G768" s="35"/>
      <c r="H768" s="35"/>
      <c r="I768" s="35"/>
      <c r="J768" s="35"/>
      <c r="K768" s="35"/>
      <c r="L768" s="35"/>
      <c r="M768" s="35"/>
      <c r="N768" s="35"/>
      <c r="O768" s="35"/>
      <c r="P768" s="35"/>
      <c r="Q768" s="35"/>
      <c r="R768" s="35"/>
      <c r="S768" s="35"/>
      <c r="T768" s="35"/>
      <c r="U768" s="35"/>
    </row>
    <row r="769">
      <c r="A769" s="35" t="b">
        <v>0</v>
      </c>
      <c r="B769" s="35"/>
      <c r="C769" s="35"/>
      <c r="D769" s="35"/>
      <c r="E769" s="35"/>
      <c r="F769" s="35"/>
      <c r="G769" s="35"/>
      <c r="H769" s="35"/>
      <c r="I769" s="35"/>
      <c r="J769" s="35"/>
      <c r="K769" s="35"/>
      <c r="L769" s="35"/>
      <c r="M769" s="35"/>
      <c r="N769" s="35"/>
      <c r="O769" s="35"/>
      <c r="P769" s="35"/>
      <c r="Q769" s="35"/>
      <c r="R769" s="35"/>
      <c r="S769" s="35"/>
      <c r="T769" s="35"/>
      <c r="U769" s="35"/>
    </row>
    <row r="770">
      <c r="A770" s="35" t="b">
        <v>0</v>
      </c>
      <c r="B770" s="35"/>
      <c r="C770" s="35"/>
      <c r="D770" s="35"/>
      <c r="E770" s="35"/>
      <c r="F770" s="35"/>
      <c r="G770" s="35"/>
      <c r="H770" s="35"/>
      <c r="I770" s="35"/>
      <c r="J770" s="35"/>
      <c r="K770" s="35"/>
      <c r="L770" s="35"/>
      <c r="M770" s="35"/>
      <c r="N770" s="35"/>
      <c r="O770" s="35"/>
      <c r="P770" s="35"/>
      <c r="Q770" s="35"/>
      <c r="R770" s="35"/>
      <c r="S770" s="35"/>
      <c r="T770" s="35"/>
      <c r="U770" s="35"/>
    </row>
    <row r="771">
      <c r="A771" s="35" t="b">
        <v>0</v>
      </c>
      <c r="B771" s="35"/>
      <c r="C771" s="35"/>
      <c r="D771" s="35"/>
      <c r="E771" s="35"/>
      <c r="F771" s="35"/>
      <c r="G771" s="35"/>
      <c r="H771" s="35"/>
      <c r="I771" s="35"/>
      <c r="J771" s="35"/>
      <c r="K771" s="35"/>
      <c r="L771" s="35"/>
      <c r="M771" s="35"/>
      <c r="N771" s="35"/>
      <c r="O771" s="35"/>
      <c r="P771" s="35"/>
      <c r="Q771" s="35"/>
      <c r="R771" s="35"/>
      <c r="S771" s="35"/>
      <c r="T771" s="35"/>
      <c r="U771" s="35"/>
    </row>
    <row r="772">
      <c r="A772" s="35" t="b">
        <v>0</v>
      </c>
      <c r="B772" s="35"/>
      <c r="C772" s="35"/>
      <c r="D772" s="35"/>
      <c r="E772" s="35"/>
      <c r="F772" s="35"/>
      <c r="G772" s="35"/>
      <c r="H772" s="35"/>
      <c r="I772" s="35"/>
      <c r="J772" s="35"/>
      <c r="K772" s="35"/>
      <c r="L772" s="35"/>
      <c r="M772" s="35"/>
      <c r="N772" s="35"/>
      <c r="O772" s="35"/>
      <c r="P772" s="35"/>
      <c r="Q772" s="35"/>
      <c r="R772" s="35"/>
      <c r="S772" s="35"/>
      <c r="T772" s="35"/>
      <c r="U772" s="35"/>
    </row>
    <row r="773">
      <c r="A773" s="35" t="b">
        <v>0</v>
      </c>
      <c r="B773" s="35"/>
      <c r="C773" s="35"/>
      <c r="D773" s="35"/>
      <c r="E773" s="35"/>
      <c r="F773" s="35"/>
      <c r="G773" s="35"/>
      <c r="H773" s="35"/>
      <c r="I773" s="35"/>
      <c r="J773" s="35"/>
      <c r="K773" s="35"/>
      <c r="L773" s="35"/>
      <c r="M773" s="35"/>
      <c r="N773" s="35"/>
      <c r="O773" s="35"/>
      <c r="P773" s="35"/>
      <c r="Q773" s="35"/>
      <c r="R773" s="35"/>
      <c r="S773" s="35"/>
      <c r="T773" s="35"/>
      <c r="U773" s="35"/>
    </row>
    <row r="774">
      <c r="A774" s="35" t="b">
        <v>0</v>
      </c>
      <c r="B774" s="35"/>
      <c r="C774" s="35"/>
      <c r="D774" s="35"/>
      <c r="E774" s="35"/>
      <c r="F774" s="35"/>
      <c r="G774" s="35"/>
      <c r="H774" s="35"/>
      <c r="I774" s="35"/>
      <c r="J774" s="35"/>
      <c r="K774" s="35"/>
      <c r="L774" s="35"/>
      <c r="M774" s="35"/>
      <c r="N774" s="35"/>
      <c r="O774" s="35"/>
      <c r="P774" s="35"/>
      <c r="Q774" s="35"/>
      <c r="R774" s="35"/>
      <c r="S774" s="35"/>
      <c r="T774" s="35"/>
      <c r="U774" s="35"/>
    </row>
    <row r="775">
      <c r="A775" s="35" t="b">
        <v>0</v>
      </c>
      <c r="B775" s="35"/>
      <c r="C775" s="35"/>
      <c r="D775" s="35"/>
      <c r="E775" s="35"/>
      <c r="F775" s="35"/>
      <c r="G775" s="35"/>
      <c r="H775" s="35"/>
      <c r="I775" s="35"/>
      <c r="J775" s="35"/>
      <c r="K775" s="35"/>
      <c r="L775" s="35"/>
      <c r="M775" s="35"/>
      <c r="N775" s="35"/>
      <c r="O775" s="35"/>
      <c r="P775" s="35"/>
      <c r="Q775" s="35"/>
      <c r="R775" s="35"/>
      <c r="S775" s="35"/>
      <c r="T775" s="35"/>
      <c r="U775" s="35"/>
    </row>
    <row r="776">
      <c r="A776" s="35" t="b">
        <v>0</v>
      </c>
      <c r="B776" s="35"/>
      <c r="C776" s="35"/>
      <c r="D776" s="35"/>
      <c r="E776" s="35"/>
      <c r="F776" s="35"/>
      <c r="G776" s="35"/>
      <c r="H776" s="35"/>
      <c r="I776" s="35"/>
      <c r="J776" s="35"/>
      <c r="K776" s="35"/>
      <c r="L776" s="35"/>
      <c r="M776" s="35"/>
      <c r="N776" s="35"/>
      <c r="O776" s="35"/>
      <c r="P776" s="35"/>
      <c r="Q776" s="35"/>
      <c r="R776" s="35"/>
      <c r="S776" s="35"/>
      <c r="T776" s="35"/>
      <c r="U776" s="35"/>
    </row>
    <row r="777">
      <c r="A777" s="35" t="b">
        <v>0</v>
      </c>
      <c r="B777" s="35"/>
      <c r="C777" s="35"/>
      <c r="D777" s="35"/>
      <c r="E777" s="35"/>
      <c r="F777" s="35"/>
      <c r="G777" s="35"/>
      <c r="H777" s="35"/>
      <c r="I777" s="35"/>
      <c r="J777" s="35"/>
      <c r="K777" s="35"/>
      <c r="L777" s="35"/>
      <c r="M777" s="35"/>
      <c r="N777" s="35"/>
      <c r="O777" s="35"/>
      <c r="P777" s="35"/>
      <c r="Q777" s="35"/>
      <c r="R777" s="35"/>
      <c r="S777" s="35"/>
      <c r="T777" s="35"/>
      <c r="U777" s="35"/>
    </row>
    <row r="778">
      <c r="A778" s="35" t="b">
        <v>0</v>
      </c>
      <c r="B778" s="35"/>
      <c r="C778" s="35"/>
      <c r="D778" s="35"/>
      <c r="E778" s="35"/>
      <c r="F778" s="35"/>
      <c r="G778" s="35"/>
      <c r="H778" s="35"/>
      <c r="I778" s="35"/>
      <c r="J778" s="35"/>
      <c r="K778" s="35"/>
      <c r="L778" s="35"/>
      <c r="M778" s="35"/>
      <c r="N778" s="35"/>
      <c r="O778" s="35"/>
      <c r="P778" s="35"/>
      <c r="Q778" s="35"/>
      <c r="R778" s="35"/>
      <c r="S778" s="35"/>
      <c r="T778" s="35"/>
      <c r="U778" s="35"/>
    </row>
    <row r="779">
      <c r="A779" s="35" t="b">
        <v>0</v>
      </c>
      <c r="B779" s="35"/>
      <c r="C779" s="35"/>
      <c r="D779" s="35"/>
      <c r="E779" s="35"/>
      <c r="F779" s="35"/>
      <c r="G779" s="35"/>
      <c r="H779" s="35"/>
      <c r="I779" s="35"/>
      <c r="J779" s="35"/>
      <c r="K779" s="35"/>
      <c r="L779" s="35"/>
      <c r="M779" s="35"/>
      <c r="N779" s="35"/>
      <c r="O779" s="35"/>
      <c r="P779" s="35"/>
      <c r="Q779" s="35"/>
      <c r="R779" s="35"/>
      <c r="S779" s="35"/>
      <c r="T779" s="35"/>
      <c r="U779" s="35"/>
    </row>
    <row r="780">
      <c r="A780" s="35" t="b">
        <v>0</v>
      </c>
      <c r="B780" s="35"/>
      <c r="C780" s="35"/>
      <c r="D780" s="35"/>
      <c r="E780" s="35"/>
      <c r="F780" s="35"/>
      <c r="G780" s="35"/>
      <c r="H780" s="35"/>
      <c r="I780" s="35"/>
      <c r="J780" s="35"/>
      <c r="K780" s="35"/>
      <c r="L780" s="35"/>
      <c r="M780" s="35"/>
      <c r="N780" s="35"/>
      <c r="O780" s="35"/>
      <c r="P780" s="35"/>
      <c r="Q780" s="35"/>
      <c r="R780" s="35"/>
      <c r="S780" s="35"/>
      <c r="T780" s="35"/>
      <c r="U780" s="35"/>
    </row>
    <row r="781">
      <c r="A781" s="35" t="b">
        <v>0</v>
      </c>
      <c r="B781" s="35"/>
      <c r="C781" s="35"/>
      <c r="D781" s="35"/>
      <c r="E781" s="35"/>
      <c r="F781" s="35"/>
      <c r="G781" s="35"/>
      <c r="H781" s="35"/>
      <c r="I781" s="35"/>
      <c r="J781" s="35"/>
      <c r="K781" s="35"/>
      <c r="L781" s="35"/>
      <c r="M781" s="35"/>
      <c r="N781" s="35"/>
      <c r="O781" s="35"/>
      <c r="P781" s="35"/>
      <c r="Q781" s="35"/>
      <c r="R781" s="35"/>
      <c r="S781" s="35"/>
      <c r="T781" s="35"/>
      <c r="U781" s="35"/>
    </row>
    <row r="782">
      <c r="A782" s="35" t="b">
        <v>0</v>
      </c>
      <c r="B782" s="35"/>
      <c r="C782" s="35"/>
      <c r="D782" s="35"/>
      <c r="E782" s="35"/>
      <c r="F782" s="35"/>
      <c r="G782" s="35"/>
      <c r="H782" s="35"/>
      <c r="I782" s="35"/>
      <c r="J782" s="35"/>
      <c r="K782" s="35"/>
      <c r="L782" s="35"/>
      <c r="M782" s="35"/>
      <c r="N782" s="35"/>
      <c r="O782" s="35"/>
      <c r="P782" s="35"/>
      <c r="Q782" s="35"/>
      <c r="R782" s="35"/>
      <c r="S782" s="35"/>
      <c r="T782" s="35"/>
      <c r="U782" s="35"/>
    </row>
    <row r="783">
      <c r="A783" s="35" t="b">
        <v>0</v>
      </c>
      <c r="B783" s="35"/>
      <c r="C783" s="35"/>
      <c r="D783" s="35"/>
      <c r="E783" s="35"/>
      <c r="F783" s="35"/>
      <c r="G783" s="35"/>
      <c r="H783" s="35"/>
      <c r="I783" s="35"/>
      <c r="J783" s="35"/>
      <c r="K783" s="35"/>
      <c r="L783" s="35"/>
      <c r="M783" s="35"/>
      <c r="N783" s="35"/>
      <c r="O783" s="35"/>
      <c r="P783" s="35"/>
      <c r="Q783" s="35"/>
      <c r="R783" s="35"/>
      <c r="S783" s="35"/>
      <c r="T783" s="35"/>
      <c r="U783" s="35"/>
    </row>
    <row r="784">
      <c r="A784" s="35" t="b">
        <v>0</v>
      </c>
      <c r="B784" s="35"/>
      <c r="C784" s="35"/>
      <c r="D784" s="35"/>
      <c r="E784" s="35"/>
      <c r="F784" s="35"/>
      <c r="G784" s="35"/>
      <c r="H784" s="35"/>
      <c r="I784" s="35"/>
      <c r="J784" s="35"/>
      <c r="K784" s="35"/>
      <c r="L784" s="35"/>
      <c r="M784" s="35"/>
      <c r="N784" s="35"/>
      <c r="O784" s="35"/>
      <c r="P784" s="35"/>
      <c r="Q784" s="35"/>
      <c r="R784" s="35"/>
      <c r="S784" s="35"/>
      <c r="T784" s="35"/>
      <c r="U784" s="35"/>
    </row>
    <row r="785">
      <c r="A785" s="35" t="b">
        <v>0</v>
      </c>
      <c r="B785" s="35"/>
      <c r="C785" s="35"/>
      <c r="D785" s="35"/>
      <c r="E785" s="35"/>
      <c r="F785" s="35"/>
      <c r="G785" s="35"/>
      <c r="H785" s="35"/>
      <c r="I785" s="35"/>
      <c r="J785" s="35"/>
      <c r="K785" s="35"/>
      <c r="L785" s="35"/>
      <c r="M785" s="35"/>
      <c r="N785" s="35"/>
      <c r="O785" s="35"/>
      <c r="P785" s="35"/>
      <c r="Q785" s="35"/>
      <c r="R785" s="35"/>
      <c r="S785" s="35"/>
      <c r="T785" s="35"/>
      <c r="U785" s="35"/>
    </row>
    <row r="786">
      <c r="A786" s="35" t="b">
        <v>0</v>
      </c>
      <c r="B786" s="35"/>
      <c r="C786" s="35"/>
      <c r="D786" s="35"/>
      <c r="E786" s="35"/>
      <c r="F786" s="35"/>
      <c r="G786" s="35"/>
      <c r="H786" s="35"/>
      <c r="I786" s="35"/>
      <c r="J786" s="35"/>
      <c r="K786" s="35"/>
      <c r="L786" s="35"/>
      <c r="M786" s="35"/>
      <c r="N786" s="35"/>
      <c r="O786" s="35"/>
      <c r="P786" s="35"/>
      <c r="Q786" s="35"/>
      <c r="R786" s="35"/>
      <c r="S786" s="35"/>
      <c r="T786" s="35"/>
      <c r="U786" s="35"/>
    </row>
    <row r="787">
      <c r="A787" s="35" t="b">
        <v>0</v>
      </c>
      <c r="B787" s="35"/>
      <c r="C787" s="35"/>
      <c r="D787" s="35"/>
      <c r="E787" s="35"/>
      <c r="F787" s="35"/>
      <c r="G787" s="35"/>
      <c r="H787" s="35"/>
      <c r="I787" s="35"/>
      <c r="J787" s="35"/>
      <c r="K787" s="35"/>
      <c r="L787" s="35"/>
      <c r="M787" s="35"/>
      <c r="N787" s="35"/>
      <c r="O787" s="35"/>
      <c r="P787" s="35"/>
      <c r="Q787" s="35"/>
      <c r="R787" s="35"/>
      <c r="S787" s="35"/>
      <c r="T787" s="35"/>
      <c r="U787" s="35"/>
    </row>
    <row r="788">
      <c r="A788" s="35" t="b">
        <v>0</v>
      </c>
      <c r="B788" s="35"/>
      <c r="C788" s="35"/>
      <c r="D788" s="35"/>
      <c r="E788" s="35"/>
      <c r="F788" s="35"/>
      <c r="G788" s="35"/>
      <c r="H788" s="35"/>
      <c r="I788" s="35"/>
      <c r="J788" s="35"/>
      <c r="K788" s="35"/>
      <c r="L788" s="35"/>
      <c r="M788" s="35"/>
      <c r="N788" s="35"/>
      <c r="O788" s="35"/>
      <c r="P788" s="35"/>
      <c r="Q788" s="35"/>
      <c r="R788" s="35"/>
      <c r="S788" s="35"/>
      <c r="T788" s="35"/>
      <c r="U788" s="35"/>
    </row>
    <row r="789">
      <c r="A789" s="35" t="b">
        <v>0</v>
      </c>
      <c r="B789" s="35"/>
      <c r="C789" s="35"/>
      <c r="D789" s="35"/>
      <c r="E789" s="35"/>
      <c r="F789" s="35"/>
      <c r="G789" s="35"/>
      <c r="H789" s="35"/>
      <c r="I789" s="35"/>
      <c r="J789" s="35"/>
      <c r="K789" s="35"/>
      <c r="L789" s="35"/>
      <c r="M789" s="35"/>
      <c r="N789" s="35"/>
      <c r="O789" s="35"/>
      <c r="P789" s="35"/>
      <c r="Q789" s="35"/>
      <c r="R789" s="35"/>
      <c r="S789" s="35"/>
      <c r="T789" s="35"/>
      <c r="U789" s="35"/>
    </row>
    <row r="790">
      <c r="A790" s="35" t="b">
        <v>0</v>
      </c>
      <c r="B790" s="35"/>
      <c r="C790" s="35"/>
      <c r="D790" s="35"/>
      <c r="E790" s="35"/>
      <c r="F790" s="35"/>
      <c r="G790" s="35"/>
      <c r="H790" s="35"/>
      <c r="I790" s="35"/>
      <c r="J790" s="35"/>
      <c r="K790" s="35"/>
      <c r="L790" s="35"/>
      <c r="M790" s="35"/>
      <c r="N790" s="35"/>
      <c r="O790" s="35"/>
      <c r="P790" s="35"/>
      <c r="Q790" s="35"/>
      <c r="R790" s="35"/>
      <c r="S790" s="35"/>
      <c r="T790" s="35"/>
      <c r="U790" s="35"/>
    </row>
    <row r="791">
      <c r="A791" s="35" t="b">
        <v>0</v>
      </c>
      <c r="B791" s="35"/>
      <c r="C791" s="35"/>
      <c r="D791" s="35"/>
      <c r="E791" s="35"/>
      <c r="F791" s="35"/>
      <c r="G791" s="35"/>
      <c r="H791" s="35"/>
      <c r="I791" s="35"/>
      <c r="J791" s="35"/>
      <c r="K791" s="35"/>
      <c r="L791" s="35"/>
      <c r="M791" s="35"/>
      <c r="N791" s="35"/>
      <c r="O791" s="35"/>
      <c r="P791" s="35"/>
      <c r="Q791" s="35"/>
      <c r="R791" s="35"/>
      <c r="S791" s="35"/>
      <c r="T791" s="35"/>
      <c r="U791" s="35"/>
    </row>
    <row r="792">
      <c r="A792" s="35" t="b">
        <v>0</v>
      </c>
      <c r="B792" s="35"/>
      <c r="C792" s="35"/>
      <c r="D792" s="35"/>
      <c r="E792" s="35"/>
      <c r="F792" s="35"/>
      <c r="G792" s="35"/>
      <c r="H792" s="35"/>
      <c r="I792" s="35"/>
      <c r="J792" s="35"/>
      <c r="K792" s="35"/>
      <c r="L792" s="35"/>
      <c r="M792" s="35"/>
      <c r="N792" s="35"/>
      <c r="O792" s="35"/>
      <c r="P792" s="35"/>
      <c r="Q792" s="35"/>
      <c r="R792" s="35"/>
      <c r="S792" s="35"/>
      <c r="T792" s="35"/>
      <c r="U792" s="35"/>
    </row>
    <row r="793">
      <c r="A793" s="35" t="b">
        <v>0</v>
      </c>
      <c r="B793" s="35"/>
      <c r="C793" s="35"/>
      <c r="D793" s="35"/>
      <c r="E793" s="35"/>
      <c r="F793" s="35"/>
      <c r="G793" s="35"/>
      <c r="H793" s="35"/>
      <c r="I793" s="35"/>
      <c r="J793" s="35"/>
      <c r="K793" s="35"/>
      <c r="L793" s="35"/>
      <c r="M793" s="35"/>
      <c r="N793" s="35"/>
      <c r="O793" s="35"/>
      <c r="P793" s="35"/>
      <c r="Q793" s="35"/>
      <c r="R793" s="35"/>
      <c r="S793" s="35"/>
      <c r="T793" s="35"/>
      <c r="U793" s="35"/>
    </row>
    <row r="794">
      <c r="A794" s="35" t="b">
        <v>0</v>
      </c>
      <c r="B794" s="35"/>
      <c r="C794" s="35"/>
      <c r="D794" s="35"/>
      <c r="E794" s="35"/>
      <c r="F794" s="35"/>
      <c r="G794" s="35"/>
      <c r="H794" s="35"/>
      <c r="I794" s="35"/>
      <c r="J794" s="35"/>
      <c r="K794" s="35"/>
      <c r="L794" s="35"/>
      <c r="M794" s="35"/>
      <c r="N794" s="35"/>
      <c r="O794" s="35"/>
      <c r="P794" s="35"/>
      <c r="Q794" s="35"/>
      <c r="R794" s="35"/>
      <c r="S794" s="35"/>
      <c r="T794" s="35"/>
      <c r="U794" s="35"/>
    </row>
    <row r="795">
      <c r="A795" s="35" t="b">
        <v>0</v>
      </c>
      <c r="B795" s="35"/>
      <c r="C795" s="35"/>
      <c r="D795" s="35"/>
      <c r="E795" s="35"/>
      <c r="F795" s="35"/>
      <c r="G795" s="35"/>
      <c r="H795" s="35"/>
      <c r="I795" s="35"/>
      <c r="J795" s="35"/>
      <c r="K795" s="35"/>
      <c r="L795" s="35"/>
      <c r="M795" s="35"/>
      <c r="N795" s="35"/>
      <c r="O795" s="35"/>
      <c r="P795" s="35"/>
      <c r="Q795" s="35"/>
      <c r="R795" s="35"/>
      <c r="S795" s="35"/>
      <c r="T795" s="35"/>
      <c r="U795" s="35"/>
    </row>
    <row r="796">
      <c r="A796" s="35" t="b">
        <v>0</v>
      </c>
      <c r="B796" s="35"/>
      <c r="C796" s="35"/>
      <c r="D796" s="35"/>
      <c r="E796" s="35"/>
      <c r="F796" s="35"/>
      <c r="G796" s="35"/>
      <c r="H796" s="35"/>
      <c r="I796" s="35"/>
      <c r="J796" s="35"/>
      <c r="K796" s="35"/>
      <c r="L796" s="35"/>
      <c r="M796" s="35"/>
      <c r="N796" s="35"/>
      <c r="O796" s="35"/>
      <c r="P796" s="35"/>
      <c r="Q796" s="35"/>
      <c r="R796" s="35"/>
      <c r="S796" s="35"/>
      <c r="T796" s="35"/>
      <c r="U796" s="35"/>
    </row>
    <row r="797">
      <c r="A797" s="35" t="b">
        <v>0</v>
      </c>
      <c r="B797" s="35"/>
      <c r="C797" s="35"/>
      <c r="D797" s="35"/>
      <c r="E797" s="35"/>
      <c r="F797" s="35"/>
      <c r="G797" s="35"/>
      <c r="H797" s="35"/>
      <c r="I797" s="35"/>
      <c r="J797" s="35"/>
      <c r="K797" s="35"/>
      <c r="L797" s="35"/>
      <c r="M797" s="35"/>
      <c r="N797" s="35"/>
      <c r="O797" s="35"/>
      <c r="P797" s="35"/>
      <c r="Q797" s="35"/>
      <c r="R797" s="35"/>
      <c r="S797" s="35"/>
      <c r="T797" s="35"/>
      <c r="U797" s="35"/>
    </row>
    <row r="798">
      <c r="A798" s="35" t="b">
        <v>0</v>
      </c>
      <c r="B798" s="35"/>
      <c r="C798" s="35"/>
      <c r="D798" s="35"/>
      <c r="E798" s="35"/>
      <c r="F798" s="35"/>
      <c r="G798" s="35"/>
      <c r="H798" s="35"/>
      <c r="I798" s="35"/>
      <c r="J798" s="35"/>
      <c r="K798" s="35"/>
      <c r="L798" s="35"/>
      <c r="M798" s="35"/>
      <c r="N798" s="35"/>
      <c r="O798" s="35"/>
      <c r="P798" s="35"/>
      <c r="Q798" s="35"/>
      <c r="R798" s="35"/>
      <c r="S798" s="35"/>
      <c r="T798" s="35"/>
      <c r="U798" s="35"/>
    </row>
    <row r="799">
      <c r="A799" s="35" t="b">
        <v>0</v>
      </c>
      <c r="B799" s="35"/>
      <c r="C799" s="35"/>
      <c r="D799" s="35"/>
      <c r="E799" s="35"/>
      <c r="F799" s="35"/>
      <c r="G799" s="35"/>
      <c r="H799" s="35"/>
      <c r="I799" s="35"/>
      <c r="J799" s="35"/>
      <c r="K799" s="35"/>
      <c r="L799" s="35"/>
      <c r="M799" s="35"/>
      <c r="N799" s="35"/>
      <c r="O799" s="35"/>
      <c r="P799" s="35"/>
      <c r="Q799" s="35"/>
      <c r="R799" s="35"/>
      <c r="S799" s="35"/>
      <c r="T799" s="35"/>
      <c r="U799" s="35"/>
    </row>
    <row r="800">
      <c r="A800" s="35" t="b">
        <v>0</v>
      </c>
      <c r="B800" s="35"/>
      <c r="C800" s="35"/>
      <c r="D800" s="35"/>
      <c r="E800" s="35"/>
      <c r="F800" s="35"/>
      <c r="G800" s="35"/>
      <c r="H800" s="35"/>
      <c r="I800" s="35"/>
      <c r="J800" s="35"/>
      <c r="K800" s="35"/>
      <c r="L800" s="35"/>
      <c r="M800" s="35"/>
      <c r="N800" s="35"/>
      <c r="O800" s="35"/>
      <c r="P800" s="35"/>
      <c r="Q800" s="35"/>
      <c r="R800" s="35"/>
      <c r="S800" s="35"/>
      <c r="T800" s="35"/>
      <c r="U800" s="35"/>
    </row>
    <row r="801">
      <c r="A801" s="35" t="b">
        <v>0</v>
      </c>
      <c r="B801" s="35"/>
      <c r="C801" s="35"/>
      <c r="D801" s="35"/>
      <c r="E801" s="35"/>
      <c r="F801" s="35"/>
      <c r="G801" s="35"/>
      <c r="H801" s="35"/>
      <c r="I801" s="35"/>
      <c r="J801" s="35"/>
      <c r="K801" s="35"/>
      <c r="L801" s="35"/>
      <c r="M801" s="35"/>
      <c r="N801" s="35"/>
      <c r="O801" s="35"/>
      <c r="P801" s="35"/>
      <c r="Q801" s="35"/>
      <c r="R801" s="35"/>
      <c r="S801" s="35"/>
      <c r="T801" s="35"/>
      <c r="U801" s="35"/>
    </row>
    <row r="802">
      <c r="A802" s="35" t="b">
        <v>0</v>
      </c>
      <c r="B802" s="35"/>
      <c r="C802" s="35"/>
      <c r="D802" s="35"/>
      <c r="E802" s="35"/>
      <c r="F802" s="35"/>
      <c r="G802" s="35"/>
      <c r="H802" s="35"/>
      <c r="I802" s="35"/>
      <c r="J802" s="35"/>
      <c r="K802" s="35"/>
      <c r="L802" s="35"/>
      <c r="M802" s="35"/>
      <c r="N802" s="35"/>
      <c r="O802" s="35"/>
      <c r="P802" s="35"/>
      <c r="Q802" s="35"/>
      <c r="R802" s="35"/>
      <c r="S802" s="35"/>
      <c r="T802" s="35"/>
      <c r="U802" s="35"/>
    </row>
    <row r="803">
      <c r="A803" s="35" t="b">
        <v>0</v>
      </c>
      <c r="B803" s="35"/>
      <c r="C803" s="35"/>
      <c r="D803" s="35"/>
      <c r="E803" s="35"/>
      <c r="F803" s="35"/>
      <c r="G803" s="35"/>
      <c r="H803" s="35"/>
      <c r="I803" s="35"/>
      <c r="J803" s="35"/>
      <c r="K803" s="35"/>
      <c r="L803" s="35"/>
      <c r="M803" s="35"/>
      <c r="N803" s="35"/>
      <c r="O803" s="35"/>
      <c r="P803" s="35"/>
      <c r="Q803" s="35"/>
      <c r="R803" s="35"/>
      <c r="S803" s="35"/>
      <c r="T803" s="35"/>
      <c r="U803" s="35"/>
    </row>
    <row r="804">
      <c r="A804" s="35" t="b">
        <v>0</v>
      </c>
      <c r="B804" s="35"/>
      <c r="C804" s="35"/>
      <c r="D804" s="35"/>
      <c r="E804" s="35"/>
      <c r="F804" s="35"/>
      <c r="G804" s="35"/>
      <c r="H804" s="35"/>
      <c r="I804" s="35"/>
      <c r="J804" s="35"/>
      <c r="K804" s="35"/>
      <c r="L804" s="35"/>
      <c r="M804" s="35"/>
      <c r="N804" s="35"/>
      <c r="O804" s="35"/>
      <c r="P804" s="35"/>
      <c r="Q804" s="35"/>
      <c r="R804" s="35"/>
      <c r="S804" s="35"/>
      <c r="T804" s="35"/>
      <c r="U804" s="35"/>
    </row>
    <row r="805">
      <c r="A805" s="35" t="b">
        <v>0</v>
      </c>
      <c r="B805" s="35"/>
      <c r="C805" s="35"/>
      <c r="D805" s="35"/>
      <c r="E805" s="35"/>
      <c r="F805" s="35"/>
      <c r="G805" s="35"/>
      <c r="H805" s="35"/>
      <c r="I805" s="35"/>
      <c r="J805" s="35"/>
      <c r="K805" s="35"/>
      <c r="L805" s="35"/>
      <c r="M805" s="35"/>
      <c r="N805" s="35"/>
      <c r="O805" s="35"/>
      <c r="P805" s="35"/>
      <c r="Q805" s="35"/>
      <c r="R805" s="35"/>
      <c r="S805" s="35"/>
      <c r="T805" s="35"/>
      <c r="U805" s="35"/>
    </row>
    <row r="806">
      <c r="A806" s="35" t="b">
        <v>0</v>
      </c>
      <c r="B806" s="35"/>
      <c r="C806" s="35"/>
      <c r="D806" s="35"/>
      <c r="E806" s="35"/>
      <c r="F806" s="35"/>
      <c r="G806" s="35"/>
      <c r="H806" s="35"/>
      <c r="I806" s="35"/>
      <c r="J806" s="35"/>
      <c r="K806" s="35"/>
      <c r="L806" s="35"/>
      <c r="M806" s="35"/>
      <c r="N806" s="35"/>
      <c r="O806" s="35"/>
      <c r="P806" s="35"/>
      <c r="Q806" s="35"/>
      <c r="R806" s="35"/>
      <c r="S806" s="35"/>
      <c r="T806" s="35"/>
      <c r="U806" s="35"/>
    </row>
    <row r="807">
      <c r="A807" s="35" t="b">
        <v>0</v>
      </c>
      <c r="B807" s="35"/>
      <c r="C807" s="35"/>
      <c r="D807" s="35"/>
      <c r="E807" s="35"/>
      <c r="F807" s="35"/>
      <c r="G807" s="35"/>
      <c r="H807" s="35"/>
      <c r="I807" s="35"/>
      <c r="J807" s="35"/>
      <c r="K807" s="35"/>
      <c r="L807" s="35"/>
      <c r="M807" s="35"/>
      <c r="N807" s="35"/>
      <c r="O807" s="35"/>
      <c r="P807" s="35"/>
      <c r="Q807" s="35"/>
      <c r="R807" s="35"/>
      <c r="S807" s="35"/>
      <c r="T807" s="35"/>
      <c r="U807" s="35"/>
    </row>
    <row r="808">
      <c r="A808" s="35" t="b">
        <v>0</v>
      </c>
      <c r="B808" s="35"/>
      <c r="C808" s="35"/>
      <c r="D808" s="35"/>
      <c r="E808" s="35"/>
      <c r="F808" s="35"/>
      <c r="G808" s="35"/>
      <c r="H808" s="35"/>
      <c r="I808" s="35"/>
      <c r="J808" s="35"/>
      <c r="K808" s="35"/>
      <c r="L808" s="35"/>
      <c r="M808" s="35"/>
      <c r="N808" s="35"/>
      <c r="O808" s="35"/>
      <c r="P808" s="35"/>
      <c r="Q808" s="35"/>
      <c r="R808" s="35"/>
      <c r="S808" s="35"/>
      <c r="T808" s="35"/>
      <c r="U808" s="35"/>
    </row>
    <row r="809">
      <c r="A809" s="35" t="b">
        <v>0</v>
      </c>
      <c r="B809" s="35"/>
      <c r="C809" s="35"/>
      <c r="D809" s="35"/>
      <c r="E809" s="35"/>
      <c r="F809" s="35"/>
      <c r="G809" s="35"/>
      <c r="H809" s="35"/>
      <c r="I809" s="35"/>
      <c r="J809" s="35"/>
      <c r="K809" s="35"/>
      <c r="L809" s="35"/>
      <c r="M809" s="35"/>
      <c r="N809" s="35"/>
      <c r="O809" s="35"/>
      <c r="P809" s="35"/>
      <c r="Q809" s="35"/>
      <c r="R809" s="35"/>
      <c r="S809" s="35"/>
      <c r="T809" s="35"/>
      <c r="U809" s="35"/>
    </row>
    <row r="810">
      <c r="A810" s="35" t="b">
        <v>0</v>
      </c>
      <c r="B810" s="35"/>
      <c r="C810" s="35"/>
      <c r="D810" s="35"/>
      <c r="E810" s="35"/>
      <c r="F810" s="35"/>
      <c r="G810" s="35"/>
      <c r="H810" s="35"/>
      <c r="I810" s="35"/>
      <c r="J810" s="35"/>
      <c r="K810" s="35"/>
      <c r="L810" s="35"/>
      <c r="M810" s="35"/>
      <c r="N810" s="35"/>
      <c r="O810" s="35"/>
      <c r="P810" s="35"/>
      <c r="Q810" s="35"/>
      <c r="R810" s="35"/>
      <c r="S810" s="35"/>
      <c r="T810" s="35"/>
      <c r="U810" s="35"/>
    </row>
    <row r="811">
      <c r="A811" s="35" t="b">
        <v>0</v>
      </c>
      <c r="B811" s="35"/>
      <c r="C811" s="35"/>
      <c r="D811" s="35"/>
      <c r="E811" s="35"/>
      <c r="F811" s="35"/>
      <c r="G811" s="35"/>
      <c r="H811" s="35"/>
      <c r="I811" s="35"/>
      <c r="J811" s="35"/>
      <c r="K811" s="35"/>
      <c r="L811" s="35"/>
      <c r="M811" s="35"/>
      <c r="N811" s="35"/>
      <c r="O811" s="35"/>
      <c r="P811" s="35"/>
      <c r="Q811" s="35"/>
      <c r="R811" s="35"/>
      <c r="S811" s="35"/>
      <c r="T811" s="35"/>
      <c r="U811" s="35"/>
    </row>
    <row r="812">
      <c r="A812" s="35" t="b">
        <v>0</v>
      </c>
      <c r="B812" s="35"/>
      <c r="C812" s="35"/>
      <c r="D812" s="35"/>
      <c r="E812" s="35"/>
      <c r="F812" s="35"/>
      <c r="G812" s="35"/>
      <c r="H812" s="35"/>
      <c r="I812" s="35"/>
      <c r="J812" s="35"/>
      <c r="K812" s="35"/>
      <c r="L812" s="35"/>
      <c r="M812" s="35"/>
      <c r="N812" s="35"/>
      <c r="O812" s="35"/>
      <c r="P812" s="35"/>
      <c r="Q812" s="35"/>
      <c r="R812" s="35"/>
      <c r="S812" s="35"/>
      <c r="T812" s="35"/>
      <c r="U812" s="35"/>
    </row>
    <row r="813">
      <c r="A813" s="35" t="b">
        <v>0</v>
      </c>
      <c r="B813" s="35"/>
      <c r="C813" s="35"/>
      <c r="D813" s="35"/>
      <c r="E813" s="35"/>
      <c r="F813" s="35"/>
      <c r="G813" s="35"/>
      <c r="H813" s="35"/>
      <c r="I813" s="35"/>
      <c r="J813" s="35"/>
      <c r="K813" s="35"/>
      <c r="L813" s="35"/>
      <c r="M813" s="35"/>
      <c r="N813" s="35"/>
      <c r="O813" s="35"/>
      <c r="P813" s="35"/>
      <c r="Q813" s="35"/>
      <c r="R813" s="35"/>
      <c r="S813" s="35"/>
      <c r="T813" s="35"/>
      <c r="U813" s="35"/>
    </row>
    <row r="814">
      <c r="A814" s="35" t="b">
        <v>0</v>
      </c>
      <c r="B814" s="35"/>
      <c r="C814" s="35"/>
      <c r="D814" s="35"/>
      <c r="E814" s="35"/>
      <c r="F814" s="35"/>
      <c r="G814" s="35"/>
      <c r="H814" s="35"/>
      <c r="I814" s="35"/>
      <c r="J814" s="35"/>
      <c r="K814" s="35"/>
      <c r="L814" s="35"/>
      <c r="M814" s="35"/>
      <c r="N814" s="35"/>
      <c r="O814" s="35"/>
      <c r="P814" s="35"/>
      <c r="Q814" s="35"/>
      <c r="R814" s="35"/>
      <c r="S814" s="35"/>
      <c r="T814" s="35"/>
      <c r="U814" s="35"/>
    </row>
    <row r="815">
      <c r="A815" s="35" t="b">
        <v>0</v>
      </c>
      <c r="B815" s="35"/>
      <c r="C815" s="35"/>
      <c r="D815" s="35"/>
      <c r="E815" s="35"/>
      <c r="F815" s="35"/>
      <c r="G815" s="35"/>
      <c r="H815" s="35"/>
      <c r="I815" s="35"/>
      <c r="J815" s="35"/>
      <c r="K815" s="35"/>
      <c r="L815" s="35"/>
      <c r="M815" s="35"/>
      <c r="N815" s="35"/>
      <c r="O815" s="35"/>
      <c r="P815" s="35"/>
      <c r="Q815" s="35"/>
      <c r="R815" s="35"/>
      <c r="S815" s="35"/>
      <c r="T815" s="35"/>
      <c r="U815" s="35"/>
    </row>
    <row r="816">
      <c r="A816" s="35" t="b">
        <v>0</v>
      </c>
      <c r="B816" s="35"/>
      <c r="C816" s="35"/>
      <c r="D816" s="35"/>
      <c r="E816" s="35"/>
      <c r="F816" s="35"/>
      <c r="G816" s="35"/>
      <c r="H816" s="35"/>
      <c r="I816" s="35"/>
      <c r="J816" s="35"/>
      <c r="K816" s="35"/>
      <c r="L816" s="35"/>
      <c r="M816" s="35"/>
      <c r="N816" s="35"/>
      <c r="O816" s="35"/>
      <c r="P816" s="35"/>
      <c r="Q816" s="35"/>
      <c r="R816" s="35"/>
      <c r="S816" s="35"/>
      <c r="T816" s="35"/>
      <c r="U816" s="35"/>
    </row>
    <row r="817">
      <c r="A817" s="35" t="b">
        <v>0</v>
      </c>
      <c r="B817" s="35"/>
      <c r="C817" s="35"/>
      <c r="D817" s="35"/>
      <c r="E817" s="35"/>
      <c r="F817" s="35"/>
      <c r="G817" s="35"/>
      <c r="H817" s="35"/>
      <c r="I817" s="35"/>
      <c r="J817" s="35"/>
      <c r="K817" s="35"/>
      <c r="L817" s="35"/>
      <c r="M817" s="35"/>
      <c r="N817" s="35"/>
      <c r="O817" s="35"/>
      <c r="P817" s="35"/>
      <c r="Q817" s="35"/>
      <c r="R817" s="35"/>
      <c r="S817" s="35"/>
      <c r="T817" s="35"/>
      <c r="U817" s="35"/>
    </row>
    <row r="818">
      <c r="A818" s="35" t="b">
        <v>0</v>
      </c>
      <c r="B818" s="35"/>
      <c r="C818" s="35"/>
      <c r="D818" s="35"/>
      <c r="E818" s="35"/>
      <c r="F818" s="35"/>
      <c r="G818" s="35"/>
      <c r="H818" s="35"/>
      <c r="I818" s="35"/>
      <c r="J818" s="35"/>
      <c r="K818" s="35"/>
      <c r="L818" s="35"/>
      <c r="M818" s="35"/>
      <c r="N818" s="35"/>
      <c r="O818" s="35"/>
      <c r="P818" s="35"/>
      <c r="Q818" s="35"/>
      <c r="R818" s="35"/>
      <c r="S818" s="35"/>
      <c r="T818" s="35"/>
      <c r="U818" s="35"/>
    </row>
    <row r="819">
      <c r="A819" s="35" t="b">
        <v>0</v>
      </c>
      <c r="B819" s="35"/>
      <c r="C819" s="35"/>
      <c r="D819" s="35"/>
      <c r="E819" s="35"/>
      <c r="F819" s="35"/>
      <c r="G819" s="35"/>
      <c r="H819" s="35"/>
      <c r="I819" s="35"/>
      <c r="J819" s="35"/>
      <c r="K819" s="35"/>
      <c r="L819" s="35"/>
      <c r="M819" s="35"/>
      <c r="N819" s="35"/>
      <c r="O819" s="35"/>
      <c r="P819" s="35"/>
      <c r="Q819" s="35"/>
      <c r="R819" s="35"/>
      <c r="S819" s="35"/>
      <c r="T819" s="35"/>
      <c r="U819" s="35"/>
    </row>
    <row r="820">
      <c r="A820" s="35" t="b">
        <v>0</v>
      </c>
      <c r="B820" s="35"/>
      <c r="C820" s="35"/>
      <c r="D820" s="35"/>
      <c r="E820" s="35"/>
      <c r="F820" s="35"/>
      <c r="G820" s="35"/>
      <c r="H820" s="35"/>
      <c r="I820" s="35"/>
      <c r="J820" s="35"/>
      <c r="K820" s="35"/>
      <c r="L820" s="35"/>
      <c r="M820" s="35"/>
      <c r="N820" s="35"/>
      <c r="O820" s="35"/>
      <c r="P820" s="35"/>
      <c r="Q820" s="35"/>
      <c r="R820" s="35"/>
      <c r="S820" s="35"/>
      <c r="T820" s="35"/>
      <c r="U820" s="35"/>
    </row>
    <row r="821">
      <c r="A821" s="35" t="b">
        <v>0</v>
      </c>
      <c r="B821" s="35"/>
      <c r="C821" s="35"/>
      <c r="D821" s="35"/>
      <c r="E821" s="35"/>
      <c r="F821" s="35"/>
      <c r="G821" s="35"/>
      <c r="H821" s="35"/>
      <c r="I821" s="35"/>
      <c r="J821" s="35"/>
      <c r="K821" s="35"/>
      <c r="L821" s="35"/>
      <c r="M821" s="35"/>
      <c r="N821" s="35"/>
      <c r="O821" s="35"/>
      <c r="P821" s="35"/>
      <c r="Q821" s="35"/>
      <c r="R821" s="35"/>
      <c r="S821" s="35"/>
      <c r="T821" s="35"/>
      <c r="U821" s="35"/>
    </row>
    <row r="822">
      <c r="A822" s="35" t="b">
        <v>0</v>
      </c>
      <c r="B822" s="35"/>
      <c r="C822" s="35"/>
      <c r="D822" s="35"/>
      <c r="E822" s="35"/>
      <c r="F822" s="35"/>
      <c r="G822" s="35"/>
      <c r="H822" s="35"/>
      <c r="I822" s="35"/>
      <c r="J822" s="35"/>
      <c r="K822" s="35"/>
      <c r="L822" s="35"/>
      <c r="M822" s="35"/>
      <c r="N822" s="35"/>
      <c r="O822" s="35"/>
      <c r="P822" s="35"/>
      <c r="Q822" s="35"/>
      <c r="R822" s="35"/>
      <c r="S822" s="35"/>
      <c r="T822" s="35"/>
      <c r="U822" s="35"/>
    </row>
    <row r="823">
      <c r="A823" s="35" t="b">
        <v>0</v>
      </c>
      <c r="B823" s="35"/>
      <c r="C823" s="35"/>
      <c r="D823" s="35"/>
      <c r="E823" s="35"/>
      <c r="F823" s="35"/>
      <c r="G823" s="35"/>
      <c r="H823" s="35"/>
      <c r="I823" s="35"/>
      <c r="J823" s="35"/>
      <c r="K823" s="35"/>
      <c r="L823" s="35"/>
      <c r="M823" s="35"/>
      <c r="N823" s="35"/>
      <c r="O823" s="35"/>
      <c r="P823" s="35"/>
      <c r="Q823" s="35"/>
      <c r="R823" s="35"/>
      <c r="S823" s="35"/>
      <c r="T823" s="35"/>
      <c r="U823" s="35"/>
    </row>
    <row r="824">
      <c r="A824" s="35" t="b">
        <v>0</v>
      </c>
      <c r="B824" s="35"/>
      <c r="C824" s="35"/>
      <c r="D824" s="35"/>
      <c r="E824" s="35"/>
      <c r="F824" s="35"/>
      <c r="G824" s="35"/>
      <c r="H824" s="35"/>
      <c r="I824" s="35"/>
      <c r="J824" s="35"/>
      <c r="K824" s="35"/>
      <c r="L824" s="35"/>
      <c r="M824" s="35"/>
      <c r="N824" s="35"/>
      <c r="O824" s="35"/>
      <c r="P824" s="35"/>
      <c r="Q824" s="35"/>
      <c r="R824" s="35"/>
      <c r="S824" s="35"/>
      <c r="T824" s="35"/>
      <c r="U824" s="35"/>
    </row>
    <row r="825">
      <c r="A825" s="35" t="b">
        <v>0</v>
      </c>
      <c r="B825" s="35"/>
      <c r="C825" s="35"/>
      <c r="D825" s="35"/>
      <c r="E825" s="35"/>
      <c r="F825" s="35"/>
      <c r="G825" s="35"/>
      <c r="H825" s="35"/>
      <c r="I825" s="35"/>
      <c r="J825" s="35"/>
      <c r="K825" s="35"/>
      <c r="L825" s="35"/>
      <c r="M825" s="35"/>
      <c r="N825" s="35"/>
      <c r="O825" s="35"/>
      <c r="P825" s="35"/>
      <c r="Q825" s="35"/>
      <c r="R825" s="35"/>
      <c r="S825" s="35"/>
      <c r="T825" s="35"/>
      <c r="U825" s="35"/>
    </row>
    <row r="826">
      <c r="A826" s="35" t="b">
        <v>0</v>
      </c>
      <c r="B826" s="35"/>
      <c r="C826" s="35"/>
      <c r="D826" s="35"/>
      <c r="E826" s="35"/>
      <c r="F826" s="35"/>
      <c r="G826" s="35"/>
      <c r="H826" s="35"/>
      <c r="I826" s="35"/>
      <c r="J826" s="35"/>
      <c r="K826" s="35"/>
      <c r="L826" s="35"/>
      <c r="M826" s="35"/>
      <c r="N826" s="35"/>
      <c r="O826" s="35"/>
      <c r="P826" s="35"/>
      <c r="Q826" s="35"/>
      <c r="R826" s="35"/>
      <c r="S826" s="35"/>
      <c r="T826" s="35"/>
      <c r="U826" s="35"/>
    </row>
    <row r="827">
      <c r="A827" s="35" t="b">
        <v>0</v>
      </c>
      <c r="B827" s="35"/>
      <c r="C827" s="35"/>
      <c r="D827" s="35"/>
      <c r="E827" s="35"/>
      <c r="F827" s="35"/>
      <c r="G827" s="35"/>
      <c r="H827" s="35"/>
      <c r="I827" s="35"/>
      <c r="J827" s="35"/>
      <c r="K827" s="35"/>
      <c r="L827" s="35"/>
      <c r="M827" s="35"/>
      <c r="N827" s="35"/>
      <c r="O827" s="35"/>
      <c r="P827" s="35"/>
      <c r="Q827" s="35"/>
      <c r="R827" s="35"/>
      <c r="S827" s="35"/>
      <c r="T827" s="35"/>
      <c r="U827" s="35"/>
    </row>
    <row r="828">
      <c r="A828" s="35" t="b">
        <v>0</v>
      </c>
      <c r="B828" s="35"/>
      <c r="C828" s="35"/>
      <c r="D828" s="35"/>
      <c r="E828" s="35"/>
      <c r="F828" s="35"/>
      <c r="G828" s="35"/>
      <c r="H828" s="35"/>
      <c r="I828" s="35"/>
      <c r="J828" s="35"/>
      <c r="K828" s="35"/>
      <c r="L828" s="35"/>
      <c r="M828" s="35"/>
      <c r="N828" s="35"/>
      <c r="O828" s="35"/>
      <c r="P828" s="35"/>
      <c r="Q828" s="35"/>
      <c r="R828" s="35"/>
      <c r="S828" s="35"/>
      <c r="T828" s="35"/>
      <c r="U828" s="35"/>
    </row>
    <row r="829">
      <c r="A829" s="35" t="b">
        <v>0</v>
      </c>
      <c r="B829" s="35"/>
      <c r="C829" s="35"/>
      <c r="D829" s="35"/>
      <c r="E829" s="35"/>
      <c r="F829" s="35"/>
      <c r="G829" s="35"/>
      <c r="H829" s="35"/>
      <c r="I829" s="35"/>
      <c r="J829" s="35"/>
      <c r="K829" s="35"/>
      <c r="L829" s="35"/>
      <c r="M829" s="35"/>
      <c r="N829" s="35"/>
      <c r="O829" s="35"/>
      <c r="P829" s="35"/>
      <c r="Q829" s="35"/>
      <c r="R829" s="35"/>
      <c r="S829" s="35"/>
      <c r="T829" s="35"/>
      <c r="U829" s="35"/>
    </row>
    <row r="830">
      <c r="A830" s="35" t="b">
        <v>0</v>
      </c>
      <c r="B830" s="35"/>
      <c r="C830" s="35"/>
      <c r="D830" s="35"/>
      <c r="E830" s="35"/>
      <c r="F830" s="35"/>
      <c r="G830" s="35"/>
      <c r="H830" s="35"/>
      <c r="I830" s="35"/>
      <c r="J830" s="35"/>
      <c r="K830" s="35"/>
      <c r="L830" s="35"/>
      <c r="M830" s="35"/>
      <c r="N830" s="35"/>
      <c r="O830" s="35"/>
      <c r="P830" s="35"/>
      <c r="Q830" s="35"/>
      <c r="R830" s="35"/>
      <c r="S830" s="35"/>
      <c r="T830" s="35"/>
      <c r="U830" s="35"/>
    </row>
    <row r="831">
      <c r="A831" s="35" t="b">
        <v>0</v>
      </c>
      <c r="B831" s="35"/>
      <c r="C831" s="35"/>
      <c r="D831" s="35"/>
      <c r="E831" s="35"/>
      <c r="F831" s="35"/>
      <c r="G831" s="35"/>
      <c r="H831" s="35"/>
      <c r="I831" s="35"/>
      <c r="J831" s="35"/>
      <c r="K831" s="35"/>
      <c r="L831" s="35"/>
      <c r="M831" s="35"/>
      <c r="N831" s="35"/>
      <c r="O831" s="35"/>
      <c r="P831" s="35"/>
      <c r="Q831" s="35"/>
      <c r="R831" s="35"/>
      <c r="S831" s="35"/>
      <c r="T831" s="35"/>
      <c r="U831" s="35"/>
    </row>
    <row r="832">
      <c r="A832" s="35" t="b">
        <v>0</v>
      </c>
      <c r="B832" s="35"/>
      <c r="C832" s="35"/>
      <c r="D832" s="35"/>
      <c r="E832" s="35"/>
      <c r="F832" s="35"/>
      <c r="G832" s="35"/>
      <c r="H832" s="35"/>
      <c r="I832" s="35"/>
      <c r="J832" s="35"/>
      <c r="K832" s="35"/>
      <c r="L832" s="35"/>
      <c r="M832" s="35"/>
      <c r="N832" s="35"/>
      <c r="O832" s="35"/>
      <c r="P832" s="35"/>
      <c r="Q832" s="35"/>
      <c r="R832" s="35"/>
      <c r="S832" s="35"/>
      <c r="T832" s="35"/>
      <c r="U832" s="35"/>
    </row>
    <row r="833">
      <c r="A833" s="35" t="b">
        <v>0</v>
      </c>
      <c r="B833" s="35"/>
      <c r="C833" s="35"/>
      <c r="D833" s="35"/>
      <c r="E833" s="35"/>
      <c r="F833" s="35"/>
      <c r="G833" s="35"/>
      <c r="H833" s="35"/>
      <c r="I833" s="35"/>
      <c r="J833" s="35"/>
      <c r="K833" s="35"/>
      <c r="L833" s="35"/>
      <c r="M833" s="35"/>
      <c r="N833" s="35"/>
      <c r="O833" s="35"/>
      <c r="P833" s="35"/>
      <c r="Q833" s="35"/>
      <c r="R833" s="35"/>
      <c r="S833" s="35"/>
      <c r="T833" s="35"/>
      <c r="U833" s="35"/>
    </row>
    <row r="834">
      <c r="A834" s="35" t="b">
        <v>0</v>
      </c>
      <c r="B834" s="35"/>
      <c r="C834" s="35"/>
      <c r="D834" s="35"/>
      <c r="E834" s="35"/>
      <c r="F834" s="35"/>
      <c r="G834" s="35"/>
      <c r="H834" s="35"/>
      <c r="I834" s="35"/>
      <c r="J834" s="35"/>
      <c r="K834" s="35"/>
      <c r="L834" s="35"/>
      <c r="M834" s="35"/>
      <c r="N834" s="35"/>
      <c r="O834" s="35"/>
      <c r="P834" s="35"/>
      <c r="Q834" s="35"/>
      <c r="R834" s="35"/>
      <c r="S834" s="35"/>
      <c r="T834" s="35"/>
      <c r="U834" s="35"/>
    </row>
    <row r="835">
      <c r="A835" s="35" t="b">
        <v>0</v>
      </c>
      <c r="B835" s="35"/>
      <c r="C835" s="35"/>
      <c r="D835" s="35"/>
      <c r="E835" s="35"/>
      <c r="F835" s="35"/>
      <c r="G835" s="35"/>
      <c r="H835" s="35"/>
      <c r="I835" s="35"/>
      <c r="J835" s="35"/>
      <c r="K835" s="35"/>
      <c r="L835" s="35"/>
      <c r="M835" s="35"/>
      <c r="N835" s="35"/>
      <c r="O835" s="35"/>
      <c r="P835" s="35"/>
      <c r="Q835" s="35"/>
      <c r="R835" s="35"/>
      <c r="S835" s="35"/>
      <c r="T835" s="35"/>
      <c r="U835" s="35"/>
    </row>
    <row r="836">
      <c r="A836" s="35" t="b">
        <v>0</v>
      </c>
      <c r="B836" s="35"/>
      <c r="C836" s="35"/>
      <c r="D836" s="35"/>
      <c r="E836" s="35"/>
      <c r="F836" s="35"/>
      <c r="G836" s="35"/>
      <c r="H836" s="35"/>
      <c r="I836" s="35"/>
      <c r="J836" s="35"/>
      <c r="K836" s="35"/>
      <c r="L836" s="35"/>
      <c r="M836" s="35"/>
      <c r="N836" s="35"/>
      <c r="O836" s="35"/>
      <c r="P836" s="35"/>
      <c r="Q836" s="35"/>
      <c r="R836" s="35"/>
      <c r="S836" s="35"/>
      <c r="T836" s="35"/>
      <c r="U836" s="35"/>
    </row>
    <row r="837">
      <c r="A837" s="35" t="b">
        <v>0</v>
      </c>
      <c r="B837" s="35"/>
      <c r="C837" s="35"/>
      <c r="D837" s="35"/>
      <c r="E837" s="35"/>
      <c r="F837" s="35"/>
      <c r="G837" s="35"/>
      <c r="H837" s="35"/>
      <c r="I837" s="35"/>
      <c r="J837" s="35"/>
      <c r="K837" s="35"/>
      <c r="L837" s="35"/>
      <c r="M837" s="35"/>
      <c r="N837" s="35"/>
      <c r="O837" s="35"/>
      <c r="P837" s="35"/>
      <c r="Q837" s="35"/>
      <c r="R837" s="35"/>
      <c r="S837" s="35"/>
      <c r="T837" s="35"/>
      <c r="U837" s="35"/>
    </row>
    <row r="838">
      <c r="A838" s="35" t="b">
        <v>0</v>
      </c>
      <c r="B838" s="35"/>
      <c r="C838" s="35"/>
      <c r="D838" s="35"/>
      <c r="E838" s="35"/>
      <c r="F838" s="35"/>
      <c r="G838" s="35"/>
      <c r="H838" s="35"/>
      <c r="I838" s="35"/>
      <c r="J838" s="35"/>
      <c r="K838" s="35"/>
      <c r="L838" s="35"/>
      <c r="M838" s="35"/>
      <c r="N838" s="35"/>
      <c r="O838" s="35"/>
      <c r="P838" s="35"/>
      <c r="Q838" s="35"/>
      <c r="R838" s="35"/>
      <c r="S838" s="35"/>
      <c r="T838" s="35"/>
      <c r="U838" s="35"/>
    </row>
    <row r="839">
      <c r="A839" s="35" t="b">
        <v>0</v>
      </c>
      <c r="B839" s="35"/>
      <c r="C839" s="35"/>
      <c r="D839" s="35"/>
      <c r="E839" s="35"/>
      <c r="F839" s="35"/>
      <c r="G839" s="35"/>
      <c r="H839" s="35"/>
      <c r="I839" s="35"/>
      <c r="J839" s="35"/>
      <c r="K839" s="35"/>
      <c r="L839" s="35"/>
      <c r="M839" s="35"/>
      <c r="N839" s="35"/>
      <c r="O839" s="35"/>
      <c r="P839" s="35"/>
      <c r="Q839" s="35"/>
      <c r="R839" s="35"/>
      <c r="S839" s="35"/>
      <c r="T839" s="35"/>
      <c r="U839" s="35"/>
    </row>
    <row r="840">
      <c r="A840" s="35" t="b">
        <v>0</v>
      </c>
      <c r="B840" s="35"/>
      <c r="C840" s="35"/>
      <c r="D840" s="35"/>
      <c r="E840" s="35"/>
      <c r="F840" s="35"/>
      <c r="G840" s="35"/>
      <c r="H840" s="35"/>
      <c r="I840" s="35"/>
      <c r="J840" s="35"/>
      <c r="K840" s="35"/>
      <c r="L840" s="35"/>
      <c r="M840" s="35"/>
      <c r="N840" s="35"/>
      <c r="O840" s="35"/>
      <c r="P840" s="35"/>
      <c r="Q840" s="35"/>
      <c r="R840" s="35"/>
      <c r="S840" s="35"/>
      <c r="T840" s="35"/>
      <c r="U840" s="35"/>
    </row>
    <row r="841">
      <c r="A841" s="35" t="b">
        <v>0</v>
      </c>
      <c r="B841" s="35"/>
      <c r="C841" s="35"/>
      <c r="D841" s="35"/>
      <c r="E841" s="35"/>
      <c r="F841" s="35"/>
      <c r="G841" s="35"/>
      <c r="H841" s="35"/>
      <c r="I841" s="35"/>
      <c r="J841" s="35"/>
      <c r="K841" s="35"/>
      <c r="L841" s="35"/>
      <c r="M841" s="35"/>
      <c r="N841" s="35"/>
      <c r="O841" s="35"/>
      <c r="P841" s="35"/>
      <c r="Q841" s="35"/>
      <c r="R841" s="35"/>
      <c r="S841" s="35"/>
      <c r="T841" s="35"/>
      <c r="U841" s="35"/>
    </row>
    <row r="842">
      <c r="A842" s="35" t="b">
        <v>0</v>
      </c>
      <c r="B842" s="35"/>
      <c r="C842" s="35"/>
      <c r="D842" s="35"/>
      <c r="E842" s="35"/>
      <c r="F842" s="35"/>
      <c r="G842" s="35"/>
      <c r="H842" s="35"/>
      <c r="I842" s="35"/>
      <c r="J842" s="35"/>
      <c r="K842" s="35"/>
      <c r="L842" s="35"/>
      <c r="M842" s="35"/>
      <c r="N842" s="35"/>
      <c r="O842" s="35"/>
      <c r="P842" s="35"/>
      <c r="Q842" s="35"/>
      <c r="R842" s="35"/>
      <c r="S842" s="35"/>
      <c r="T842" s="35"/>
      <c r="U842" s="35"/>
    </row>
    <row r="843">
      <c r="A843" s="35" t="b">
        <v>0</v>
      </c>
      <c r="B843" s="35"/>
      <c r="C843" s="35"/>
      <c r="D843" s="35"/>
      <c r="E843" s="35"/>
      <c r="F843" s="35"/>
      <c r="G843" s="35"/>
      <c r="H843" s="35"/>
      <c r="I843" s="35"/>
      <c r="J843" s="35"/>
      <c r="K843" s="35"/>
      <c r="L843" s="35"/>
      <c r="M843" s="35"/>
      <c r="N843" s="35"/>
      <c r="O843" s="35"/>
      <c r="P843" s="35"/>
      <c r="Q843" s="35"/>
      <c r="R843" s="35"/>
      <c r="S843" s="35"/>
      <c r="T843" s="35"/>
      <c r="U843" s="35"/>
    </row>
    <row r="844">
      <c r="A844" s="35" t="b">
        <v>0</v>
      </c>
      <c r="B844" s="35"/>
      <c r="C844" s="35"/>
      <c r="D844" s="35"/>
      <c r="E844" s="35"/>
      <c r="F844" s="35"/>
      <c r="G844" s="35"/>
      <c r="H844" s="35"/>
      <c r="I844" s="35"/>
      <c r="J844" s="35"/>
      <c r="K844" s="35"/>
      <c r="L844" s="35"/>
      <c r="M844" s="35"/>
      <c r="N844" s="35"/>
      <c r="O844" s="35"/>
      <c r="P844" s="35"/>
      <c r="Q844" s="35"/>
      <c r="R844" s="35"/>
      <c r="S844" s="35"/>
      <c r="T844" s="35"/>
      <c r="U844" s="35"/>
    </row>
    <row r="845">
      <c r="A845" s="35" t="b">
        <v>0</v>
      </c>
      <c r="B845" s="35"/>
      <c r="C845" s="35"/>
      <c r="D845" s="35"/>
      <c r="E845" s="35"/>
      <c r="F845" s="35"/>
      <c r="G845" s="35"/>
      <c r="H845" s="35"/>
      <c r="I845" s="35"/>
      <c r="J845" s="35"/>
      <c r="K845" s="35"/>
      <c r="L845" s="35"/>
      <c r="M845" s="35"/>
      <c r="N845" s="35"/>
      <c r="O845" s="35"/>
      <c r="P845" s="35"/>
      <c r="Q845" s="35"/>
      <c r="R845" s="35"/>
      <c r="S845" s="35"/>
      <c r="T845" s="35"/>
      <c r="U845" s="35"/>
    </row>
    <row r="846">
      <c r="A846" s="35" t="b">
        <v>0</v>
      </c>
      <c r="B846" s="35"/>
      <c r="C846" s="35"/>
      <c r="D846" s="35"/>
      <c r="E846" s="35"/>
      <c r="F846" s="35"/>
      <c r="G846" s="35"/>
      <c r="H846" s="35"/>
      <c r="I846" s="35"/>
      <c r="J846" s="35"/>
      <c r="K846" s="35"/>
      <c r="L846" s="35"/>
      <c r="M846" s="35"/>
      <c r="N846" s="35"/>
      <c r="O846" s="35"/>
      <c r="P846" s="35"/>
      <c r="Q846" s="35"/>
      <c r="R846" s="35"/>
      <c r="S846" s="35"/>
      <c r="T846" s="35"/>
      <c r="U846" s="35"/>
    </row>
    <row r="847">
      <c r="A847" s="35" t="b">
        <v>0</v>
      </c>
      <c r="B847" s="35"/>
      <c r="C847" s="35"/>
      <c r="D847" s="35"/>
      <c r="E847" s="35"/>
      <c r="F847" s="35"/>
      <c r="G847" s="35"/>
      <c r="H847" s="35"/>
      <c r="I847" s="35"/>
      <c r="J847" s="35"/>
      <c r="K847" s="35"/>
      <c r="L847" s="35"/>
      <c r="M847" s="35"/>
      <c r="N847" s="35"/>
      <c r="O847" s="35"/>
      <c r="P847" s="35"/>
      <c r="Q847" s="35"/>
      <c r="R847" s="35"/>
      <c r="S847" s="35"/>
      <c r="T847" s="35"/>
      <c r="U847" s="35"/>
    </row>
    <row r="848">
      <c r="A848" s="35" t="b">
        <v>0</v>
      </c>
      <c r="B848" s="35"/>
      <c r="C848" s="35"/>
      <c r="D848" s="35"/>
      <c r="E848" s="35"/>
      <c r="F848" s="35"/>
      <c r="G848" s="35"/>
      <c r="H848" s="35"/>
      <c r="I848" s="35"/>
      <c r="J848" s="35"/>
      <c r="K848" s="35"/>
      <c r="L848" s="35"/>
      <c r="M848" s="35"/>
      <c r="N848" s="35"/>
      <c r="O848" s="35"/>
      <c r="P848" s="35"/>
      <c r="Q848" s="35"/>
      <c r="R848" s="35"/>
      <c r="S848" s="35"/>
      <c r="T848" s="35"/>
      <c r="U848" s="35"/>
    </row>
    <row r="849">
      <c r="A849" s="35" t="b">
        <v>0</v>
      </c>
      <c r="B849" s="35"/>
      <c r="C849" s="35"/>
      <c r="D849" s="35"/>
      <c r="E849" s="35"/>
      <c r="F849" s="35"/>
      <c r="G849" s="35"/>
      <c r="H849" s="35"/>
      <c r="I849" s="35"/>
      <c r="J849" s="35"/>
      <c r="K849" s="35"/>
      <c r="L849" s="35"/>
      <c r="M849" s="35"/>
      <c r="N849" s="35"/>
      <c r="O849" s="35"/>
      <c r="P849" s="35"/>
      <c r="Q849" s="35"/>
      <c r="R849" s="35"/>
      <c r="S849" s="35"/>
      <c r="T849" s="35"/>
      <c r="U849" s="35"/>
    </row>
    <row r="850">
      <c r="A850" s="35" t="b">
        <v>0</v>
      </c>
      <c r="B850" s="35"/>
      <c r="C850" s="35"/>
      <c r="D850" s="35"/>
      <c r="E850" s="35"/>
      <c r="F850" s="35"/>
      <c r="G850" s="35"/>
      <c r="H850" s="35"/>
      <c r="I850" s="35"/>
      <c r="J850" s="35"/>
      <c r="K850" s="35"/>
      <c r="L850" s="35"/>
      <c r="M850" s="35"/>
      <c r="N850" s="35"/>
      <c r="O850" s="35"/>
      <c r="P850" s="35"/>
      <c r="Q850" s="35"/>
      <c r="R850" s="35"/>
      <c r="S850" s="35"/>
      <c r="T850" s="35"/>
      <c r="U850" s="35"/>
    </row>
    <row r="851">
      <c r="A851" s="35" t="b">
        <v>0</v>
      </c>
      <c r="B851" s="35"/>
      <c r="C851" s="35"/>
      <c r="D851" s="35"/>
      <c r="E851" s="35"/>
      <c r="F851" s="35"/>
      <c r="G851" s="35"/>
      <c r="H851" s="35"/>
      <c r="I851" s="35"/>
      <c r="J851" s="35"/>
      <c r="K851" s="35"/>
      <c r="L851" s="35"/>
      <c r="M851" s="35"/>
      <c r="N851" s="35"/>
      <c r="O851" s="35"/>
      <c r="P851" s="35"/>
      <c r="Q851" s="35"/>
      <c r="R851" s="35"/>
      <c r="S851" s="35"/>
      <c r="T851" s="35"/>
      <c r="U851" s="35"/>
    </row>
    <row r="852">
      <c r="A852" s="35" t="b">
        <v>0</v>
      </c>
      <c r="B852" s="35"/>
      <c r="C852" s="35"/>
      <c r="D852" s="35"/>
      <c r="E852" s="35"/>
      <c r="F852" s="35"/>
      <c r="G852" s="35"/>
      <c r="H852" s="35"/>
      <c r="I852" s="35"/>
      <c r="J852" s="35"/>
      <c r="K852" s="35"/>
      <c r="L852" s="35"/>
      <c r="M852" s="35"/>
      <c r="N852" s="35"/>
      <c r="O852" s="35"/>
      <c r="P852" s="35"/>
      <c r="Q852" s="35"/>
      <c r="R852" s="35"/>
      <c r="S852" s="35"/>
      <c r="T852" s="35"/>
      <c r="U852" s="35"/>
    </row>
    <row r="853">
      <c r="A853" s="35" t="b">
        <v>0</v>
      </c>
      <c r="B853" s="35"/>
      <c r="C853" s="35"/>
      <c r="D853" s="35"/>
      <c r="E853" s="35"/>
      <c r="F853" s="35"/>
      <c r="G853" s="35"/>
      <c r="H853" s="35"/>
      <c r="I853" s="35"/>
      <c r="J853" s="35"/>
      <c r="K853" s="35"/>
      <c r="L853" s="35"/>
      <c r="M853" s="35"/>
      <c r="N853" s="35"/>
      <c r="O853" s="35"/>
      <c r="P853" s="35"/>
      <c r="Q853" s="35"/>
      <c r="R853" s="35"/>
      <c r="S853" s="35"/>
      <c r="T853" s="35"/>
      <c r="U853" s="35"/>
    </row>
    <row r="854">
      <c r="A854" s="35" t="b">
        <v>0</v>
      </c>
      <c r="B854" s="35"/>
      <c r="C854" s="35"/>
      <c r="D854" s="35"/>
      <c r="E854" s="35"/>
      <c r="F854" s="35"/>
      <c r="G854" s="35"/>
      <c r="H854" s="35"/>
      <c r="I854" s="35"/>
      <c r="J854" s="35"/>
      <c r="K854" s="35"/>
      <c r="L854" s="35"/>
      <c r="M854" s="35"/>
      <c r="N854" s="35"/>
      <c r="O854" s="35"/>
      <c r="P854" s="35"/>
      <c r="Q854" s="35"/>
      <c r="R854" s="35"/>
      <c r="S854" s="35"/>
      <c r="T854" s="35"/>
      <c r="U854" s="35"/>
    </row>
    <row r="855">
      <c r="A855" s="35" t="b">
        <v>0</v>
      </c>
      <c r="B855" s="35"/>
      <c r="C855" s="35"/>
      <c r="D855" s="35"/>
      <c r="E855" s="35"/>
      <c r="F855" s="35"/>
      <c r="G855" s="35"/>
      <c r="H855" s="35"/>
      <c r="I855" s="35"/>
      <c r="J855" s="35"/>
      <c r="K855" s="35"/>
      <c r="L855" s="35"/>
      <c r="M855" s="35"/>
      <c r="N855" s="35"/>
      <c r="O855" s="35"/>
      <c r="P855" s="35"/>
      <c r="Q855" s="35"/>
      <c r="R855" s="35"/>
      <c r="S855" s="35"/>
      <c r="T855" s="35"/>
      <c r="U855" s="35"/>
    </row>
    <row r="856">
      <c r="A856" s="35" t="b">
        <v>0</v>
      </c>
      <c r="B856" s="35"/>
      <c r="C856" s="35"/>
      <c r="D856" s="35"/>
      <c r="E856" s="35"/>
      <c r="F856" s="35"/>
      <c r="G856" s="35"/>
      <c r="H856" s="35"/>
      <c r="I856" s="35"/>
      <c r="J856" s="35"/>
      <c r="K856" s="35"/>
      <c r="L856" s="35"/>
      <c r="M856" s="35"/>
      <c r="N856" s="35"/>
      <c r="O856" s="35"/>
      <c r="P856" s="35"/>
      <c r="Q856" s="35"/>
      <c r="R856" s="35"/>
      <c r="S856" s="35"/>
      <c r="T856" s="35"/>
      <c r="U856" s="35"/>
    </row>
    <row r="857">
      <c r="A857" s="35" t="b">
        <v>0</v>
      </c>
      <c r="B857" s="35"/>
      <c r="C857" s="35"/>
      <c r="D857" s="35"/>
      <c r="E857" s="35"/>
      <c r="F857" s="35"/>
      <c r="G857" s="35"/>
      <c r="H857" s="35"/>
      <c r="I857" s="35"/>
      <c r="J857" s="35"/>
      <c r="K857" s="35"/>
      <c r="L857" s="35"/>
      <c r="M857" s="35"/>
      <c r="N857" s="35"/>
      <c r="O857" s="35"/>
      <c r="P857" s="35"/>
      <c r="Q857" s="35"/>
      <c r="R857" s="35"/>
      <c r="S857" s="35"/>
      <c r="T857" s="35"/>
      <c r="U857" s="35"/>
    </row>
    <row r="858">
      <c r="A858" s="35" t="b">
        <v>0</v>
      </c>
      <c r="B858" s="35"/>
      <c r="C858" s="35"/>
      <c r="D858" s="35"/>
      <c r="E858" s="35"/>
      <c r="F858" s="35"/>
      <c r="G858" s="35"/>
      <c r="H858" s="35"/>
      <c r="I858" s="35"/>
      <c r="J858" s="35"/>
      <c r="K858" s="35"/>
      <c r="L858" s="35"/>
      <c r="M858" s="35"/>
      <c r="N858" s="35"/>
      <c r="O858" s="35"/>
      <c r="P858" s="35"/>
      <c r="Q858" s="35"/>
      <c r="R858" s="35"/>
      <c r="S858" s="35"/>
      <c r="T858" s="35"/>
      <c r="U858" s="35"/>
    </row>
    <row r="859">
      <c r="A859" s="35" t="b">
        <v>0</v>
      </c>
      <c r="B859" s="35"/>
      <c r="C859" s="35"/>
      <c r="D859" s="35"/>
      <c r="E859" s="35"/>
      <c r="F859" s="35"/>
      <c r="G859" s="35"/>
      <c r="H859" s="35"/>
      <c r="I859" s="35"/>
      <c r="J859" s="35"/>
      <c r="K859" s="35"/>
      <c r="L859" s="35"/>
      <c r="M859" s="35"/>
      <c r="N859" s="35"/>
      <c r="O859" s="35"/>
      <c r="P859" s="35"/>
      <c r="Q859" s="35"/>
      <c r="R859" s="35"/>
      <c r="S859" s="35"/>
      <c r="T859" s="35"/>
      <c r="U859" s="35"/>
    </row>
    <row r="860">
      <c r="A860" s="35" t="b">
        <v>0</v>
      </c>
      <c r="B860" s="35"/>
      <c r="C860" s="35"/>
      <c r="D860" s="35"/>
      <c r="E860" s="35"/>
      <c r="F860" s="35"/>
      <c r="G860" s="35"/>
      <c r="H860" s="35"/>
      <c r="I860" s="35"/>
      <c r="J860" s="35"/>
      <c r="K860" s="35"/>
      <c r="L860" s="35"/>
      <c r="M860" s="35"/>
      <c r="N860" s="35"/>
      <c r="O860" s="35"/>
      <c r="P860" s="35"/>
      <c r="Q860" s="35"/>
      <c r="R860" s="35"/>
      <c r="S860" s="35"/>
      <c r="T860" s="35"/>
      <c r="U860" s="35"/>
    </row>
    <row r="861">
      <c r="A861" s="35" t="b">
        <v>0</v>
      </c>
      <c r="B861" s="35"/>
      <c r="C861" s="35"/>
      <c r="D861" s="35"/>
      <c r="E861" s="35"/>
      <c r="F861" s="35"/>
      <c r="G861" s="35"/>
      <c r="H861" s="35"/>
      <c r="I861" s="35"/>
      <c r="J861" s="35"/>
      <c r="K861" s="35"/>
      <c r="L861" s="35"/>
      <c r="M861" s="35"/>
      <c r="N861" s="35"/>
      <c r="O861" s="35"/>
      <c r="P861" s="35"/>
      <c r="Q861" s="35"/>
      <c r="R861" s="35"/>
      <c r="S861" s="35"/>
      <c r="T861" s="35"/>
      <c r="U861" s="35"/>
    </row>
    <row r="862">
      <c r="A862" s="35" t="b">
        <v>0</v>
      </c>
      <c r="B862" s="35"/>
      <c r="C862" s="35"/>
      <c r="D862" s="35"/>
      <c r="E862" s="35"/>
      <c r="F862" s="35"/>
      <c r="G862" s="35"/>
      <c r="H862" s="35"/>
      <c r="I862" s="35"/>
      <c r="J862" s="35"/>
      <c r="K862" s="35"/>
      <c r="L862" s="35"/>
      <c r="M862" s="35"/>
      <c r="N862" s="35"/>
      <c r="O862" s="35"/>
      <c r="P862" s="35"/>
      <c r="Q862" s="35"/>
      <c r="R862" s="35"/>
      <c r="S862" s="35"/>
      <c r="T862" s="35"/>
      <c r="U862" s="35"/>
    </row>
    <row r="863">
      <c r="A863" s="35" t="b">
        <v>0</v>
      </c>
      <c r="B863" s="35"/>
      <c r="C863" s="35"/>
      <c r="D863" s="35"/>
      <c r="E863" s="35"/>
      <c r="F863" s="35"/>
      <c r="G863" s="35"/>
      <c r="H863" s="35"/>
      <c r="I863" s="35"/>
      <c r="J863" s="35"/>
      <c r="K863" s="35"/>
      <c r="L863" s="35"/>
      <c r="M863" s="35"/>
      <c r="N863" s="35"/>
      <c r="O863" s="35"/>
      <c r="P863" s="35"/>
      <c r="Q863" s="35"/>
      <c r="R863" s="35"/>
      <c r="S863" s="35"/>
      <c r="T863" s="35"/>
      <c r="U863" s="35"/>
    </row>
    <row r="864">
      <c r="A864" s="35" t="b">
        <v>0</v>
      </c>
      <c r="B864" s="35"/>
      <c r="C864" s="35"/>
      <c r="D864" s="35"/>
      <c r="E864" s="35"/>
      <c r="F864" s="35"/>
      <c r="G864" s="35"/>
      <c r="H864" s="35"/>
      <c r="I864" s="35"/>
      <c r="J864" s="35"/>
      <c r="K864" s="35"/>
      <c r="L864" s="35"/>
      <c r="M864" s="35"/>
      <c r="N864" s="35"/>
      <c r="O864" s="35"/>
      <c r="P864" s="35"/>
      <c r="Q864" s="35"/>
      <c r="R864" s="35"/>
      <c r="S864" s="35"/>
      <c r="T864" s="35"/>
      <c r="U864" s="35"/>
    </row>
    <row r="865">
      <c r="A865" s="35" t="b">
        <v>0</v>
      </c>
      <c r="B865" s="35"/>
      <c r="C865" s="35"/>
      <c r="D865" s="35"/>
      <c r="E865" s="35"/>
      <c r="F865" s="35"/>
      <c r="G865" s="35"/>
      <c r="H865" s="35"/>
      <c r="I865" s="35"/>
      <c r="J865" s="35"/>
      <c r="K865" s="35"/>
      <c r="L865" s="35"/>
      <c r="M865" s="35"/>
      <c r="N865" s="35"/>
      <c r="O865" s="35"/>
      <c r="P865" s="35"/>
      <c r="Q865" s="35"/>
      <c r="R865" s="35"/>
      <c r="S865" s="35"/>
      <c r="T865" s="35"/>
      <c r="U865" s="35"/>
    </row>
    <row r="866">
      <c r="A866" s="35" t="b">
        <v>0</v>
      </c>
      <c r="B866" s="35"/>
      <c r="C866" s="35"/>
      <c r="D866" s="35"/>
      <c r="E866" s="35"/>
      <c r="F866" s="35"/>
      <c r="G866" s="35"/>
      <c r="H866" s="35"/>
      <c r="I866" s="35"/>
      <c r="J866" s="35"/>
      <c r="K866" s="35"/>
      <c r="L866" s="35"/>
      <c r="M866" s="35"/>
      <c r="N866" s="35"/>
      <c r="O866" s="35"/>
      <c r="P866" s="35"/>
      <c r="Q866" s="35"/>
      <c r="R866" s="35"/>
      <c r="S866" s="35"/>
      <c r="T866" s="35"/>
      <c r="U866" s="35"/>
    </row>
    <row r="867">
      <c r="A867" s="35" t="b">
        <v>0</v>
      </c>
      <c r="B867" s="35"/>
      <c r="C867" s="35"/>
      <c r="D867" s="35"/>
      <c r="E867" s="35"/>
      <c r="F867" s="35"/>
      <c r="G867" s="35"/>
      <c r="H867" s="35"/>
      <c r="I867" s="35"/>
      <c r="J867" s="35"/>
      <c r="K867" s="35"/>
      <c r="L867" s="35"/>
      <c r="M867" s="35"/>
      <c r="N867" s="35"/>
      <c r="O867" s="35"/>
      <c r="P867" s="35"/>
      <c r="Q867" s="35"/>
      <c r="R867" s="35"/>
      <c r="S867" s="35"/>
      <c r="T867" s="35"/>
      <c r="U867" s="35"/>
    </row>
    <row r="868">
      <c r="A868" s="35" t="b">
        <v>0</v>
      </c>
      <c r="B868" s="35"/>
      <c r="C868" s="35"/>
      <c r="D868" s="35"/>
      <c r="E868" s="35"/>
      <c r="F868" s="35"/>
      <c r="G868" s="35"/>
      <c r="H868" s="35"/>
      <c r="I868" s="35"/>
      <c r="J868" s="35"/>
      <c r="K868" s="35"/>
      <c r="L868" s="35"/>
      <c r="M868" s="35"/>
      <c r="N868" s="35"/>
      <c r="O868" s="35"/>
      <c r="P868" s="35"/>
      <c r="Q868" s="35"/>
      <c r="R868" s="35"/>
      <c r="S868" s="35"/>
      <c r="T868" s="35"/>
      <c r="U868" s="35"/>
    </row>
    <row r="869">
      <c r="A869" s="35" t="b">
        <v>0</v>
      </c>
      <c r="B869" s="35"/>
      <c r="C869" s="35"/>
      <c r="D869" s="35"/>
      <c r="E869" s="35"/>
      <c r="F869" s="35"/>
      <c r="G869" s="35"/>
      <c r="H869" s="35"/>
      <c r="I869" s="35"/>
      <c r="J869" s="35"/>
      <c r="K869" s="35"/>
      <c r="L869" s="35"/>
      <c r="M869" s="35"/>
      <c r="N869" s="35"/>
      <c r="O869" s="35"/>
      <c r="P869" s="35"/>
      <c r="Q869" s="35"/>
      <c r="R869" s="35"/>
      <c r="S869" s="35"/>
      <c r="T869" s="35"/>
      <c r="U869" s="35"/>
    </row>
    <row r="870">
      <c r="A870" s="35" t="b">
        <v>0</v>
      </c>
      <c r="B870" s="35"/>
      <c r="C870" s="35"/>
      <c r="D870" s="35"/>
      <c r="E870" s="35"/>
      <c r="F870" s="35"/>
      <c r="G870" s="35"/>
      <c r="H870" s="35"/>
      <c r="I870" s="35"/>
      <c r="J870" s="35"/>
      <c r="K870" s="35"/>
      <c r="L870" s="35"/>
      <c r="M870" s="35"/>
      <c r="N870" s="35"/>
      <c r="O870" s="35"/>
      <c r="P870" s="35"/>
      <c r="Q870" s="35"/>
      <c r="R870" s="35"/>
      <c r="S870" s="35"/>
      <c r="T870" s="35"/>
      <c r="U870" s="35"/>
    </row>
    <row r="871">
      <c r="A871" s="35" t="b">
        <v>0</v>
      </c>
      <c r="B871" s="35"/>
      <c r="C871" s="35"/>
      <c r="D871" s="35"/>
      <c r="E871" s="35"/>
      <c r="F871" s="35"/>
      <c r="G871" s="35"/>
      <c r="H871" s="35"/>
      <c r="I871" s="35"/>
      <c r="J871" s="35"/>
      <c r="K871" s="35"/>
      <c r="L871" s="35"/>
      <c r="M871" s="35"/>
      <c r="N871" s="35"/>
      <c r="O871" s="35"/>
      <c r="P871" s="35"/>
      <c r="Q871" s="35"/>
      <c r="R871" s="35"/>
      <c r="S871" s="35"/>
      <c r="T871" s="35"/>
      <c r="U871" s="35"/>
    </row>
    <row r="872">
      <c r="A872" s="35" t="b">
        <v>0</v>
      </c>
      <c r="B872" s="35"/>
      <c r="C872" s="35"/>
      <c r="D872" s="35"/>
      <c r="E872" s="35"/>
      <c r="F872" s="35"/>
      <c r="G872" s="35"/>
      <c r="H872" s="35"/>
      <c r="I872" s="35"/>
      <c r="J872" s="35"/>
      <c r="K872" s="35"/>
      <c r="L872" s="35"/>
      <c r="M872" s="35"/>
      <c r="N872" s="35"/>
      <c r="O872" s="35"/>
      <c r="P872" s="35"/>
      <c r="Q872" s="35"/>
      <c r="R872" s="35"/>
      <c r="S872" s="35"/>
      <c r="T872" s="35"/>
      <c r="U872" s="35"/>
    </row>
    <row r="873">
      <c r="A873" s="35" t="b">
        <v>0</v>
      </c>
      <c r="B873" s="35"/>
      <c r="C873" s="35"/>
      <c r="D873" s="35"/>
      <c r="E873" s="35"/>
      <c r="F873" s="35"/>
      <c r="G873" s="35"/>
      <c r="H873" s="35"/>
      <c r="I873" s="35"/>
      <c r="J873" s="35"/>
      <c r="K873" s="35"/>
      <c r="L873" s="35"/>
      <c r="M873" s="35"/>
      <c r="N873" s="35"/>
      <c r="O873" s="35"/>
      <c r="P873" s="35"/>
      <c r="Q873" s="35"/>
      <c r="R873" s="35"/>
      <c r="S873" s="35"/>
      <c r="T873" s="35"/>
      <c r="U873" s="35"/>
    </row>
    <row r="874">
      <c r="A874" s="35" t="b">
        <v>0</v>
      </c>
      <c r="B874" s="35"/>
      <c r="C874" s="35"/>
      <c r="D874" s="35"/>
      <c r="E874" s="35"/>
      <c r="F874" s="35"/>
      <c r="G874" s="35"/>
      <c r="H874" s="35"/>
      <c r="I874" s="35"/>
      <c r="J874" s="35"/>
      <c r="K874" s="35"/>
      <c r="L874" s="35"/>
      <c r="M874" s="35"/>
      <c r="N874" s="35"/>
      <c r="O874" s="35"/>
      <c r="P874" s="35"/>
      <c r="Q874" s="35"/>
      <c r="R874" s="35"/>
      <c r="S874" s="35"/>
      <c r="T874" s="35"/>
      <c r="U874" s="35"/>
    </row>
    <row r="875">
      <c r="A875" s="35" t="b">
        <v>0</v>
      </c>
      <c r="B875" s="35"/>
      <c r="C875" s="35"/>
      <c r="D875" s="35"/>
      <c r="E875" s="35"/>
      <c r="F875" s="35"/>
      <c r="G875" s="35"/>
      <c r="H875" s="35"/>
      <c r="I875" s="35"/>
      <c r="J875" s="35"/>
      <c r="K875" s="35"/>
      <c r="L875" s="35"/>
      <c r="M875" s="35"/>
      <c r="N875" s="35"/>
      <c r="O875" s="35"/>
      <c r="P875" s="35"/>
      <c r="Q875" s="35"/>
      <c r="R875" s="35"/>
      <c r="S875" s="35"/>
      <c r="T875" s="35"/>
      <c r="U875" s="35"/>
    </row>
    <row r="876">
      <c r="A876" s="35" t="b">
        <v>0</v>
      </c>
      <c r="B876" s="35"/>
      <c r="C876" s="35"/>
      <c r="D876" s="35"/>
      <c r="E876" s="35"/>
      <c r="F876" s="35"/>
      <c r="G876" s="35"/>
      <c r="H876" s="35"/>
      <c r="I876" s="35"/>
      <c r="J876" s="35"/>
      <c r="K876" s="35"/>
      <c r="L876" s="35"/>
      <c r="M876" s="35"/>
      <c r="N876" s="35"/>
      <c r="O876" s="35"/>
      <c r="P876" s="35"/>
      <c r="Q876" s="35"/>
      <c r="R876" s="35"/>
      <c r="S876" s="35"/>
      <c r="T876" s="35"/>
      <c r="U876" s="35"/>
    </row>
    <row r="877">
      <c r="A877" s="35" t="b">
        <v>0</v>
      </c>
      <c r="B877" s="35"/>
      <c r="C877" s="35"/>
      <c r="D877" s="35"/>
      <c r="E877" s="35"/>
      <c r="F877" s="35"/>
      <c r="G877" s="35"/>
      <c r="H877" s="35"/>
      <c r="I877" s="35"/>
      <c r="J877" s="35"/>
      <c r="K877" s="35"/>
      <c r="L877" s="35"/>
      <c r="M877" s="35"/>
      <c r="N877" s="35"/>
      <c r="O877" s="35"/>
      <c r="P877" s="35"/>
      <c r="Q877" s="35"/>
      <c r="R877" s="35"/>
      <c r="S877" s="35"/>
      <c r="T877" s="35"/>
      <c r="U877" s="35"/>
    </row>
    <row r="878">
      <c r="A878" s="35" t="b">
        <v>0</v>
      </c>
      <c r="B878" s="35"/>
      <c r="C878" s="35"/>
      <c r="D878" s="35"/>
      <c r="E878" s="35"/>
      <c r="F878" s="35"/>
      <c r="G878" s="35"/>
      <c r="H878" s="35"/>
      <c r="I878" s="35"/>
      <c r="J878" s="35"/>
      <c r="K878" s="35"/>
      <c r="L878" s="35"/>
      <c r="M878" s="35"/>
      <c r="N878" s="35"/>
      <c r="O878" s="35"/>
      <c r="P878" s="35"/>
      <c r="Q878" s="35"/>
      <c r="R878" s="35"/>
      <c r="S878" s="35"/>
      <c r="T878" s="35"/>
      <c r="U878" s="35"/>
    </row>
    <row r="879">
      <c r="A879" s="35" t="b">
        <v>0</v>
      </c>
      <c r="B879" s="35"/>
      <c r="C879" s="35"/>
      <c r="D879" s="35"/>
      <c r="E879" s="35"/>
      <c r="F879" s="35"/>
      <c r="G879" s="35"/>
      <c r="H879" s="35"/>
      <c r="I879" s="35"/>
      <c r="J879" s="35"/>
      <c r="K879" s="35"/>
      <c r="L879" s="35"/>
      <c r="M879" s="35"/>
      <c r="N879" s="35"/>
      <c r="O879" s="35"/>
      <c r="P879" s="35"/>
      <c r="Q879" s="35"/>
      <c r="R879" s="35"/>
      <c r="S879" s="35"/>
      <c r="T879" s="35"/>
      <c r="U879" s="35"/>
    </row>
    <row r="880">
      <c r="A880" s="35" t="b">
        <v>0</v>
      </c>
      <c r="B880" s="35"/>
      <c r="C880" s="35"/>
      <c r="D880" s="35"/>
      <c r="E880" s="35"/>
      <c r="F880" s="35"/>
      <c r="G880" s="35"/>
      <c r="H880" s="35"/>
      <c r="I880" s="35"/>
      <c r="J880" s="35"/>
      <c r="K880" s="35"/>
      <c r="L880" s="35"/>
      <c r="M880" s="35"/>
      <c r="N880" s="35"/>
      <c r="O880" s="35"/>
      <c r="P880" s="35"/>
      <c r="Q880" s="35"/>
      <c r="R880" s="35"/>
      <c r="S880" s="35"/>
      <c r="T880" s="35"/>
      <c r="U880" s="35"/>
    </row>
    <row r="881">
      <c r="A881" s="35" t="b">
        <v>0</v>
      </c>
      <c r="B881" s="35"/>
      <c r="C881" s="35"/>
      <c r="D881" s="35"/>
      <c r="E881" s="35"/>
      <c r="F881" s="35"/>
      <c r="G881" s="35"/>
      <c r="H881" s="35"/>
      <c r="I881" s="35"/>
      <c r="J881" s="35"/>
      <c r="K881" s="35"/>
      <c r="L881" s="35"/>
      <c r="M881" s="35"/>
      <c r="N881" s="35"/>
      <c r="O881" s="35"/>
      <c r="P881" s="35"/>
      <c r="Q881" s="35"/>
      <c r="R881" s="35"/>
      <c r="S881" s="35"/>
      <c r="T881" s="35"/>
      <c r="U881" s="35"/>
    </row>
    <row r="882">
      <c r="A882" s="35" t="b">
        <v>0</v>
      </c>
      <c r="B882" s="35"/>
      <c r="C882" s="35"/>
      <c r="D882" s="35"/>
      <c r="E882" s="35"/>
      <c r="F882" s="35"/>
      <c r="G882" s="35"/>
      <c r="H882" s="35"/>
      <c r="I882" s="35"/>
      <c r="J882" s="35"/>
      <c r="K882" s="35"/>
      <c r="L882" s="35"/>
      <c r="M882" s="35"/>
      <c r="N882" s="35"/>
      <c r="O882" s="35"/>
      <c r="P882" s="35"/>
      <c r="Q882" s="35"/>
      <c r="R882" s="35"/>
      <c r="S882" s="35"/>
      <c r="T882" s="35"/>
      <c r="U882" s="35"/>
    </row>
    <row r="883">
      <c r="A883" s="35" t="b">
        <v>0</v>
      </c>
      <c r="B883" s="35"/>
      <c r="C883" s="35"/>
      <c r="D883" s="35"/>
      <c r="E883" s="35"/>
      <c r="F883" s="35"/>
      <c r="G883" s="35"/>
      <c r="H883" s="35"/>
      <c r="I883" s="35"/>
      <c r="J883" s="35"/>
      <c r="K883" s="35"/>
      <c r="L883" s="35"/>
      <c r="M883" s="35"/>
      <c r="N883" s="35"/>
      <c r="O883" s="35"/>
      <c r="P883" s="35"/>
      <c r="Q883" s="35"/>
      <c r="R883" s="35"/>
      <c r="S883" s="35"/>
      <c r="T883" s="35"/>
      <c r="U883" s="35"/>
    </row>
    <row r="884">
      <c r="A884" s="35" t="b">
        <v>0</v>
      </c>
      <c r="B884" s="35"/>
      <c r="C884" s="35"/>
      <c r="D884" s="35"/>
      <c r="E884" s="35"/>
      <c r="F884" s="35"/>
      <c r="G884" s="35"/>
      <c r="H884" s="35"/>
      <c r="I884" s="35"/>
      <c r="J884" s="35"/>
      <c r="K884" s="35"/>
      <c r="L884" s="35"/>
      <c r="M884" s="35"/>
      <c r="N884" s="35"/>
      <c r="O884" s="35"/>
      <c r="P884" s="35"/>
      <c r="Q884" s="35"/>
      <c r="R884" s="35"/>
      <c r="S884" s="35"/>
      <c r="T884" s="35"/>
      <c r="U884" s="35"/>
    </row>
    <row r="885">
      <c r="A885" s="35" t="b">
        <v>0</v>
      </c>
      <c r="B885" s="35"/>
      <c r="C885" s="35"/>
      <c r="D885" s="35"/>
      <c r="E885" s="35"/>
      <c r="F885" s="35"/>
      <c r="G885" s="35"/>
      <c r="H885" s="35"/>
      <c r="I885" s="35"/>
      <c r="J885" s="35"/>
      <c r="K885" s="35"/>
      <c r="L885" s="35"/>
      <c r="M885" s="35"/>
      <c r="N885" s="35"/>
      <c r="O885" s="35"/>
      <c r="P885" s="35"/>
      <c r="Q885" s="35"/>
      <c r="R885" s="35"/>
      <c r="S885" s="35"/>
      <c r="T885" s="35"/>
      <c r="U885" s="35"/>
    </row>
    <row r="886">
      <c r="A886" s="35" t="b">
        <v>0</v>
      </c>
      <c r="B886" s="35"/>
      <c r="C886" s="35"/>
      <c r="D886" s="35"/>
      <c r="E886" s="35"/>
      <c r="F886" s="35"/>
      <c r="G886" s="35"/>
      <c r="H886" s="35"/>
      <c r="I886" s="35"/>
      <c r="J886" s="35"/>
      <c r="K886" s="35"/>
      <c r="L886" s="35"/>
      <c r="M886" s="35"/>
      <c r="N886" s="35"/>
      <c r="O886" s="35"/>
      <c r="P886" s="35"/>
      <c r="Q886" s="35"/>
      <c r="R886" s="35"/>
      <c r="S886" s="35"/>
      <c r="T886" s="35"/>
      <c r="U886" s="35"/>
    </row>
    <row r="887">
      <c r="A887" s="35" t="b">
        <v>0</v>
      </c>
      <c r="B887" s="35"/>
      <c r="C887" s="35"/>
      <c r="D887" s="35"/>
      <c r="E887" s="35"/>
      <c r="F887" s="35"/>
      <c r="G887" s="35"/>
      <c r="H887" s="35"/>
      <c r="I887" s="35"/>
      <c r="J887" s="35"/>
      <c r="K887" s="35"/>
      <c r="L887" s="35"/>
      <c r="M887" s="35"/>
      <c r="N887" s="35"/>
      <c r="O887" s="35"/>
      <c r="P887" s="35"/>
      <c r="Q887" s="35"/>
      <c r="R887" s="35"/>
      <c r="S887" s="35"/>
      <c r="T887" s="35"/>
      <c r="U887" s="35"/>
    </row>
    <row r="888">
      <c r="A888" s="35" t="b">
        <v>0</v>
      </c>
      <c r="B888" s="35"/>
      <c r="C888" s="35"/>
      <c r="D888" s="35"/>
      <c r="E888" s="35"/>
      <c r="F888" s="35"/>
      <c r="G888" s="35"/>
      <c r="H888" s="35"/>
      <c r="I888" s="35"/>
      <c r="J888" s="35"/>
      <c r="K888" s="35"/>
      <c r="L888" s="35"/>
      <c r="M888" s="35"/>
      <c r="N888" s="35"/>
      <c r="O888" s="35"/>
      <c r="P888" s="35"/>
      <c r="Q888" s="35"/>
      <c r="R888" s="35"/>
      <c r="S888" s="35"/>
      <c r="T888" s="35"/>
      <c r="U888" s="35"/>
    </row>
    <row r="889">
      <c r="A889" s="35" t="b">
        <v>0</v>
      </c>
      <c r="B889" s="35"/>
      <c r="C889" s="35"/>
      <c r="D889" s="35"/>
      <c r="E889" s="35"/>
      <c r="F889" s="35"/>
      <c r="G889" s="35"/>
      <c r="H889" s="35"/>
      <c r="I889" s="35"/>
      <c r="J889" s="35"/>
      <c r="K889" s="35"/>
      <c r="L889" s="35"/>
      <c r="M889" s="35"/>
      <c r="N889" s="35"/>
      <c r="O889" s="35"/>
      <c r="P889" s="35"/>
      <c r="Q889" s="35"/>
      <c r="R889" s="35"/>
      <c r="S889" s="35"/>
      <c r="T889" s="35"/>
      <c r="U889" s="35"/>
    </row>
    <row r="890">
      <c r="A890" s="35" t="b">
        <v>0</v>
      </c>
      <c r="B890" s="35"/>
      <c r="C890" s="35"/>
      <c r="D890" s="35"/>
      <c r="E890" s="35"/>
      <c r="F890" s="35"/>
      <c r="G890" s="35"/>
      <c r="H890" s="35"/>
      <c r="I890" s="35"/>
      <c r="J890" s="35"/>
      <c r="K890" s="35"/>
      <c r="L890" s="35"/>
      <c r="M890" s="35"/>
      <c r="N890" s="35"/>
      <c r="O890" s="35"/>
      <c r="P890" s="35"/>
      <c r="Q890" s="35"/>
      <c r="R890" s="35"/>
      <c r="S890" s="35"/>
      <c r="T890" s="35"/>
      <c r="U890" s="35"/>
    </row>
    <row r="891">
      <c r="A891" s="35" t="b">
        <v>0</v>
      </c>
      <c r="B891" s="35"/>
      <c r="C891" s="35"/>
      <c r="D891" s="35"/>
      <c r="E891" s="35"/>
      <c r="F891" s="35"/>
      <c r="G891" s="35"/>
      <c r="H891" s="35"/>
      <c r="I891" s="35"/>
      <c r="J891" s="35"/>
      <c r="K891" s="35"/>
      <c r="L891" s="35"/>
      <c r="M891" s="35"/>
      <c r="N891" s="35"/>
      <c r="O891" s="35"/>
      <c r="P891" s="35"/>
      <c r="Q891" s="35"/>
      <c r="R891" s="35"/>
      <c r="S891" s="35"/>
      <c r="T891" s="35"/>
      <c r="U891" s="35"/>
    </row>
    <row r="892">
      <c r="A892" s="35" t="b">
        <v>0</v>
      </c>
      <c r="B892" s="35"/>
      <c r="C892" s="35"/>
      <c r="D892" s="35"/>
      <c r="E892" s="35"/>
      <c r="F892" s="35"/>
      <c r="G892" s="35"/>
      <c r="H892" s="35"/>
      <c r="I892" s="35"/>
      <c r="J892" s="35"/>
      <c r="K892" s="35"/>
      <c r="L892" s="35"/>
      <c r="M892" s="35"/>
      <c r="N892" s="35"/>
      <c r="O892" s="35"/>
      <c r="P892" s="35"/>
      <c r="Q892" s="35"/>
      <c r="R892" s="35"/>
      <c r="S892" s="35"/>
      <c r="T892" s="35"/>
      <c r="U892" s="35"/>
    </row>
    <row r="893">
      <c r="A893" s="35" t="b">
        <v>0</v>
      </c>
      <c r="B893" s="35"/>
      <c r="C893" s="35"/>
      <c r="D893" s="35"/>
      <c r="E893" s="35"/>
      <c r="F893" s="35"/>
      <c r="G893" s="35"/>
      <c r="H893" s="35"/>
      <c r="I893" s="35"/>
      <c r="J893" s="35"/>
      <c r="K893" s="35"/>
      <c r="L893" s="35"/>
      <c r="M893" s="35"/>
      <c r="N893" s="35"/>
      <c r="O893" s="35"/>
      <c r="P893" s="35"/>
      <c r="Q893" s="35"/>
      <c r="R893" s="35"/>
      <c r="S893" s="35"/>
      <c r="T893" s="35"/>
      <c r="U893" s="35"/>
    </row>
    <row r="894">
      <c r="A894" s="35" t="b">
        <v>0</v>
      </c>
      <c r="B894" s="35"/>
      <c r="C894" s="35"/>
      <c r="D894" s="35"/>
      <c r="E894" s="35"/>
      <c r="F894" s="35"/>
      <c r="G894" s="35"/>
      <c r="H894" s="35"/>
      <c r="I894" s="35"/>
      <c r="J894" s="35"/>
      <c r="K894" s="35"/>
      <c r="L894" s="35"/>
      <c r="M894" s="35"/>
      <c r="N894" s="35"/>
      <c r="O894" s="35"/>
      <c r="P894" s="35"/>
      <c r="Q894" s="35"/>
      <c r="R894" s="35"/>
      <c r="S894" s="35"/>
      <c r="T894" s="35"/>
      <c r="U894" s="35"/>
    </row>
    <row r="895">
      <c r="A895" s="35" t="b">
        <v>0</v>
      </c>
      <c r="B895" s="35"/>
      <c r="C895" s="35"/>
      <c r="D895" s="35"/>
      <c r="E895" s="35"/>
      <c r="F895" s="35"/>
      <c r="G895" s="35"/>
      <c r="H895" s="35"/>
      <c r="I895" s="35"/>
      <c r="J895" s="35"/>
      <c r="K895" s="35"/>
      <c r="L895" s="35"/>
      <c r="M895" s="35"/>
      <c r="N895" s="35"/>
      <c r="O895" s="35"/>
      <c r="P895" s="35"/>
      <c r="Q895" s="35"/>
      <c r="R895" s="35"/>
      <c r="S895" s="35"/>
      <c r="T895" s="35"/>
      <c r="U895" s="35"/>
    </row>
    <row r="896">
      <c r="A896" s="35" t="b">
        <v>0</v>
      </c>
      <c r="B896" s="35"/>
      <c r="C896" s="35"/>
      <c r="D896" s="35"/>
      <c r="E896" s="35"/>
      <c r="F896" s="35"/>
      <c r="G896" s="35"/>
      <c r="H896" s="35"/>
      <c r="I896" s="35"/>
      <c r="J896" s="35"/>
      <c r="K896" s="35"/>
      <c r="L896" s="35"/>
      <c r="M896" s="35"/>
      <c r="N896" s="35"/>
      <c r="O896" s="35"/>
      <c r="P896" s="35"/>
      <c r="Q896" s="35"/>
      <c r="R896" s="35"/>
      <c r="S896" s="35"/>
      <c r="T896" s="35"/>
      <c r="U896" s="35"/>
    </row>
    <row r="897">
      <c r="A897" s="35" t="b">
        <v>0</v>
      </c>
      <c r="B897" s="35"/>
      <c r="C897" s="35"/>
      <c r="D897" s="35"/>
      <c r="E897" s="35"/>
      <c r="F897" s="35"/>
      <c r="G897" s="35"/>
      <c r="H897" s="35"/>
      <c r="I897" s="35"/>
      <c r="J897" s="35"/>
      <c r="K897" s="35"/>
      <c r="L897" s="35"/>
      <c r="M897" s="35"/>
      <c r="N897" s="35"/>
      <c r="O897" s="35"/>
      <c r="P897" s="35"/>
      <c r="Q897" s="35"/>
      <c r="R897" s="35"/>
      <c r="S897" s="35"/>
      <c r="T897" s="35"/>
      <c r="U897" s="35"/>
    </row>
    <row r="898">
      <c r="A898" s="35" t="b">
        <v>0</v>
      </c>
      <c r="B898" s="35"/>
      <c r="C898" s="35"/>
      <c r="D898" s="35"/>
      <c r="E898" s="35"/>
      <c r="F898" s="35"/>
      <c r="G898" s="35"/>
      <c r="H898" s="35"/>
      <c r="I898" s="35"/>
      <c r="J898" s="35"/>
      <c r="K898" s="35"/>
      <c r="L898" s="35"/>
      <c r="M898" s="35"/>
      <c r="N898" s="35"/>
      <c r="O898" s="35"/>
      <c r="P898" s="35"/>
      <c r="Q898" s="35"/>
      <c r="R898" s="35"/>
      <c r="S898" s="35"/>
      <c r="T898" s="35"/>
      <c r="U898" s="35"/>
    </row>
    <row r="899">
      <c r="A899" s="35" t="b">
        <v>0</v>
      </c>
      <c r="B899" s="35"/>
      <c r="C899" s="35"/>
      <c r="D899" s="35"/>
      <c r="E899" s="35"/>
      <c r="F899" s="35"/>
      <c r="G899" s="35"/>
      <c r="H899" s="35"/>
      <c r="I899" s="35"/>
      <c r="J899" s="35"/>
      <c r="K899" s="35"/>
      <c r="L899" s="35"/>
      <c r="M899" s="35"/>
      <c r="N899" s="35"/>
      <c r="O899" s="35"/>
      <c r="P899" s="35"/>
      <c r="Q899" s="35"/>
      <c r="R899" s="35"/>
      <c r="S899" s="35"/>
      <c r="T899" s="35"/>
      <c r="U899" s="35"/>
    </row>
    <row r="900">
      <c r="A900" s="35" t="b">
        <v>0</v>
      </c>
      <c r="B900" s="35"/>
      <c r="C900" s="35"/>
      <c r="D900" s="35"/>
      <c r="E900" s="35"/>
      <c r="F900" s="35"/>
      <c r="G900" s="35"/>
      <c r="H900" s="35"/>
      <c r="I900" s="35"/>
      <c r="J900" s="35"/>
      <c r="K900" s="35"/>
      <c r="L900" s="35"/>
      <c r="M900" s="35"/>
      <c r="N900" s="35"/>
      <c r="O900" s="35"/>
      <c r="P900" s="35"/>
      <c r="Q900" s="35"/>
      <c r="R900" s="35"/>
      <c r="S900" s="35"/>
      <c r="T900" s="35"/>
      <c r="U900" s="35"/>
    </row>
    <row r="901">
      <c r="A901" s="35" t="b">
        <v>0</v>
      </c>
      <c r="B901" s="35"/>
      <c r="C901" s="35"/>
      <c r="D901" s="35"/>
      <c r="E901" s="35"/>
      <c r="F901" s="35"/>
      <c r="G901" s="35"/>
      <c r="H901" s="35"/>
      <c r="I901" s="35"/>
      <c r="J901" s="35"/>
      <c r="K901" s="35"/>
      <c r="L901" s="35"/>
      <c r="M901" s="35"/>
      <c r="N901" s="35"/>
      <c r="O901" s="35"/>
      <c r="P901" s="35"/>
      <c r="Q901" s="35"/>
      <c r="R901" s="35"/>
      <c r="S901" s="35"/>
      <c r="T901" s="35"/>
      <c r="U901" s="35"/>
    </row>
    <row r="902">
      <c r="A902" s="35" t="b">
        <v>0</v>
      </c>
      <c r="B902" s="35"/>
      <c r="C902" s="35"/>
      <c r="D902" s="35"/>
      <c r="E902" s="35"/>
      <c r="F902" s="35"/>
      <c r="G902" s="35"/>
      <c r="H902" s="35"/>
      <c r="I902" s="35"/>
      <c r="J902" s="35"/>
      <c r="K902" s="35"/>
      <c r="L902" s="35"/>
      <c r="M902" s="35"/>
      <c r="N902" s="35"/>
      <c r="O902" s="35"/>
      <c r="P902" s="35"/>
      <c r="Q902" s="35"/>
      <c r="R902" s="35"/>
      <c r="S902" s="35"/>
      <c r="T902" s="35"/>
      <c r="U902" s="35"/>
    </row>
    <row r="903">
      <c r="A903" s="35" t="b">
        <v>0</v>
      </c>
      <c r="B903" s="35"/>
      <c r="C903" s="35"/>
      <c r="D903" s="35"/>
      <c r="E903" s="35"/>
      <c r="F903" s="35"/>
      <c r="G903" s="35"/>
      <c r="H903" s="35"/>
      <c r="I903" s="35"/>
      <c r="J903" s="35"/>
      <c r="K903" s="35"/>
      <c r="L903" s="35"/>
      <c r="M903" s="35"/>
      <c r="N903" s="35"/>
      <c r="O903" s="35"/>
      <c r="P903" s="35"/>
      <c r="Q903" s="35"/>
      <c r="R903" s="35"/>
      <c r="S903" s="35"/>
      <c r="T903" s="35"/>
      <c r="U903" s="35"/>
    </row>
    <row r="904">
      <c r="A904" s="35" t="b">
        <v>0</v>
      </c>
      <c r="B904" s="35"/>
      <c r="C904" s="35"/>
      <c r="D904" s="35"/>
      <c r="E904" s="35"/>
      <c r="F904" s="35"/>
      <c r="G904" s="35"/>
      <c r="H904" s="35"/>
      <c r="I904" s="35"/>
      <c r="J904" s="35"/>
      <c r="K904" s="35"/>
      <c r="L904" s="35"/>
      <c r="M904" s="35"/>
      <c r="N904" s="35"/>
      <c r="O904" s="35"/>
      <c r="P904" s="35"/>
      <c r="Q904" s="35"/>
      <c r="R904" s="35"/>
      <c r="S904" s="35"/>
      <c r="T904" s="35"/>
      <c r="U904" s="35"/>
    </row>
    <row r="905">
      <c r="A905" s="35" t="b">
        <v>0</v>
      </c>
      <c r="B905" s="35"/>
      <c r="C905" s="35"/>
      <c r="D905" s="35"/>
      <c r="E905" s="35"/>
      <c r="F905" s="35"/>
      <c r="G905" s="35"/>
      <c r="H905" s="35"/>
      <c r="I905" s="35"/>
      <c r="J905" s="35"/>
      <c r="K905" s="35"/>
      <c r="L905" s="35"/>
      <c r="M905" s="35"/>
      <c r="N905" s="35"/>
      <c r="O905" s="35"/>
      <c r="P905" s="35"/>
      <c r="Q905" s="35"/>
      <c r="R905" s="35"/>
      <c r="S905" s="35"/>
      <c r="T905" s="35"/>
      <c r="U905" s="35"/>
    </row>
    <row r="906">
      <c r="A906" s="35" t="b">
        <v>0</v>
      </c>
      <c r="B906" s="35"/>
      <c r="C906" s="35"/>
      <c r="D906" s="35"/>
      <c r="E906" s="35"/>
      <c r="F906" s="35"/>
      <c r="G906" s="35"/>
      <c r="H906" s="35"/>
      <c r="I906" s="35"/>
      <c r="J906" s="35"/>
      <c r="K906" s="35"/>
      <c r="L906" s="35"/>
      <c r="M906" s="35"/>
      <c r="N906" s="35"/>
      <c r="O906" s="35"/>
      <c r="P906" s="35"/>
      <c r="Q906" s="35"/>
      <c r="R906" s="35"/>
      <c r="S906" s="35"/>
      <c r="T906" s="35"/>
      <c r="U906" s="35"/>
    </row>
    <row r="907">
      <c r="A907" s="35" t="b">
        <v>0</v>
      </c>
      <c r="B907" s="35"/>
      <c r="C907" s="35"/>
      <c r="D907" s="35"/>
      <c r="E907" s="35"/>
      <c r="F907" s="35"/>
      <c r="G907" s="35"/>
      <c r="H907" s="35"/>
      <c r="I907" s="35"/>
      <c r="J907" s="35"/>
      <c r="K907" s="35"/>
      <c r="L907" s="35"/>
      <c r="M907" s="35"/>
      <c r="N907" s="35"/>
      <c r="O907" s="35"/>
      <c r="P907" s="35"/>
      <c r="Q907" s="35"/>
      <c r="R907" s="35"/>
      <c r="S907" s="35"/>
      <c r="T907" s="35"/>
      <c r="U907" s="35"/>
    </row>
    <row r="908">
      <c r="A908" s="35" t="b">
        <v>0</v>
      </c>
      <c r="B908" s="35"/>
      <c r="C908" s="35"/>
      <c r="D908" s="35"/>
      <c r="E908" s="35"/>
      <c r="F908" s="35"/>
      <c r="G908" s="35"/>
      <c r="H908" s="35"/>
      <c r="I908" s="35"/>
      <c r="J908" s="35"/>
      <c r="K908" s="35"/>
      <c r="L908" s="35"/>
      <c r="M908" s="35"/>
      <c r="N908" s="35"/>
      <c r="O908" s="35"/>
      <c r="P908" s="35"/>
      <c r="Q908" s="35"/>
      <c r="R908" s="35"/>
      <c r="S908" s="35"/>
      <c r="T908" s="35"/>
      <c r="U908" s="35"/>
    </row>
    <row r="909">
      <c r="A909" s="35" t="b">
        <v>0</v>
      </c>
      <c r="B909" s="35"/>
      <c r="C909" s="35"/>
      <c r="D909" s="35"/>
      <c r="E909" s="35"/>
      <c r="F909" s="35"/>
      <c r="G909" s="35"/>
      <c r="H909" s="35"/>
      <c r="I909" s="35"/>
      <c r="J909" s="35"/>
      <c r="K909" s="35"/>
      <c r="L909" s="35"/>
      <c r="M909" s="35"/>
      <c r="N909" s="35"/>
      <c r="O909" s="35"/>
      <c r="P909" s="35"/>
      <c r="Q909" s="35"/>
      <c r="R909" s="35"/>
      <c r="S909" s="35"/>
      <c r="T909" s="35"/>
      <c r="U909" s="35"/>
    </row>
    <row r="910">
      <c r="A910" s="35" t="b">
        <v>0</v>
      </c>
      <c r="B910" s="35"/>
      <c r="C910" s="35"/>
      <c r="D910" s="35"/>
      <c r="E910" s="35"/>
      <c r="F910" s="35"/>
      <c r="G910" s="35"/>
      <c r="H910" s="35"/>
      <c r="I910" s="35"/>
      <c r="J910" s="35"/>
      <c r="K910" s="35"/>
      <c r="L910" s="35"/>
      <c r="M910" s="35"/>
      <c r="N910" s="35"/>
      <c r="O910" s="35"/>
      <c r="P910" s="35"/>
      <c r="Q910" s="35"/>
      <c r="R910" s="35"/>
      <c r="S910" s="35"/>
      <c r="T910" s="35"/>
      <c r="U910" s="35"/>
    </row>
    <row r="911">
      <c r="A911" s="35" t="b">
        <v>0</v>
      </c>
      <c r="B911" s="35"/>
      <c r="C911" s="35"/>
      <c r="D911" s="35"/>
      <c r="E911" s="35"/>
      <c r="F911" s="35"/>
      <c r="G911" s="35"/>
      <c r="H911" s="35"/>
      <c r="I911" s="35"/>
      <c r="J911" s="35"/>
      <c r="K911" s="35"/>
      <c r="L911" s="35"/>
      <c r="M911" s="35"/>
      <c r="N911" s="35"/>
      <c r="O911" s="35"/>
      <c r="P911" s="35"/>
      <c r="Q911" s="35"/>
      <c r="R911" s="35"/>
      <c r="S911" s="35"/>
      <c r="T911" s="35"/>
      <c r="U911" s="35"/>
    </row>
    <row r="912">
      <c r="A912" s="35" t="b">
        <v>0</v>
      </c>
      <c r="B912" s="35"/>
      <c r="C912" s="35"/>
      <c r="D912" s="35"/>
      <c r="E912" s="35"/>
      <c r="F912" s="35"/>
      <c r="G912" s="35"/>
      <c r="H912" s="35"/>
      <c r="I912" s="35"/>
      <c r="J912" s="35"/>
      <c r="K912" s="35"/>
      <c r="L912" s="35"/>
      <c r="M912" s="35"/>
      <c r="N912" s="35"/>
      <c r="O912" s="35"/>
      <c r="P912" s="35"/>
      <c r="Q912" s="35"/>
      <c r="R912" s="35"/>
      <c r="S912" s="35"/>
      <c r="T912" s="35"/>
      <c r="U912" s="35"/>
    </row>
    <row r="913">
      <c r="A913" s="35" t="b">
        <v>0</v>
      </c>
      <c r="B913" s="35"/>
      <c r="C913" s="35"/>
      <c r="D913" s="35"/>
      <c r="E913" s="35"/>
      <c r="F913" s="35"/>
      <c r="G913" s="35"/>
      <c r="H913" s="35"/>
      <c r="I913" s="35"/>
      <c r="J913" s="35"/>
      <c r="K913" s="35"/>
      <c r="L913" s="35"/>
      <c r="M913" s="35"/>
      <c r="N913" s="35"/>
      <c r="O913" s="35"/>
      <c r="P913" s="35"/>
      <c r="Q913" s="35"/>
      <c r="R913" s="35"/>
      <c r="S913" s="35"/>
      <c r="T913" s="35"/>
      <c r="U913" s="35"/>
    </row>
    <row r="914">
      <c r="A914" s="35" t="b">
        <v>0</v>
      </c>
      <c r="B914" s="35"/>
      <c r="C914" s="35"/>
      <c r="D914" s="35"/>
      <c r="E914" s="35"/>
      <c r="F914" s="35"/>
      <c r="G914" s="35"/>
      <c r="H914" s="35"/>
      <c r="I914" s="35"/>
      <c r="J914" s="35"/>
      <c r="K914" s="35"/>
      <c r="L914" s="35"/>
      <c r="M914" s="35"/>
      <c r="N914" s="35"/>
      <c r="O914" s="35"/>
      <c r="P914" s="35"/>
      <c r="Q914" s="35"/>
      <c r="R914" s="35"/>
      <c r="S914" s="35"/>
      <c r="T914" s="35"/>
      <c r="U914" s="35"/>
    </row>
    <row r="915">
      <c r="A915" s="35" t="b">
        <v>0</v>
      </c>
      <c r="B915" s="35"/>
      <c r="C915" s="35"/>
      <c r="D915" s="35"/>
      <c r="E915" s="35"/>
      <c r="F915" s="35"/>
      <c r="G915" s="35"/>
      <c r="H915" s="35"/>
      <c r="I915" s="35"/>
      <c r="J915" s="35"/>
      <c r="K915" s="35"/>
      <c r="L915" s="35"/>
      <c r="M915" s="35"/>
      <c r="N915" s="35"/>
      <c r="O915" s="35"/>
      <c r="P915" s="35"/>
      <c r="Q915" s="35"/>
      <c r="R915" s="35"/>
      <c r="S915" s="35"/>
      <c r="T915" s="35"/>
      <c r="U915" s="35"/>
    </row>
    <row r="916">
      <c r="A916" s="35" t="b">
        <v>0</v>
      </c>
      <c r="B916" s="35"/>
      <c r="C916" s="35"/>
      <c r="D916" s="35"/>
      <c r="E916" s="35"/>
      <c r="F916" s="35"/>
      <c r="G916" s="35"/>
      <c r="H916" s="35"/>
      <c r="I916" s="35"/>
      <c r="J916" s="35"/>
      <c r="K916" s="35"/>
      <c r="L916" s="35"/>
      <c r="M916" s="35"/>
      <c r="N916" s="35"/>
      <c r="O916" s="35"/>
      <c r="P916" s="35"/>
      <c r="Q916" s="35"/>
      <c r="R916" s="35"/>
      <c r="S916" s="35"/>
      <c r="T916" s="35"/>
      <c r="U916" s="35"/>
    </row>
    <row r="917">
      <c r="A917" s="35" t="b">
        <v>0</v>
      </c>
      <c r="B917" s="35"/>
      <c r="C917" s="35"/>
      <c r="D917" s="35"/>
      <c r="E917" s="35"/>
      <c r="F917" s="35"/>
      <c r="G917" s="35"/>
      <c r="H917" s="35"/>
      <c r="I917" s="35"/>
      <c r="J917" s="35"/>
      <c r="K917" s="35"/>
      <c r="L917" s="35"/>
      <c r="M917" s="35"/>
      <c r="N917" s="35"/>
      <c r="O917" s="35"/>
      <c r="P917" s="35"/>
      <c r="Q917" s="35"/>
      <c r="R917" s="35"/>
      <c r="S917" s="35"/>
      <c r="T917" s="35"/>
      <c r="U917" s="35"/>
    </row>
    <row r="918">
      <c r="A918" s="35" t="b">
        <v>0</v>
      </c>
      <c r="B918" s="35"/>
      <c r="C918" s="35"/>
      <c r="D918" s="35"/>
      <c r="E918" s="35"/>
      <c r="F918" s="35"/>
      <c r="G918" s="35"/>
      <c r="H918" s="35"/>
      <c r="I918" s="35"/>
      <c r="J918" s="35"/>
      <c r="K918" s="35"/>
      <c r="L918" s="35"/>
      <c r="M918" s="35"/>
      <c r="N918" s="35"/>
      <c r="O918" s="35"/>
      <c r="P918" s="35"/>
      <c r="Q918" s="35"/>
      <c r="R918" s="35"/>
      <c r="S918" s="35"/>
      <c r="T918" s="35"/>
      <c r="U918" s="35"/>
    </row>
    <row r="919">
      <c r="A919" s="35" t="b">
        <v>0</v>
      </c>
      <c r="B919" s="35"/>
      <c r="C919" s="35"/>
      <c r="D919" s="35"/>
      <c r="E919" s="35"/>
      <c r="F919" s="35"/>
      <c r="G919" s="35"/>
      <c r="H919" s="35"/>
      <c r="I919" s="35"/>
      <c r="J919" s="35"/>
      <c r="K919" s="35"/>
      <c r="L919" s="35"/>
      <c r="M919" s="35"/>
      <c r="N919" s="35"/>
      <c r="O919" s="35"/>
      <c r="P919" s="35"/>
      <c r="Q919" s="35"/>
      <c r="R919" s="35"/>
      <c r="S919" s="35"/>
      <c r="T919" s="35"/>
      <c r="U919" s="35"/>
    </row>
    <row r="920">
      <c r="A920" s="35" t="b">
        <v>0</v>
      </c>
      <c r="B920" s="35"/>
      <c r="C920" s="35"/>
      <c r="D920" s="35"/>
      <c r="E920" s="35"/>
      <c r="F920" s="35"/>
      <c r="G920" s="35"/>
      <c r="H920" s="35"/>
      <c r="I920" s="35"/>
      <c r="J920" s="35"/>
      <c r="K920" s="35"/>
      <c r="L920" s="35"/>
      <c r="M920" s="35"/>
      <c r="N920" s="35"/>
      <c r="O920" s="35"/>
      <c r="P920" s="35"/>
      <c r="Q920" s="35"/>
      <c r="R920" s="35"/>
      <c r="S920" s="35"/>
      <c r="T920" s="35"/>
      <c r="U920" s="35"/>
    </row>
    <row r="921">
      <c r="A921" s="35" t="b">
        <v>0</v>
      </c>
      <c r="B921" s="35"/>
      <c r="C921" s="35"/>
      <c r="D921" s="35"/>
      <c r="E921" s="35"/>
      <c r="F921" s="35"/>
      <c r="G921" s="35"/>
      <c r="H921" s="35"/>
      <c r="I921" s="35"/>
      <c r="J921" s="35"/>
      <c r="K921" s="35"/>
      <c r="L921" s="35"/>
      <c r="M921" s="35"/>
      <c r="N921" s="35"/>
      <c r="O921" s="35"/>
      <c r="P921" s="35"/>
      <c r="Q921" s="35"/>
      <c r="R921" s="35"/>
      <c r="S921" s="35"/>
      <c r="T921" s="35"/>
      <c r="U921" s="35"/>
    </row>
    <row r="922">
      <c r="A922" s="35" t="b">
        <v>0</v>
      </c>
      <c r="B922" s="35"/>
      <c r="C922" s="35"/>
      <c r="D922" s="35"/>
      <c r="E922" s="35"/>
      <c r="F922" s="35"/>
      <c r="G922" s="35"/>
      <c r="H922" s="35"/>
      <c r="I922" s="35"/>
      <c r="J922" s="35"/>
      <c r="K922" s="35"/>
      <c r="L922" s="35"/>
      <c r="M922" s="35"/>
      <c r="N922" s="35"/>
      <c r="O922" s="35"/>
      <c r="P922" s="35"/>
      <c r="Q922" s="35"/>
      <c r="R922" s="35"/>
      <c r="S922" s="35"/>
      <c r="T922" s="35"/>
      <c r="U922" s="35"/>
    </row>
    <row r="923">
      <c r="A923" s="35" t="b">
        <v>0</v>
      </c>
      <c r="B923" s="35"/>
      <c r="C923" s="35"/>
      <c r="D923" s="35"/>
      <c r="E923" s="35"/>
      <c r="F923" s="35"/>
      <c r="G923" s="35"/>
      <c r="H923" s="35"/>
      <c r="I923" s="35"/>
      <c r="J923" s="35"/>
      <c r="K923" s="35"/>
      <c r="L923" s="35"/>
      <c r="M923" s="35"/>
      <c r="N923" s="35"/>
      <c r="O923" s="35"/>
      <c r="P923" s="35"/>
      <c r="Q923" s="35"/>
      <c r="R923" s="35"/>
      <c r="S923" s="35"/>
      <c r="T923" s="35"/>
      <c r="U923" s="35"/>
    </row>
    <row r="924">
      <c r="A924" s="35" t="b">
        <v>0</v>
      </c>
      <c r="B924" s="35"/>
      <c r="C924" s="35"/>
      <c r="D924" s="35"/>
      <c r="E924" s="35"/>
      <c r="F924" s="35"/>
      <c r="G924" s="35"/>
      <c r="H924" s="35"/>
      <c r="I924" s="35"/>
      <c r="J924" s="35"/>
      <c r="K924" s="35"/>
      <c r="L924" s="35"/>
      <c r="M924" s="35"/>
      <c r="N924" s="35"/>
      <c r="O924" s="35"/>
      <c r="P924" s="35"/>
      <c r="Q924" s="35"/>
      <c r="R924" s="35"/>
      <c r="S924" s="35"/>
      <c r="T924" s="35"/>
      <c r="U924" s="35"/>
    </row>
    <row r="925">
      <c r="A925" s="35" t="b">
        <v>0</v>
      </c>
      <c r="B925" s="35"/>
      <c r="C925" s="35"/>
      <c r="D925" s="35"/>
      <c r="E925" s="35"/>
      <c r="F925" s="35"/>
      <c r="G925" s="35"/>
      <c r="H925" s="35"/>
      <c r="I925" s="35"/>
      <c r="J925" s="35"/>
      <c r="K925" s="35"/>
      <c r="L925" s="35"/>
      <c r="M925" s="35"/>
      <c r="N925" s="35"/>
      <c r="O925" s="35"/>
      <c r="P925" s="35"/>
      <c r="Q925" s="35"/>
      <c r="R925" s="35"/>
      <c r="S925" s="35"/>
      <c r="T925" s="35"/>
      <c r="U925" s="35"/>
    </row>
    <row r="926">
      <c r="A926" s="35" t="b">
        <v>0</v>
      </c>
      <c r="B926" s="35"/>
      <c r="C926" s="35"/>
      <c r="D926" s="35"/>
      <c r="E926" s="35"/>
      <c r="F926" s="35"/>
      <c r="G926" s="35"/>
      <c r="H926" s="35"/>
      <c r="I926" s="35"/>
      <c r="J926" s="35"/>
      <c r="K926" s="35"/>
      <c r="L926" s="35"/>
      <c r="M926" s="35"/>
      <c r="N926" s="35"/>
      <c r="O926" s="35"/>
      <c r="P926" s="35"/>
      <c r="Q926" s="35"/>
      <c r="R926" s="35"/>
      <c r="S926" s="35"/>
      <c r="T926" s="35"/>
      <c r="U926" s="35"/>
    </row>
    <row r="927">
      <c r="A927" s="35" t="b">
        <v>0</v>
      </c>
      <c r="B927" s="35"/>
      <c r="C927" s="35"/>
      <c r="D927" s="35"/>
      <c r="E927" s="35"/>
      <c r="F927" s="35"/>
      <c r="G927" s="35"/>
      <c r="H927" s="35"/>
      <c r="I927" s="35"/>
      <c r="J927" s="35"/>
      <c r="K927" s="35"/>
      <c r="L927" s="35"/>
      <c r="M927" s="35"/>
      <c r="N927" s="35"/>
      <c r="O927" s="35"/>
      <c r="P927" s="35"/>
      <c r="Q927" s="35"/>
      <c r="R927" s="35"/>
      <c r="S927" s="35"/>
      <c r="T927" s="35"/>
      <c r="U927" s="35"/>
    </row>
    <row r="928">
      <c r="A928" s="35" t="b">
        <v>0</v>
      </c>
      <c r="B928" s="35"/>
      <c r="C928" s="35"/>
      <c r="D928" s="35"/>
      <c r="E928" s="35"/>
      <c r="F928" s="35"/>
      <c r="G928" s="35"/>
      <c r="H928" s="35"/>
      <c r="I928" s="35"/>
      <c r="J928" s="35"/>
      <c r="K928" s="35"/>
      <c r="L928" s="35"/>
      <c r="M928" s="35"/>
      <c r="N928" s="35"/>
      <c r="O928" s="35"/>
      <c r="P928" s="35"/>
      <c r="Q928" s="35"/>
      <c r="R928" s="35"/>
      <c r="S928" s="35"/>
      <c r="T928" s="35"/>
      <c r="U928" s="35"/>
    </row>
    <row r="929">
      <c r="A929" s="35" t="b">
        <v>0</v>
      </c>
      <c r="B929" s="35"/>
      <c r="C929" s="35"/>
      <c r="D929" s="35"/>
      <c r="E929" s="35"/>
      <c r="F929" s="35"/>
      <c r="G929" s="35"/>
      <c r="H929" s="35"/>
      <c r="I929" s="35"/>
      <c r="J929" s="35"/>
      <c r="K929" s="35"/>
      <c r="L929" s="35"/>
      <c r="M929" s="35"/>
      <c r="N929" s="35"/>
      <c r="O929" s="35"/>
      <c r="P929" s="35"/>
      <c r="Q929" s="35"/>
      <c r="R929" s="35"/>
      <c r="S929" s="35"/>
      <c r="T929" s="35"/>
      <c r="U929" s="35"/>
    </row>
    <row r="930">
      <c r="A930" s="35" t="b">
        <v>0</v>
      </c>
      <c r="B930" s="35"/>
      <c r="C930" s="35"/>
      <c r="D930" s="35"/>
      <c r="E930" s="35"/>
      <c r="F930" s="35"/>
      <c r="G930" s="35"/>
      <c r="H930" s="35"/>
      <c r="I930" s="35"/>
      <c r="J930" s="35"/>
      <c r="K930" s="35"/>
      <c r="L930" s="35"/>
      <c r="M930" s="35"/>
      <c r="N930" s="35"/>
      <c r="O930" s="35"/>
      <c r="P930" s="35"/>
      <c r="Q930" s="35"/>
      <c r="R930" s="35"/>
      <c r="S930" s="35"/>
      <c r="T930" s="35"/>
      <c r="U930" s="35"/>
    </row>
    <row r="931">
      <c r="A931" s="35" t="b">
        <v>0</v>
      </c>
      <c r="B931" s="35"/>
      <c r="C931" s="35"/>
      <c r="D931" s="35"/>
      <c r="E931" s="35"/>
      <c r="F931" s="35"/>
      <c r="G931" s="35"/>
      <c r="H931" s="35"/>
      <c r="I931" s="35"/>
      <c r="J931" s="35"/>
      <c r="K931" s="35"/>
      <c r="L931" s="35"/>
      <c r="M931" s="35"/>
      <c r="N931" s="35"/>
      <c r="O931" s="35"/>
      <c r="P931" s="35"/>
      <c r="Q931" s="35"/>
      <c r="R931" s="35"/>
      <c r="S931" s="35"/>
      <c r="T931" s="35"/>
      <c r="U931" s="35"/>
    </row>
    <row r="932">
      <c r="A932" s="35" t="b">
        <v>0</v>
      </c>
      <c r="B932" s="35"/>
      <c r="C932" s="35"/>
      <c r="D932" s="35"/>
      <c r="E932" s="35"/>
      <c r="F932" s="35"/>
      <c r="G932" s="35"/>
      <c r="H932" s="35"/>
      <c r="I932" s="35"/>
      <c r="J932" s="35"/>
      <c r="K932" s="35"/>
      <c r="L932" s="35"/>
      <c r="M932" s="35"/>
      <c r="N932" s="35"/>
      <c r="O932" s="35"/>
      <c r="P932" s="35"/>
      <c r="Q932" s="35"/>
      <c r="R932" s="35"/>
      <c r="S932" s="35"/>
      <c r="T932" s="35"/>
      <c r="U932" s="35"/>
    </row>
    <row r="933">
      <c r="A933" s="35" t="b">
        <v>0</v>
      </c>
      <c r="B933" s="35"/>
      <c r="C933" s="35"/>
      <c r="D933" s="35"/>
      <c r="E933" s="35"/>
      <c r="F933" s="35"/>
      <c r="G933" s="35"/>
      <c r="H933" s="35"/>
      <c r="I933" s="35"/>
      <c r="J933" s="35"/>
      <c r="K933" s="35"/>
      <c r="L933" s="35"/>
      <c r="M933" s="35"/>
      <c r="N933" s="35"/>
      <c r="O933" s="35"/>
      <c r="P933" s="35"/>
      <c r="Q933" s="35"/>
      <c r="R933" s="35"/>
      <c r="S933" s="35"/>
      <c r="T933" s="35"/>
      <c r="U933" s="35"/>
    </row>
    <row r="934">
      <c r="A934" s="35" t="b">
        <v>0</v>
      </c>
      <c r="B934" s="35"/>
      <c r="C934" s="35"/>
      <c r="D934" s="35"/>
      <c r="E934" s="35"/>
      <c r="F934" s="35"/>
      <c r="G934" s="35"/>
      <c r="H934" s="35"/>
      <c r="I934" s="35"/>
      <c r="J934" s="35"/>
      <c r="K934" s="35"/>
      <c r="L934" s="35"/>
      <c r="M934" s="35"/>
      <c r="N934" s="35"/>
      <c r="O934" s="35"/>
      <c r="P934" s="35"/>
      <c r="Q934" s="35"/>
      <c r="R934" s="35"/>
      <c r="S934" s="35"/>
      <c r="T934" s="35"/>
      <c r="U934" s="35"/>
    </row>
    <row r="935">
      <c r="A935" s="35" t="b">
        <v>0</v>
      </c>
      <c r="B935" s="35"/>
      <c r="C935" s="35"/>
      <c r="D935" s="35"/>
      <c r="E935" s="35"/>
      <c r="F935" s="35"/>
      <c r="G935" s="35"/>
      <c r="H935" s="35"/>
      <c r="I935" s="35"/>
      <c r="J935" s="35"/>
      <c r="K935" s="35"/>
      <c r="L935" s="35"/>
      <c r="M935" s="35"/>
      <c r="N935" s="35"/>
      <c r="O935" s="35"/>
      <c r="P935" s="35"/>
      <c r="Q935" s="35"/>
      <c r="R935" s="35"/>
      <c r="S935" s="35"/>
      <c r="T935" s="35"/>
      <c r="U935" s="35"/>
    </row>
    <row r="936">
      <c r="A936" s="35" t="b">
        <v>0</v>
      </c>
      <c r="B936" s="35"/>
      <c r="C936" s="35"/>
      <c r="D936" s="35"/>
      <c r="E936" s="35"/>
      <c r="F936" s="35"/>
      <c r="G936" s="35"/>
      <c r="H936" s="35"/>
      <c r="I936" s="35"/>
      <c r="J936" s="35"/>
      <c r="K936" s="35"/>
      <c r="L936" s="35"/>
      <c r="M936" s="35"/>
      <c r="N936" s="35"/>
      <c r="O936" s="35"/>
      <c r="P936" s="35"/>
      <c r="Q936" s="35"/>
      <c r="R936" s="35"/>
      <c r="S936" s="35"/>
      <c r="T936" s="35"/>
      <c r="U936" s="35"/>
    </row>
    <row r="937">
      <c r="A937" s="35" t="b">
        <v>0</v>
      </c>
      <c r="B937" s="35"/>
      <c r="C937" s="35"/>
      <c r="D937" s="35"/>
      <c r="E937" s="35"/>
      <c r="F937" s="35"/>
      <c r="G937" s="35"/>
      <c r="H937" s="35"/>
      <c r="I937" s="35"/>
      <c r="J937" s="35"/>
      <c r="K937" s="35"/>
      <c r="L937" s="35"/>
      <c r="M937" s="35"/>
      <c r="N937" s="35"/>
      <c r="O937" s="35"/>
      <c r="P937" s="35"/>
      <c r="Q937" s="35"/>
      <c r="R937" s="35"/>
      <c r="S937" s="35"/>
      <c r="T937" s="35"/>
      <c r="U937" s="35"/>
    </row>
    <row r="938">
      <c r="A938" s="35" t="b">
        <v>0</v>
      </c>
      <c r="B938" s="35"/>
      <c r="C938" s="35"/>
      <c r="D938" s="35"/>
      <c r="E938" s="35"/>
      <c r="F938" s="35"/>
      <c r="G938" s="35"/>
      <c r="H938" s="35"/>
      <c r="I938" s="35"/>
      <c r="J938" s="35"/>
      <c r="K938" s="35"/>
      <c r="L938" s="35"/>
      <c r="M938" s="35"/>
      <c r="N938" s="35"/>
      <c r="O938" s="35"/>
      <c r="P938" s="35"/>
      <c r="Q938" s="35"/>
      <c r="R938" s="35"/>
      <c r="S938" s="35"/>
      <c r="T938" s="35"/>
      <c r="U938" s="35"/>
    </row>
    <row r="939">
      <c r="A939" s="35" t="b">
        <v>0</v>
      </c>
      <c r="B939" s="35"/>
      <c r="C939" s="35"/>
      <c r="D939" s="35"/>
      <c r="E939" s="35"/>
      <c r="F939" s="35"/>
      <c r="G939" s="35"/>
      <c r="H939" s="35"/>
      <c r="I939" s="35"/>
      <c r="J939" s="35"/>
      <c r="K939" s="35"/>
      <c r="L939" s="35"/>
      <c r="M939" s="35"/>
      <c r="N939" s="35"/>
      <c r="O939" s="35"/>
      <c r="P939" s="35"/>
      <c r="Q939" s="35"/>
      <c r="R939" s="35"/>
      <c r="S939" s="35"/>
      <c r="T939" s="35"/>
      <c r="U939" s="35"/>
    </row>
    <row r="940">
      <c r="A940" s="35" t="b">
        <v>0</v>
      </c>
      <c r="B940" s="35"/>
      <c r="C940" s="35"/>
      <c r="D940" s="35"/>
      <c r="E940" s="35"/>
      <c r="F940" s="35"/>
      <c r="G940" s="35"/>
      <c r="H940" s="35"/>
      <c r="I940" s="35"/>
      <c r="J940" s="35"/>
      <c r="K940" s="35"/>
      <c r="L940" s="35"/>
      <c r="M940" s="35"/>
      <c r="N940" s="35"/>
      <c r="O940" s="35"/>
      <c r="P940" s="35"/>
      <c r="Q940" s="35"/>
      <c r="R940" s="35"/>
      <c r="S940" s="35"/>
      <c r="T940" s="35"/>
      <c r="U940" s="35"/>
    </row>
    <row r="941">
      <c r="A941" s="35" t="b">
        <v>0</v>
      </c>
      <c r="B941" s="35"/>
      <c r="C941" s="35"/>
      <c r="D941" s="35"/>
      <c r="E941" s="35"/>
      <c r="F941" s="35"/>
      <c r="G941" s="35"/>
      <c r="H941" s="35"/>
      <c r="I941" s="35"/>
      <c r="J941" s="35"/>
      <c r="K941" s="35"/>
      <c r="L941" s="35"/>
      <c r="M941" s="35"/>
      <c r="N941" s="35"/>
      <c r="O941" s="35"/>
      <c r="P941" s="35"/>
      <c r="Q941" s="35"/>
      <c r="R941" s="35"/>
      <c r="S941" s="35"/>
      <c r="T941" s="35"/>
      <c r="U941" s="35"/>
    </row>
    <row r="942">
      <c r="A942" s="35" t="b">
        <v>0</v>
      </c>
      <c r="B942" s="35"/>
      <c r="C942" s="35"/>
      <c r="D942" s="35"/>
      <c r="E942" s="35"/>
      <c r="F942" s="35"/>
      <c r="G942" s="35"/>
      <c r="H942" s="35"/>
      <c r="I942" s="35"/>
      <c r="J942" s="35"/>
      <c r="K942" s="35"/>
      <c r="L942" s="35"/>
      <c r="M942" s="35"/>
      <c r="N942" s="35"/>
      <c r="O942" s="35"/>
      <c r="P942" s="35"/>
      <c r="Q942" s="35"/>
      <c r="R942" s="35"/>
      <c r="S942" s="35"/>
      <c r="T942" s="35"/>
      <c r="U942" s="35"/>
    </row>
    <row r="943">
      <c r="A943" s="35" t="b">
        <v>0</v>
      </c>
      <c r="B943" s="35"/>
      <c r="C943" s="35"/>
      <c r="D943" s="35"/>
      <c r="E943" s="35"/>
      <c r="F943" s="35"/>
      <c r="G943" s="35"/>
      <c r="H943" s="35"/>
      <c r="I943" s="35"/>
      <c r="J943" s="35"/>
      <c r="K943" s="35"/>
      <c r="L943" s="35"/>
      <c r="M943" s="35"/>
      <c r="N943" s="35"/>
      <c r="O943" s="35"/>
      <c r="P943" s="35"/>
      <c r="Q943" s="35"/>
      <c r="R943" s="35"/>
      <c r="S943" s="35"/>
      <c r="T943" s="35"/>
      <c r="U943" s="35"/>
    </row>
    <row r="944">
      <c r="A944" s="35" t="b">
        <v>0</v>
      </c>
      <c r="B944" s="35"/>
      <c r="C944" s="35"/>
      <c r="D944" s="35"/>
      <c r="E944" s="35"/>
      <c r="F944" s="35"/>
      <c r="G944" s="35"/>
      <c r="H944" s="35"/>
      <c r="I944" s="35"/>
      <c r="J944" s="35"/>
      <c r="K944" s="35"/>
      <c r="L944" s="35"/>
      <c r="M944" s="35"/>
      <c r="N944" s="35"/>
      <c r="O944" s="35"/>
      <c r="P944" s="35"/>
      <c r="Q944" s="35"/>
      <c r="R944" s="35"/>
      <c r="S944" s="35"/>
      <c r="T944" s="35"/>
      <c r="U944" s="35"/>
    </row>
    <row r="945">
      <c r="A945" s="35" t="b">
        <v>0</v>
      </c>
      <c r="B945" s="35"/>
      <c r="C945" s="35"/>
      <c r="D945" s="35"/>
      <c r="E945" s="35"/>
      <c r="F945" s="35"/>
      <c r="G945" s="35"/>
      <c r="H945" s="35"/>
      <c r="I945" s="35"/>
      <c r="J945" s="35"/>
      <c r="K945" s="35"/>
      <c r="L945" s="35"/>
      <c r="M945" s="35"/>
      <c r="N945" s="35"/>
      <c r="O945" s="35"/>
      <c r="P945" s="35"/>
      <c r="Q945" s="35"/>
      <c r="R945" s="35"/>
      <c r="S945" s="35"/>
      <c r="T945" s="35"/>
      <c r="U945" s="35"/>
    </row>
    <row r="946">
      <c r="A946" s="35" t="b">
        <v>0</v>
      </c>
      <c r="B946" s="35"/>
      <c r="C946" s="35"/>
      <c r="D946" s="35"/>
      <c r="E946" s="35"/>
      <c r="F946" s="35"/>
      <c r="G946" s="35"/>
      <c r="H946" s="35"/>
      <c r="I946" s="35"/>
      <c r="J946" s="35"/>
      <c r="K946" s="35"/>
      <c r="L946" s="35"/>
      <c r="M946" s="35"/>
      <c r="N946" s="35"/>
      <c r="O946" s="35"/>
      <c r="P946" s="35"/>
      <c r="Q946" s="35"/>
      <c r="R946" s="35"/>
      <c r="S946" s="35"/>
      <c r="T946" s="35"/>
      <c r="U946" s="35"/>
    </row>
    <row r="947">
      <c r="A947" s="35" t="b">
        <v>0</v>
      </c>
      <c r="B947" s="35"/>
      <c r="C947" s="35"/>
      <c r="D947" s="35"/>
      <c r="E947" s="35"/>
      <c r="F947" s="35"/>
      <c r="G947" s="35"/>
      <c r="H947" s="35"/>
      <c r="I947" s="35"/>
      <c r="J947" s="35"/>
      <c r="K947" s="35"/>
      <c r="L947" s="35"/>
      <c r="M947" s="35"/>
      <c r="N947" s="35"/>
      <c r="O947" s="35"/>
      <c r="P947" s="35"/>
      <c r="Q947" s="35"/>
      <c r="R947" s="35"/>
      <c r="S947" s="35"/>
      <c r="T947" s="35"/>
      <c r="U947" s="35"/>
    </row>
    <row r="948">
      <c r="A948" s="35" t="b">
        <v>0</v>
      </c>
      <c r="B948" s="35"/>
      <c r="C948" s="35"/>
      <c r="D948" s="35"/>
      <c r="E948" s="35"/>
      <c r="F948" s="35"/>
      <c r="G948" s="35"/>
      <c r="H948" s="35"/>
      <c r="I948" s="35"/>
      <c r="J948" s="35"/>
      <c r="K948" s="35"/>
      <c r="L948" s="35"/>
      <c r="M948" s="35"/>
      <c r="N948" s="35"/>
      <c r="O948" s="35"/>
      <c r="P948" s="35"/>
      <c r="Q948" s="35"/>
      <c r="R948" s="35"/>
      <c r="S948" s="35"/>
      <c r="T948" s="35"/>
      <c r="U948" s="35"/>
    </row>
    <row r="949">
      <c r="A949" s="35" t="b">
        <v>0</v>
      </c>
      <c r="B949" s="35"/>
      <c r="C949" s="35"/>
      <c r="D949" s="35"/>
      <c r="E949" s="35"/>
      <c r="F949" s="35"/>
      <c r="G949" s="35"/>
      <c r="H949" s="35"/>
      <c r="I949" s="35"/>
      <c r="J949" s="35"/>
      <c r="K949" s="35"/>
      <c r="L949" s="35"/>
      <c r="M949" s="35"/>
      <c r="N949" s="35"/>
      <c r="O949" s="35"/>
      <c r="P949" s="35"/>
      <c r="Q949" s="35"/>
      <c r="R949" s="35"/>
      <c r="S949" s="35"/>
      <c r="T949" s="35"/>
      <c r="U949" s="35"/>
    </row>
    <row r="950">
      <c r="A950" s="35" t="b">
        <v>0</v>
      </c>
      <c r="B950" s="35"/>
      <c r="C950" s="35"/>
      <c r="D950" s="35"/>
      <c r="E950" s="35"/>
      <c r="F950" s="35"/>
      <c r="G950" s="35"/>
      <c r="H950" s="35"/>
      <c r="I950" s="35"/>
      <c r="J950" s="35"/>
      <c r="K950" s="35"/>
      <c r="L950" s="35"/>
      <c r="M950" s="35"/>
      <c r="N950" s="35"/>
      <c r="O950" s="35"/>
      <c r="P950" s="35"/>
      <c r="Q950" s="35"/>
      <c r="R950" s="35"/>
      <c r="S950" s="35"/>
      <c r="T950" s="35"/>
      <c r="U950" s="35"/>
    </row>
    <row r="951">
      <c r="A951" s="35" t="b">
        <v>0</v>
      </c>
      <c r="B951" s="35"/>
      <c r="C951" s="35"/>
      <c r="D951" s="35"/>
      <c r="E951" s="35"/>
      <c r="F951" s="35"/>
      <c r="G951" s="35"/>
      <c r="H951" s="35"/>
      <c r="I951" s="35"/>
      <c r="J951" s="35"/>
      <c r="K951" s="35"/>
      <c r="L951" s="35"/>
      <c r="M951" s="35"/>
      <c r="N951" s="35"/>
      <c r="O951" s="35"/>
      <c r="P951" s="35"/>
      <c r="Q951" s="35"/>
      <c r="R951" s="35"/>
      <c r="S951" s="35"/>
      <c r="T951" s="35"/>
      <c r="U951" s="35"/>
    </row>
    <row r="952">
      <c r="A952" s="35" t="b">
        <v>0</v>
      </c>
      <c r="B952" s="35"/>
      <c r="C952" s="35"/>
      <c r="D952" s="35"/>
      <c r="E952" s="35"/>
      <c r="F952" s="35"/>
      <c r="G952" s="35"/>
      <c r="H952" s="35"/>
      <c r="I952" s="35"/>
      <c r="J952" s="35"/>
      <c r="K952" s="35"/>
      <c r="L952" s="35"/>
      <c r="M952" s="35"/>
      <c r="N952" s="35"/>
      <c r="O952" s="35"/>
      <c r="P952" s="35"/>
      <c r="Q952" s="35"/>
      <c r="R952" s="35"/>
      <c r="S952" s="35"/>
      <c r="T952" s="35"/>
      <c r="U952" s="35"/>
    </row>
    <row r="953">
      <c r="A953" s="35" t="b">
        <v>0</v>
      </c>
      <c r="B953" s="35"/>
      <c r="C953" s="35"/>
      <c r="D953" s="35"/>
      <c r="E953" s="35"/>
      <c r="F953" s="35"/>
      <c r="G953" s="35"/>
      <c r="H953" s="35"/>
      <c r="I953" s="35"/>
      <c r="J953" s="35"/>
      <c r="K953" s="35"/>
      <c r="L953" s="35"/>
      <c r="M953" s="35"/>
      <c r="N953" s="35"/>
      <c r="O953" s="35"/>
      <c r="P953" s="35"/>
      <c r="Q953" s="35"/>
      <c r="R953" s="35"/>
      <c r="S953" s="35"/>
      <c r="T953" s="35"/>
      <c r="U953" s="35"/>
    </row>
    <row r="954">
      <c r="A954" s="35" t="b">
        <v>0</v>
      </c>
      <c r="B954" s="35"/>
      <c r="C954" s="35"/>
      <c r="D954" s="35"/>
      <c r="E954" s="35"/>
      <c r="F954" s="35"/>
      <c r="G954" s="35"/>
      <c r="H954" s="35"/>
      <c r="I954" s="35"/>
      <c r="J954" s="35"/>
      <c r="K954" s="35"/>
      <c r="L954" s="35"/>
      <c r="M954" s="35"/>
      <c r="N954" s="35"/>
      <c r="O954" s="35"/>
      <c r="P954" s="35"/>
      <c r="Q954" s="35"/>
      <c r="R954" s="35"/>
      <c r="S954" s="35"/>
      <c r="T954" s="35"/>
      <c r="U954" s="35"/>
    </row>
    <row r="955">
      <c r="A955" s="35" t="b">
        <v>0</v>
      </c>
      <c r="B955" s="35"/>
      <c r="C955" s="35"/>
      <c r="D955" s="35"/>
      <c r="E955" s="35"/>
      <c r="F955" s="35"/>
      <c r="G955" s="35"/>
      <c r="H955" s="35"/>
      <c r="I955" s="35"/>
      <c r="J955" s="35"/>
      <c r="K955" s="35"/>
      <c r="L955" s="35"/>
      <c r="M955" s="35"/>
      <c r="N955" s="35"/>
      <c r="O955" s="35"/>
      <c r="P955" s="35"/>
      <c r="Q955" s="35"/>
      <c r="R955" s="35"/>
      <c r="S955" s="35"/>
      <c r="T955" s="35"/>
      <c r="U955" s="35"/>
    </row>
    <row r="956">
      <c r="A956" s="35" t="b">
        <v>0</v>
      </c>
      <c r="B956" s="35"/>
      <c r="C956" s="35"/>
      <c r="D956" s="35"/>
      <c r="E956" s="35"/>
      <c r="F956" s="35"/>
      <c r="G956" s="35"/>
      <c r="H956" s="35"/>
      <c r="I956" s="35"/>
      <c r="J956" s="35"/>
      <c r="K956" s="35"/>
      <c r="L956" s="35"/>
      <c r="M956" s="35"/>
      <c r="N956" s="35"/>
      <c r="O956" s="35"/>
      <c r="P956" s="35"/>
      <c r="Q956" s="35"/>
      <c r="R956" s="35"/>
      <c r="S956" s="35"/>
      <c r="T956" s="35"/>
      <c r="U956" s="35"/>
    </row>
    <row r="957">
      <c r="A957" s="35" t="b">
        <v>0</v>
      </c>
      <c r="B957" s="35"/>
      <c r="C957" s="35"/>
      <c r="D957" s="35"/>
      <c r="E957" s="35"/>
      <c r="F957" s="35"/>
      <c r="G957" s="35"/>
      <c r="H957" s="35"/>
      <c r="I957" s="35"/>
      <c r="J957" s="35"/>
      <c r="K957" s="35"/>
      <c r="L957" s="35"/>
      <c r="M957" s="35"/>
      <c r="N957" s="35"/>
      <c r="O957" s="35"/>
      <c r="P957" s="35"/>
      <c r="Q957" s="35"/>
      <c r="R957" s="35"/>
      <c r="S957" s="35"/>
      <c r="T957" s="35"/>
      <c r="U957" s="35"/>
    </row>
    <row r="958">
      <c r="A958" s="35" t="b">
        <v>0</v>
      </c>
      <c r="B958" s="35"/>
      <c r="C958" s="35"/>
      <c r="D958" s="35"/>
      <c r="E958" s="35"/>
      <c r="F958" s="35"/>
      <c r="G958" s="35"/>
      <c r="H958" s="35"/>
      <c r="I958" s="35"/>
      <c r="J958" s="35"/>
      <c r="K958" s="35"/>
      <c r="L958" s="35"/>
      <c r="M958" s="35"/>
      <c r="N958" s="35"/>
      <c r="O958" s="35"/>
      <c r="P958" s="35"/>
      <c r="Q958" s="35"/>
      <c r="R958" s="35"/>
      <c r="S958" s="35"/>
      <c r="T958" s="35"/>
      <c r="U958" s="35"/>
    </row>
    <row r="959">
      <c r="A959" s="35" t="b">
        <v>0</v>
      </c>
      <c r="B959" s="35"/>
      <c r="C959" s="35"/>
      <c r="D959" s="35"/>
      <c r="E959" s="35"/>
      <c r="F959" s="35"/>
      <c r="G959" s="35"/>
      <c r="H959" s="35"/>
      <c r="I959" s="35"/>
      <c r="J959" s="35"/>
      <c r="K959" s="35"/>
      <c r="L959" s="35"/>
      <c r="M959" s="35"/>
      <c r="N959" s="35"/>
      <c r="O959" s="35"/>
      <c r="P959" s="35"/>
      <c r="Q959" s="35"/>
      <c r="R959" s="35"/>
      <c r="S959" s="35"/>
      <c r="T959" s="35"/>
      <c r="U959" s="35"/>
    </row>
    <row r="960">
      <c r="A960" s="35" t="b">
        <v>0</v>
      </c>
      <c r="B960" s="35"/>
      <c r="C960" s="35"/>
      <c r="D960" s="35"/>
      <c r="E960" s="35"/>
      <c r="F960" s="35"/>
      <c r="G960" s="35"/>
      <c r="H960" s="35"/>
      <c r="I960" s="35"/>
      <c r="J960" s="35"/>
      <c r="K960" s="35"/>
      <c r="L960" s="35"/>
      <c r="M960" s="35"/>
      <c r="N960" s="35"/>
      <c r="O960" s="35"/>
      <c r="P960" s="35"/>
      <c r="Q960" s="35"/>
      <c r="R960" s="35"/>
      <c r="S960" s="35"/>
      <c r="T960" s="35"/>
      <c r="U960" s="35"/>
    </row>
    <row r="961">
      <c r="A961" s="35" t="b">
        <v>0</v>
      </c>
      <c r="B961" s="35"/>
      <c r="C961" s="35"/>
      <c r="D961" s="35"/>
      <c r="E961" s="35"/>
      <c r="F961" s="35"/>
      <c r="G961" s="35"/>
      <c r="H961" s="35"/>
      <c r="I961" s="35"/>
      <c r="J961" s="35"/>
      <c r="K961" s="35"/>
      <c r="L961" s="35"/>
      <c r="M961" s="35"/>
      <c r="N961" s="35"/>
      <c r="O961" s="35"/>
      <c r="P961" s="35"/>
      <c r="Q961" s="35"/>
      <c r="R961" s="35"/>
      <c r="S961" s="35"/>
      <c r="T961" s="35"/>
      <c r="U961" s="35"/>
    </row>
    <row r="962">
      <c r="A962" s="35" t="b">
        <v>0</v>
      </c>
      <c r="B962" s="35"/>
      <c r="C962" s="35"/>
      <c r="D962" s="35"/>
      <c r="E962" s="35"/>
      <c r="F962" s="35"/>
      <c r="G962" s="35"/>
      <c r="H962" s="35"/>
      <c r="I962" s="35"/>
      <c r="J962" s="35"/>
      <c r="K962" s="35"/>
      <c r="L962" s="35"/>
      <c r="M962" s="35"/>
      <c r="N962" s="35"/>
      <c r="O962" s="35"/>
      <c r="P962" s="35"/>
      <c r="Q962" s="35"/>
      <c r="R962" s="35"/>
      <c r="S962" s="35"/>
      <c r="T962" s="35"/>
      <c r="U962" s="35"/>
    </row>
    <row r="963">
      <c r="A963" s="35" t="b">
        <v>0</v>
      </c>
      <c r="B963" s="35"/>
      <c r="C963" s="35"/>
      <c r="D963" s="35"/>
      <c r="E963" s="35"/>
      <c r="F963" s="35"/>
      <c r="G963" s="35"/>
      <c r="H963" s="35"/>
      <c r="I963" s="35"/>
      <c r="J963" s="35"/>
      <c r="K963" s="35"/>
      <c r="L963" s="35"/>
      <c r="M963" s="35"/>
      <c r="N963" s="35"/>
      <c r="O963" s="35"/>
      <c r="P963" s="35"/>
      <c r="Q963" s="35"/>
      <c r="R963" s="35"/>
      <c r="S963" s="35"/>
      <c r="T963" s="35"/>
      <c r="U963" s="35"/>
    </row>
    <row r="964">
      <c r="A964" s="35" t="b">
        <v>0</v>
      </c>
      <c r="B964" s="35"/>
      <c r="C964" s="35"/>
      <c r="D964" s="35"/>
      <c r="E964" s="35"/>
      <c r="F964" s="35"/>
      <c r="G964" s="35"/>
      <c r="H964" s="35"/>
      <c r="I964" s="35"/>
      <c r="J964" s="35"/>
      <c r="K964" s="35"/>
      <c r="L964" s="35"/>
      <c r="M964" s="35"/>
      <c r="N964" s="35"/>
      <c r="O964" s="35"/>
      <c r="P964" s="35"/>
      <c r="Q964" s="35"/>
      <c r="R964" s="35"/>
      <c r="S964" s="35"/>
      <c r="T964" s="35"/>
      <c r="U964" s="35"/>
    </row>
    <row r="965">
      <c r="A965" s="35" t="b">
        <v>0</v>
      </c>
      <c r="B965" s="35"/>
      <c r="C965" s="35"/>
      <c r="D965" s="35"/>
      <c r="E965" s="35"/>
      <c r="F965" s="35"/>
      <c r="G965" s="35"/>
      <c r="H965" s="35"/>
      <c r="I965" s="35"/>
      <c r="J965" s="35"/>
      <c r="K965" s="35"/>
      <c r="L965" s="35"/>
      <c r="M965" s="35"/>
      <c r="N965" s="35"/>
      <c r="O965" s="35"/>
      <c r="P965" s="35"/>
      <c r="Q965" s="35"/>
      <c r="R965" s="35"/>
      <c r="S965" s="35"/>
      <c r="T965" s="35"/>
      <c r="U965" s="35"/>
    </row>
    <row r="966">
      <c r="A966" s="35" t="b">
        <v>0</v>
      </c>
      <c r="B966" s="35"/>
      <c r="C966" s="35"/>
      <c r="D966" s="35"/>
      <c r="E966" s="35"/>
      <c r="F966" s="35"/>
      <c r="G966" s="35"/>
      <c r="H966" s="35"/>
      <c r="I966" s="35"/>
      <c r="J966" s="35"/>
      <c r="K966" s="35"/>
      <c r="L966" s="35"/>
      <c r="M966" s="35"/>
      <c r="N966" s="35"/>
      <c r="O966" s="35"/>
      <c r="P966" s="35"/>
      <c r="Q966" s="35"/>
      <c r="R966" s="35"/>
      <c r="S966" s="35"/>
      <c r="T966" s="35"/>
      <c r="U966" s="35"/>
    </row>
    <row r="967">
      <c r="A967" s="35" t="b">
        <v>0</v>
      </c>
      <c r="B967" s="35"/>
      <c r="C967" s="35"/>
      <c r="D967" s="35"/>
      <c r="E967" s="35"/>
      <c r="F967" s="35"/>
      <c r="G967" s="35"/>
      <c r="H967" s="35"/>
      <c r="I967" s="35"/>
      <c r="J967" s="35"/>
      <c r="K967" s="35"/>
      <c r="L967" s="35"/>
      <c r="M967" s="35"/>
      <c r="N967" s="35"/>
      <c r="O967" s="35"/>
      <c r="P967" s="35"/>
      <c r="Q967" s="35"/>
      <c r="R967" s="35"/>
      <c r="S967" s="35"/>
      <c r="T967" s="35"/>
      <c r="U967" s="35"/>
    </row>
    <row r="968">
      <c r="A968" s="35" t="b">
        <v>0</v>
      </c>
      <c r="B968" s="35"/>
      <c r="C968" s="35"/>
      <c r="D968" s="35"/>
      <c r="E968" s="35"/>
      <c r="F968" s="35"/>
      <c r="G968" s="35"/>
      <c r="H968" s="35"/>
      <c r="I968" s="35"/>
      <c r="J968" s="35"/>
      <c r="K968" s="35"/>
      <c r="L968" s="35"/>
      <c r="M968" s="35"/>
      <c r="N968" s="35"/>
      <c r="O968" s="35"/>
      <c r="P968" s="35"/>
      <c r="Q968" s="35"/>
      <c r="R968" s="35"/>
      <c r="S968" s="35"/>
      <c r="T968" s="35"/>
      <c r="U968" s="35"/>
    </row>
    <row r="969">
      <c r="A969" s="35" t="b">
        <v>0</v>
      </c>
      <c r="B969" s="35"/>
      <c r="C969" s="35"/>
      <c r="D969" s="35"/>
      <c r="E969" s="35"/>
      <c r="F969" s="35"/>
      <c r="G969" s="35"/>
      <c r="H969" s="35"/>
      <c r="I969" s="35"/>
      <c r="J969" s="35"/>
      <c r="K969" s="35"/>
      <c r="L969" s="35"/>
      <c r="M969" s="35"/>
      <c r="N969" s="35"/>
      <c r="O969" s="35"/>
      <c r="P969" s="35"/>
      <c r="Q969" s="35"/>
      <c r="R969" s="35"/>
      <c r="S969" s="35"/>
      <c r="T969" s="35"/>
      <c r="U969" s="35"/>
    </row>
    <row r="970">
      <c r="A970" s="35" t="b">
        <v>0</v>
      </c>
      <c r="B970" s="35"/>
      <c r="C970" s="35"/>
      <c r="D970" s="35"/>
      <c r="E970" s="35"/>
      <c r="F970" s="35"/>
      <c r="G970" s="35"/>
      <c r="H970" s="35"/>
      <c r="I970" s="35"/>
      <c r="J970" s="35"/>
      <c r="K970" s="35"/>
      <c r="L970" s="35"/>
      <c r="M970" s="35"/>
      <c r="N970" s="35"/>
      <c r="O970" s="35"/>
      <c r="P970" s="35"/>
      <c r="Q970" s="35"/>
      <c r="R970" s="35"/>
      <c r="S970" s="35"/>
      <c r="T970" s="35"/>
      <c r="U970" s="35"/>
    </row>
    <row r="971">
      <c r="A971" s="35" t="b">
        <v>0</v>
      </c>
      <c r="B971" s="35"/>
      <c r="C971" s="35"/>
      <c r="D971" s="35"/>
      <c r="E971" s="35"/>
      <c r="F971" s="35"/>
      <c r="G971" s="35"/>
      <c r="H971" s="35"/>
      <c r="I971" s="35"/>
      <c r="J971" s="35"/>
      <c r="K971" s="35"/>
      <c r="L971" s="35"/>
      <c r="M971" s="35"/>
      <c r="N971" s="35"/>
      <c r="O971" s="35"/>
      <c r="P971" s="35"/>
      <c r="Q971" s="35"/>
      <c r="R971" s="35"/>
      <c r="S971" s="35"/>
      <c r="T971" s="35"/>
      <c r="U971" s="35"/>
    </row>
    <row r="972">
      <c r="A972" s="35" t="b">
        <v>0</v>
      </c>
      <c r="B972" s="35"/>
      <c r="C972" s="35"/>
      <c r="D972" s="35"/>
      <c r="E972" s="35"/>
      <c r="F972" s="35"/>
      <c r="G972" s="35"/>
      <c r="H972" s="35"/>
      <c r="I972" s="35"/>
      <c r="J972" s="35"/>
      <c r="K972" s="35"/>
      <c r="L972" s="35"/>
      <c r="M972" s="35"/>
      <c r="N972" s="35"/>
      <c r="O972" s="35"/>
      <c r="P972" s="35"/>
      <c r="Q972" s="35"/>
      <c r="R972" s="35"/>
      <c r="S972" s="35"/>
      <c r="T972" s="35"/>
      <c r="U972" s="35"/>
    </row>
    <row r="973">
      <c r="A973" s="35" t="b">
        <v>0</v>
      </c>
      <c r="B973" s="35"/>
      <c r="C973" s="35"/>
      <c r="D973" s="35"/>
      <c r="E973" s="35"/>
      <c r="F973" s="35"/>
      <c r="G973" s="35"/>
      <c r="H973" s="35"/>
      <c r="I973" s="35"/>
      <c r="J973" s="35"/>
      <c r="K973" s="35"/>
      <c r="L973" s="35"/>
      <c r="M973" s="35"/>
      <c r="N973" s="35"/>
      <c r="O973" s="35"/>
      <c r="P973" s="35"/>
      <c r="Q973" s="35"/>
      <c r="R973" s="35"/>
      <c r="S973" s="35"/>
      <c r="T973" s="35"/>
      <c r="U973" s="35"/>
    </row>
    <row r="974">
      <c r="A974" s="35" t="b">
        <v>0</v>
      </c>
      <c r="B974" s="35"/>
      <c r="C974" s="35"/>
      <c r="D974" s="35"/>
      <c r="E974" s="35"/>
      <c r="F974" s="35"/>
      <c r="G974" s="35"/>
      <c r="H974" s="35"/>
      <c r="I974" s="35"/>
      <c r="J974" s="35"/>
      <c r="K974" s="35"/>
      <c r="L974" s="35"/>
      <c r="M974" s="35"/>
      <c r="N974" s="35"/>
      <c r="O974" s="35"/>
      <c r="P974" s="35"/>
      <c r="Q974" s="35"/>
      <c r="R974" s="35"/>
      <c r="S974" s="35"/>
      <c r="T974" s="35"/>
      <c r="U974" s="35"/>
    </row>
    <row r="975">
      <c r="A975" s="35" t="b">
        <v>0</v>
      </c>
      <c r="B975" s="35"/>
      <c r="C975" s="35"/>
      <c r="D975" s="35"/>
      <c r="E975" s="35"/>
      <c r="F975" s="35"/>
      <c r="G975" s="35"/>
      <c r="H975" s="35"/>
      <c r="I975" s="35"/>
      <c r="J975" s="35"/>
      <c r="K975" s="35"/>
      <c r="L975" s="35"/>
      <c r="M975" s="35"/>
      <c r="N975" s="35"/>
      <c r="O975" s="35"/>
      <c r="P975" s="35"/>
      <c r="Q975" s="35"/>
      <c r="R975" s="35"/>
      <c r="S975" s="35"/>
      <c r="T975" s="35"/>
      <c r="U975" s="35"/>
    </row>
    <row r="976">
      <c r="A976" s="35" t="b">
        <v>0</v>
      </c>
      <c r="B976" s="35"/>
      <c r="C976" s="35"/>
      <c r="D976" s="35"/>
      <c r="E976" s="35"/>
      <c r="F976" s="35"/>
      <c r="G976" s="35"/>
      <c r="H976" s="35"/>
      <c r="I976" s="35"/>
      <c r="J976" s="35"/>
      <c r="K976" s="35"/>
      <c r="L976" s="35"/>
      <c r="M976" s="35"/>
      <c r="N976" s="35"/>
      <c r="O976" s="35"/>
      <c r="P976" s="35"/>
      <c r="Q976" s="35"/>
      <c r="R976" s="35"/>
      <c r="S976" s="35"/>
      <c r="T976" s="35"/>
      <c r="U976" s="35"/>
    </row>
    <row r="977">
      <c r="A977" s="35" t="b">
        <v>0</v>
      </c>
      <c r="B977" s="35"/>
      <c r="C977" s="35"/>
      <c r="D977" s="35"/>
      <c r="E977" s="35"/>
      <c r="F977" s="35"/>
      <c r="G977" s="35"/>
      <c r="H977" s="35"/>
      <c r="I977" s="35"/>
      <c r="J977" s="35"/>
      <c r="K977" s="35"/>
      <c r="L977" s="35"/>
      <c r="M977" s="35"/>
      <c r="N977" s="35"/>
      <c r="O977" s="35"/>
      <c r="P977" s="35"/>
      <c r="Q977" s="35"/>
      <c r="R977" s="35"/>
      <c r="S977" s="35"/>
      <c r="T977" s="35"/>
      <c r="U977" s="35"/>
    </row>
    <row r="978">
      <c r="A978" s="35" t="b">
        <v>0</v>
      </c>
      <c r="B978" s="35"/>
      <c r="C978" s="35"/>
      <c r="D978" s="35"/>
      <c r="E978" s="35"/>
      <c r="F978" s="35"/>
      <c r="G978" s="35"/>
      <c r="H978" s="35"/>
      <c r="I978" s="35"/>
      <c r="J978" s="35"/>
      <c r="K978" s="35"/>
      <c r="L978" s="35"/>
      <c r="M978" s="35"/>
      <c r="N978" s="35"/>
      <c r="O978" s="35"/>
      <c r="P978" s="35"/>
      <c r="Q978" s="35"/>
      <c r="R978" s="35"/>
      <c r="S978" s="35"/>
      <c r="T978" s="35"/>
      <c r="U978" s="35"/>
    </row>
    <row r="979">
      <c r="A979" s="35" t="b">
        <v>0</v>
      </c>
      <c r="B979" s="35"/>
      <c r="C979" s="35"/>
      <c r="D979" s="35"/>
      <c r="E979" s="35"/>
      <c r="F979" s="35"/>
      <c r="G979" s="35"/>
      <c r="H979" s="35"/>
      <c r="I979" s="35"/>
      <c r="J979" s="35"/>
      <c r="K979" s="35"/>
      <c r="L979" s="35"/>
      <c r="M979" s="35"/>
      <c r="N979" s="35"/>
      <c r="O979" s="35"/>
      <c r="P979" s="35"/>
      <c r="Q979" s="35"/>
      <c r="R979" s="35"/>
      <c r="S979" s="35"/>
      <c r="T979" s="35"/>
      <c r="U979" s="35"/>
    </row>
    <row r="980">
      <c r="A980" s="35" t="b">
        <v>0</v>
      </c>
      <c r="B980" s="35"/>
      <c r="C980" s="35"/>
      <c r="D980" s="35"/>
      <c r="E980" s="35"/>
      <c r="F980" s="35"/>
      <c r="G980" s="35"/>
      <c r="H980" s="35"/>
      <c r="I980" s="35"/>
      <c r="J980" s="35"/>
      <c r="K980" s="35"/>
      <c r="L980" s="35"/>
      <c r="M980" s="35"/>
      <c r="N980" s="35"/>
      <c r="O980" s="35"/>
      <c r="P980" s="35"/>
      <c r="Q980" s="35"/>
      <c r="R980" s="35"/>
      <c r="S980" s="35"/>
      <c r="T980" s="35"/>
      <c r="U980" s="35"/>
    </row>
    <row r="981">
      <c r="A981" s="35" t="b">
        <v>0</v>
      </c>
      <c r="B981" s="35"/>
      <c r="C981" s="35"/>
      <c r="D981" s="35"/>
      <c r="E981" s="35"/>
      <c r="F981" s="35"/>
      <c r="G981" s="35"/>
      <c r="H981" s="35"/>
      <c r="I981" s="35"/>
      <c r="J981" s="35"/>
      <c r="K981" s="35"/>
      <c r="L981" s="35"/>
      <c r="M981" s="35"/>
      <c r="N981" s="35"/>
      <c r="O981" s="35"/>
      <c r="P981" s="35"/>
      <c r="Q981" s="35"/>
      <c r="R981" s="35"/>
      <c r="S981" s="35"/>
      <c r="T981" s="35"/>
      <c r="U981" s="35"/>
    </row>
    <row r="982">
      <c r="A982" s="35" t="b">
        <v>0</v>
      </c>
      <c r="B982" s="35"/>
      <c r="C982" s="35"/>
      <c r="D982" s="35"/>
      <c r="E982" s="35"/>
      <c r="F982" s="35"/>
      <c r="G982" s="35"/>
      <c r="H982" s="35"/>
      <c r="I982" s="35"/>
      <c r="J982" s="35"/>
      <c r="K982" s="35"/>
      <c r="L982" s="35"/>
      <c r="M982" s="35"/>
      <c r="N982" s="35"/>
      <c r="O982" s="35"/>
      <c r="P982" s="35"/>
      <c r="Q982" s="35"/>
      <c r="R982" s="35"/>
      <c r="S982" s="35"/>
      <c r="T982" s="35"/>
      <c r="U982" s="35"/>
    </row>
    <row r="983">
      <c r="A983" s="35" t="b">
        <v>0</v>
      </c>
      <c r="B983" s="35"/>
      <c r="C983" s="35"/>
      <c r="D983" s="35"/>
      <c r="E983" s="35"/>
      <c r="F983" s="35"/>
      <c r="G983" s="35"/>
      <c r="H983" s="35"/>
      <c r="I983" s="35"/>
      <c r="J983" s="35"/>
      <c r="K983" s="35"/>
      <c r="L983" s="35"/>
      <c r="M983" s="35"/>
      <c r="N983" s="35"/>
      <c r="O983" s="35"/>
      <c r="P983" s="35"/>
      <c r="Q983" s="35"/>
      <c r="R983" s="35"/>
      <c r="S983" s="35"/>
      <c r="T983" s="35"/>
      <c r="U983" s="35"/>
    </row>
    <row r="984">
      <c r="A984" s="35" t="b">
        <v>0</v>
      </c>
      <c r="B984" s="35"/>
      <c r="C984" s="35"/>
      <c r="D984" s="35"/>
      <c r="E984" s="35"/>
      <c r="F984" s="35"/>
      <c r="G984" s="35"/>
      <c r="H984" s="35"/>
      <c r="I984" s="35"/>
      <c r="J984" s="35"/>
      <c r="K984" s="35"/>
      <c r="L984" s="35"/>
      <c r="M984" s="35"/>
      <c r="N984" s="35"/>
      <c r="O984" s="35"/>
      <c r="P984" s="35"/>
      <c r="Q984" s="35"/>
      <c r="R984" s="35"/>
      <c r="S984" s="35"/>
      <c r="T984" s="35"/>
      <c r="U984" s="35"/>
    </row>
    <row r="985">
      <c r="A985" s="35" t="b">
        <v>0</v>
      </c>
      <c r="B985" s="35"/>
      <c r="C985" s="35"/>
      <c r="D985" s="35"/>
      <c r="E985" s="35"/>
      <c r="F985" s="35"/>
      <c r="G985" s="35"/>
      <c r="H985" s="35"/>
      <c r="I985" s="35"/>
      <c r="J985" s="35"/>
      <c r="K985" s="35"/>
      <c r="L985" s="35"/>
      <c r="M985" s="35"/>
      <c r="N985" s="35"/>
      <c r="O985" s="35"/>
      <c r="P985" s="35"/>
      <c r="Q985" s="35"/>
      <c r="R985" s="35"/>
      <c r="S985" s="35"/>
      <c r="T985" s="35"/>
      <c r="U985" s="35"/>
    </row>
    <row r="986">
      <c r="A986" s="35" t="b">
        <v>0</v>
      </c>
      <c r="B986" s="35"/>
      <c r="C986" s="35"/>
      <c r="D986" s="35"/>
      <c r="E986" s="35"/>
      <c r="F986" s="35"/>
      <c r="G986" s="35"/>
      <c r="H986" s="35"/>
      <c r="I986" s="35"/>
      <c r="J986" s="35"/>
      <c r="K986" s="35"/>
      <c r="L986" s="35"/>
      <c r="M986" s="35"/>
      <c r="N986" s="35"/>
      <c r="O986" s="35"/>
      <c r="P986" s="35"/>
      <c r="Q986" s="35"/>
      <c r="R986" s="35"/>
      <c r="S986" s="35"/>
      <c r="T986" s="35"/>
      <c r="U986" s="35"/>
    </row>
    <row r="987">
      <c r="A987" s="35" t="b">
        <v>0</v>
      </c>
      <c r="B987" s="35"/>
      <c r="C987" s="35"/>
      <c r="D987" s="35"/>
      <c r="E987" s="35"/>
      <c r="F987" s="35"/>
      <c r="G987" s="35"/>
      <c r="H987" s="35"/>
      <c r="I987" s="35"/>
      <c r="J987" s="35"/>
      <c r="K987" s="35"/>
      <c r="L987" s="35"/>
      <c r="M987" s="35"/>
      <c r="N987" s="35"/>
      <c r="O987" s="35"/>
      <c r="P987" s="35"/>
      <c r="Q987" s="35"/>
      <c r="R987" s="35"/>
      <c r="S987" s="35"/>
      <c r="T987" s="35"/>
      <c r="U987" s="35"/>
    </row>
    <row r="988">
      <c r="A988" s="35" t="b">
        <v>0</v>
      </c>
      <c r="B988" s="35"/>
      <c r="C988" s="35"/>
      <c r="D988" s="35"/>
      <c r="E988" s="35"/>
      <c r="F988" s="35"/>
      <c r="G988" s="35"/>
      <c r="H988" s="35"/>
      <c r="I988" s="35"/>
      <c r="J988" s="35"/>
      <c r="K988" s="35"/>
      <c r="L988" s="35"/>
      <c r="M988" s="35"/>
      <c r="N988" s="35"/>
      <c r="O988" s="35"/>
      <c r="P988" s="35"/>
      <c r="Q988" s="35"/>
      <c r="R988" s="35"/>
      <c r="S988" s="35"/>
      <c r="T988" s="35"/>
      <c r="U988" s="35"/>
    </row>
    <row r="989">
      <c r="A989" s="35" t="b">
        <v>0</v>
      </c>
      <c r="B989" s="35"/>
      <c r="C989" s="35"/>
      <c r="D989" s="35"/>
      <c r="E989" s="35"/>
      <c r="F989" s="35"/>
      <c r="G989" s="35"/>
      <c r="H989" s="35"/>
      <c r="I989" s="35"/>
      <c r="J989" s="35"/>
      <c r="K989" s="35"/>
      <c r="L989" s="35"/>
      <c r="M989" s="35"/>
      <c r="N989" s="35"/>
      <c r="O989" s="35"/>
      <c r="P989" s="35"/>
      <c r="Q989" s="35"/>
      <c r="R989" s="35"/>
      <c r="S989" s="35"/>
      <c r="T989" s="35"/>
      <c r="U989" s="35"/>
    </row>
    <row r="990">
      <c r="A990" s="35" t="b">
        <v>0</v>
      </c>
      <c r="B990" s="35"/>
      <c r="C990" s="35"/>
      <c r="D990" s="35"/>
      <c r="E990" s="35"/>
      <c r="F990" s="35"/>
      <c r="G990" s="35"/>
      <c r="H990" s="35"/>
      <c r="I990" s="35"/>
      <c r="J990" s="35"/>
      <c r="K990" s="35"/>
      <c r="L990" s="35"/>
      <c r="M990" s="35"/>
      <c r="N990" s="35"/>
      <c r="O990" s="35"/>
      <c r="P990" s="35"/>
      <c r="Q990" s="35"/>
      <c r="R990" s="35"/>
      <c r="S990" s="35"/>
      <c r="T990" s="35"/>
      <c r="U990" s="35"/>
    </row>
    <row r="991">
      <c r="A991" s="35" t="b">
        <v>0</v>
      </c>
      <c r="B991" s="35"/>
      <c r="C991" s="35"/>
      <c r="D991" s="35"/>
      <c r="E991" s="35"/>
      <c r="F991" s="35"/>
      <c r="G991" s="35"/>
      <c r="H991" s="35"/>
      <c r="I991" s="35"/>
      <c r="J991" s="35"/>
      <c r="K991" s="35"/>
      <c r="L991" s="35"/>
      <c r="M991" s="35"/>
      <c r="N991" s="35"/>
      <c r="O991" s="35"/>
      <c r="P991" s="35"/>
      <c r="Q991" s="35"/>
      <c r="R991" s="35"/>
      <c r="S991" s="35"/>
      <c r="T991" s="35"/>
      <c r="U991" s="35"/>
    </row>
    <row r="992">
      <c r="A992" s="35" t="b">
        <v>0</v>
      </c>
      <c r="B992" s="35"/>
      <c r="C992" s="35"/>
      <c r="D992" s="35"/>
      <c r="E992" s="35"/>
      <c r="F992" s="35"/>
      <c r="G992" s="35"/>
      <c r="H992" s="35"/>
      <c r="I992" s="35"/>
      <c r="J992" s="35"/>
      <c r="K992" s="35"/>
      <c r="L992" s="35"/>
      <c r="M992" s="35"/>
      <c r="N992" s="35"/>
      <c r="O992" s="35"/>
      <c r="P992" s="35"/>
      <c r="Q992" s="35"/>
      <c r="R992" s="35"/>
      <c r="S992" s="35"/>
      <c r="T992" s="35"/>
      <c r="U992" s="35"/>
    </row>
    <row r="993">
      <c r="A993" s="35" t="b">
        <v>0</v>
      </c>
      <c r="B993" s="35"/>
      <c r="C993" s="35"/>
      <c r="D993" s="35"/>
      <c r="E993" s="35"/>
      <c r="F993" s="35"/>
      <c r="G993" s="35"/>
      <c r="H993" s="35"/>
      <c r="I993" s="35"/>
      <c r="J993" s="35"/>
      <c r="K993" s="35"/>
      <c r="L993" s="35"/>
      <c r="M993" s="35"/>
      <c r="N993" s="35"/>
      <c r="O993" s="35"/>
      <c r="P993" s="35"/>
      <c r="Q993" s="35"/>
      <c r="R993" s="35"/>
      <c r="S993" s="35"/>
      <c r="T993" s="35"/>
      <c r="U993" s="35"/>
    </row>
    <row r="994">
      <c r="A994" s="35" t="b">
        <v>0</v>
      </c>
      <c r="B994" s="35"/>
      <c r="C994" s="35"/>
      <c r="D994" s="35"/>
      <c r="E994" s="35"/>
      <c r="F994" s="35"/>
      <c r="G994" s="35"/>
      <c r="H994" s="35"/>
      <c r="I994" s="35"/>
      <c r="J994" s="35"/>
      <c r="K994" s="35"/>
      <c r="L994" s="35"/>
      <c r="M994" s="35"/>
      <c r="N994" s="35"/>
      <c r="O994" s="35"/>
      <c r="P994" s="35"/>
      <c r="Q994" s="35"/>
      <c r="R994" s="35"/>
      <c r="S994" s="35"/>
      <c r="T994" s="35"/>
      <c r="U994" s="35"/>
    </row>
    <row r="995">
      <c r="A995" s="35" t="b">
        <v>0</v>
      </c>
      <c r="B995" s="35"/>
      <c r="C995" s="35"/>
      <c r="D995" s="35"/>
      <c r="E995" s="35"/>
      <c r="F995" s="35"/>
      <c r="G995" s="35"/>
      <c r="H995" s="35"/>
      <c r="I995" s="35"/>
      <c r="J995" s="35"/>
      <c r="K995" s="35"/>
      <c r="L995" s="35"/>
      <c r="M995" s="35"/>
      <c r="N995" s="35"/>
      <c r="O995" s="35"/>
      <c r="P995" s="35"/>
      <c r="Q995" s="35"/>
      <c r="R995" s="35"/>
      <c r="S995" s="35"/>
      <c r="T995" s="35"/>
      <c r="U995" s="35"/>
    </row>
    <row r="996">
      <c r="A996" s="35" t="b">
        <v>0</v>
      </c>
      <c r="B996" s="35"/>
      <c r="C996" s="35"/>
      <c r="D996" s="35"/>
      <c r="E996" s="35"/>
      <c r="F996" s="35"/>
      <c r="G996" s="35"/>
      <c r="H996" s="35"/>
      <c r="I996" s="35"/>
      <c r="J996" s="35"/>
      <c r="K996" s="35"/>
      <c r="L996" s="35"/>
      <c r="M996" s="35"/>
      <c r="N996" s="35"/>
      <c r="O996" s="35"/>
      <c r="P996" s="35"/>
      <c r="Q996" s="35"/>
      <c r="R996" s="35"/>
      <c r="S996" s="35"/>
      <c r="T996" s="35"/>
      <c r="U996" s="35"/>
    </row>
    <row r="997">
      <c r="A997" s="35" t="b">
        <v>0</v>
      </c>
      <c r="B997" s="35"/>
      <c r="C997" s="35"/>
      <c r="D997" s="35"/>
      <c r="E997" s="35"/>
      <c r="F997" s="35"/>
      <c r="G997" s="35"/>
      <c r="H997" s="35"/>
      <c r="I997" s="35"/>
      <c r="J997" s="35"/>
      <c r="K997" s="35"/>
      <c r="L997" s="35"/>
      <c r="M997" s="35"/>
      <c r="N997" s="35"/>
      <c r="O997" s="35"/>
      <c r="P997" s="35"/>
      <c r="Q997" s="35"/>
      <c r="R997" s="35"/>
      <c r="S997" s="35"/>
      <c r="T997" s="35"/>
      <c r="U997" s="35"/>
    </row>
    <row r="998">
      <c r="A998" s="35" t="b">
        <v>0</v>
      </c>
      <c r="B998" s="35"/>
      <c r="C998" s="35"/>
      <c r="D998" s="35"/>
      <c r="E998" s="35"/>
      <c r="F998" s="35"/>
      <c r="G998" s="35"/>
      <c r="H998" s="35"/>
      <c r="I998" s="35"/>
      <c r="J998" s="35"/>
      <c r="K998" s="35"/>
      <c r="L998" s="35"/>
      <c r="M998" s="35"/>
      <c r="N998" s="35"/>
      <c r="O998" s="35"/>
      <c r="P998" s="35"/>
      <c r="Q998" s="35"/>
      <c r="R998" s="35"/>
      <c r="S998" s="35"/>
      <c r="T998" s="35"/>
      <c r="U998" s="35"/>
    </row>
    <row r="999">
      <c r="A999" s="35" t="b">
        <v>0</v>
      </c>
      <c r="B999" s="35"/>
      <c r="C999" s="35"/>
      <c r="D999" s="35"/>
      <c r="E999" s="35"/>
      <c r="F999" s="35"/>
      <c r="G999" s="35"/>
      <c r="H999" s="35"/>
      <c r="I999" s="35"/>
      <c r="J999" s="35"/>
      <c r="K999" s="35"/>
      <c r="L999" s="35"/>
      <c r="M999" s="35"/>
      <c r="N999" s="35"/>
      <c r="O999" s="35"/>
      <c r="P999" s="35"/>
      <c r="Q999" s="35"/>
      <c r="R999" s="35"/>
      <c r="S999" s="35"/>
      <c r="T999" s="35"/>
      <c r="U999" s="35"/>
    </row>
    <row r="1000">
      <c r="A1000" s="35" t="b">
        <v>0</v>
      </c>
      <c r="B1000" s="35"/>
      <c r="C1000" s="35"/>
      <c r="D1000" s="35"/>
      <c r="E1000" s="35"/>
      <c r="F1000" s="35"/>
      <c r="G1000" s="35"/>
      <c r="H1000" s="35"/>
      <c r="I1000" s="35"/>
      <c r="J1000" s="35"/>
      <c r="K1000" s="35"/>
      <c r="L1000" s="35"/>
      <c r="M1000" s="35"/>
      <c r="N1000" s="35"/>
      <c r="O1000" s="35"/>
      <c r="P1000" s="35"/>
      <c r="Q1000" s="35"/>
      <c r="R1000" s="35"/>
      <c r="S1000" s="35"/>
      <c r="T1000" s="35"/>
      <c r="U1000" s="35"/>
    </row>
  </sheetData>
  <dataValidations>
    <dataValidation type="list" allowBlank="1" showDropDown="1" showErrorMessage="1" sqref="E3:E12">
      <formula1>"Chemical Reactions,Force &amp; Motion"</formula1>
    </dataValidation>
    <dataValidation type="custom" allowBlank="1" showDropDown="1" sqref="D3:D12 F3:F12 N3:S12">
      <formula1>AND(ISNUMBER(D3),(NOT(OR(NOT(ISERROR(DATEVALUE(D3))), AND(ISNUMBER(D3), LEFT(CELL("format", D3))="D")))))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129</v>
      </c>
      <c r="B1" s="37">
        <v>45950.0</v>
      </c>
      <c r="C1" s="37">
        <v>45951.0</v>
      </c>
      <c r="D1" s="37">
        <v>45952.0</v>
      </c>
      <c r="E1" s="37">
        <v>45953.0</v>
      </c>
      <c r="F1" s="37">
        <v>45954.0</v>
      </c>
      <c r="G1" s="37">
        <v>45957.0</v>
      </c>
      <c r="H1" s="37">
        <v>45958.0</v>
      </c>
      <c r="I1" s="37">
        <v>45959.0</v>
      </c>
      <c r="J1" s="37">
        <v>45960.0</v>
      </c>
      <c r="K1" s="37">
        <v>45961.0</v>
      </c>
    </row>
    <row r="2">
      <c r="A2" s="38"/>
      <c r="B2" s="36" t="s">
        <v>130</v>
      </c>
      <c r="C2" s="38"/>
      <c r="D2" s="38"/>
      <c r="E2" s="38"/>
      <c r="F2" s="38"/>
      <c r="G2" s="38"/>
      <c r="H2" s="38"/>
      <c r="I2" s="38"/>
      <c r="J2" s="38"/>
      <c r="K2" s="38"/>
    </row>
    <row r="3">
      <c r="A3" s="36" t="s">
        <v>131</v>
      </c>
      <c r="B3" s="38"/>
      <c r="C3" s="36" t="s">
        <v>132</v>
      </c>
      <c r="D3" s="38"/>
      <c r="E3" s="36" t="s">
        <v>133</v>
      </c>
      <c r="F3" s="36" t="s">
        <v>134</v>
      </c>
      <c r="G3" s="36" t="s">
        <v>132</v>
      </c>
      <c r="H3" s="38"/>
      <c r="I3" s="36" t="s">
        <v>134</v>
      </c>
      <c r="J3" s="38"/>
      <c r="K3" s="38"/>
    </row>
    <row r="4">
      <c r="A4" s="36" t="s">
        <v>135</v>
      </c>
      <c r="B4" s="38"/>
      <c r="C4" s="36" t="s">
        <v>132</v>
      </c>
      <c r="D4" s="38"/>
      <c r="E4" s="36" t="s">
        <v>133</v>
      </c>
      <c r="F4" s="36" t="s">
        <v>134</v>
      </c>
      <c r="G4" s="36" t="s">
        <v>132</v>
      </c>
      <c r="H4" s="38"/>
      <c r="I4" s="36" t="s">
        <v>134</v>
      </c>
      <c r="J4" s="38"/>
      <c r="K4" s="38"/>
    </row>
    <row r="5">
      <c r="A5" s="38"/>
      <c r="B5" s="38"/>
      <c r="C5" s="38"/>
      <c r="D5" s="38"/>
      <c r="E5" s="38"/>
      <c r="F5" s="38"/>
      <c r="G5" s="38"/>
      <c r="H5" s="38"/>
      <c r="I5" s="38"/>
      <c r="J5" s="38"/>
      <c r="K5" s="38"/>
    </row>
    <row r="6">
      <c r="A6" s="36" t="s">
        <v>136</v>
      </c>
      <c r="B6" s="38"/>
      <c r="C6" s="38"/>
      <c r="D6" s="38"/>
      <c r="E6" s="38"/>
      <c r="F6" s="38"/>
      <c r="G6" s="38"/>
      <c r="H6" s="38"/>
      <c r="I6" s="38"/>
      <c r="J6" s="38"/>
      <c r="K6" s="38"/>
    </row>
    <row r="7">
      <c r="A7" s="36" t="s">
        <v>137</v>
      </c>
      <c r="B7" s="38"/>
      <c r="C7" s="36"/>
      <c r="D7" s="38"/>
      <c r="E7" s="36"/>
      <c r="F7" s="36"/>
      <c r="G7" s="36"/>
      <c r="H7" s="38"/>
      <c r="I7" s="36"/>
      <c r="J7" s="38"/>
      <c r="K7" s="38"/>
    </row>
    <row r="8">
      <c r="A8" s="36" t="s">
        <v>138</v>
      </c>
      <c r="B8" s="38"/>
      <c r="C8" s="36" t="s">
        <v>139</v>
      </c>
      <c r="D8" s="38"/>
      <c r="E8" s="36" t="s">
        <v>140</v>
      </c>
      <c r="F8" s="36" t="s">
        <v>141</v>
      </c>
      <c r="G8" s="36" t="s">
        <v>142</v>
      </c>
      <c r="H8" s="38"/>
      <c r="I8" s="36" t="s">
        <v>143</v>
      </c>
      <c r="J8" s="38"/>
      <c r="K8" s="38"/>
    </row>
    <row r="9">
      <c r="A9" s="36" t="s">
        <v>144</v>
      </c>
      <c r="B9" s="38"/>
      <c r="C9" s="36" t="s">
        <v>145</v>
      </c>
      <c r="D9" s="38"/>
      <c r="E9" s="36" t="s">
        <v>146</v>
      </c>
      <c r="F9" s="36" t="s">
        <v>147</v>
      </c>
      <c r="G9" s="36" t="s">
        <v>148</v>
      </c>
      <c r="H9" s="38"/>
      <c r="I9" s="36" t="s">
        <v>149</v>
      </c>
      <c r="J9" s="38"/>
      <c r="K9" s="38"/>
    </row>
    <row r="10">
      <c r="A10" s="36" t="s">
        <v>150</v>
      </c>
      <c r="B10" s="38"/>
      <c r="C10" s="36" t="s">
        <v>151</v>
      </c>
      <c r="D10" s="38"/>
      <c r="E10" s="36" t="s">
        <v>152</v>
      </c>
      <c r="F10" s="36" t="s">
        <v>153</v>
      </c>
      <c r="G10" s="36" t="s">
        <v>154</v>
      </c>
      <c r="H10" s="38"/>
      <c r="I10" s="36" t="s">
        <v>155</v>
      </c>
      <c r="J10" s="38"/>
      <c r="K10" s="38"/>
    </row>
    <row r="11">
      <c r="A11" s="36" t="s">
        <v>156</v>
      </c>
      <c r="B11" s="38"/>
      <c r="C11" s="36" t="s">
        <v>157</v>
      </c>
      <c r="D11" s="38"/>
      <c r="E11" s="36" t="s">
        <v>158</v>
      </c>
      <c r="F11" s="36" t="s">
        <v>159</v>
      </c>
      <c r="G11" s="36" t="s">
        <v>160</v>
      </c>
      <c r="I11" s="36" t="s">
        <v>161</v>
      </c>
      <c r="K11" s="38"/>
    </row>
    <row r="12">
      <c r="A12" s="36" t="s">
        <v>162</v>
      </c>
      <c r="B12" s="38"/>
      <c r="C12" s="36" t="s">
        <v>163</v>
      </c>
      <c r="D12" s="38"/>
      <c r="E12" s="36" t="s">
        <v>164</v>
      </c>
      <c r="F12" s="36" t="s">
        <v>165</v>
      </c>
      <c r="G12" s="36" t="s">
        <v>166</v>
      </c>
      <c r="I12" s="36" t="s">
        <v>167</v>
      </c>
      <c r="K12" s="38"/>
    </row>
    <row r="13">
      <c r="A13" s="38"/>
      <c r="B13" s="38"/>
      <c r="C13" s="38"/>
      <c r="D13" s="38"/>
      <c r="E13" s="38"/>
      <c r="F13" s="38"/>
      <c r="G13" s="38"/>
      <c r="H13" s="38"/>
      <c r="I13" s="38"/>
      <c r="J13" s="38"/>
      <c r="K13" s="38"/>
    </row>
    <row r="14">
      <c r="A14" s="36" t="s">
        <v>168</v>
      </c>
      <c r="B14" s="38"/>
      <c r="C14" s="36" t="s">
        <v>169</v>
      </c>
      <c r="D14" s="38"/>
      <c r="E14" s="36" t="s">
        <v>170</v>
      </c>
      <c r="F14" s="36" t="s">
        <v>171</v>
      </c>
      <c r="G14" s="36" t="s">
        <v>172</v>
      </c>
      <c r="H14" s="38"/>
      <c r="I14" s="36" t="s">
        <v>173</v>
      </c>
      <c r="J14" s="38"/>
      <c r="K14"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129</v>
      </c>
      <c r="B1" s="37">
        <v>45950.0</v>
      </c>
      <c r="C1" s="37">
        <v>45951.0</v>
      </c>
      <c r="D1" s="37">
        <v>45952.0</v>
      </c>
      <c r="E1" s="37">
        <v>45953.0</v>
      </c>
      <c r="F1" s="37">
        <v>45954.0</v>
      </c>
      <c r="G1" s="37">
        <v>45955.0</v>
      </c>
      <c r="H1" s="37">
        <v>45957.0</v>
      </c>
      <c r="I1" s="37">
        <v>45958.0</v>
      </c>
      <c r="J1" s="37">
        <v>45959.0</v>
      </c>
      <c r="K1" s="37">
        <v>45960.0</v>
      </c>
      <c r="L1" s="37">
        <v>45961.0</v>
      </c>
      <c r="M1" s="37"/>
      <c r="N1" s="38"/>
      <c r="O1" s="38"/>
      <c r="P1" s="38"/>
      <c r="Q1" s="38"/>
      <c r="R1" s="38"/>
      <c r="S1" s="38"/>
      <c r="T1" s="38"/>
      <c r="U1" s="38"/>
      <c r="V1" s="38"/>
      <c r="W1" s="38"/>
      <c r="X1" s="38"/>
      <c r="Y1" s="38"/>
      <c r="Z1" s="38"/>
    </row>
    <row r="2">
      <c r="A2" s="38"/>
      <c r="B2" s="36" t="s">
        <v>130</v>
      </c>
      <c r="C2" s="38"/>
      <c r="D2" s="38"/>
      <c r="E2" s="38"/>
      <c r="F2" s="38"/>
      <c r="G2" s="38"/>
      <c r="H2" s="38"/>
      <c r="I2" s="36"/>
      <c r="J2" s="38"/>
      <c r="K2" s="38"/>
      <c r="L2" s="38"/>
      <c r="M2" s="38"/>
      <c r="N2" s="38"/>
      <c r="O2" s="38"/>
      <c r="P2" s="38"/>
      <c r="Q2" s="38"/>
      <c r="R2" s="38"/>
      <c r="S2" s="38"/>
      <c r="T2" s="38"/>
      <c r="U2" s="38"/>
      <c r="V2" s="38"/>
      <c r="W2" s="38"/>
      <c r="X2" s="38"/>
      <c r="Y2" s="38"/>
      <c r="Z2" s="38"/>
    </row>
    <row r="3">
      <c r="A3" s="36" t="s">
        <v>174</v>
      </c>
      <c r="B3" s="37"/>
      <c r="C3" s="37"/>
      <c r="D3" s="36" t="s">
        <v>175</v>
      </c>
      <c r="E3" s="37"/>
      <c r="F3" s="36" t="s">
        <v>176</v>
      </c>
      <c r="G3" s="36" t="s">
        <v>175</v>
      </c>
      <c r="H3" s="36"/>
      <c r="I3" s="36" t="s">
        <v>133</v>
      </c>
      <c r="J3" s="36" t="s">
        <v>176</v>
      </c>
      <c r="K3" s="38"/>
      <c r="L3" s="38"/>
      <c r="M3" s="38"/>
      <c r="N3" s="38"/>
      <c r="O3" s="38"/>
      <c r="P3" s="38"/>
      <c r="Q3" s="38"/>
      <c r="R3" s="38"/>
      <c r="S3" s="38"/>
      <c r="T3" s="38"/>
      <c r="U3" s="38"/>
      <c r="V3" s="38"/>
      <c r="W3" s="38"/>
      <c r="X3" s="38"/>
      <c r="Y3" s="38"/>
      <c r="Z3" s="38"/>
    </row>
    <row r="4">
      <c r="A4" s="36" t="s">
        <v>177</v>
      </c>
      <c r="B4" s="36"/>
      <c r="C4" s="38"/>
      <c r="D4" s="36" t="s">
        <v>175</v>
      </c>
      <c r="E4" s="38"/>
      <c r="F4" s="36" t="s">
        <v>176</v>
      </c>
      <c r="G4" s="36" t="s">
        <v>175</v>
      </c>
      <c r="H4" s="36"/>
      <c r="I4" s="36" t="s">
        <v>133</v>
      </c>
      <c r="J4" s="36" t="s">
        <v>176</v>
      </c>
      <c r="K4" s="38"/>
      <c r="L4" s="38"/>
      <c r="M4" s="38"/>
      <c r="N4" s="38"/>
      <c r="O4" s="38"/>
      <c r="P4" s="38"/>
      <c r="Q4" s="38"/>
      <c r="R4" s="38"/>
      <c r="S4" s="38"/>
      <c r="T4" s="38"/>
      <c r="U4" s="38"/>
      <c r="V4" s="38"/>
      <c r="W4" s="38"/>
      <c r="X4" s="38"/>
      <c r="Y4" s="38"/>
      <c r="Z4" s="38"/>
    </row>
    <row r="5">
      <c r="A5" s="36"/>
      <c r="B5" s="38"/>
      <c r="C5" s="38"/>
      <c r="D5" s="38"/>
      <c r="E5" s="38"/>
      <c r="F5" s="38"/>
      <c r="G5" s="38"/>
      <c r="H5" s="38"/>
      <c r="I5" s="38"/>
      <c r="J5" s="38"/>
      <c r="K5" s="38"/>
      <c r="L5" s="38"/>
      <c r="M5" s="38"/>
      <c r="N5" s="38"/>
      <c r="O5" s="38"/>
      <c r="P5" s="38"/>
      <c r="Q5" s="38"/>
      <c r="R5" s="38"/>
      <c r="S5" s="38"/>
      <c r="T5" s="38"/>
      <c r="U5" s="38"/>
      <c r="V5" s="38"/>
      <c r="W5" s="38"/>
      <c r="X5" s="38"/>
      <c r="Y5" s="38"/>
      <c r="Z5" s="38"/>
    </row>
    <row r="6">
      <c r="A6" s="36" t="s">
        <v>136</v>
      </c>
      <c r="B6" s="38"/>
      <c r="C6" s="38"/>
      <c r="D6" s="38"/>
      <c r="E6" s="38"/>
      <c r="F6" s="38"/>
      <c r="G6" s="38"/>
      <c r="H6" s="36"/>
      <c r="I6" s="38"/>
      <c r="J6" s="38"/>
      <c r="K6" s="38"/>
      <c r="L6" s="38"/>
      <c r="M6" s="38"/>
      <c r="N6" s="38"/>
      <c r="O6" s="38"/>
      <c r="P6" s="38"/>
      <c r="Q6" s="38"/>
      <c r="R6" s="38"/>
      <c r="S6" s="38"/>
      <c r="T6" s="38"/>
      <c r="U6" s="38"/>
      <c r="V6" s="38"/>
      <c r="W6" s="38"/>
      <c r="X6" s="38"/>
      <c r="Y6" s="38"/>
      <c r="Z6" s="38"/>
    </row>
    <row r="7">
      <c r="A7" s="36" t="s">
        <v>137</v>
      </c>
      <c r="B7" s="38"/>
      <c r="C7" s="38"/>
      <c r="D7" s="36"/>
      <c r="E7" s="36"/>
      <c r="F7" s="36"/>
      <c r="G7" s="36"/>
      <c r="H7" s="36"/>
      <c r="I7" s="36"/>
      <c r="J7" s="36"/>
      <c r="K7" s="38"/>
      <c r="L7" s="38"/>
      <c r="M7" s="38"/>
      <c r="N7" s="38"/>
      <c r="O7" s="38"/>
      <c r="P7" s="38"/>
      <c r="Q7" s="38"/>
      <c r="R7" s="38"/>
      <c r="S7" s="38"/>
      <c r="T7" s="38"/>
      <c r="U7" s="38"/>
      <c r="V7" s="38"/>
      <c r="W7" s="38"/>
      <c r="X7" s="38"/>
      <c r="Y7" s="38"/>
      <c r="Z7" s="38"/>
    </row>
    <row r="8">
      <c r="A8" s="36" t="s">
        <v>138</v>
      </c>
      <c r="B8" s="38"/>
      <c r="C8" s="38"/>
      <c r="D8" s="36" t="s">
        <v>178</v>
      </c>
      <c r="E8" s="36"/>
      <c r="F8" s="36" t="s">
        <v>179</v>
      </c>
      <c r="G8" s="36" t="s">
        <v>180</v>
      </c>
      <c r="H8" s="36"/>
      <c r="I8" s="36" t="s">
        <v>140</v>
      </c>
      <c r="J8" s="36" t="s">
        <v>180</v>
      </c>
      <c r="K8" s="38"/>
      <c r="L8" s="36"/>
      <c r="M8" s="36"/>
      <c r="N8" s="38"/>
      <c r="O8" s="38"/>
      <c r="P8" s="38"/>
      <c r="Q8" s="38"/>
      <c r="R8" s="38"/>
      <c r="S8" s="38"/>
      <c r="T8" s="38"/>
      <c r="U8" s="38"/>
      <c r="V8" s="38"/>
      <c r="W8" s="38"/>
      <c r="X8" s="38"/>
      <c r="Y8" s="38"/>
      <c r="Z8" s="38"/>
    </row>
    <row r="9">
      <c r="A9" s="36" t="s">
        <v>144</v>
      </c>
      <c r="B9" s="38"/>
      <c r="C9" s="38"/>
      <c r="D9" s="36" t="s">
        <v>181</v>
      </c>
      <c r="E9" s="36"/>
      <c r="F9" s="36" t="s">
        <v>182</v>
      </c>
      <c r="G9" s="36" t="s">
        <v>183</v>
      </c>
      <c r="H9" s="36"/>
      <c r="I9" s="36" t="s">
        <v>184</v>
      </c>
      <c r="J9" s="36" t="s">
        <v>185</v>
      </c>
      <c r="K9" s="38"/>
      <c r="L9" s="36"/>
      <c r="M9" s="36"/>
      <c r="N9" s="38"/>
      <c r="O9" s="38"/>
      <c r="P9" s="38"/>
      <c r="Q9" s="38"/>
      <c r="R9" s="38"/>
      <c r="S9" s="38"/>
      <c r="T9" s="38"/>
      <c r="U9" s="38"/>
      <c r="V9" s="38"/>
      <c r="W9" s="38"/>
      <c r="X9" s="38"/>
      <c r="Y9" s="38"/>
      <c r="Z9" s="38"/>
    </row>
    <row r="10">
      <c r="A10" s="36" t="s">
        <v>150</v>
      </c>
      <c r="B10" s="38"/>
      <c r="C10" s="38"/>
      <c r="D10" s="36" t="s">
        <v>186</v>
      </c>
      <c r="E10" s="36"/>
      <c r="F10" s="36" t="s">
        <v>187</v>
      </c>
      <c r="G10" s="36" t="s">
        <v>188</v>
      </c>
      <c r="H10" s="36"/>
      <c r="I10" s="36" t="s">
        <v>152</v>
      </c>
      <c r="J10" s="36" t="s">
        <v>189</v>
      </c>
      <c r="K10" s="38"/>
      <c r="L10" s="36"/>
      <c r="M10" s="36"/>
      <c r="N10" s="38"/>
      <c r="O10" s="38"/>
      <c r="P10" s="38"/>
      <c r="Q10" s="38"/>
      <c r="R10" s="38"/>
      <c r="S10" s="38"/>
      <c r="T10" s="38"/>
      <c r="U10" s="38"/>
      <c r="V10" s="38"/>
      <c r="W10" s="38"/>
      <c r="X10" s="38"/>
      <c r="Y10" s="38"/>
      <c r="Z10" s="38"/>
    </row>
    <row r="11">
      <c r="A11" s="36" t="s">
        <v>156</v>
      </c>
      <c r="B11" s="38"/>
      <c r="C11" s="38"/>
      <c r="D11" s="36" t="s">
        <v>190</v>
      </c>
      <c r="E11" s="36"/>
      <c r="F11" s="36" t="s">
        <v>191</v>
      </c>
      <c r="G11" s="36" t="s">
        <v>192</v>
      </c>
      <c r="I11" s="36" t="s">
        <v>158</v>
      </c>
      <c r="J11" s="36" t="s">
        <v>193</v>
      </c>
      <c r="L11" s="36"/>
      <c r="M11" s="36"/>
      <c r="N11" s="38"/>
      <c r="O11" s="38"/>
      <c r="P11" s="38"/>
      <c r="Q11" s="38"/>
      <c r="R11" s="38"/>
      <c r="S11" s="38"/>
      <c r="T11" s="38"/>
      <c r="U11" s="38"/>
      <c r="V11" s="38"/>
      <c r="W11" s="38"/>
      <c r="X11" s="38"/>
      <c r="Y11" s="38"/>
      <c r="Z11" s="38"/>
    </row>
    <row r="12">
      <c r="A12" s="36" t="s">
        <v>162</v>
      </c>
      <c r="B12" s="38"/>
      <c r="C12" s="38"/>
      <c r="D12" s="36" t="s">
        <v>194</v>
      </c>
      <c r="E12" s="36"/>
      <c r="F12" s="36" t="s">
        <v>195</v>
      </c>
      <c r="G12" s="36" t="s">
        <v>196</v>
      </c>
      <c r="H12" s="36"/>
      <c r="I12" s="36" t="s">
        <v>164</v>
      </c>
      <c r="J12" s="36" t="s">
        <v>197</v>
      </c>
      <c r="K12" s="38"/>
      <c r="L12" s="36"/>
      <c r="M12" s="36"/>
      <c r="N12" s="38"/>
      <c r="O12" s="38"/>
      <c r="P12" s="38"/>
      <c r="Q12" s="38"/>
      <c r="R12" s="38"/>
      <c r="S12" s="38"/>
      <c r="T12" s="38"/>
      <c r="U12" s="38"/>
      <c r="V12" s="38"/>
      <c r="W12" s="38"/>
      <c r="X12" s="38"/>
      <c r="Y12" s="38"/>
      <c r="Z12" s="38"/>
    </row>
    <row r="13">
      <c r="A13" s="36"/>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c r="A14" s="36" t="s">
        <v>168</v>
      </c>
      <c r="B14" s="38"/>
      <c r="C14" s="38"/>
      <c r="D14" s="36" t="s">
        <v>198</v>
      </c>
      <c r="E14" s="36"/>
      <c r="F14" s="36" t="s">
        <v>199</v>
      </c>
      <c r="G14" s="36" t="s">
        <v>200</v>
      </c>
      <c r="H14" s="36"/>
      <c r="I14" s="36" t="s">
        <v>170</v>
      </c>
      <c r="J14" s="36" t="s">
        <v>201</v>
      </c>
      <c r="K14" s="38"/>
      <c r="L14" s="36"/>
      <c r="M14" s="36"/>
      <c r="N14" s="38"/>
      <c r="O14" s="38"/>
      <c r="P14" s="38"/>
      <c r="Q14" s="38"/>
      <c r="R14" s="38"/>
      <c r="S14" s="38"/>
      <c r="T14" s="38"/>
      <c r="U14" s="38"/>
      <c r="V14" s="38"/>
      <c r="W14" s="38"/>
      <c r="X14" s="38"/>
      <c r="Y14" s="38"/>
      <c r="Z14" s="38"/>
    </row>
    <row r="15">
      <c r="A15" s="36"/>
      <c r="B15" s="36"/>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6"/>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6"/>
      <c r="B17" s="38"/>
      <c r="C17" s="36"/>
      <c r="D17" s="38"/>
      <c r="E17" s="38"/>
      <c r="F17" s="38"/>
      <c r="G17" s="38"/>
      <c r="H17" s="38"/>
      <c r="I17" s="38"/>
      <c r="J17" s="38"/>
      <c r="K17" s="38"/>
      <c r="L17" s="38"/>
      <c r="M17" s="38"/>
      <c r="N17" s="38"/>
      <c r="O17" s="38"/>
      <c r="P17" s="38"/>
      <c r="Q17" s="38"/>
      <c r="R17" s="38"/>
      <c r="S17" s="38"/>
      <c r="T17" s="38"/>
      <c r="U17" s="38"/>
      <c r="V17" s="38"/>
      <c r="W17" s="38"/>
      <c r="X17" s="38"/>
      <c r="Y17" s="38"/>
      <c r="Z17" s="38"/>
    </row>
    <row r="18">
      <c r="A18" s="36"/>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6"/>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6"/>
      <c r="B20" s="38"/>
      <c r="C20" s="38"/>
      <c r="D20" s="36"/>
      <c r="E20" s="38"/>
      <c r="F20" s="38"/>
      <c r="G20" s="38"/>
      <c r="H20" s="38"/>
      <c r="I20" s="38"/>
      <c r="J20" s="38"/>
      <c r="K20" s="38"/>
      <c r="L20" s="38"/>
      <c r="M20" s="38"/>
      <c r="N20" s="38"/>
      <c r="O20" s="38"/>
      <c r="P20" s="38"/>
      <c r="Q20" s="38"/>
      <c r="R20" s="38"/>
      <c r="S20" s="38"/>
      <c r="T20" s="38"/>
      <c r="U20" s="38"/>
      <c r="V20" s="38"/>
      <c r="W20" s="38"/>
      <c r="X20" s="38"/>
      <c r="Y20" s="38"/>
      <c r="Z20" s="38"/>
    </row>
    <row r="21">
      <c r="A21" s="36"/>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6"/>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6"/>
      <c r="B23" s="36"/>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6"/>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6"/>
      <c r="B25" s="38"/>
      <c r="C25" s="36"/>
      <c r="D25" s="38"/>
      <c r="E25" s="38"/>
      <c r="F25" s="38"/>
      <c r="G25" s="38"/>
      <c r="H25" s="38"/>
      <c r="I25" s="38"/>
      <c r="J25" s="38"/>
      <c r="K25" s="38"/>
      <c r="L25" s="38"/>
      <c r="M25" s="38"/>
      <c r="N25" s="38"/>
      <c r="O25" s="38"/>
      <c r="P25" s="38"/>
      <c r="Q25" s="38"/>
      <c r="R25" s="38"/>
      <c r="S25" s="38"/>
      <c r="T25" s="38"/>
      <c r="U25" s="38"/>
      <c r="V25" s="38"/>
      <c r="W25" s="38"/>
      <c r="X25" s="38"/>
      <c r="Y25" s="38"/>
      <c r="Z25" s="38"/>
    </row>
    <row r="26">
      <c r="A26" s="36"/>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6"/>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6"/>
      <c r="B28" s="38"/>
      <c r="C28" s="38"/>
      <c r="D28" s="36"/>
      <c r="E28" s="36"/>
      <c r="F28" s="38"/>
      <c r="G28" s="36"/>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6"/>
      <c r="B30" s="38"/>
      <c r="C30" s="38"/>
      <c r="D30" s="36"/>
      <c r="E30" s="38"/>
      <c r="F30" s="38"/>
      <c r="G30" s="38"/>
      <c r="H30" s="38"/>
      <c r="I30" s="38"/>
      <c r="J30" s="38"/>
      <c r="K30" s="38"/>
      <c r="L30" s="38"/>
      <c r="M30" s="38"/>
      <c r="N30" s="38"/>
      <c r="O30" s="38"/>
      <c r="P30" s="38"/>
      <c r="Q30" s="38"/>
      <c r="R30" s="38"/>
      <c r="S30" s="38"/>
      <c r="T30" s="38"/>
      <c r="U30" s="38"/>
      <c r="V30" s="38"/>
      <c r="W30" s="38"/>
      <c r="X30" s="38"/>
      <c r="Y30" s="38"/>
      <c r="Z30" s="38"/>
    </row>
    <row r="31">
      <c r="A31" s="36"/>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6"/>
      <c r="B32" s="36"/>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6"/>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6"/>
      <c r="B34" s="38"/>
      <c r="C34" s="36"/>
      <c r="D34" s="38"/>
      <c r="E34" s="38"/>
      <c r="F34" s="38"/>
      <c r="G34" s="38"/>
      <c r="H34" s="38"/>
      <c r="I34" s="38"/>
      <c r="J34" s="38"/>
      <c r="K34" s="38"/>
      <c r="L34" s="38"/>
      <c r="M34" s="38"/>
      <c r="N34" s="38"/>
      <c r="O34" s="38"/>
      <c r="P34" s="38"/>
      <c r="Q34" s="38"/>
      <c r="R34" s="38"/>
      <c r="S34" s="38"/>
      <c r="T34" s="38"/>
      <c r="U34" s="38"/>
      <c r="V34" s="38"/>
      <c r="W34" s="38"/>
      <c r="X34" s="38"/>
      <c r="Y34" s="38"/>
      <c r="Z34" s="38"/>
    </row>
    <row r="35">
      <c r="A35" s="36"/>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6"/>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202</v>
      </c>
      <c r="B1" s="39" t="s">
        <v>203</v>
      </c>
      <c r="C1" s="39" t="s">
        <v>204</v>
      </c>
      <c r="D1" s="39" t="s">
        <v>205</v>
      </c>
    </row>
    <row r="2">
      <c r="A2" s="39" t="s">
        <v>206</v>
      </c>
      <c r="B2" s="40">
        <v>1871474.0</v>
      </c>
      <c r="C2" s="40">
        <v>10.0</v>
      </c>
      <c r="D2" s="41">
        <v>45978.451671076386</v>
      </c>
    </row>
    <row r="3">
      <c r="A3" s="39" t="s">
        <v>206</v>
      </c>
      <c r="B3" s="40">
        <v>1871475.0</v>
      </c>
      <c r="C3" s="40">
        <v>0.0</v>
      </c>
      <c r="D3" s="41">
        <v>45968.46887885417</v>
      </c>
    </row>
    <row r="4">
      <c r="A4" s="39" t="s">
        <v>206</v>
      </c>
      <c r="B4" s="40">
        <v>1871478.0</v>
      </c>
      <c r="C4" s="40">
        <v>20.0</v>
      </c>
      <c r="D4" s="41">
        <v>45974.379818692134</v>
      </c>
    </row>
    <row r="5">
      <c r="A5" s="39" t="s">
        <v>206</v>
      </c>
      <c r="B5" s="40">
        <v>1872001.0</v>
      </c>
      <c r="C5" s="40">
        <v>0.0</v>
      </c>
      <c r="D5" s="41">
        <v>45994.2972807176</v>
      </c>
    </row>
    <row r="6">
      <c r="A6" s="39" t="s">
        <v>206</v>
      </c>
      <c r="B6" s="40">
        <v>1872002.0</v>
      </c>
      <c r="C6" s="40">
        <v>11.0</v>
      </c>
      <c r="D6" s="41">
        <v>45975.2963837037</v>
      </c>
    </row>
    <row r="7">
      <c r="A7" s="39" t="s">
        <v>206</v>
      </c>
      <c r="B7" s="40">
        <v>1872003.0</v>
      </c>
      <c r="C7" s="40">
        <v>17.0</v>
      </c>
      <c r="D7" s="41">
        <v>45975.296386608796</v>
      </c>
    </row>
    <row r="8">
      <c r="A8" s="39" t="s">
        <v>206</v>
      </c>
      <c r="B8" s="40">
        <v>1872011.0</v>
      </c>
      <c r="C8" s="40">
        <v>12.0</v>
      </c>
      <c r="D8" s="41">
        <v>45975.83776446759</v>
      </c>
    </row>
    <row r="9">
      <c r="A9" s="39" t="s">
        <v>206</v>
      </c>
      <c r="B9" s="40">
        <v>1872014.0</v>
      </c>
      <c r="C9" s="40">
        <v>6.0</v>
      </c>
      <c r="D9" s="41">
        <v>45968.468947789355</v>
      </c>
    </row>
    <row r="10">
      <c r="A10" s="39" t="s">
        <v>206</v>
      </c>
      <c r="B10" s="40">
        <v>1879211.0</v>
      </c>
      <c r="C10" s="40">
        <v>10.0</v>
      </c>
      <c r="D10" s="41">
        <v>45973.83793282407</v>
      </c>
    </row>
    <row r="11">
      <c r="A11" s="39" t="s">
        <v>206</v>
      </c>
      <c r="B11" s="40">
        <v>1879212.0</v>
      </c>
      <c r="C11" s="40">
        <v>17.0</v>
      </c>
      <c r="D11" s="41">
        <v>45979.49374326388</v>
      </c>
    </row>
    <row r="12">
      <c r="A12" s="39" t="s">
        <v>206</v>
      </c>
      <c r="B12" s="40">
        <v>1879215.0</v>
      </c>
      <c r="C12" s="40">
        <v>16.0</v>
      </c>
      <c r="D12" s="41">
        <v>45973.400477083334</v>
      </c>
    </row>
    <row r="13">
      <c r="A13" s="39" t="s">
        <v>206</v>
      </c>
      <c r="B13" s="40">
        <v>1892324.0</v>
      </c>
      <c r="C13" s="40">
        <v>8.0</v>
      </c>
      <c r="D13" s="41">
        <v>45979.514593125</v>
      </c>
    </row>
    <row r="14">
      <c r="A14" s="39" t="s">
        <v>206</v>
      </c>
      <c r="B14" s="40">
        <v>1892325.0</v>
      </c>
      <c r="C14" s="40">
        <v>8.0</v>
      </c>
      <c r="D14" s="41">
        <v>45982.48321016204</v>
      </c>
    </row>
    <row r="15">
      <c r="A15" s="39" t="s">
        <v>206</v>
      </c>
      <c r="B15" s="40">
        <v>1892326.0</v>
      </c>
      <c r="C15" s="40">
        <v>8.0</v>
      </c>
      <c r="D15" s="41">
        <v>45986.50409916667</v>
      </c>
    </row>
    <row r="16">
      <c r="A16" s="39" t="s">
        <v>206</v>
      </c>
      <c r="B16" s="40">
        <v>1901634.0</v>
      </c>
      <c r="C16" s="40">
        <v>28.0</v>
      </c>
      <c r="D16" s="41">
        <v>45994.297304907406</v>
      </c>
    </row>
    <row r="17">
      <c r="A17" s="39" t="s">
        <v>206</v>
      </c>
      <c r="B17" s="40">
        <v>1905196.0</v>
      </c>
      <c r="C17" s="40">
        <v>0.0</v>
      </c>
      <c r="D17" s="41">
        <v>45997.7144146875</v>
      </c>
    </row>
    <row r="18">
      <c r="A18" s="39" t="s">
        <v>206</v>
      </c>
      <c r="B18" s="40">
        <v>1905197.0</v>
      </c>
      <c r="C18" s="40">
        <v>0.0</v>
      </c>
      <c r="D18" s="41">
        <v>45997.7144183912</v>
      </c>
    </row>
    <row r="19">
      <c r="A19" s="39" t="s">
        <v>206</v>
      </c>
      <c r="B19" s="40">
        <v>1905198.0</v>
      </c>
      <c r="C19" s="40">
        <v>0.0</v>
      </c>
      <c r="D19" s="41">
        <v>45997.71442276621</v>
      </c>
    </row>
    <row r="20">
      <c r="A20" s="39" t="s">
        <v>206</v>
      </c>
      <c r="B20" s="40">
        <v>1905201.0</v>
      </c>
      <c r="C20" s="40">
        <v>0.0</v>
      </c>
      <c r="D20" s="41">
        <v>45997.714426226856</v>
      </c>
    </row>
    <row r="21">
      <c r="A21" s="39" t="s">
        <v>206</v>
      </c>
      <c r="B21" s="40">
        <v>1905206.0</v>
      </c>
      <c r="C21" s="40">
        <v>0.0</v>
      </c>
      <c r="D21" s="41">
        <v>45997.71443194445</v>
      </c>
    </row>
    <row r="22">
      <c r="A22" s="39" t="s">
        <v>207</v>
      </c>
      <c r="B22" s="40">
        <v>1871474.0</v>
      </c>
      <c r="C22" s="40">
        <v>10.0</v>
      </c>
      <c r="D22" s="41">
        <v>45968.468953460644</v>
      </c>
    </row>
    <row r="23">
      <c r="A23" s="39" t="s">
        <v>207</v>
      </c>
      <c r="B23" s="40">
        <v>1871475.0</v>
      </c>
      <c r="C23" s="40">
        <v>0.0</v>
      </c>
      <c r="D23" s="41">
        <v>45968.468956412034</v>
      </c>
    </row>
    <row r="24">
      <c r="A24" s="39" t="s">
        <v>207</v>
      </c>
      <c r="B24" s="40">
        <v>1871476.0</v>
      </c>
      <c r="C24" s="40">
        <v>5.0</v>
      </c>
      <c r="D24" s="41">
        <v>45968.46895908564</v>
      </c>
    </row>
    <row r="25">
      <c r="A25" s="39" t="s">
        <v>207</v>
      </c>
      <c r="B25" s="40">
        <v>1871477.0</v>
      </c>
      <c r="C25" s="40">
        <v>0.0</v>
      </c>
      <c r="D25" s="41">
        <v>45968.4689616088</v>
      </c>
    </row>
    <row r="26">
      <c r="A26" s="39" t="s">
        <v>207</v>
      </c>
      <c r="B26" s="40">
        <v>1871478.0</v>
      </c>
      <c r="C26" s="40">
        <v>20.0</v>
      </c>
      <c r="D26" s="41">
        <v>45968.468964050924</v>
      </c>
    </row>
    <row r="27">
      <c r="A27" s="39" t="s">
        <v>207</v>
      </c>
      <c r="B27" s="40">
        <v>1872001.0</v>
      </c>
      <c r="C27" s="40">
        <v>0.0</v>
      </c>
      <c r="D27" s="41">
        <v>45994.297330381945</v>
      </c>
    </row>
    <row r="28">
      <c r="A28" s="39" t="s">
        <v>207</v>
      </c>
      <c r="B28" s="40">
        <v>1872002.0</v>
      </c>
      <c r="C28" s="40">
        <v>0.0</v>
      </c>
      <c r="D28" s="41">
        <v>45968.46897056713</v>
      </c>
    </row>
    <row r="29">
      <c r="A29" s="39" t="s">
        <v>207</v>
      </c>
      <c r="B29" s="40">
        <v>1872003.0</v>
      </c>
      <c r="C29" s="40">
        <v>0.0</v>
      </c>
      <c r="D29" s="41">
        <v>45968.46897297454</v>
      </c>
    </row>
    <row r="30">
      <c r="A30" s="39" t="s">
        <v>207</v>
      </c>
      <c r="B30" s="40">
        <v>1872011.0</v>
      </c>
      <c r="C30" s="40">
        <v>0.0</v>
      </c>
      <c r="D30" s="41">
        <v>45968.468975752316</v>
      </c>
    </row>
    <row r="31">
      <c r="A31" s="39" t="s">
        <v>207</v>
      </c>
      <c r="B31" s="40">
        <v>1872014.0</v>
      </c>
      <c r="C31" s="40">
        <v>0.0</v>
      </c>
      <c r="D31" s="41">
        <v>45968.46897825232</v>
      </c>
    </row>
    <row r="32">
      <c r="A32" s="39" t="s">
        <v>207</v>
      </c>
      <c r="B32" s="40">
        <v>1879211.0</v>
      </c>
      <c r="C32" s="40">
        <v>0.0</v>
      </c>
      <c r="D32" s="41">
        <v>45969.71694997685</v>
      </c>
    </row>
    <row r="33">
      <c r="A33" s="39" t="s">
        <v>207</v>
      </c>
      <c r="B33" s="40">
        <v>1879212.0</v>
      </c>
      <c r="C33" s="40">
        <v>0.0</v>
      </c>
      <c r="D33" s="41">
        <v>45969.716952002316</v>
      </c>
    </row>
    <row r="34">
      <c r="A34" s="39" t="s">
        <v>207</v>
      </c>
      <c r="B34" s="40">
        <v>1879213.0</v>
      </c>
      <c r="C34" s="40">
        <v>0.0</v>
      </c>
      <c r="D34" s="41">
        <v>45969.71695457176</v>
      </c>
    </row>
    <row r="35">
      <c r="A35" s="39" t="s">
        <v>207</v>
      </c>
      <c r="B35" s="40">
        <v>1879214.0</v>
      </c>
      <c r="C35" s="40">
        <v>0.0</v>
      </c>
      <c r="D35" s="41">
        <v>45969.71695928241</v>
      </c>
    </row>
    <row r="36">
      <c r="A36" s="39" t="s">
        <v>207</v>
      </c>
      <c r="B36" s="40">
        <v>1879215.0</v>
      </c>
      <c r="C36" s="40">
        <v>0.0</v>
      </c>
      <c r="D36" s="41">
        <v>45969.71696143519</v>
      </c>
    </row>
    <row r="37">
      <c r="A37" s="39" t="s">
        <v>207</v>
      </c>
      <c r="B37" s="40">
        <v>1892323.0</v>
      </c>
      <c r="C37" s="40">
        <v>18.0</v>
      </c>
      <c r="D37" s="41">
        <v>45979.504152939815</v>
      </c>
    </row>
    <row r="38">
      <c r="A38" s="39" t="s">
        <v>207</v>
      </c>
      <c r="B38" s="40">
        <v>1892324.0</v>
      </c>
      <c r="C38" s="40">
        <v>0.0</v>
      </c>
      <c r="D38" s="41">
        <v>45976.713637650464</v>
      </c>
    </row>
    <row r="39">
      <c r="A39" s="39" t="s">
        <v>207</v>
      </c>
      <c r="B39" s="40">
        <v>1892325.0</v>
      </c>
      <c r="C39" s="40">
        <v>0.0</v>
      </c>
      <c r="D39" s="41">
        <v>45976.71365011574</v>
      </c>
    </row>
    <row r="40">
      <c r="A40" s="39" t="s">
        <v>207</v>
      </c>
      <c r="B40" s="40">
        <v>1892326.0</v>
      </c>
      <c r="C40" s="40">
        <v>0.0</v>
      </c>
      <c r="D40" s="41">
        <v>45976.71366219908</v>
      </c>
    </row>
    <row r="41">
      <c r="A41" s="39" t="s">
        <v>207</v>
      </c>
      <c r="B41" s="40">
        <v>1901634.0</v>
      </c>
      <c r="C41" s="40">
        <v>0.0</v>
      </c>
      <c r="D41" s="41">
        <v>45992.422277199075</v>
      </c>
    </row>
    <row r="42">
      <c r="A42" s="39" t="s">
        <v>207</v>
      </c>
      <c r="B42" s="40">
        <v>1905196.0</v>
      </c>
      <c r="C42" s="40">
        <v>0.0</v>
      </c>
      <c r="D42" s="41">
        <v>45997.7144396875</v>
      </c>
    </row>
    <row r="43">
      <c r="A43" s="39" t="s">
        <v>207</v>
      </c>
      <c r="B43" s="40">
        <v>1905197.0</v>
      </c>
      <c r="C43" s="40">
        <v>0.0</v>
      </c>
      <c r="D43" s="41">
        <v>45997.714443530094</v>
      </c>
    </row>
    <row r="44">
      <c r="A44" s="39" t="s">
        <v>207</v>
      </c>
      <c r="B44" s="40">
        <v>1905198.0</v>
      </c>
      <c r="C44" s="40">
        <v>0.0</v>
      </c>
      <c r="D44" s="41">
        <v>45997.71444877315</v>
      </c>
    </row>
    <row r="45">
      <c r="A45" s="39" t="s">
        <v>207</v>
      </c>
      <c r="B45" s="40">
        <v>1905201.0</v>
      </c>
      <c r="C45" s="40">
        <v>0.0</v>
      </c>
      <c r="D45" s="41">
        <v>45997.71445277778</v>
      </c>
    </row>
    <row r="46">
      <c r="A46" s="39" t="s">
        <v>207</v>
      </c>
      <c r="B46" s="40">
        <v>1905206.0</v>
      </c>
      <c r="C46" s="40">
        <v>0.0</v>
      </c>
      <c r="D46" s="41">
        <v>45997.714458229166</v>
      </c>
    </row>
    <row r="47">
      <c r="A47" s="39" t="s">
        <v>208</v>
      </c>
      <c r="B47" s="40">
        <v>1871474.0</v>
      </c>
      <c r="C47" s="40">
        <v>10.0</v>
      </c>
      <c r="D47" s="41">
        <v>45974.35885824074</v>
      </c>
    </row>
    <row r="48">
      <c r="A48" s="39" t="s">
        <v>208</v>
      </c>
      <c r="B48" s="40">
        <v>1871475.0</v>
      </c>
      <c r="C48" s="40">
        <v>0.0</v>
      </c>
      <c r="D48" s="41">
        <v>45968.46898347222</v>
      </c>
    </row>
    <row r="49">
      <c r="A49" s="39" t="s">
        <v>208</v>
      </c>
      <c r="B49" s="40">
        <v>1871476.0</v>
      </c>
      <c r="C49" s="40">
        <v>15.0</v>
      </c>
      <c r="D49" s="41">
        <v>45974.36997159722</v>
      </c>
    </row>
    <row r="50">
      <c r="A50" s="39" t="s">
        <v>208</v>
      </c>
      <c r="B50" s="40">
        <v>1871477.0</v>
      </c>
      <c r="C50" s="40">
        <v>0.0</v>
      </c>
      <c r="D50" s="41">
        <v>45968.46898851852</v>
      </c>
    </row>
    <row r="51">
      <c r="A51" s="39" t="s">
        <v>208</v>
      </c>
      <c r="B51" s="40">
        <v>1871478.0</v>
      </c>
      <c r="C51" s="40">
        <v>0.0</v>
      </c>
      <c r="D51" s="41">
        <v>45968.468990995374</v>
      </c>
    </row>
    <row r="52">
      <c r="A52" s="39" t="s">
        <v>208</v>
      </c>
      <c r="B52" s="40">
        <v>1872001.0</v>
      </c>
      <c r="C52" s="40">
        <v>0.0</v>
      </c>
      <c r="D52" s="41">
        <v>45994.29733913194</v>
      </c>
    </row>
    <row r="53">
      <c r="A53" s="39" t="s">
        <v>208</v>
      </c>
      <c r="B53" s="40">
        <v>1872002.0</v>
      </c>
      <c r="C53" s="40">
        <v>0.0</v>
      </c>
      <c r="D53" s="41">
        <v>45968.46899810185</v>
      </c>
    </row>
    <row r="54">
      <c r="A54" s="39" t="s">
        <v>208</v>
      </c>
      <c r="B54" s="40">
        <v>1872003.0</v>
      </c>
      <c r="C54" s="40">
        <v>0.0</v>
      </c>
      <c r="D54" s="41">
        <v>45968.46900096065</v>
      </c>
    </row>
    <row r="55">
      <c r="A55" s="39" t="s">
        <v>208</v>
      </c>
      <c r="B55" s="40">
        <v>1872011.0</v>
      </c>
      <c r="C55" s="40">
        <v>0.0</v>
      </c>
      <c r="D55" s="41">
        <v>45968.4690034838</v>
      </c>
    </row>
    <row r="56">
      <c r="A56" s="39" t="s">
        <v>208</v>
      </c>
      <c r="B56" s="40">
        <v>1872014.0</v>
      </c>
      <c r="C56" s="40">
        <v>0.0</v>
      </c>
      <c r="D56" s="41">
        <v>45968.46900633102</v>
      </c>
    </row>
    <row r="57">
      <c r="A57" s="39" t="s">
        <v>208</v>
      </c>
      <c r="B57" s="40">
        <v>1879211.0</v>
      </c>
      <c r="C57" s="40">
        <v>0.0</v>
      </c>
      <c r="D57" s="41">
        <v>45969.71696608796</v>
      </c>
    </row>
    <row r="58">
      <c r="A58" s="39" t="s">
        <v>208</v>
      </c>
      <c r="B58" s="40">
        <v>1879212.0</v>
      </c>
      <c r="C58" s="40">
        <v>0.0</v>
      </c>
      <c r="D58" s="41">
        <v>45969.71696797454</v>
      </c>
    </row>
    <row r="59">
      <c r="A59" s="39" t="s">
        <v>208</v>
      </c>
      <c r="B59" s="40">
        <v>1879213.0</v>
      </c>
      <c r="C59" s="40">
        <v>0.0</v>
      </c>
      <c r="D59" s="41">
        <v>45969.71696990741</v>
      </c>
    </row>
    <row r="60">
      <c r="A60" s="39" t="s">
        <v>208</v>
      </c>
      <c r="B60" s="40">
        <v>1879214.0</v>
      </c>
      <c r="C60" s="40">
        <v>0.0</v>
      </c>
      <c r="D60" s="41">
        <v>45969.7169720949</v>
      </c>
    </row>
    <row r="61">
      <c r="A61" s="39" t="s">
        <v>208</v>
      </c>
      <c r="B61" s="40">
        <v>1879215.0</v>
      </c>
      <c r="C61" s="40">
        <v>0.0</v>
      </c>
      <c r="D61" s="41">
        <v>45969.71697434028</v>
      </c>
    </row>
    <row r="62">
      <c r="A62" s="39" t="s">
        <v>208</v>
      </c>
      <c r="B62" s="40">
        <v>1892322.0</v>
      </c>
      <c r="C62" s="40">
        <v>8.0</v>
      </c>
      <c r="D62" s="41">
        <v>45979.50415631944</v>
      </c>
    </row>
    <row r="63">
      <c r="A63" s="39" t="s">
        <v>208</v>
      </c>
      <c r="B63" s="40">
        <v>1892323.0</v>
      </c>
      <c r="C63" s="40">
        <v>3.0</v>
      </c>
      <c r="D63" s="41">
        <v>45974.660748449074</v>
      </c>
    </row>
    <row r="64">
      <c r="A64" s="39" t="s">
        <v>208</v>
      </c>
      <c r="B64" s="40">
        <v>1892324.0</v>
      </c>
      <c r="C64" s="40">
        <v>2.0</v>
      </c>
      <c r="D64" s="41">
        <v>45978.5663458912</v>
      </c>
    </row>
    <row r="65">
      <c r="A65" s="39" t="s">
        <v>208</v>
      </c>
      <c r="B65" s="40">
        <v>1892325.0</v>
      </c>
      <c r="C65" s="40">
        <v>0.0</v>
      </c>
      <c r="D65" s="41">
        <v>45976.713665613424</v>
      </c>
    </row>
    <row r="66">
      <c r="A66" s="39" t="s">
        <v>208</v>
      </c>
      <c r="B66" s="40">
        <v>1892326.0</v>
      </c>
      <c r="C66" s="40">
        <v>0.0</v>
      </c>
      <c r="D66" s="41">
        <v>45976.71366789352</v>
      </c>
    </row>
    <row r="67">
      <c r="A67" s="39" t="s">
        <v>208</v>
      </c>
      <c r="B67" s="40">
        <v>1901634.0</v>
      </c>
      <c r="C67" s="40">
        <v>0.0</v>
      </c>
      <c r="D67" s="41">
        <v>45992.42228153935</v>
      </c>
    </row>
    <row r="68">
      <c r="A68" s="39" t="s">
        <v>208</v>
      </c>
      <c r="B68" s="40">
        <v>1905196.0</v>
      </c>
      <c r="C68" s="40">
        <v>6.0</v>
      </c>
      <c r="D68" s="41">
        <v>46003.52135386574</v>
      </c>
    </row>
    <row r="69">
      <c r="A69" s="39" t="s">
        <v>208</v>
      </c>
      <c r="B69" s="40">
        <v>1905197.0</v>
      </c>
      <c r="C69" s="40">
        <v>0.0</v>
      </c>
      <c r="D69" s="41">
        <v>45997.714466053236</v>
      </c>
    </row>
    <row r="70">
      <c r="A70" s="39" t="s">
        <v>208</v>
      </c>
      <c r="B70" s="40">
        <v>1905198.0</v>
      </c>
      <c r="C70" s="40">
        <v>16.0</v>
      </c>
      <c r="D70" s="41">
        <v>46003.52135386574</v>
      </c>
    </row>
    <row r="71">
      <c r="A71" s="39" t="s">
        <v>208</v>
      </c>
      <c r="B71" s="40">
        <v>1905201.0</v>
      </c>
      <c r="C71" s="40">
        <v>0.0</v>
      </c>
      <c r="D71" s="41">
        <v>45997.71447445602</v>
      </c>
    </row>
    <row r="72">
      <c r="A72" s="39" t="s">
        <v>208</v>
      </c>
      <c r="B72" s="40">
        <v>1905206.0</v>
      </c>
      <c r="C72" s="40">
        <v>0.0</v>
      </c>
      <c r="D72" s="41">
        <v>45997.71447846065</v>
      </c>
    </row>
    <row r="73">
      <c r="A73" s="39" t="s">
        <v>209</v>
      </c>
      <c r="B73" s="40">
        <v>1871474.0</v>
      </c>
      <c r="C73" s="40">
        <v>10.0</v>
      </c>
      <c r="D73" s="41">
        <v>45968.46900891204</v>
      </c>
    </row>
    <row r="74">
      <c r="A74" s="39" t="s">
        <v>209</v>
      </c>
      <c r="B74" s="40">
        <v>1871475.0</v>
      </c>
      <c r="C74" s="40">
        <v>10.0</v>
      </c>
      <c r="D74" s="41">
        <v>45968.46901163194</v>
      </c>
    </row>
    <row r="75">
      <c r="A75" s="39" t="s">
        <v>209</v>
      </c>
      <c r="B75" s="40">
        <v>1871476.0</v>
      </c>
      <c r="C75" s="40">
        <v>15.0</v>
      </c>
      <c r="D75" s="41">
        <v>45974.62940849537</v>
      </c>
    </row>
    <row r="76">
      <c r="A76" s="39" t="s">
        <v>209</v>
      </c>
      <c r="B76" s="40">
        <v>1871477.0</v>
      </c>
      <c r="C76" s="40">
        <v>10.0</v>
      </c>
      <c r="D76" s="41">
        <v>45968.46901696759</v>
      </c>
    </row>
    <row r="77">
      <c r="A77" s="39" t="s">
        <v>209</v>
      </c>
      <c r="B77" s="40">
        <v>1871478.0</v>
      </c>
      <c r="C77" s="40">
        <v>0.0</v>
      </c>
      <c r="D77" s="41">
        <v>45968.46901943287</v>
      </c>
    </row>
    <row r="78">
      <c r="A78" s="39" t="s">
        <v>209</v>
      </c>
      <c r="B78" s="40">
        <v>1872001.0</v>
      </c>
      <c r="C78" s="40">
        <v>0.0</v>
      </c>
      <c r="D78" s="41">
        <v>45994.29734229167</v>
      </c>
    </row>
    <row r="79">
      <c r="A79" s="39" t="s">
        <v>209</v>
      </c>
      <c r="B79" s="40">
        <v>1872002.0</v>
      </c>
      <c r="C79" s="40">
        <v>14.0</v>
      </c>
      <c r="D79" s="41">
        <v>45985.29577890046</v>
      </c>
    </row>
    <row r="80">
      <c r="A80" s="39" t="s">
        <v>209</v>
      </c>
      <c r="B80" s="40">
        <v>1872003.0</v>
      </c>
      <c r="C80" s="40">
        <v>17.0</v>
      </c>
      <c r="D80" s="41">
        <v>45985.29578240741</v>
      </c>
    </row>
    <row r="81">
      <c r="A81" s="39" t="s">
        <v>209</v>
      </c>
      <c r="B81" s="40">
        <v>1872011.0</v>
      </c>
      <c r="C81" s="40">
        <v>12.0</v>
      </c>
      <c r="D81" s="41">
        <v>45985.295787546296</v>
      </c>
    </row>
    <row r="82">
      <c r="A82" s="39" t="s">
        <v>209</v>
      </c>
      <c r="B82" s="40">
        <v>1872014.0</v>
      </c>
      <c r="C82" s="40">
        <v>10.0</v>
      </c>
      <c r="D82" s="41">
        <v>45985.295795011574</v>
      </c>
    </row>
    <row r="83">
      <c r="A83" s="39" t="s">
        <v>209</v>
      </c>
      <c r="B83" s="40">
        <v>1879211.0</v>
      </c>
      <c r="C83" s="40">
        <v>10.0</v>
      </c>
      <c r="D83" s="41">
        <v>45975.38014329861</v>
      </c>
    </row>
    <row r="84">
      <c r="A84" s="39" t="s">
        <v>209</v>
      </c>
      <c r="B84" s="40">
        <v>1879212.0</v>
      </c>
      <c r="C84" s="40">
        <v>16.0</v>
      </c>
      <c r="D84" s="41">
        <v>45979.493761805556</v>
      </c>
    </row>
    <row r="85">
      <c r="A85" s="39" t="s">
        <v>209</v>
      </c>
      <c r="B85" s="40">
        <v>1879215.0</v>
      </c>
      <c r="C85" s="40">
        <v>14.0</v>
      </c>
      <c r="D85" s="41">
        <v>45979.49377195602</v>
      </c>
    </row>
    <row r="86">
      <c r="A86" s="39" t="s">
        <v>209</v>
      </c>
      <c r="B86" s="40">
        <v>1892324.0</v>
      </c>
      <c r="C86" s="40">
        <v>12.0</v>
      </c>
      <c r="D86" s="41">
        <v>45979.514632060185</v>
      </c>
    </row>
    <row r="87">
      <c r="A87" s="39" t="s">
        <v>209</v>
      </c>
      <c r="B87" s="40">
        <v>1892325.0</v>
      </c>
      <c r="C87" s="40">
        <v>10.0</v>
      </c>
      <c r="D87" s="41">
        <v>45982.48322880787</v>
      </c>
    </row>
    <row r="88">
      <c r="A88" s="39" t="s">
        <v>209</v>
      </c>
      <c r="B88" s="40">
        <v>1892326.0</v>
      </c>
      <c r="C88" s="40">
        <v>0.0</v>
      </c>
      <c r="D88" s="41">
        <v>45976.71367210648</v>
      </c>
    </row>
    <row r="89">
      <c r="A89" s="39" t="s">
        <v>209</v>
      </c>
      <c r="B89" s="40">
        <v>1901634.0</v>
      </c>
      <c r="C89" s="40">
        <v>0.0</v>
      </c>
      <c r="D89" s="41">
        <v>45992.4223346412</v>
      </c>
    </row>
    <row r="90">
      <c r="A90" s="39" t="s">
        <v>209</v>
      </c>
      <c r="B90" s="40">
        <v>1905196.0</v>
      </c>
      <c r="C90" s="40">
        <v>0.0</v>
      </c>
      <c r="D90" s="41">
        <v>45997.714497824076</v>
      </c>
    </row>
    <row r="91">
      <c r="A91" s="39" t="s">
        <v>209</v>
      </c>
      <c r="B91" s="40">
        <v>1905197.0</v>
      </c>
      <c r="C91" s="40">
        <v>0.0</v>
      </c>
      <c r="D91" s="41">
        <v>45997.71450484954</v>
      </c>
    </row>
    <row r="92">
      <c r="A92" s="39" t="s">
        <v>209</v>
      </c>
      <c r="B92" s="40">
        <v>1905198.0</v>
      </c>
      <c r="C92" s="40">
        <v>0.0</v>
      </c>
      <c r="D92" s="41">
        <v>45997.7145084838</v>
      </c>
    </row>
    <row r="93">
      <c r="A93" s="39" t="s">
        <v>209</v>
      </c>
      <c r="B93" s="40">
        <v>1905201.0</v>
      </c>
      <c r="C93" s="40">
        <v>0.0</v>
      </c>
      <c r="D93" s="41">
        <v>45997.714519988425</v>
      </c>
    </row>
    <row r="94">
      <c r="A94" s="39" t="s">
        <v>209</v>
      </c>
      <c r="B94" s="40">
        <v>1905206.0</v>
      </c>
      <c r="C94" s="40">
        <v>0.0</v>
      </c>
      <c r="D94" s="41">
        <v>45997.714538078704</v>
      </c>
    </row>
    <row r="95">
      <c r="A95" s="39" t="s">
        <v>209</v>
      </c>
      <c r="B95" s="40">
        <v>1909202.0</v>
      </c>
      <c r="C95" s="40">
        <v>8.0</v>
      </c>
      <c r="D95" s="41">
        <v>46003.52135387731</v>
      </c>
    </row>
    <row r="96">
      <c r="A96" s="39" t="s">
        <v>209</v>
      </c>
      <c r="B96" s="40">
        <v>1909203.0</v>
      </c>
      <c r="C96" s="40">
        <v>11.0</v>
      </c>
      <c r="D96" s="41">
        <v>46003.52135387731</v>
      </c>
    </row>
    <row r="97">
      <c r="A97" s="39" t="s">
        <v>209</v>
      </c>
      <c r="B97" s="40">
        <v>1909205.0</v>
      </c>
      <c r="C97" s="40">
        <v>25.0</v>
      </c>
      <c r="D97" s="41">
        <v>46003.52135387731</v>
      </c>
    </row>
    <row r="98">
      <c r="A98" s="39" t="s">
        <v>210</v>
      </c>
      <c r="B98" s="40">
        <v>1871474.0</v>
      </c>
      <c r="C98" s="40">
        <v>10.0</v>
      </c>
      <c r="D98" s="41">
        <v>45968.46903550926</v>
      </c>
    </row>
    <row r="99">
      <c r="A99" s="39" t="s">
        <v>210</v>
      </c>
      <c r="B99" s="40">
        <v>1871475.0</v>
      </c>
      <c r="C99" s="40">
        <v>0.0</v>
      </c>
      <c r="D99" s="41">
        <v>45968.469038379626</v>
      </c>
    </row>
    <row r="100">
      <c r="A100" s="39" t="s">
        <v>210</v>
      </c>
      <c r="B100" s="40">
        <v>1871477.0</v>
      </c>
      <c r="C100" s="40">
        <v>5.0</v>
      </c>
      <c r="D100" s="41">
        <v>45968.46904335648</v>
      </c>
    </row>
    <row r="101">
      <c r="A101" s="39" t="s">
        <v>210</v>
      </c>
      <c r="B101" s="40">
        <v>1871478.0</v>
      </c>
      <c r="C101" s="40">
        <v>20.0</v>
      </c>
      <c r="D101" s="41">
        <v>45968.469045798614</v>
      </c>
    </row>
    <row r="102">
      <c r="A102" s="39" t="s">
        <v>210</v>
      </c>
      <c r="B102" s="40">
        <v>1872001.0</v>
      </c>
      <c r="C102" s="40">
        <v>0.0</v>
      </c>
      <c r="D102" s="41">
        <v>45994.29736453704</v>
      </c>
    </row>
    <row r="103">
      <c r="A103" s="39" t="s">
        <v>210</v>
      </c>
      <c r="B103" s="40">
        <v>1872002.0</v>
      </c>
      <c r="C103" s="40">
        <v>8.0</v>
      </c>
      <c r="D103" s="41">
        <v>45968.469050810185</v>
      </c>
    </row>
    <row r="104">
      <c r="A104" s="39" t="s">
        <v>210</v>
      </c>
      <c r="B104" s="40">
        <v>1872003.0</v>
      </c>
      <c r="C104" s="40">
        <v>3.0</v>
      </c>
      <c r="D104" s="41">
        <v>45968.46905324074</v>
      </c>
    </row>
    <row r="105">
      <c r="A105" s="39" t="s">
        <v>210</v>
      </c>
      <c r="B105" s="40">
        <v>1872011.0</v>
      </c>
      <c r="C105" s="40">
        <v>9.0</v>
      </c>
      <c r="D105" s="41">
        <v>45973.411329849536</v>
      </c>
    </row>
    <row r="106">
      <c r="A106" s="39" t="s">
        <v>210</v>
      </c>
      <c r="B106" s="40">
        <v>1872014.0</v>
      </c>
      <c r="C106" s="40">
        <v>7.0</v>
      </c>
      <c r="D106" s="41">
        <v>45975.35879790509</v>
      </c>
    </row>
    <row r="107">
      <c r="A107" s="39" t="s">
        <v>210</v>
      </c>
      <c r="B107" s="40">
        <v>1879211.0</v>
      </c>
      <c r="C107" s="40">
        <v>10.0</v>
      </c>
      <c r="D107" s="41">
        <v>45978.37912016203</v>
      </c>
    </row>
    <row r="108">
      <c r="A108" s="39" t="s">
        <v>210</v>
      </c>
      <c r="B108" s="40">
        <v>1879212.0</v>
      </c>
      <c r="C108" s="40">
        <v>10.0</v>
      </c>
      <c r="D108" s="41">
        <v>45978.49339582176</v>
      </c>
    </row>
    <row r="109">
      <c r="A109" s="39" t="s">
        <v>210</v>
      </c>
      <c r="B109" s="40">
        <v>1879213.0</v>
      </c>
      <c r="C109" s="40">
        <v>9.0</v>
      </c>
      <c r="D109" s="41">
        <v>45992.410689375</v>
      </c>
    </row>
    <row r="110">
      <c r="A110" s="39" t="s">
        <v>210</v>
      </c>
      <c r="B110" s="40">
        <v>1879214.0</v>
      </c>
      <c r="C110" s="40">
        <v>20.0</v>
      </c>
      <c r="D110" s="41">
        <v>45992.410694652775</v>
      </c>
    </row>
    <row r="111">
      <c r="A111" s="39" t="s">
        <v>210</v>
      </c>
      <c r="B111" s="40">
        <v>1879215.0</v>
      </c>
      <c r="C111" s="40">
        <v>6.0</v>
      </c>
      <c r="D111" s="41">
        <v>45992.42234292824</v>
      </c>
    </row>
    <row r="112">
      <c r="A112" s="39" t="s">
        <v>210</v>
      </c>
      <c r="B112" s="40">
        <v>1892322.0</v>
      </c>
      <c r="C112" s="40">
        <v>7.0</v>
      </c>
      <c r="D112" s="41">
        <v>45980.42065854167</v>
      </c>
    </row>
    <row r="113">
      <c r="A113" s="39" t="s">
        <v>210</v>
      </c>
      <c r="B113" s="40">
        <v>1892323.0</v>
      </c>
      <c r="C113" s="40">
        <v>0.0</v>
      </c>
      <c r="D113" s="41">
        <v>45976.713678263885</v>
      </c>
    </row>
    <row r="114">
      <c r="A114" s="39" t="s">
        <v>210</v>
      </c>
      <c r="B114" s="40">
        <v>1892324.0</v>
      </c>
      <c r="C114" s="40">
        <v>0.0</v>
      </c>
      <c r="D114" s="41">
        <v>45976.71368052083</v>
      </c>
    </row>
    <row r="115">
      <c r="A115" s="39" t="s">
        <v>210</v>
      </c>
      <c r="B115" s="40">
        <v>1892325.0</v>
      </c>
      <c r="C115" s="40">
        <v>0.0</v>
      </c>
      <c r="D115" s="41">
        <v>45976.71368256945</v>
      </c>
    </row>
    <row r="116">
      <c r="A116" s="39" t="s">
        <v>210</v>
      </c>
      <c r="B116" s="40">
        <v>1892326.0</v>
      </c>
      <c r="C116" s="40">
        <v>0.0</v>
      </c>
      <c r="D116" s="41">
        <v>45976.71368493055</v>
      </c>
    </row>
    <row r="117">
      <c r="A117" s="39" t="s">
        <v>210</v>
      </c>
      <c r="B117" s="40">
        <v>1901634.0</v>
      </c>
      <c r="C117" s="40">
        <v>34.0</v>
      </c>
      <c r="D117" s="41">
        <v>45994.29736805556</v>
      </c>
    </row>
    <row r="118">
      <c r="A118" s="39" t="s">
        <v>210</v>
      </c>
      <c r="B118" s="40">
        <v>1905196.0</v>
      </c>
      <c r="C118" s="40">
        <v>3.0</v>
      </c>
      <c r="D118" s="41">
        <v>45998.7139906713</v>
      </c>
    </row>
    <row r="119">
      <c r="A119" s="39" t="s">
        <v>210</v>
      </c>
      <c r="B119" s="40">
        <v>1905197.0</v>
      </c>
      <c r="C119" s="40">
        <v>5.0</v>
      </c>
      <c r="D119" s="41">
        <v>45998.71399592592</v>
      </c>
    </row>
    <row r="120">
      <c r="A120" s="39" t="s">
        <v>210</v>
      </c>
      <c r="B120" s="40">
        <v>1905198.0</v>
      </c>
      <c r="C120" s="40">
        <v>0.0</v>
      </c>
      <c r="D120" s="41">
        <v>45997.714560381944</v>
      </c>
    </row>
    <row r="121">
      <c r="A121" s="39" t="s">
        <v>210</v>
      </c>
      <c r="B121" s="40">
        <v>1905201.0</v>
      </c>
      <c r="C121" s="40">
        <v>0.0</v>
      </c>
      <c r="D121" s="41">
        <v>45997.71456501157</v>
      </c>
    </row>
    <row r="122">
      <c r="A122" s="39" t="s">
        <v>210</v>
      </c>
      <c r="B122" s="40">
        <v>1905206.0</v>
      </c>
      <c r="C122" s="40">
        <v>0.0</v>
      </c>
      <c r="D122" s="41">
        <v>45997.71456930556</v>
      </c>
    </row>
    <row r="123">
      <c r="A123" s="39" t="s">
        <v>210</v>
      </c>
      <c r="B123" s="40">
        <v>1909202.0</v>
      </c>
      <c r="C123" s="40">
        <v>12.0</v>
      </c>
      <c r="D123" s="41">
        <v>46003.52135387731</v>
      </c>
    </row>
    <row r="124">
      <c r="A124" s="39" t="s">
        <v>210</v>
      </c>
      <c r="B124" s="40">
        <v>1909203.0</v>
      </c>
      <c r="C124" s="40">
        <v>3.0</v>
      </c>
      <c r="D124" s="41">
        <v>46003.52135387731</v>
      </c>
    </row>
    <row r="125">
      <c r="A125" s="39" t="s">
        <v>211</v>
      </c>
      <c r="B125" s="40">
        <v>1871474.0</v>
      </c>
      <c r="C125" s="40">
        <v>10.0</v>
      </c>
      <c r="D125" s="41">
        <v>45968.46906074074</v>
      </c>
    </row>
    <row r="126">
      <c r="A126" s="39" t="s">
        <v>211</v>
      </c>
      <c r="B126" s="40">
        <v>1871475.0</v>
      </c>
      <c r="C126" s="40">
        <v>15.0</v>
      </c>
      <c r="D126" s="41">
        <v>45968.46906320602</v>
      </c>
    </row>
    <row r="127">
      <c r="A127" s="39" t="s">
        <v>211</v>
      </c>
      <c r="B127" s="40">
        <v>1871477.0</v>
      </c>
      <c r="C127" s="40">
        <v>15.0</v>
      </c>
      <c r="D127" s="41">
        <v>45968.46906891203</v>
      </c>
    </row>
    <row r="128">
      <c r="A128" s="39" t="s">
        <v>211</v>
      </c>
      <c r="B128" s="40">
        <v>1871478.0</v>
      </c>
      <c r="C128" s="40">
        <v>20.0</v>
      </c>
      <c r="D128" s="41">
        <v>45968.4690716551</v>
      </c>
    </row>
    <row r="129">
      <c r="A129" s="39" t="s">
        <v>211</v>
      </c>
      <c r="B129" s="40">
        <v>1872001.0</v>
      </c>
      <c r="C129" s="40">
        <v>0.0</v>
      </c>
      <c r="D129" s="41">
        <v>45994.29737576389</v>
      </c>
    </row>
    <row r="130">
      <c r="A130" s="39" t="s">
        <v>211</v>
      </c>
      <c r="B130" s="40">
        <v>1872002.0</v>
      </c>
      <c r="C130" s="40">
        <v>5.0</v>
      </c>
      <c r="D130" s="41">
        <v>45968.46907651621</v>
      </c>
    </row>
    <row r="131">
      <c r="A131" s="39" t="s">
        <v>211</v>
      </c>
      <c r="B131" s="40">
        <v>1872003.0</v>
      </c>
      <c r="C131" s="40">
        <v>12.0</v>
      </c>
      <c r="D131" s="41">
        <v>45968.46907929398</v>
      </c>
    </row>
    <row r="132">
      <c r="A132" s="39" t="s">
        <v>211</v>
      </c>
      <c r="B132" s="40">
        <v>1872011.0</v>
      </c>
      <c r="C132" s="40">
        <v>9.0</v>
      </c>
      <c r="D132" s="41">
        <v>45968.469091446765</v>
      </c>
    </row>
    <row r="133">
      <c r="A133" s="39" t="s">
        <v>211</v>
      </c>
      <c r="B133" s="40">
        <v>1872014.0</v>
      </c>
      <c r="C133" s="40">
        <v>8.0</v>
      </c>
      <c r="D133" s="41">
        <v>45974.473643668985</v>
      </c>
    </row>
    <row r="134">
      <c r="A134" s="39" t="s">
        <v>211</v>
      </c>
      <c r="B134" s="40">
        <v>1879211.0</v>
      </c>
      <c r="C134" s="40">
        <v>10.0</v>
      </c>
      <c r="D134" s="41">
        <v>45968.469096608795</v>
      </c>
    </row>
    <row r="135">
      <c r="A135" s="39" t="s">
        <v>211</v>
      </c>
      <c r="B135" s="40">
        <v>1879212.0</v>
      </c>
      <c r="C135" s="40">
        <v>8.0</v>
      </c>
      <c r="D135" s="41">
        <v>45979.49378746528</v>
      </c>
    </row>
    <row r="136">
      <c r="A136" s="39" t="s">
        <v>211</v>
      </c>
      <c r="B136" s="40">
        <v>1879214.0</v>
      </c>
      <c r="C136" s="40">
        <v>15.0</v>
      </c>
      <c r="D136" s="41">
        <v>45979.493795069444</v>
      </c>
    </row>
    <row r="137">
      <c r="A137" s="39" t="s">
        <v>211</v>
      </c>
      <c r="B137" s="40">
        <v>1879215.0</v>
      </c>
      <c r="C137" s="40">
        <v>8.0</v>
      </c>
      <c r="D137" s="41">
        <v>45979.49380027778</v>
      </c>
    </row>
    <row r="138">
      <c r="A138" s="39" t="s">
        <v>211</v>
      </c>
      <c r="B138" s="40">
        <v>1892323.0</v>
      </c>
      <c r="C138" s="40">
        <v>0.0</v>
      </c>
      <c r="D138" s="41">
        <v>45976.713691516205</v>
      </c>
    </row>
    <row r="139">
      <c r="A139" s="39" t="s">
        <v>211</v>
      </c>
      <c r="B139" s="40">
        <v>1892324.0</v>
      </c>
      <c r="C139" s="40">
        <v>0.0</v>
      </c>
      <c r="D139" s="41">
        <v>45976.71369391204</v>
      </c>
    </row>
    <row r="140">
      <c r="A140" s="39" t="s">
        <v>211</v>
      </c>
      <c r="B140" s="40">
        <v>1892325.0</v>
      </c>
      <c r="C140" s="40">
        <v>0.0</v>
      </c>
      <c r="D140" s="41">
        <v>45976.71369599537</v>
      </c>
    </row>
    <row r="141">
      <c r="A141" s="39" t="s">
        <v>211</v>
      </c>
      <c r="B141" s="40">
        <v>1892326.0</v>
      </c>
      <c r="C141" s="40">
        <v>0.0</v>
      </c>
      <c r="D141" s="41">
        <v>45976.713698148145</v>
      </c>
    </row>
    <row r="142">
      <c r="A142" s="39" t="s">
        <v>211</v>
      </c>
      <c r="B142" s="40">
        <v>1901634.0</v>
      </c>
      <c r="C142" s="40">
        <v>62.0</v>
      </c>
      <c r="D142" s="41">
        <v>45994.29738689815</v>
      </c>
    </row>
    <row r="143">
      <c r="A143" s="39" t="s">
        <v>211</v>
      </c>
      <c r="B143" s="40">
        <v>1905196.0</v>
      </c>
      <c r="C143" s="40">
        <v>12.0</v>
      </c>
      <c r="D143" s="41">
        <v>46003.52135387731</v>
      </c>
    </row>
    <row r="144">
      <c r="A144" s="39" t="s">
        <v>211</v>
      </c>
      <c r="B144" s="40">
        <v>1905197.0</v>
      </c>
      <c r="C144" s="40">
        <v>10.0</v>
      </c>
      <c r="D144" s="41">
        <v>45998.71402611111</v>
      </c>
    </row>
    <row r="145">
      <c r="A145" s="39" t="s">
        <v>211</v>
      </c>
      <c r="B145" s="40">
        <v>1905198.0</v>
      </c>
      <c r="C145" s="40">
        <v>0.0</v>
      </c>
      <c r="D145" s="41">
        <v>45997.71460203704</v>
      </c>
    </row>
    <row r="146">
      <c r="A146" s="39" t="s">
        <v>211</v>
      </c>
      <c r="B146" s="40">
        <v>1905201.0</v>
      </c>
      <c r="C146" s="40">
        <v>0.0</v>
      </c>
      <c r="D146" s="41">
        <v>45997.71460568287</v>
      </c>
    </row>
    <row r="147">
      <c r="A147" s="39" t="s">
        <v>211</v>
      </c>
      <c r="B147" s="40">
        <v>1905206.0</v>
      </c>
      <c r="C147" s="40">
        <v>0.0</v>
      </c>
      <c r="D147" s="41">
        <v>45997.71461127315</v>
      </c>
    </row>
    <row r="148">
      <c r="A148" s="39" t="s">
        <v>211</v>
      </c>
      <c r="B148" s="40">
        <v>1909202.0</v>
      </c>
      <c r="C148" s="40">
        <v>12.0</v>
      </c>
      <c r="D148" s="41">
        <v>46003.52135387731</v>
      </c>
    </row>
    <row r="149">
      <c r="A149" s="39" t="s">
        <v>211</v>
      </c>
      <c r="B149" s="40">
        <v>1909203.0</v>
      </c>
      <c r="C149" s="40">
        <v>20.0</v>
      </c>
      <c r="D149" s="41">
        <v>46003.52135387731</v>
      </c>
    </row>
    <row r="150">
      <c r="A150" s="39" t="s">
        <v>212</v>
      </c>
      <c r="B150" s="40">
        <v>1871474.0</v>
      </c>
      <c r="C150" s="40">
        <v>0.0</v>
      </c>
      <c r="D150" s="41">
        <v>45968.46910216435</v>
      </c>
    </row>
    <row r="151">
      <c r="A151" s="39" t="s">
        <v>212</v>
      </c>
      <c r="B151" s="40">
        <v>1871475.0</v>
      </c>
      <c r="C151" s="40">
        <v>0.0</v>
      </c>
      <c r="D151" s="41">
        <v>45968.46910662037</v>
      </c>
    </row>
    <row r="152">
      <c r="A152" s="39" t="s">
        <v>212</v>
      </c>
      <c r="B152" s="40">
        <v>1871476.0</v>
      </c>
      <c r="C152" s="40">
        <v>0.0</v>
      </c>
      <c r="D152" s="41">
        <v>45968.469109375</v>
      </c>
    </row>
    <row r="153">
      <c r="A153" s="39" t="s">
        <v>212</v>
      </c>
      <c r="B153" s="40">
        <v>1871477.0</v>
      </c>
      <c r="C153" s="40">
        <v>0.0</v>
      </c>
      <c r="D153" s="41">
        <v>45968.4691118287</v>
      </c>
    </row>
    <row r="154">
      <c r="A154" s="39" t="s">
        <v>212</v>
      </c>
      <c r="B154" s="40">
        <v>1871478.0</v>
      </c>
      <c r="C154" s="40">
        <v>0.0</v>
      </c>
      <c r="D154" s="41">
        <v>45968.46911431713</v>
      </c>
    </row>
    <row r="155">
      <c r="A155" s="39" t="s">
        <v>212</v>
      </c>
      <c r="B155" s="40">
        <v>1872001.0</v>
      </c>
      <c r="C155" s="40">
        <v>0.0</v>
      </c>
      <c r="D155" s="41">
        <v>45968.46913090278</v>
      </c>
    </row>
    <row r="156">
      <c r="A156" s="39" t="s">
        <v>212</v>
      </c>
      <c r="B156" s="40">
        <v>1872002.0</v>
      </c>
      <c r="C156" s="40">
        <v>0.0</v>
      </c>
      <c r="D156" s="41">
        <v>45968.46913358796</v>
      </c>
    </row>
    <row r="157">
      <c r="A157" s="39" t="s">
        <v>212</v>
      </c>
      <c r="B157" s="40">
        <v>1872003.0</v>
      </c>
      <c r="C157" s="40">
        <v>0.0</v>
      </c>
      <c r="D157" s="41">
        <v>45968.469136099535</v>
      </c>
    </row>
    <row r="158">
      <c r="A158" s="39" t="s">
        <v>212</v>
      </c>
      <c r="B158" s="40">
        <v>1872011.0</v>
      </c>
      <c r="C158" s="40">
        <v>0.0</v>
      </c>
      <c r="D158" s="41">
        <v>45968.46913896991</v>
      </c>
    </row>
    <row r="159">
      <c r="A159" s="39" t="s">
        <v>212</v>
      </c>
      <c r="B159" s="40">
        <v>1872014.0</v>
      </c>
      <c r="C159" s="40">
        <v>0.0</v>
      </c>
      <c r="D159" s="41">
        <v>45968.46914173611</v>
      </c>
    </row>
    <row r="160">
      <c r="A160" s="39" t="s">
        <v>212</v>
      </c>
      <c r="B160" s="40">
        <v>1879211.0</v>
      </c>
      <c r="C160" s="40">
        <v>0.0</v>
      </c>
      <c r="D160" s="41">
        <v>45969.717046192134</v>
      </c>
    </row>
    <row r="161">
      <c r="A161" s="39" t="s">
        <v>212</v>
      </c>
      <c r="B161" s="40">
        <v>1879212.0</v>
      </c>
      <c r="C161" s="40">
        <v>0.0</v>
      </c>
      <c r="D161" s="41">
        <v>45969.71705046296</v>
      </c>
    </row>
    <row r="162">
      <c r="A162" s="39" t="s">
        <v>212</v>
      </c>
      <c r="B162" s="40">
        <v>1879213.0</v>
      </c>
      <c r="C162" s="40">
        <v>0.0</v>
      </c>
      <c r="D162" s="41">
        <v>45969.71705262731</v>
      </c>
    </row>
    <row r="163">
      <c r="A163" s="39" t="s">
        <v>212</v>
      </c>
      <c r="B163" s="40">
        <v>1879214.0</v>
      </c>
      <c r="C163" s="40">
        <v>0.0</v>
      </c>
      <c r="D163" s="41">
        <v>45969.71705449074</v>
      </c>
    </row>
    <row r="164">
      <c r="A164" s="39" t="s">
        <v>212</v>
      </c>
      <c r="B164" s="40">
        <v>1879215.0</v>
      </c>
      <c r="C164" s="40">
        <v>0.0</v>
      </c>
      <c r="D164" s="41">
        <v>45969.71705704861</v>
      </c>
    </row>
    <row r="165">
      <c r="A165" s="39" t="s">
        <v>212</v>
      </c>
      <c r="B165" s="40">
        <v>1892322.0</v>
      </c>
      <c r="C165" s="40">
        <v>0.0</v>
      </c>
      <c r="D165" s="41">
        <v>45976.71369982639</v>
      </c>
    </row>
    <row r="166">
      <c r="A166" s="39" t="s">
        <v>212</v>
      </c>
      <c r="B166" s="40">
        <v>1892323.0</v>
      </c>
      <c r="C166" s="40">
        <v>0.0</v>
      </c>
      <c r="D166" s="41">
        <v>45976.71370228009</v>
      </c>
    </row>
    <row r="167">
      <c r="A167" s="39" t="s">
        <v>212</v>
      </c>
      <c r="B167" s="40">
        <v>1892324.0</v>
      </c>
      <c r="C167" s="40">
        <v>0.0</v>
      </c>
      <c r="D167" s="41">
        <v>45976.71370486111</v>
      </c>
    </row>
    <row r="168">
      <c r="A168" s="39" t="s">
        <v>212</v>
      </c>
      <c r="B168" s="40">
        <v>1892325.0</v>
      </c>
      <c r="C168" s="40">
        <v>0.0</v>
      </c>
      <c r="D168" s="41">
        <v>45976.71370928241</v>
      </c>
    </row>
    <row r="169">
      <c r="A169" s="39" t="s">
        <v>212</v>
      </c>
      <c r="B169" s="40">
        <v>1892326.0</v>
      </c>
      <c r="C169" s="40">
        <v>0.0</v>
      </c>
      <c r="D169" s="41">
        <v>45976.7137108912</v>
      </c>
    </row>
    <row r="170">
      <c r="A170" s="39" t="s">
        <v>212</v>
      </c>
      <c r="B170" s="40">
        <v>1901634.0</v>
      </c>
      <c r="C170" s="40">
        <v>0.0</v>
      </c>
      <c r="D170" s="41">
        <v>45992.42240085648</v>
      </c>
    </row>
    <row r="171">
      <c r="A171" s="39" t="s">
        <v>212</v>
      </c>
      <c r="B171" s="40">
        <v>1905196.0</v>
      </c>
      <c r="C171" s="40">
        <v>0.0</v>
      </c>
      <c r="D171" s="41">
        <v>45997.71461490741</v>
      </c>
    </row>
    <row r="172">
      <c r="A172" s="39" t="s">
        <v>212</v>
      </c>
      <c r="B172" s="40">
        <v>1905197.0</v>
      </c>
      <c r="C172" s="40">
        <v>0.0</v>
      </c>
      <c r="D172" s="41">
        <v>45997.71461836806</v>
      </c>
    </row>
    <row r="173">
      <c r="A173" s="39" t="s">
        <v>212</v>
      </c>
      <c r="B173" s="40">
        <v>1905198.0</v>
      </c>
      <c r="C173" s="40">
        <v>0.0</v>
      </c>
      <c r="D173" s="41">
        <v>45997.714630613424</v>
      </c>
    </row>
    <row r="174">
      <c r="A174" s="39" t="s">
        <v>212</v>
      </c>
      <c r="B174" s="40">
        <v>1905201.0</v>
      </c>
      <c r="C174" s="40">
        <v>0.0</v>
      </c>
      <c r="D174" s="41">
        <v>45997.71463461805</v>
      </c>
    </row>
    <row r="175">
      <c r="A175" s="39" t="s">
        <v>212</v>
      </c>
      <c r="B175" s="40">
        <v>1905206.0</v>
      </c>
      <c r="C175" s="40">
        <v>0.0</v>
      </c>
      <c r="D175" s="41">
        <v>45997.71463847222</v>
      </c>
    </row>
    <row r="176">
      <c r="A176" s="39" t="s">
        <v>213</v>
      </c>
      <c r="B176" s="40">
        <v>1871474.0</v>
      </c>
      <c r="C176" s="40">
        <v>0.0</v>
      </c>
      <c r="D176" s="41">
        <v>45968.46914424769</v>
      </c>
    </row>
    <row r="177">
      <c r="A177" s="39" t="s">
        <v>213</v>
      </c>
      <c r="B177" s="40">
        <v>1871475.0</v>
      </c>
      <c r="C177" s="40">
        <v>0.0</v>
      </c>
      <c r="D177" s="41">
        <v>45968.46914677083</v>
      </c>
    </row>
    <row r="178">
      <c r="A178" s="39" t="s">
        <v>213</v>
      </c>
      <c r="B178" s="40">
        <v>1871476.0</v>
      </c>
      <c r="C178" s="40">
        <v>0.0</v>
      </c>
      <c r="D178" s="41">
        <v>45968.46915260417</v>
      </c>
    </row>
    <row r="179">
      <c r="A179" s="39" t="s">
        <v>213</v>
      </c>
      <c r="B179" s="40">
        <v>1871477.0</v>
      </c>
      <c r="C179" s="40">
        <v>0.0</v>
      </c>
      <c r="D179" s="41">
        <v>45968.46915542824</v>
      </c>
    </row>
    <row r="180">
      <c r="A180" s="39" t="s">
        <v>213</v>
      </c>
      <c r="B180" s="40">
        <v>1871478.0</v>
      </c>
      <c r="C180" s="40">
        <v>0.0</v>
      </c>
      <c r="D180" s="41">
        <v>45968.46915803241</v>
      </c>
    </row>
    <row r="181">
      <c r="A181" s="39" t="s">
        <v>213</v>
      </c>
      <c r="B181" s="40">
        <v>1872001.0</v>
      </c>
      <c r="C181" s="40">
        <v>0.0</v>
      </c>
      <c r="D181" s="41">
        <v>45968.46916287037</v>
      </c>
    </row>
    <row r="182">
      <c r="A182" s="39" t="s">
        <v>213</v>
      </c>
      <c r="B182" s="40">
        <v>1872002.0</v>
      </c>
      <c r="C182" s="40">
        <v>0.0</v>
      </c>
      <c r="D182" s="41">
        <v>45968.46916591436</v>
      </c>
    </row>
    <row r="183">
      <c r="A183" s="39" t="s">
        <v>213</v>
      </c>
      <c r="B183" s="40">
        <v>1872003.0</v>
      </c>
      <c r="C183" s="40">
        <v>0.0</v>
      </c>
      <c r="D183" s="41">
        <v>45968.46916847222</v>
      </c>
    </row>
    <row r="184">
      <c r="A184" s="39" t="s">
        <v>213</v>
      </c>
      <c r="B184" s="40">
        <v>1872011.0</v>
      </c>
      <c r="C184" s="40">
        <v>0.0</v>
      </c>
      <c r="D184" s="41">
        <v>45968.469171006946</v>
      </c>
    </row>
    <row r="185">
      <c r="A185" s="39" t="s">
        <v>213</v>
      </c>
      <c r="B185" s="40">
        <v>1872014.0</v>
      </c>
      <c r="C185" s="40">
        <v>0.0</v>
      </c>
      <c r="D185" s="41">
        <v>45968.46917344908</v>
      </c>
    </row>
    <row r="186">
      <c r="A186" s="39" t="s">
        <v>213</v>
      </c>
      <c r="B186" s="40">
        <v>1879211.0</v>
      </c>
      <c r="C186" s="40">
        <v>0.0</v>
      </c>
      <c r="D186" s="41">
        <v>45969.71705893519</v>
      </c>
    </row>
    <row r="187">
      <c r="A187" s="39" t="s">
        <v>213</v>
      </c>
      <c r="B187" s="40">
        <v>1879212.0</v>
      </c>
      <c r="C187" s="40">
        <v>0.0</v>
      </c>
      <c r="D187" s="41">
        <v>45969.71706076388</v>
      </c>
    </row>
    <row r="188">
      <c r="A188" s="39" t="s">
        <v>213</v>
      </c>
      <c r="B188" s="40">
        <v>1879213.0</v>
      </c>
      <c r="C188" s="40">
        <v>0.0</v>
      </c>
      <c r="D188" s="41">
        <v>45969.717063564814</v>
      </c>
    </row>
    <row r="189">
      <c r="A189" s="39" t="s">
        <v>213</v>
      </c>
      <c r="B189" s="40">
        <v>1879214.0</v>
      </c>
      <c r="C189" s="40">
        <v>0.0</v>
      </c>
      <c r="D189" s="41">
        <v>45969.71706546296</v>
      </c>
    </row>
    <row r="190">
      <c r="A190" s="39" t="s">
        <v>213</v>
      </c>
      <c r="B190" s="40">
        <v>1879215.0</v>
      </c>
      <c r="C190" s="40">
        <v>0.0</v>
      </c>
      <c r="D190" s="41">
        <v>45969.71706797453</v>
      </c>
    </row>
    <row r="191">
      <c r="A191" s="39" t="s">
        <v>213</v>
      </c>
      <c r="B191" s="40">
        <v>1892322.0</v>
      </c>
      <c r="C191" s="40">
        <v>0.0</v>
      </c>
      <c r="D191" s="41">
        <v>45976.71371318287</v>
      </c>
    </row>
    <row r="192">
      <c r="A192" s="39" t="s">
        <v>213</v>
      </c>
      <c r="B192" s="40">
        <v>1892323.0</v>
      </c>
      <c r="C192" s="40">
        <v>0.0</v>
      </c>
      <c r="D192" s="41">
        <v>45976.71371534722</v>
      </c>
    </row>
    <row r="193">
      <c r="A193" s="39" t="s">
        <v>213</v>
      </c>
      <c r="B193" s="40">
        <v>1892324.0</v>
      </c>
      <c r="C193" s="40">
        <v>0.0</v>
      </c>
      <c r="D193" s="41">
        <v>45976.71371765046</v>
      </c>
    </row>
    <row r="194">
      <c r="A194" s="39" t="s">
        <v>213</v>
      </c>
      <c r="B194" s="40">
        <v>1892325.0</v>
      </c>
      <c r="C194" s="40">
        <v>0.0</v>
      </c>
      <c r="D194" s="41">
        <v>45976.71372377315</v>
      </c>
    </row>
    <row r="195">
      <c r="A195" s="39" t="s">
        <v>213</v>
      </c>
      <c r="B195" s="40">
        <v>1892326.0</v>
      </c>
      <c r="C195" s="40">
        <v>0.0</v>
      </c>
      <c r="D195" s="41">
        <v>45976.71372545139</v>
      </c>
    </row>
    <row r="196">
      <c r="A196" s="39" t="s">
        <v>213</v>
      </c>
      <c r="B196" s="40">
        <v>1901634.0</v>
      </c>
      <c r="C196" s="40">
        <v>0.0</v>
      </c>
      <c r="D196" s="41">
        <v>45992.42240347222</v>
      </c>
    </row>
    <row r="197">
      <c r="A197" s="39" t="s">
        <v>213</v>
      </c>
      <c r="B197" s="40">
        <v>1905196.0</v>
      </c>
      <c r="C197" s="40">
        <v>0.0</v>
      </c>
      <c r="D197" s="41">
        <v>45997.714642499996</v>
      </c>
    </row>
    <row r="198">
      <c r="A198" s="39" t="s">
        <v>213</v>
      </c>
      <c r="B198" s="40">
        <v>1905197.0</v>
      </c>
      <c r="C198" s="40">
        <v>0.0</v>
      </c>
      <c r="D198" s="41">
        <v>45997.71464644676</v>
      </c>
    </row>
    <row r="199">
      <c r="A199" s="39" t="s">
        <v>213</v>
      </c>
      <c r="B199" s="40">
        <v>1905198.0</v>
      </c>
      <c r="C199" s="40">
        <v>0.0</v>
      </c>
      <c r="D199" s="41">
        <v>45997.71465009259</v>
      </c>
    </row>
    <row r="200">
      <c r="A200" s="39" t="s">
        <v>213</v>
      </c>
      <c r="B200" s="40">
        <v>1905201.0</v>
      </c>
      <c r="C200" s="40">
        <v>0.0</v>
      </c>
      <c r="D200" s="41">
        <v>45997.71465422453</v>
      </c>
    </row>
    <row r="201">
      <c r="A201" s="39" t="s">
        <v>213</v>
      </c>
      <c r="B201" s="40">
        <v>1905206.0</v>
      </c>
      <c r="C201" s="40">
        <v>0.0</v>
      </c>
      <c r="D201" s="41">
        <v>45997.71465826389</v>
      </c>
    </row>
    <row r="202">
      <c r="A202" s="39" t="s">
        <v>214</v>
      </c>
      <c r="B202" s="40">
        <v>1871474.0</v>
      </c>
      <c r="C202" s="40">
        <v>0.0</v>
      </c>
      <c r="D202" s="41">
        <v>45968.46917597222</v>
      </c>
    </row>
    <row r="203">
      <c r="A203" s="39" t="s">
        <v>214</v>
      </c>
      <c r="B203" s="40">
        <v>1871475.0</v>
      </c>
      <c r="C203" s="40">
        <v>0.0</v>
      </c>
      <c r="D203" s="41">
        <v>45968.469179120366</v>
      </c>
    </row>
    <row r="204">
      <c r="A204" s="39" t="s">
        <v>214</v>
      </c>
      <c r="B204" s="40">
        <v>1871476.0</v>
      </c>
      <c r="C204" s="40">
        <v>0.0</v>
      </c>
      <c r="D204" s="41">
        <v>45968.469181759254</v>
      </c>
    </row>
    <row r="205">
      <c r="A205" s="39" t="s">
        <v>214</v>
      </c>
      <c r="B205" s="40">
        <v>1871477.0</v>
      </c>
      <c r="C205" s="40">
        <v>0.0</v>
      </c>
      <c r="D205" s="41">
        <v>45968.4691891088</v>
      </c>
    </row>
    <row r="206">
      <c r="A206" s="39" t="s">
        <v>214</v>
      </c>
      <c r="B206" s="40">
        <v>1871478.0</v>
      </c>
      <c r="C206" s="40">
        <v>0.0</v>
      </c>
      <c r="D206" s="41">
        <v>45968.4691918287</v>
      </c>
    </row>
    <row r="207">
      <c r="A207" s="39" t="s">
        <v>214</v>
      </c>
      <c r="B207" s="40">
        <v>1872001.0</v>
      </c>
      <c r="C207" s="40">
        <v>0.0</v>
      </c>
      <c r="D207" s="41">
        <v>45994.29739008102</v>
      </c>
    </row>
    <row r="208">
      <c r="A208" s="39" t="s">
        <v>214</v>
      </c>
      <c r="B208" s="40">
        <v>1872002.0</v>
      </c>
      <c r="C208" s="40">
        <v>0.0</v>
      </c>
      <c r="D208" s="41">
        <v>45968.46920795139</v>
      </c>
    </row>
    <row r="209">
      <c r="A209" s="39" t="s">
        <v>214</v>
      </c>
      <c r="B209" s="40">
        <v>1872003.0</v>
      </c>
      <c r="C209" s="40">
        <v>0.0</v>
      </c>
      <c r="D209" s="41">
        <v>45968.46921072916</v>
      </c>
    </row>
    <row r="210">
      <c r="A210" s="39" t="s">
        <v>214</v>
      </c>
      <c r="B210" s="40">
        <v>1872011.0</v>
      </c>
      <c r="C210" s="40">
        <v>0.0</v>
      </c>
      <c r="D210" s="41">
        <v>45968.46921333333</v>
      </c>
    </row>
    <row r="211">
      <c r="A211" s="39" t="s">
        <v>214</v>
      </c>
      <c r="B211" s="40">
        <v>1872014.0</v>
      </c>
      <c r="C211" s="40">
        <v>0.0</v>
      </c>
      <c r="D211" s="41">
        <v>45968.46921585649</v>
      </c>
    </row>
    <row r="212">
      <c r="A212" s="39" t="s">
        <v>214</v>
      </c>
      <c r="B212" s="40">
        <v>1879211.0</v>
      </c>
      <c r="C212" s="40">
        <v>0.0</v>
      </c>
      <c r="D212" s="41">
        <v>45969.71707021991</v>
      </c>
    </row>
    <row r="213">
      <c r="A213" s="39" t="s">
        <v>214</v>
      </c>
      <c r="B213" s="40">
        <v>1879212.0</v>
      </c>
      <c r="C213" s="40">
        <v>0.0</v>
      </c>
      <c r="D213" s="41">
        <v>45969.71707269676</v>
      </c>
    </row>
    <row r="214">
      <c r="A214" s="39" t="s">
        <v>214</v>
      </c>
      <c r="B214" s="40">
        <v>1879213.0</v>
      </c>
      <c r="C214" s="40">
        <v>0.0</v>
      </c>
      <c r="D214" s="41">
        <v>45969.717076064815</v>
      </c>
    </row>
    <row r="215">
      <c r="A215" s="39" t="s">
        <v>214</v>
      </c>
      <c r="B215" s="40">
        <v>1879214.0</v>
      </c>
      <c r="C215" s="40">
        <v>0.0</v>
      </c>
      <c r="D215" s="41">
        <v>45969.717077974536</v>
      </c>
    </row>
    <row r="216">
      <c r="A216" s="39" t="s">
        <v>214</v>
      </c>
      <c r="B216" s="40">
        <v>1879215.0</v>
      </c>
      <c r="C216" s="40">
        <v>0.0</v>
      </c>
      <c r="D216" s="41">
        <v>45969.71708076389</v>
      </c>
    </row>
    <row r="217">
      <c r="A217" s="39" t="s">
        <v>214</v>
      </c>
      <c r="B217" s="40">
        <v>1892322.0</v>
      </c>
      <c r="C217" s="40">
        <v>0.0</v>
      </c>
      <c r="D217" s="41">
        <v>45976.713734756944</v>
      </c>
    </row>
    <row r="218">
      <c r="A218" s="39" t="s">
        <v>214</v>
      </c>
      <c r="B218" s="40">
        <v>1892323.0</v>
      </c>
      <c r="C218" s="40">
        <v>0.0</v>
      </c>
      <c r="D218" s="41">
        <v>45976.71373636574</v>
      </c>
    </row>
    <row r="219">
      <c r="A219" s="39" t="s">
        <v>214</v>
      </c>
      <c r="B219" s="40">
        <v>1892324.0</v>
      </c>
      <c r="C219" s="40">
        <v>0.0</v>
      </c>
      <c r="D219" s="41">
        <v>45976.71374197917</v>
      </c>
    </row>
    <row r="220">
      <c r="A220" s="39" t="s">
        <v>214</v>
      </c>
      <c r="B220" s="40">
        <v>1892325.0</v>
      </c>
      <c r="C220" s="40">
        <v>0.0</v>
      </c>
      <c r="D220" s="41">
        <v>45976.71374364583</v>
      </c>
    </row>
    <row r="221">
      <c r="A221" s="39" t="s">
        <v>214</v>
      </c>
      <c r="B221" s="40">
        <v>1892326.0</v>
      </c>
      <c r="C221" s="40">
        <v>0.0</v>
      </c>
      <c r="D221" s="41">
        <v>45976.71375481482</v>
      </c>
    </row>
    <row r="222">
      <c r="A222" s="39" t="s">
        <v>214</v>
      </c>
      <c r="B222" s="40">
        <v>1901634.0</v>
      </c>
      <c r="C222" s="40">
        <v>0.0</v>
      </c>
      <c r="D222" s="41">
        <v>45992.42240672454</v>
      </c>
    </row>
    <row r="223">
      <c r="A223" s="39" t="s">
        <v>214</v>
      </c>
      <c r="B223" s="40">
        <v>1905196.0</v>
      </c>
      <c r="C223" s="40">
        <v>0.0</v>
      </c>
      <c r="D223" s="41">
        <v>45997.71466171296</v>
      </c>
    </row>
    <row r="224">
      <c r="A224" s="39" t="s">
        <v>214</v>
      </c>
      <c r="B224" s="40">
        <v>1905197.0</v>
      </c>
      <c r="C224" s="40">
        <v>0.0</v>
      </c>
      <c r="D224" s="41">
        <v>45997.71466570602</v>
      </c>
    </row>
    <row r="225">
      <c r="A225" s="39" t="s">
        <v>214</v>
      </c>
      <c r="B225" s="40">
        <v>1905198.0</v>
      </c>
      <c r="C225" s="40">
        <v>0.0</v>
      </c>
      <c r="D225" s="41">
        <v>45997.71466946759</v>
      </c>
    </row>
    <row r="226">
      <c r="A226" s="39" t="s">
        <v>214</v>
      </c>
      <c r="B226" s="40">
        <v>1905201.0</v>
      </c>
      <c r="C226" s="40">
        <v>0.0</v>
      </c>
      <c r="D226" s="41">
        <v>45997.71468546297</v>
      </c>
    </row>
    <row r="227">
      <c r="A227" s="39" t="s">
        <v>214</v>
      </c>
      <c r="B227" s="40">
        <v>1905206.0</v>
      </c>
      <c r="C227" s="40">
        <v>0.0</v>
      </c>
      <c r="D227" s="41">
        <v>45997.71469009259</v>
      </c>
    </row>
    <row r="228">
      <c r="A228" s="39" t="s">
        <v>215</v>
      </c>
      <c r="B228" s="40">
        <v>1871474.0</v>
      </c>
      <c r="C228" s="40">
        <v>10.0</v>
      </c>
      <c r="D228" s="41">
        <v>45968.46921855324</v>
      </c>
    </row>
    <row r="229">
      <c r="A229" s="39" t="s">
        <v>215</v>
      </c>
      <c r="B229" s="40">
        <v>1871475.0</v>
      </c>
      <c r="C229" s="40">
        <v>20.0</v>
      </c>
      <c r="D229" s="41">
        <v>45968.46922449074</v>
      </c>
    </row>
    <row r="230">
      <c r="A230" s="39" t="s">
        <v>215</v>
      </c>
      <c r="B230" s="40">
        <v>1871476.0</v>
      </c>
      <c r="C230" s="40">
        <v>10.0</v>
      </c>
      <c r="D230" s="41">
        <v>45968.46922701389</v>
      </c>
    </row>
    <row r="231">
      <c r="A231" s="39" t="s">
        <v>215</v>
      </c>
      <c r="B231" s="40">
        <v>1871477.0</v>
      </c>
      <c r="C231" s="40">
        <v>0.0</v>
      </c>
      <c r="D231" s="41">
        <v>45968.46922965278</v>
      </c>
    </row>
    <row r="232">
      <c r="A232" s="39" t="s">
        <v>215</v>
      </c>
      <c r="B232" s="40">
        <v>1871478.0</v>
      </c>
      <c r="C232" s="40">
        <v>0.0</v>
      </c>
      <c r="D232" s="41">
        <v>45968.46923287037</v>
      </c>
    </row>
    <row r="233">
      <c r="A233" s="39" t="s">
        <v>215</v>
      </c>
      <c r="B233" s="40">
        <v>1872001.0</v>
      </c>
      <c r="C233" s="40">
        <v>0.0</v>
      </c>
      <c r="D233" s="41">
        <v>45968.46923565972</v>
      </c>
    </row>
    <row r="234">
      <c r="A234" s="39" t="s">
        <v>215</v>
      </c>
      <c r="B234" s="40">
        <v>1872002.0</v>
      </c>
      <c r="C234" s="40">
        <v>0.0</v>
      </c>
      <c r="D234" s="41">
        <v>45968.4692380787</v>
      </c>
    </row>
    <row r="235">
      <c r="A235" s="39" t="s">
        <v>215</v>
      </c>
      <c r="B235" s="40">
        <v>1872003.0</v>
      </c>
      <c r="C235" s="40">
        <v>0.0</v>
      </c>
      <c r="D235" s="41">
        <v>45968.46924048611</v>
      </c>
    </row>
    <row r="236">
      <c r="A236" s="39" t="s">
        <v>215</v>
      </c>
      <c r="B236" s="40">
        <v>1872011.0</v>
      </c>
      <c r="C236" s="40">
        <v>0.0</v>
      </c>
      <c r="D236" s="41">
        <v>45968.46924363426</v>
      </c>
    </row>
    <row r="237">
      <c r="A237" s="39" t="s">
        <v>215</v>
      </c>
      <c r="B237" s="40">
        <v>1872014.0</v>
      </c>
      <c r="C237" s="40">
        <v>0.0</v>
      </c>
      <c r="D237" s="41">
        <v>45968.46924604167</v>
      </c>
    </row>
    <row r="238">
      <c r="A238" s="39" t="s">
        <v>215</v>
      </c>
      <c r="B238" s="40">
        <v>1879211.0</v>
      </c>
      <c r="C238" s="40">
        <v>0.0</v>
      </c>
      <c r="D238" s="41">
        <v>45969.71708310185</v>
      </c>
    </row>
    <row r="239">
      <c r="A239" s="39" t="s">
        <v>215</v>
      </c>
      <c r="B239" s="40">
        <v>1879212.0</v>
      </c>
      <c r="C239" s="40">
        <v>0.0</v>
      </c>
      <c r="D239" s="41">
        <v>45969.71708534722</v>
      </c>
    </row>
    <row r="240">
      <c r="A240" s="39" t="s">
        <v>215</v>
      </c>
      <c r="B240" s="40">
        <v>1879213.0</v>
      </c>
      <c r="C240" s="40">
        <v>0.0</v>
      </c>
      <c r="D240" s="41">
        <v>45969.7170875</v>
      </c>
    </row>
    <row r="241">
      <c r="A241" s="39" t="s">
        <v>215</v>
      </c>
      <c r="B241" s="40">
        <v>1879214.0</v>
      </c>
      <c r="C241" s="40">
        <v>0.0</v>
      </c>
      <c r="D241" s="41">
        <v>45969.71709011574</v>
      </c>
    </row>
    <row r="242">
      <c r="A242" s="39" t="s">
        <v>215</v>
      </c>
      <c r="B242" s="40">
        <v>1879215.0</v>
      </c>
      <c r="C242" s="40">
        <v>0.0</v>
      </c>
      <c r="D242" s="41">
        <v>45969.717092418985</v>
      </c>
    </row>
    <row r="243">
      <c r="A243" s="39" t="s">
        <v>215</v>
      </c>
      <c r="B243" s="40">
        <v>1892322.0</v>
      </c>
      <c r="C243" s="40">
        <v>0.0</v>
      </c>
      <c r="D243" s="41">
        <v>45976.713756655095</v>
      </c>
    </row>
    <row r="244">
      <c r="A244" s="39" t="s">
        <v>215</v>
      </c>
      <c r="B244" s="40">
        <v>1892323.0</v>
      </c>
      <c r="C244" s="40">
        <v>0.0</v>
      </c>
      <c r="D244" s="41">
        <v>45976.71375859954</v>
      </c>
    </row>
    <row r="245">
      <c r="A245" s="39" t="s">
        <v>215</v>
      </c>
      <c r="B245" s="40">
        <v>1892324.0</v>
      </c>
      <c r="C245" s="40">
        <v>0.0</v>
      </c>
      <c r="D245" s="41">
        <v>45976.713763865744</v>
      </c>
    </row>
    <row r="246">
      <c r="A246" s="39" t="s">
        <v>215</v>
      </c>
      <c r="B246" s="40">
        <v>1892325.0</v>
      </c>
      <c r="C246" s="40">
        <v>0.0</v>
      </c>
      <c r="D246" s="41">
        <v>45976.71376559028</v>
      </c>
    </row>
    <row r="247">
      <c r="A247" s="39" t="s">
        <v>215</v>
      </c>
      <c r="B247" s="40">
        <v>1892326.0</v>
      </c>
      <c r="C247" s="40">
        <v>0.0</v>
      </c>
      <c r="D247" s="41">
        <v>45976.71376775463</v>
      </c>
    </row>
    <row r="248">
      <c r="A248" s="39" t="s">
        <v>215</v>
      </c>
      <c r="B248" s="40">
        <v>1901634.0</v>
      </c>
      <c r="C248" s="40">
        <v>0.0</v>
      </c>
      <c r="D248" s="41">
        <v>45992.422410416664</v>
      </c>
    </row>
    <row r="249">
      <c r="A249" s="39" t="s">
        <v>215</v>
      </c>
      <c r="B249" s="40">
        <v>1905196.0</v>
      </c>
      <c r="C249" s="40">
        <v>0.0</v>
      </c>
      <c r="D249" s="41">
        <v>45997.71469966436</v>
      </c>
    </row>
    <row r="250">
      <c r="A250" s="39" t="s">
        <v>215</v>
      </c>
      <c r="B250" s="40">
        <v>1905197.0</v>
      </c>
      <c r="C250" s="40">
        <v>0.0</v>
      </c>
      <c r="D250" s="41">
        <v>45997.71470311342</v>
      </c>
    </row>
    <row r="251">
      <c r="A251" s="39" t="s">
        <v>215</v>
      </c>
      <c r="B251" s="40">
        <v>1905198.0</v>
      </c>
      <c r="C251" s="40">
        <v>0.0</v>
      </c>
      <c r="D251" s="41">
        <v>45997.71470997685</v>
      </c>
    </row>
    <row r="252">
      <c r="A252" s="39" t="s">
        <v>215</v>
      </c>
      <c r="B252" s="40">
        <v>1905201.0</v>
      </c>
      <c r="C252" s="40">
        <v>0.0</v>
      </c>
      <c r="D252" s="41">
        <v>45997.71471210648</v>
      </c>
    </row>
    <row r="253">
      <c r="A253" s="39" t="s">
        <v>215</v>
      </c>
      <c r="B253" s="40">
        <v>1905206.0</v>
      </c>
      <c r="C253" s="40">
        <v>0.0</v>
      </c>
      <c r="D253" s="41">
        <v>45997.71471583333</v>
      </c>
    </row>
    <row r="254">
      <c r="A254" s="39" t="s">
        <v>216</v>
      </c>
      <c r="B254" s="40">
        <v>1871474.0</v>
      </c>
      <c r="C254" s="40">
        <v>10.0</v>
      </c>
      <c r="D254" s="41">
        <v>45968.4692484838</v>
      </c>
    </row>
    <row r="255">
      <c r="A255" s="39" t="s">
        <v>216</v>
      </c>
      <c r="B255" s="40">
        <v>1871475.0</v>
      </c>
      <c r="C255" s="40">
        <v>0.0</v>
      </c>
      <c r="D255" s="41">
        <v>45968.46925086806</v>
      </c>
    </row>
    <row r="256">
      <c r="A256" s="39" t="s">
        <v>216</v>
      </c>
      <c r="B256" s="40">
        <v>1871476.0</v>
      </c>
      <c r="C256" s="40">
        <v>0.0</v>
      </c>
      <c r="D256" s="41">
        <v>45968.469255752316</v>
      </c>
    </row>
    <row r="257">
      <c r="A257" s="39" t="s">
        <v>216</v>
      </c>
      <c r="B257" s="40">
        <v>1871477.0</v>
      </c>
      <c r="C257" s="40">
        <v>0.0</v>
      </c>
      <c r="D257" s="41">
        <v>45968.46925811343</v>
      </c>
    </row>
    <row r="258">
      <c r="A258" s="39" t="s">
        <v>216</v>
      </c>
      <c r="B258" s="40">
        <v>1871478.0</v>
      </c>
      <c r="C258" s="40">
        <v>0.0</v>
      </c>
      <c r="D258" s="41">
        <v>45968.469260937505</v>
      </c>
    </row>
    <row r="259">
      <c r="A259" s="39" t="s">
        <v>216</v>
      </c>
      <c r="B259" s="40">
        <v>1872001.0</v>
      </c>
      <c r="C259" s="40">
        <v>0.0</v>
      </c>
      <c r="D259" s="41">
        <v>45968.46926424769</v>
      </c>
    </row>
    <row r="260">
      <c r="A260" s="39" t="s">
        <v>216</v>
      </c>
      <c r="B260" s="40">
        <v>1872002.0</v>
      </c>
      <c r="C260" s="40">
        <v>0.0</v>
      </c>
      <c r="D260" s="41">
        <v>45968.469266712964</v>
      </c>
    </row>
    <row r="261">
      <c r="A261" s="39" t="s">
        <v>216</v>
      </c>
      <c r="B261" s="40">
        <v>1872003.0</v>
      </c>
      <c r="C261" s="40">
        <v>0.0</v>
      </c>
      <c r="D261" s="41">
        <v>45968.46926972222</v>
      </c>
    </row>
    <row r="262">
      <c r="A262" s="39" t="s">
        <v>216</v>
      </c>
      <c r="B262" s="40">
        <v>1872011.0</v>
      </c>
      <c r="C262" s="40">
        <v>0.0</v>
      </c>
      <c r="D262" s="41">
        <v>45968.46927212963</v>
      </c>
    </row>
    <row r="263">
      <c r="A263" s="39" t="s">
        <v>216</v>
      </c>
      <c r="B263" s="40">
        <v>1872014.0</v>
      </c>
      <c r="C263" s="40">
        <v>0.0</v>
      </c>
      <c r="D263" s="41">
        <v>45968.46927518518</v>
      </c>
    </row>
    <row r="264">
      <c r="A264" s="39" t="s">
        <v>216</v>
      </c>
      <c r="B264" s="40">
        <v>1879211.0</v>
      </c>
      <c r="C264" s="40">
        <v>10.0</v>
      </c>
      <c r="D264" s="41">
        <v>45975.296407037036</v>
      </c>
    </row>
    <row r="265">
      <c r="A265" s="39" t="s">
        <v>216</v>
      </c>
      <c r="B265" s="40">
        <v>1879212.0</v>
      </c>
      <c r="C265" s="40">
        <v>17.0</v>
      </c>
      <c r="D265" s="41">
        <v>45979.49381569444</v>
      </c>
    </row>
    <row r="266">
      <c r="A266" s="39" t="s">
        <v>216</v>
      </c>
      <c r="B266" s="40">
        <v>1879215.0</v>
      </c>
      <c r="C266" s="40">
        <v>14.0</v>
      </c>
      <c r="D266" s="41">
        <v>45979.49382603009</v>
      </c>
    </row>
    <row r="267">
      <c r="A267" s="39" t="s">
        <v>216</v>
      </c>
      <c r="B267" s="40">
        <v>1892323.0</v>
      </c>
      <c r="C267" s="40">
        <v>20.0</v>
      </c>
      <c r="D267" s="41">
        <v>45979.51470581019</v>
      </c>
    </row>
    <row r="268">
      <c r="A268" s="39" t="s">
        <v>216</v>
      </c>
      <c r="B268" s="40">
        <v>1892324.0</v>
      </c>
      <c r="C268" s="40">
        <v>0.0</v>
      </c>
      <c r="D268" s="41">
        <v>45976.71377178241</v>
      </c>
    </row>
    <row r="269">
      <c r="A269" s="39" t="s">
        <v>216</v>
      </c>
      <c r="B269" s="40">
        <v>1892325.0</v>
      </c>
      <c r="C269" s="40">
        <v>0.0</v>
      </c>
      <c r="D269" s="41">
        <v>45976.713773587966</v>
      </c>
    </row>
    <row r="270">
      <c r="A270" s="39" t="s">
        <v>216</v>
      </c>
      <c r="B270" s="40">
        <v>1892326.0</v>
      </c>
      <c r="C270" s="40">
        <v>0.0</v>
      </c>
      <c r="D270" s="41">
        <v>45976.71377616898</v>
      </c>
    </row>
    <row r="271">
      <c r="A271" s="39" t="s">
        <v>216</v>
      </c>
      <c r="B271" s="40">
        <v>1901634.0</v>
      </c>
      <c r="C271" s="40">
        <v>0.0</v>
      </c>
      <c r="D271" s="41">
        <v>45992.422428969905</v>
      </c>
    </row>
    <row r="272">
      <c r="A272" s="39" t="s">
        <v>216</v>
      </c>
      <c r="B272" s="40">
        <v>1905196.0</v>
      </c>
      <c r="C272" s="40">
        <v>8.0</v>
      </c>
      <c r="D272" s="41">
        <v>46003.52135387731</v>
      </c>
    </row>
    <row r="273">
      <c r="A273" s="39" t="s">
        <v>216</v>
      </c>
      <c r="B273" s="40">
        <v>1905197.0</v>
      </c>
      <c r="C273" s="40">
        <v>0.0</v>
      </c>
      <c r="D273" s="41">
        <v>45997.71474837963</v>
      </c>
    </row>
    <row r="274">
      <c r="A274" s="39" t="s">
        <v>216</v>
      </c>
      <c r="B274" s="40">
        <v>1905198.0</v>
      </c>
      <c r="C274" s="40">
        <v>0.0</v>
      </c>
      <c r="D274" s="41">
        <v>45997.71475208334</v>
      </c>
    </row>
    <row r="275">
      <c r="A275" s="39" t="s">
        <v>216</v>
      </c>
      <c r="B275" s="40">
        <v>1905201.0</v>
      </c>
      <c r="C275" s="40">
        <v>0.0</v>
      </c>
      <c r="D275" s="41">
        <v>45997.714755787034</v>
      </c>
    </row>
    <row r="276">
      <c r="A276" s="39" t="s">
        <v>216</v>
      </c>
      <c r="B276" s="40">
        <v>1905206.0</v>
      </c>
      <c r="C276" s="40">
        <v>0.0</v>
      </c>
      <c r="D276" s="41">
        <v>45997.714759571754</v>
      </c>
    </row>
    <row r="277">
      <c r="A277" s="39" t="s">
        <v>217</v>
      </c>
      <c r="B277" s="40">
        <v>1871474.0</v>
      </c>
      <c r="C277" s="40">
        <v>0.0</v>
      </c>
      <c r="D277" s="41">
        <v>45968.4692775</v>
      </c>
    </row>
    <row r="278">
      <c r="A278" s="39" t="s">
        <v>217</v>
      </c>
      <c r="B278" s="40">
        <v>1871475.0</v>
      </c>
      <c r="C278" s="40">
        <v>0.0</v>
      </c>
      <c r="D278" s="41">
        <v>45968.469280150464</v>
      </c>
    </row>
    <row r="279">
      <c r="A279" s="39" t="s">
        <v>217</v>
      </c>
      <c r="B279" s="40">
        <v>1871476.0</v>
      </c>
      <c r="C279" s="40">
        <v>0.0</v>
      </c>
      <c r="D279" s="41">
        <v>45968.46928547454</v>
      </c>
    </row>
    <row r="280">
      <c r="A280" s="39" t="s">
        <v>217</v>
      </c>
      <c r="B280" s="40">
        <v>1871477.0</v>
      </c>
      <c r="C280" s="40">
        <v>0.0</v>
      </c>
      <c r="D280" s="41">
        <v>45968.46928769676</v>
      </c>
    </row>
    <row r="281">
      <c r="A281" s="39" t="s">
        <v>217</v>
      </c>
      <c r="B281" s="40">
        <v>1871478.0</v>
      </c>
      <c r="C281" s="40">
        <v>0.0</v>
      </c>
      <c r="D281" s="41">
        <v>45968.46929008102</v>
      </c>
    </row>
    <row r="282">
      <c r="A282" s="39" t="s">
        <v>217</v>
      </c>
      <c r="B282" s="40">
        <v>1872001.0</v>
      </c>
      <c r="C282" s="40">
        <v>0.0</v>
      </c>
      <c r="D282" s="41">
        <v>45968.46929255787</v>
      </c>
    </row>
    <row r="283">
      <c r="A283" s="39" t="s">
        <v>217</v>
      </c>
      <c r="B283" s="40">
        <v>1872002.0</v>
      </c>
      <c r="C283" s="40">
        <v>0.0</v>
      </c>
      <c r="D283" s="41">
        <v>45968.46929515046</v>
      </c>
    </row>
    <row r="284">
      <c r="A284" s="39" t="s">
        <v>217</v>
      </c>
      <c r="B284" s="40">
        <v>1872003.0</v>
      </c>
      <c r="C284" s="40">
        <v>0.0</v>
      </c>
      <c r="D284" s="41">
        <v>45968.4692978588</v>
      </c>
    </row>
    <row r="285">
      <c r="A285" s="39" t="s">
        <v>217</v>
      </c>
      <c r="B285" s="40">
        <v>1872011.0</v>
      </c>
      <c r="C285" s="40">
        <v>0.0</v>
      </c>
      <c r="D285" s="41">
        <v>45968.46930030093</v>
      </c>
    </row>
    <row r="286">
      <c r="A286" s="39" t="s">
        <v>217</v>
      </c>
      <c r="B286" s="40">
        <v>1872014.0</v>
      </c>
      <c r="C286" s="40">
        <v>0.0</v>
      </c>
      <c r="D286" s="41">
        <v>45968.469302708334</v>
      </c>
    </row>
    <row r="287">
      <c r="A287" s="39" t="s">
        <v>217</v>
      </c>
      <c r="B287" s="40">
        <v>1879211.0</v>
      </c>
      <c r="C287" s="40">
        <v>0.0</v>
      </c>
      <c r="D287" s="41">
        <v>45969.71711883102</v>
      </c>
    </row>
    <row r="288">
      <c r="A288" s="39" t="s">
        <v>217</v>
      </c>
      <c r="B288" s="40">
        <v>1879212.0</v>
      </c>
      <c r="C288" s="40">
        <v>0.0</v>
      </c>
      <c r="D288" s="41">
        <v>45969.71712136574</v>
      </c>
    </row>
    <row r="289">
      <c r="A289" s="39" t="s">
        <v>217</v>
      </c>
      <c r="B289" s="40">
        <v>1879213.0</v>
      </c>
      <c r="C289" s="40">
        <v>0.0</v>
      </c>
      <c r="D289" s="41">
        <v>45969.71712693287</v>
      </c>
    </row>
    <row r="290">
      <c r="A290" s="39" t="s">
        <v>217</v>
      </c>
      <c r="B290" s="40">
        <v>1879214.0</v>
      </c>
      <c r="C290" s="40">
        <v>0.0</v>
      </c>
      <c r="D290" s="41">
        <v>45969.7171290625</v>
      </c>
    </row>
    <row r="291">
      <c r="A291" s="39" t="s">
        <v>217</v>
      </c>
      <c r="B291" s="40">
        <v>1879215.0</v>
      </c>
      <c r="C291" s="40">
        <v>0.0</v>
      </c>
      <c r="D291" s="41">
        <v>45969.71713160879</v>
      </c>
    </row>
    <row r="292">
      <c r="A292" s="39" t="s">
        <v>217</v>
      </c>
      <c r="B292" s="40">
        <v>1892322.0</v>
      </c>
      <c r="C292" s="40">
        <v>0.0</v>
      </c>
      <c r="D292" s="41">
        <v>45976.71377778935</v>
      </c>
    </row>
    <row r="293">
      <c r="A293" s="39" t="s">
        <v>217</v>
      </c>
      <c r="B293" s="40">
        <v>1892323.0</v>
      </c>
      <c r="C293" s="40">
        <v>0.0</v>
      </c>
      <c r="D293" s="41">
        <v>45976.71377939815</v>
      </c>
    </row>
    <row r="294">
      <c r="A294" s="39" t="s">
        <v>217</v>
      </c>
      <c r="B294" s="40">
        <v>1892324.0</v>
      </c>
      <c r="C294" s="40">
        <v>0.0</v>
      </c>
      <c r="D294" s="41">
        <v>45976.71378148148</v>
      </c>
    </row>
    <row r="295">
      <c r="A295" s="39" t="s">
        <v>217</v>
      </c>
      <c r="B295" s="40">
        <v>1892325.0</v>
      </c>
      <c r="C295" s="40">
        <v>0.0</v>
      </c>
      <c r="D295" s="41">
        <v>45976.713783252315</v>
      </c>
    </row>
    <row r="296">
      <c r="A296" s="39" t="s">
        <v>217</v>
      </c>
      <c r="B296" s="40">
        <v>1892326.0</v>
      </c>
      <c r="C296" s="40">
        <v>0.0</v>
      </c>
      <c r="D296" s="41">
        <v>45976.71378542824</v>
      </c>
    </row>
    <row r="297">
      <c r="A297" s="39" t="s">
        <v>217</v>
      </c>
      <c r="B297" s="40">
        <v>1901634.0</v>
      </c>
      <c r="C297" s="40">
        <v>0.0</v>
      </c>
      <c r="D297" s="41">
        <v>45992.42243228009</v>
      </c>
    </row>
    <row r="298">
      <c r="A298" s="39" t="s">
        <v>217</v>
      </c>
      <c r="B298" s="40">
        <v>1905196.0</v>
      </c>
      <c r="C298" s="40">
        <v>0.0</v>
      </c>
      <c r="D298" s="41">
        <v>45997.71476368056</v>
      </c>
    </row>
    <row r="299">
      <c r="A299" s="39" t="s">
        <v>217</v>
      </c>
      <c r="B299" s="40">
        <v>1905197.0</v>
      </c>
      <c r="C299" s="40">
        <v>0.0</v>
      </c>
      <c r="D299" s="41">
        <v>45997.7147677662</v>
      </c>
    </row>
    <row r="300">
      <c r="A300" s="39" t="s">
        <v>217</v>
      </c>
      <c r="B300" s="40">
        <v>1905198.0</v>
      </c>
      <c r="C300" s="40">
        <v>0.0</v>
      </c>
      <c r="D300" s="41">
        <v>45997.714772569445</v>
      </c>
    </row>
    <row r="301">
      <c r="A301" s="39" t="s">
        <v>217</v>
      </c>
      <c r="B301" s="40">
        <v>1905201.0</v>
      </c>
      <c r="C301" s="40">
        <v>0.0</v>
      </c>
      <c r="D301" s="41">
        <v>45997.71477641204</v>
      </c>
    </row>
    <row r="302">
      <c r="A302" s="39" t="s">
        <v>217</v>
      </c>
      <c r="B302" s="40">
        <v>1905206.0</v>
      </c>
      <c r="C302" s="40">
        <v>0.0</v>
      </c>
      <c r="D302" s="41">
        <v>45997.71478023149</v>
      </c>
    </row>
    <row r="303">
      <c r="A303" s="39" t="s">
        <v>218</v>
      </c>
      <c r="B303" s="40">
        <v>1871474.0</v>
      </c>
      <c r="C303" s="40">
        <v>0.0</v>
      </c>
      <c r="D303" s="41">
        <v>45968.46930520833</v>
      </c>
    </row>
    <row r="304">
      <c r="A304" s="39" t="s">
        <v>218</v>
      </c>
      <c r="B304" s="40">
        <v>1871475.0</v>
      </c>
      <c r="C304" s="40">
        <v>0.0</v>
      </c>
      <c r="D304" s="41">
        <v>45968.46930788194</v>
      </c>
    </row>
    <row r="305">
      <c r="A305" s="39" t="s">
        <v>218</v>
      </c>
      <c r="B305" s="40">
        <v>1871476.0</v>
      </c>
      <c r="C305" s="40">
        <v>0.0</v>
      </c>
      <c r="D305" s="41">
        <v>45968.469315173614</v>
      </c>
    </row>
    <row r="306">
      <c r="A306" s="39" t="s">
        <v>218</v>
      </c>
      <c r="B306" s="40">
        <v>1871477.0</v>
      </c>
      <c r="C306" s="40">
        <v>0.0</v>
      </c>
      <c r="D306" s="41">
        <v>45968.469317546296</v>
      </c>
    </row>
    <row r="307">
      <c r="A307" s="39" t="s">
        <v>218</v>
      </c>
      <c r="B307" s="40">
        <v>1871478.0</v>
      </c>
      <c r="C307" s="40">
        <v>0.0</v>
      </c>
      <c r="D307" s="41">
        <v>45968.469320185184</v>
      </c>
    </row>
    <row r="308">
      <c r="A308" s="39" t="s">
        <v>218</v>
      </c>
      <c r="B308" s="40">
        <v>1872001.0</v>
      </c>
      <c r="C308" s="40">
        <v>0.0</v>
      </c>
      <c r="D308" s="41">
        <v>45968.46932269676</v>
      </c>
    </row>
    <row r="309">
      <c r="A309" s="39" t="s">
        <v>218</v>
      </c>
      <c r="B309" s="40">
        <v>1872002.0</v>
      </c>
      <c r="C309" s="40">
        <v>0.0</v>
      </c>
      <c r="D309" s="41">
        <v>45968.46932525463</v>
      </c>
    </row>
    <row r="310">
      <c r="A310" s="39" t="s">
        <v>218</v>
      </c>
      <c r="B310" s="40">
        <v>1872003.0</v>
      </c>
      <c r="C310" s="40">
        <v>0.0</v>
      </c>
      <c r="D310" s="41">
        <v>45968.46932831018</v>
      </c>
    </row>
    <row r="311">
      <c r="A311" s="39" t="s">
        <v>218</v>
      </c>
      <c r="B311" s="40">
        <v>1872011.0</v>
      </c>
      <c r="C311" s="40">
        <v>0.0</v>
      </c>
      <c r="D311" s="41">
        <v>45968.46933090278</v>
      </c>
    </row>
    <row r="312">
      <c r="A312" s="39" t="s">
        <v>218</v>
      </c>
      <c r="B312" s="40">
        <v>1872014.0</v>
      </c>
      <c r="C312" s="40">
        <v>0.0</v>
      </c>
      <c r="D312" s="41">
        <v>45968.46933356482</v>
      </c>
    </row>
    <row r="313">
      <c r="A313" s="39" t="s">
        <v>218</v>
      </c>
      <c r="B313" s="40">
        <v>1879211.0</v>
      </c>
      <c r="C313" s="40">
        <v>0.0</v>
      </c>
      <c r="D313" s="41">
        <v>45969.71713402778</v>
      </c>
    </row>
    <row r="314">
      <c r="A314" s="39" t="s">
        <v>218</v>
      </c>
      <c r="B314" s="40">
        <v>1879212.0</v>
      </c>
      <c r="C314" s="40">
        <v>0.0</v>
      </c>
      <c r="D314" s="41">
        <v>45969.71713612269</v>
      </c>
    </row>
    <row r="315">
      <c r="A315" s="39" t="s">
        <v>218</v>
      </c>
      <c r="B315" s="40">
        <v>1879213.0</v>
      </c>
      <c r="C315" s="40">
        <v>0.0</v>
      </c>
      <c r="D315" s="41">
        <v>45969.71713804398</v>
      </c>
    </row>
    <row r="316">
      <c r="A316" s="39" t="s">
        <v>218</v>
      </c>
      <c r="B316" s="40">
        <v>1879214.0</v>
      </c>
      <c r="C316" s="40">
        <v>0.0</v>
      </c>
      <c r="D316" s="41">
        <v>45969.717140243054</v>
      </c>
    </row>
    <row r="317">
      <c r="A317" s="39" t="s">
        <v>218</v>
      </c>
      <c r="B317" s="40">
        <v>1879215.0</v>
      </c>
      <c r="C317" s="40">
        <v>0.0</v>
      </c>
      <c r="D317" s="41">
        <v>45969.717142291665</v>
      </c>
    </row>
    <row r="318">
      <c r="A318" s="39" t="s">
        <v>218</v>
      </c>
      <c r="B318" s="40">
        <v>1892322.0</v>
      </c>
      <c r="C318" s="40">
        <v>0.0</v>
      </c>
      <c r="D318" s="41">
        <v>45976.71378737269</v>
      </c>
    </row>
    <row r="319">
      <c r="A319" s="39" t="s">
        <v>218</v>
      </c>
      <c r="B319" s="40">
        <v>1892323.0</v>
      </c>
      <c r="C319" s="40">
        <v>0.0</v>
      </c>
      <c r="D319" s="41">
        <v>45976.71378902778</v>
      </c>
    </row>
    <row r="320">
      <c r="A320" s="39" t="s">
        <v>218</v>
      </c>
      <c r="B320" s="40">
        <v>1892324.0</v>
      </c>
      <c r="C320" s="40">
        <v>0.0</v>
      </c>
      <c r="D320" s="41">
        <v>45976.71379109954</v>
      </c>
    </row>
    <row r="321">
      <c r="A321" s="39" t="s">
        <v>218</v>
      </c>
      <c r="B321" s="40">
        <v>1892325.0</v>
      </c>
      <c r="C321" s="40">
        <v>0.0</v>
      </c>
      <c r="D321" s="41">
        <v>45976.713793055555</v>
      </c>
    </row>
    <row r="322">
      <c r="A322" s="39" t="s">
        <v>218</v>
      </c>
      <c r="B322" s="40">
        <v>1892326.0</v>
      </c>
      <c r="C322" s="40">
        <v>0.0</v>
      </c>
      <c r="D322" s="41">
        <v>45976.7138003125</v>
      </c>
    </row>
    <row r="323">
      <c r="A323" s="39" t="s">
        <v>218</v>
      </c>
      <c r="B323" s="40">
        <v>1901634.0</v>
      </c>
      <c r="C323" s="40">
        <v>0.0</v>
      </c>
      <c r="D323" s="41">
        <v>45992.422436319444</v>
      </c>
    </row>
    <row r="324">
      <c r="A324" s="39" t="s">
        <v>218</v>
      </c>
      <c r="B324" s="40">
        <v>1905196.0</v>
      </c>
      <c r="C324" s="40">
        <v>0.0</v>
      </c>
      <c r="D324" s="41">
        <v>45997.71478443287</v>
      </c>
    </row>
    <row r="325">
      <c r="A325" s="39" t="s">
        <v>218</v>
      </c>
      <c r="B325" s="40">
        <v>1905197.0</v>
      </c>
      <c r="C325" s="40">
        <v>0.0</v>
      </c>
      <c r="D325" s="41">
        <v>45997.71478820602</v>
      </c>
    </row>
    <row r="326">
      <c r="A326" s="39" t="s">
        <v>218</v>
      </c>
      <c r="B326" s="40">
        <v>1905198.0</v>
      </c>
      <c r="C326" s="40">
        <v>0.0</v>
      </c>
      <c r="D326" s="41">
        <v>45997.714793217594</v>
      </c>
    </row>
    <row r="327">
      <c r="A327" s="39" t="s">
        <v>218</v>
      </c>
      <c r="B327" s="40">
        <v>1905201.0</v>
      </c>
      <c r="C327" s="40">
        <v>0.0</v>
      </c>
      <c r="D327" s="41">
        <v>45997.714797152774</v>
      </c>
    </row>
    <row r="328">
      <c r="A328" s="39" t="s">
        <v>218</v>
      </c>
      <c r="B328" s="40">
        <v>1905206.0</v>
      </c>
      <c r="C328" s="40">
        <v>0.0</v>
      </c>
      <c r="D328" s="41">
        <v>45997.71480077546</v>
      </c>
    </row>
    <row r="329">
      <c r="A329" s="39" t="s">
        <v>219</v>
      </c>
      <c r="B329" s="40">
        <v>1871474.0</v>
      </c>
      <c r="C329" s="40">
        <v>10.0</v>
      </c>
      <c r="D329" s="41">
        <v>45968.46933600694</v>
      </c>
    </row>
    <row r="330">
      <c r="A330" s="39" t="s">
        <v>219</v>
      </c>
      <c r="B330" s="40">
        <v>1871475.0</v>
      </c>
      <c r="C330" s="40">
        <v>5.0</v>
      </c>
      <c r="D330" s="41">
        <v>45968.46934082176</v>
      </c>
    </row>
    <row r="331">
      <c r="A331" s="39" t="s">
        <v>219</v>
      </c>
      <c r="B331" s="40">
        <v>1871476.0</v>
      </c>
      <c r="C331" s="40">
        <v>0.0</v>
      </c>
      <c r="D331" s="41">
        <v>45968.46934344908</v>
      </c>
    </row>
    <row r="332">
      <c r="A332" s="39" t="s">
        <v>219</v>
      </c>
      <c r="B332" s="40">
        <v>1871477.0</v>
      </c>
      <c r="C332" s="40">
        <v>0.0</v>
      </c>
      <c r="D332" s="41">
        <v>45968.46934891204</v>
      </c>
    </row>
    <row r="333">
      <c r="A333" s="39" t="s">
        <v>219</v>
      </c>
      <c r="B333" s="40">
        <v>1871478.0</v>
      </c>
      <c r="C333" s="40">
        <v>0.0</v>
      </c>
      <c r="D333" s="41">
        <v>45968.469351747684</v>
      </c>
    </row>
    <row r="334">
      <c r="A334" s="39" t="s">
        <v>219</v>
      </c>
      <c r="B334" s="40">
        <v>1872001.0</v>
      </c>
      <c r="C334" s="40">
        <v>0.0</v>
      </c>
      <c r="D334" s="41">
        <v>45968.4693543287</v>
      </c>
    </row>
    <row r="335">
      <c r="A335" s="39" t="s">
        <v>219</v>
      </c>
      <c r="B335" s="40">
        <v>1872002.0</v>
      </c>
      <c r="C335" s="40">
        <v>0.0</v>
      </c>
      <c r="D335" s="41">
        <v>45968.46935958334</v>
      </c>
    </row>
    <row r="336">
      <c r="A336" s="39" t="s">
        <v>219</v>
      </c>
      <c r="B336" s="40">
        <v>1872003.0</v>
      </c>
      <c r="C336" s="40">
        <v>0.0</v>
      </c>
      <c r="D336" s="41">
        <v>45968.469361932875</v>
      </c>
    </row>
    <row r="337">
      <c r="A337" s="39" t="s">
        <v>219</v>
      </c>
      <c r="B337" s="40">
        <v>1872011.0</v>
      </c>
      <c r="C337" s="40">
        <v>0.0</v>
      </c>
      <c r="D337" s="41">
        <v>45968.46936427083</v>
      </c>
    </row>
    <row r="338">
      <c r="A338" s="39" t="s">
        <v>219</v>
      </c>
      <c r="B338" s="40">
        <v>1872014.0</v>
      </c>
      <c r="C338" s="40">
        <v>0.0</v>
      </c>
      <c r="D338" s="41">
        <v>45968.4693667824</v>
      </c>
    </row>
    <row r="339">
      <c r="A339" s="39" t="s">
        <v>219</v>
      </c>
      <c r="B339" s="40">
        <v>1879211.0</v>
      </c>
      <c r="C339" s="40">
        <v>10.0</v>
      </c>
      <c r="D339" s="41">
        <v>45968.4693759375</v>
      </c>
    </row>
    <row r="340">
      <c r="A340" s="39" t="s">
        <v>219</v>
      </c>
      <c r="B340" s="40">
        <v>1879212.0</v>
      </c>
      <c r="C340" s="40">
        <v>14.0</v>
      </c>
      <c r="D340" s="41">
        <v>45979.4938350463</v>
      </c>
    </row>
    <row r="341">
      <c r="A341" s="39" t="s">
        <v>219</v>
      </c>
      <c r="B341" s="40">
        <v>1879213.0</v>
      </c>
      <c r="C341" s="40">
        <v>0.0</v>
      </c>
      <c r="D341" s="41">
        <v>45969.71714466435</v>
      </c>
    </row>
    <row r="342">
      <c r="A342" s="39" t="s">
        <v>219</v>
      </c>
      <c r="B342" s="40">
        <v>1879214.0</v>
      </c>
      <c r="C342" s="40">
        <v>0.0</v>
      </c>
      <c r="D342" s="41">
        <v>45969.71714688657</v>
      </c>
    </row>
    <row r="343">
      <c r="A343" s="39" t="s">
        <v>219</v>
      </c>
      <c r="B343" s="40">
        <v>1879215.0</v>
      </c>
      <c r="C343" s="40">
        <v>6.0</v>
      </c>
      <c r="D343" s="41">
        <v>45974.48377946759</v>
      </c>
    </row>
    <row r="344">
      <c r="A344" s="39" t="s">
        <v>219</v>
      </c>
      <c r="B344" s="40">
        <v>1892322.0</v>
      </c>
      <c r="C344" s="40">
        <v>8.0</v>
      </c>
      <c r="D344" s="41">
        <v>45979.493838229166</v>
      </c>
    </row>
    <row r="345">
      <c r="A345" s="39" t="s">
        <v>219</v>
      </c>
      <c r="B345" s="40">
        <v>1892323.0</v>
      </c>
      <c r="C345" s="40">
        <v>0.0</v>
      </c>
      <c r="D345" s="41">
        <v>45976.713804259256</v>
      </c>
    </row>
    <row r="346">
      <c r="A346" s="39" t="s">
        <v>219</v>
      </c>
      <c r="B346" s="40">
        <v>1892324.0</v>
      </c>
      <c r="C346" s="40">
        <v>0.0</v>
      </c>
      <c r="D346" s="41">
        <v>45976.713813263894</v>
      </c>
    </row>
    <row r="347">
      <c r="A347" s="39" t="s">
        <v>219</v>
      </c>
      <c r="B347" s="40">
        <v>1892325.0</v>
      </c>
      <c r="C347" s="40">
        <v>0.0</v>
      </c>
      <c r="D347" s="41">
        <v>45976.71381508102</v>
      </c>
    </row>
    <row r="348">
      <c r="A348" s="39" t="s">
        <v>219</v>
      </c>
      <c r="B348" s="40">
        <v>1892326.0</v>
      </c>
      <c r="C348" s="40">
        <v>0.0</v>
      </c>
      <c r="D348" s="41">
        <v>45976.713819641205</v>
      </c>
    </row>
    <row r="349">
      <c r="A349" s="39" t="s">
        <v>219</v>
      </c>
      <c r="B349" s="40">
        <v>1901634.0</v>
      </c>
      <c r="C349" s="40">
        <v>0.0</v>
      </c>
      <c r="D349" s="41">
        <v>45992.4224402199</v>
      </c>
    </row>
    <row r="350">
      <c r="A350" s="39" t="s">
        <v>219</v>
      </c>
      <c r="B350" s="40">
        <v>1905196.0</v>
      </c>
      <c r="C350" s="40">
        <v>0.0</v>
      </c>
      <c r="D350" s="41">
        <v>45997.71480465277</v>
      </c>
    </row>
    <row r="351">
      <c r="A351" s="39" t="s">
        <v>219</v>
      </c>
      <c r="B351" s="40">
        <v>1905197.0</v>
      </c>
      <c r="C351" s="40">
        <v>0.0</v>
      </c>
      <c r="D351" s="41">
        <v>45997.71480806713</v>
      </c>
    </row>
    <row r="352">
      <c r="A352" s="39" t="s">
        <v>219</v>
      </c>
      <c r="B352" s="40">
        <v>1905198.0</v>
      </c>
      <c r="C352" s="40">
        <v>0.0</v>
      </c>
      <c r="D352" s="41">
        <v>45997.71481287037</v>
      </c>
    </row>
    <row r="353">
      <c r="A353" s="39" t="s">
        <v>219</v>
      </c>
      <c r="B353" s="40">
        <v>1905201.0</v>
      </c>
      <c r="C353" s="40">
        <v>0.0</v>
      </c>
      <c r="D353" s="41">
        <v>45997.71481658565</v>
      </c>
    </row>
    <row r="354">
      <c r="A354" s="39" t="s">
        <v>219</v>
      </c>
      <c r="B354" s="40">
        <v>1905206.0</v>
      </c>
      <c r="C354" s="40">
        <v>0.0</v>
      </c>
      <c r="D354" s="41">
        <v>45997.714820381945</v>
      </c>
    </row>
    <row r="355">
      <c r="A355" s="39" t="s">
        <v>220</v>
      </c>
      <c r="B355" s="40">
        <v>1871474.0</v>
      </c>
      <c r="C355" s="40">
        <v>10.0</v>
      </c>
      <c r="D355" s="41">
        <v>45978.63928668981</v>
      </c>
    </row>
    <row r="356">
      <c r="A356" s="39" t="s">
        <v>220</v>
      </c>
      <c r="B356" s="40">
        <v>1871475.0</v>
      </c>
      <c r="C356" s="40">
        <v>0.0</v>
      </c>
      <c r="D356" s="41">
        <v>45968.46938483797</v>
      </c>
    </row>
    <row r="357">
      <c r="A357" s="39" t="s">
        <v>220</v>
      </c>
      <c r="B357" s="40">
        <v>1871477.0</v>
      </c>
      <c r="C357" s="40">
        <v>0.0</v>
      </c>
      <c r="D357" s="41">
        <v>45968.46939442129</v>
      </c>
    </row>
    <row r="358">
      <c r="A358" s="39" t="s">
        <v>220</v>
      </c>
      <c r="B358" s="40">
        <v>1871478.0</v>
      </c>
      <c r="C358" s="40">
        <v>0.0</v>
      </c>
      <c r="D358" s="41">
        <v>45968.46939711805</v>
      </c>
    </row>
    <row r="359">
      <c r="A359" s="39" t="s">
        <v>220</v>
      </c>
      <c r="B359" s="40">
        <v>1872001.0</v>
      </c>
      <c r="C359" s="40">
        <v>0.0</v>
      </c>
      <c r="D359" s="41">
        <v>45968.469401319446</v>
      </c>
    </row>
    <row r="360">
      <c r="A360" s="39" t="s">
        <v>220</v>
      </c>
      <c r="B360" s="40">
        <v>1872002.0</v>
      </c>
      <c r="C360" s="40">
        <v>0.0</v>
      </c>
      <c r="D360" s="41">
        <v>45968.46940361111</v>
      </c>
    </row>
    <row r="361">
      <c r="A361" s="39" t="s">
        <v>220</v>
      </c>
      <c r="B361" s="40">
        <v>1872003.0</v>
      </c>
      <c r="C361" s="40">
        <v>0.0</v>
      </c>
      <c r="D361" s="41">
        <v>45968.469408379635</v>
      </c>
    </row>
    <row r="362">
      <c r="A362" s="39" t="s">
        <v>220</v>
      </c>
      <c r="B362" s="40">
        <v>1872011.0</v>
      </c>
      <c r="C362" s="40">
        <v>0.0</v>
      </c>
      <c r="D362" s="41">
        <v>45968.469419988425</v>
      </c>
    </row>
    <row r="363">
      <c r="A363" s="39" t="s">
        <v>220</v>
      </c>
      <c r="B363" s="40">
        <v>1872014.0</v>
      </c>
      <c r="C363" s="40">
        <v>0.0</v>
      </c>
      <c r="D363" s="41">
        <v>45968.469431053236</v>
      </c>
    </row>
    <row r="364">
      <c r="A364" s="39" t="s">
        <v>220</v>
      </c>
      <c r="B364" s="40">
        <v>1879211.0</v>
      </c>
      <c r="C364" s="40">
        <v>0.0</v>
      </c>
      <c r="D364" s="41">
        <v>45969.71715094907</v>
      </c>
    </row>
    <row r="365">
      <c r="A365" s="39" t="s">
        <v>220</v>
      </c>
      <c r="B365" s="40">
        <v>1879212.0</v>
      </c>
      <c r="C365" s="40">
        <v>0.0</v>
      </c>
      <c r="D365" s="41">
        <v>45969.71715278935</v>
      </c>
    </row>
    <row r="366">
      <c r="A366" s="39" t="s">
        <v>220</v>
      </c>
      <c r="B366" s="40">
        <v>1879213.0</v>
      </c>
      <c r="C366" s="40">
        <v>0.0</v>
      </c>
      <c r="D366" s="41">
        <v>45969.71715484954</v>
      </c>
    </row>
    <row r="367">
      <c r="A367" s="39" t="s">
        <v>220</v>
      </c>
      <c r="B367" s="40">
        <v>1879214.0</v>
      </c>
      <c r="C367" s="40">
        <v>0.0</v>
      </c>
      <c r="D367" s="41">
        <v>45969.7171568287</v>
      </c>
    </row>
    <row r="368">
      <c r="A368" s="39" t="s">
        <v>220</v>
      </c>
      <c r="B368" s="40">
        <v>1879215.0</v>
      </c>
      <c r="C368" s="40">
        <v>0.0</v>
      </c>
      <c r="D368" s="41">
        <v>45969.717159618056</v>
      </c>
    </row>
    <row r="369">
      <c r="A369" s="39" t="s">
        <v>220</v>
      </c>
      <c r="B369" s="40">
        <v>1892322.0</v>
      </c>
      <c r="C369" s="40">
        <v>0.0</v>
      </c>
      <c r="D369" s="41">
        <v>45976.71382122685</v>
      </c>
    </row>
    <row r="370">
      <c r="A370" s="39" t="s">
        <v>220</v>
      </c>
      <c r="B370" s="40">
        <v>1892323.0</v>
      </c>
      <c r="C370" s="40">
        <v>0.0</v>
      </c>
      <c r="D370" s="41">
        <v>45976.71382351852</v>
      </c>
    </row>
    <row r="371">
      <c r="A371" s="39" t="s">
        <v>220</v>
      </c>
      <c r="B371" s="40">
        <v>1892324.0</v>
      </c>
      <c r="C371" s="40">
        <v>0.0</v>
      </c>
      <c r="D371" s="41">
        <v>45976.71382560185</v>
      </c>
    </row>
    <row r="372">
      <c r="A372" s="39" t="s">
        <v>220</v>
      </c>
      <c r="B372" s="40">
        <v>1892325.0</v>
      </c>
      <c r="C372" s="40">
        <v>0.0</v>
      </c>
      <c r="D372" s="41">
        <v>45976.713827893516</v>
      </c>
    </row>
    <row r="373">
      <c r="A373" s="39" t="s">
        <v>220</v>
      </c>
      <c r="B373" s="40">
        <v>1892326.0</v>
      </c>
      <c r="C373" s="40">
        <v>0.0</v>
      </c>
      <c r="D373" s="41">
        <v>45976.71384622685</v>
      </c>
    </row>
    <row r="374">
      <c r="A374" s="39" t="s">
        <v>220</v>
      </c>
      <c r="B374" s="40">
        <v>1901634.0</v>
      </c>
      <c r="C374" s="40">
        <v>0.0</v>
      </c>
      <c r="D374" s="41">
        <v>45992.42244995371</v>
      </c>
    </row>
    <row r="375">
      <c r="A375" s="39" t="s">
        <v>220</v>
      </c>
      <c r="B375" s="40">
        <v>1905196.0</v>
      </c>
      <c r="C375" s="40">
        <v>0.0</v>
      </c>
      <c r="D375" s="41">
        <v>45997.71484310185</v>
      </c>
    </row>
    <row r="376">
      <c r="A376" s="39" t="s">
        <v>220</v>
      </c>
      <c r="B376" s="40">
        <v>1905197.0</v>
      </c>
      <c r="C376" s="40">
        <v>0.0</v>
      </c>
      <c r="D376" s="41">
        <v>45997.71484667824</v>
      </c>
    </row>
    <row r="377">
      <c r="A377" s="39" t="s">
        <v>220</v>
      </c>
      <c r="B377" s="40">
        <v>1905198.0</v>
      </c>
      <c r="C377" s="40">
        <v>0.0</v>
      </c>
      <c r="D377" s="41">
        <v>45997.71485097222</v>
      </c>
    </row>
    <row r="378">
      <c r="A378" s="39" t="s">
        <v>220</v>
      </c>
      <c r="B378" s="40">
        <v>1905201.0</v>
      </c>
      <c r="C378" s="40">
        <v>0.0</v>
      </c>
      <c r="D378" s="41">
        <v>45997.71485481481</v>
      </c>
    </row>
    <row r="379">
      <c r="A379" s="39" t="s">
        <v>220</v>
      </c>
      <c r="B379" s="40">
        <v>1905206.0</v>
      </c>
      <c r="C379" s="40">
        <v>0.0</v>
      </c>
      <c r="D379" s="41">
        <v>45997.71485834491</v>
      </c>
    </row>
    <row r="380">
      <c r="A380" s="39" t="s">
        <v>221</v>
      </c>
      <c r="B380" s="40">
        <v>1871474.0</v>
      </c>
      <c r="C380" s="40">
        <v>10.0</v>
      </c>
      <c r="D380" s="41">
        <v>45968.4694334838</v>
      </c>
    </row>
    <row r="381">
      <c r="A381" s="39" t="s">
        <v>221</v>
      </c>
      <c r="B381" s="40">
        <v>1871475.0</v>
      </c>
      <c r="C381" s="40">
        <v>0.0</v>
      </c>
      <c r="D381" s="41">
        <v>45968.46943607639</v>
      </c>
    </row>
    <row r="382">
      <c r="A382" s="39" t="s">
        <v>221</v>
      </c>
      <c r="B382" s="40">
        <v>1871476.0</v>
      </c>
      <c r="C382" s="40">
        <v>0.0</v>
      </c>
      <c r="D382" s="41">
        <v>45968.46944085648</v>
      </c>
    </row>
    <row r="383">
      <c r="A383" s="39" t="s">
        <v>221</v>
      </c>
      <c r="B383" s="40">
        <v>1871477.0</v>
      </c>
      <c r="C383" s="40">
        <v>0.0</v>
      </c>
      <c r="D383" s="41">
        <v>45968.46945802083</v>
      </c>
    </row>
    <row r="384">
      <c r="A384" s="39" t="s">
        <v>221</v>
      </c>
      <c r="B384" s="40">
        <v>1871478.0</v>
      </c>
      <c r="C384" s="40">
        <v>0.0</v>
      </c>
      <c r="D384" s="41">
        <v>45968.4694609375</v>
      </c>
    </row>
    <row r="385">
      <c r="A385" s="39" t="s">
        <v>221</v>
      </c>
      <c r="B385" s="40">
        <v>1872001.0</v>
      </c>
      <c r="C385" s="40">
        <v>0.0</v>
      </c>
      <c r="D385" s="41">
        <v>45994.29741824074</v>
      </c>
    </row>
    <row r="386">
      <c r="A386" s="39" t="s">
        <v>221</v>
      </c>
      <c r="B386" s="40">
        <v>1872002.0</v>
      </c>
      <c r="C386" s="40">
        <v>14.0</v>
      </c>
      <c r="D386" s="41">
        <v>45978.36838506944</v>
      </c>
    </row>
    <row r="387">
      <c r="A387" s="39" t="s">
        <v>221</v>
      </c>
      <c r="B387" s="40">
        <v>1872003.0</v>
      </c>
      <c r="C387" s="40">
        <v>5.0</v>
      </c>
      <c r="D387" s="41">
        <v>45978.368388414354</v>
      </c>
    </row>
    <row r="388">
      <c r="A388" s="39" t="s">
        <v>221</v>
      </c>
      <c r="B388" s="40">
        <v>1872011.0</v>
      </c>
      <c r="C388" s="40">
        <v>12.0</v>
      </c>
      <c r="D388" s="41">
        <v>45978.36839096065</v>
      </c>
    </row>
    <row r="389">
      <c r="A389" s="39" t="s">
        <v>221</v>
      </c>
      <c r="B389" s="40">
        <v>1872014.0</v>
      </c>
      <c r="C389" s="40">
        <v>0.0</v>
      </c>
      <c r="D389" s="41">
        <v>45968.469474328704</v>
      </c>
    </row>
    <row r="390">
      <c r="A390" s="39" t="s">
        <v>221</v>
      </c>
      <c r="B390" s="40">
        <v>1879211.0</v>
      </c>
      <c r="C390" s="40">
        <v>10.0</v>
      </c>
      <c r="D390" s="41">
        <v>45979.378973287035</v>
      </c>
    </row>
    <row r="391">
      <c r="A391" s="39" t="s">
        <v>221</v>
      </c>
      <c r="B391" s="40">
        <v>1879212.0</v>
      </c>
      <c r="C391" s="40">
        <v>8.0</v>
      </c>
      <c r="D391" s="41">
        <v>45979.378977824075</v>
      </c>
    </row>
    <row r="392">
      <c r="A392" s="39" t="s">
        <v>221</v>
      </c>
      <c r="B392" s="40">
        <v>1879213.0</v>
      </c>
      <c r="C392" s="40">
        <v>10.0</v>
      </c>
      <c r="D392" s="41">
        <v>45979.378983125</v>
      </c>
    </row>
    <row r="393">
      <c r="A393" s="39" t="s">
        <v>221</v>
      </c>
      <c r="B393" s="40">
        <v>1879214.0</v>
      </c>
      <c r="C393" s="40">
        <v>0.0</v>
      </c>
      <c r="D393" s="41">
        <v>45969.7171687963</v>
      </c>
    </row>
    <row r="394">
      <c r="A394" s="39" t="s">
        <v>221</v>
      </c>
      <c r="B394" s="40">
        <v>1879215.0</v>
      </c>
      <c r="C394" s="40">
        <v>6.0</v>
      </c>
      <c r="D394" s="41">
        <v>45979.37898770833</v>
      </c>
    </row>
    <row r="395">
      <c r="A395" s="39" t="s">
        <v>221</v>
      </c>
      <c r="B395" s="40">
        <v>1892323.0</v>
      </c>
      <c r="C395" s="40">
        <v>5.0</v>
      </c>
      <c r="D395" s="41">
        <v>45978.64965104166</v>
      </c>
    </row>
    <row r="396">
      <c r="A396" s="39" t="s">
        <v>221</v>
      </c>
      <c r="B396" s="40">
        <v>1892324.0</v>
      </c>
      <c r="C396" s="40">
        <v>0.0</v>
      </c>
      <c r="D396" s="41">
        <v>45976.71385252315</v>
      </c>
    </row>
    <row r="397">
      <c r="A397" s="39" t="s">
        <v>221</v>
      </c>
      <c r="B397" s="40">
        <v>1892325.0</v>
      </c>
      <c r="C397" s="40">
        <v>0.0</v>
      </c>
      <c r="D397" s="41">
        <v>45976.71385494213</v>
      </c>
    </row>
    <row r="398">
      <c r="A398" s="39" t="s">
        <v>221</v>
      </c>
      <c r="B398" s="40">
        <v>1892326.0</v>
      </c>
      <c r="C398" s="40">
        <v>0.0</v>
      </c>
      <c r="D398" s="41">
        <v>45976.713859826385</v>
      </c>
    </row>
    <row r="399">
      <c r="A399" s="39" t="s">
        <v>221</v>
      </c>
      <c r="B399" s="40">
        <v>1901634.0</v>
      </c>
      <c r="C399" s="40">
        <v>23.0</v>
      </c>
      <c r="D399" s="41">
        <v>45994.29742480324</v>
      </c>
    </row>
    <row r="400">
      <c r="A400" s="39" t="s">
        <v>221</v>
      </c>
      <c r="B400" s="40">
        <v>1905196.0</v>
      </c>
      <c r="C400" s="40">
        <v>0.0</v>
      </c>
      <c r="D400" s="41">
        <v>45997.7148674537</v>
      </c>
    </row>
    <row r="401">
      <c r="A401" s="39" t="s">
        <v>221</v>
      </c>
      <c r="B401" s="40">
        <v>1905197.0</v>
      </c>
      <c r="C401" s="40">
        <v>0.0</v>
      </c>
      <c r="D401" s="41">
        <v>45997.71487195602</v>
      </c>
    </row>
    <row r="402">
      <c r="A402" s="39" t="s">
        <v>221</v>
      </c>
      <c r="B402" s="40">
        <v>1905198.0</v>
      </c>
      <c r="C402" s="40">
        <v>0.0</v>
      </c>
      <c r="D402" s="41">
        <v>45997.714927071764</v>
      </c>
    </row>
    <row r="403">
      <c r="A403" s="39" t="s">
        <v>221</v>
      </c>
      <c r="B403" s="40">
        <v>1905201.0</v>
      </c>
      <c r="C403" s="40">
        <v>0.0</v>
      </c>
      <c r="D403" s="41">
        <v>45997.7149311574</v>
      </c>
    </row>
    <row r="404">
      <c r="A404" s="39" t="s">
        <v>221</v>
      </c>
      <c r="B404" s="40">
        <v>1905206.0</v>
      </c>
      <c r="C404" s="40">
        <v>0.0</v>
      </c>
      <c r="D404" s="41">
        <v>45997.71493545139</v>
      </c>
    </row>
    <row r="405">
      <c r="A405" s="39" t="s">
        <v>221</v>
      </c>
      <c r="B405" s="40">
        <v>1909202.0</v>
      </c>
      <c r="C405" s="40">
        <v>12.0</v>
      </c>
      <c r="D405" s="41">
        <v>46003.52135387731</v>
      </c>
    </row>
    <row r="406">
      <c r="A406" s="39" t="s">
        <v>222</v>
      </c>
      <c r="B406" s="40">
        <v>1871474.0</v>
      </c>
      <c r="C406" s="40">
        <v>10.0</v>
      </c>
      <c r="D406" s="41">
        <v>45968.469479884254</v>
      </c>
    </row>
    <row r="407">
      <c r="A407" s="39" t="s">
        <v>222</v>
      </c>
      <c r="B407" s="40">
        <v>1871475.0</v>
      </c>
      <c r="C407" s="40">
        <v>10.0</v>
      </c>
      <c r="D407" s="41">
        <v>45968.469482430555</v>
      </c>
    </row>
    <row r="408">
      <c r="A408" s="39" t="s">
        <v>222</v>
      </c>
      <c r="B408" s="40">
        <v>1871477.0</v>
      </c>
      <c r="C408" s="40">
        <v>0.0</v>
      </c>
      <c r="D408" s="41">
        <v>45968.4694891088</v>
      </c>
    </row>
    <row r="409">
      <c r="A409" s="39" t="s">
        <v>222</v>
      </c>
      <c r="B409" s="40">
        <v>1871478.0</v>
      </c>
      <c r="C409" s="40">
        <v>20.0</v>
      </c>
      <c r="D409" s="41">
        <v>45968.46949149306</v>
      </c>
    </row>
    <row r="410">
      <c r="A410" s="39" t="s">
        <v>222</v>
      </c>
      <c r="B410" s="40">
        <v>1872001.0</v>
      </c>
      <c r="C410" s="40">
        <v>0.0</v>
      </c>
      <c r="D410" s="41">
        <v>45994.297432638894</v>
      </c>
    </row>
    <row r="411">
      <c r="A411" s="39" t="s">
        <v>222</v>
      </c>
      <c r="B411" s="40">
        <v>1872002.0</v>
      </c>
      <c r="C411" s="40">
        <v>20.0</v>
      </c>
      <c r="D411" s="41">
        <v>45968.46949644676</v>
      </c>
    </row>
    <row r="412">
      <c r="A412" s="39" t="s">
        <v>222</v>
      </c>
      <c r="B412" s="40">
        <v>1872003.0</v>
      </c>
      <c r="C412" s="40">
        <v>14.0</v>
      </c>
      <c r="D412" s="41">
        <v>45968.469499733794</v>
      </c>
    </row>
    <row r="413">
      <c r="A413" s="39" t="s">
        <v>222</v>
      </c>
      <c r="B413" s="40">
        <v>1872011.0</v>
      </c>
      <c r="C413" s="40">
        <v>0.0</v>
      </c>
      <c r="D413" s="41">
        <v>45968.46950237268</v>
      </c>
    </row>
    <row r="414">
      <c r="A414" s="39" t="s">
        <v>222</v>
      </c>
      <c r="B414" s="40">
        <v>1872014.0</v>
      </c>
      <c r="C414" s="40">
        <v>0.0</v>
      </c>
      <c r="D414" s="41">
        <v>45968.469508888884</v>
      </c>
    </row>
    <row r="415">
      <c r="A415" s="39" t="s">
        <v>222</v>
      </c>
      <c r="B415" s="40">
        <v>1879211.0</v>
      </c>
      <c r="C415" s="40">
        <v>0.0</v>
      </c>
      <c r="D415" s="41">
        <v>45969.71719023148</v>
      </c>
    </row>
    <row r="416">
      <c r="A416" s="39" t="s">
        <v>222</v>
      </c>
      <c r="B416" s="40">
        <v>1879212.0</v>
      </c>
      <c r="C416" s="40">
        <v>0.0</v>
      </c>
      <c r="D416" s="41">
        <v>45969.71719217593</v>
      </c>
    </row>
    <row r="417">
      <c r="A417" s="39" t="s">
        <v>222</v>
      </c>
      <c r="B417" s="40">
        <v>1879213.0</v>
      </c>
      <c r="C417" s="40">
        <v>0.0</v>
      </c>
      <c r="D417" s="41">
        <v>45969.7171940625</v>
      </c>
    </row>
    <row r="418">
      <c r="A418" s="39" t="s">
        <v>222</v>
      </c>
      <c r="B418" s="40">
        <v>1879214.0</v>
      </c>
      <c r="C418" s="40">
        <v>0.0</v>
      </c>
      <c r="D418" s="41">
        <v>45969.7171962037</v>
      </c>
    </row>
    <row r="419">
      <c r="A419" s="39" t="s">
        <v>222</v>
      </c>
      <c r="B419" s="40">
        <v>1879215.0</v>
      </c>
      <c r="C419" s="40">
        <v>0.0</v>
      </c>
      <c r="D419" s="41">
        <v>45969.71719815972</v>
      </c>
    </row>
    <row r="420">
      <c r="A420" s="39" t="s">
        <v>222</v>
      </c>
      <c r="B420" s="40">
        <v>1892322.0</v>
      </c>
      <c r="C420" s="40">
        <v>0.0</v>
      </c>
      <c r="D420" s="41">
        <v>45976.71386341435</v>
      </c>
    </row>
    <row r="421">
      <c r="A421" s="39" t="s">
        <v>222</v>
      </c>
      <c r="B421" s="40">
        <v>1892323.0</v>
      </c>
      <c r="C421" s="40">
        <v>0.0</v>
      </c>
      <c r="D421" s="41">
        <v>45976.71386524306</v>
      </c>
    </row>
    <row r="422">
      <c r="A422" s="39" t="s">
        <v>222</v>
      </c>
      <c r="B422" s="40">
        <v>1892324.0</v>
      </c>
      <c r="C422" s="40">
        <v>0.0</v>
      </c>
      <c r="D422" s="41">
        <v>45976.71386754629</v>
      </c>
    </row>
    <row r="423">
      <c r="A423" s="39" t="s">
        <v>222</v>
      </c>
      <c r="B423" s="40">
        <v>1892325.0</v>
      </c>
      <c r="C423" s="40">
        <v>0.0</v>
      </c>
      <c r="D423" s="41">
        <v>45976.71386991898</v>
      </c>
    </row>
    <row r="424">
      <c r="A424" s="39" t="s">
        <v>222</v>
      </c>
      <c r="B424" s="40">
        <v>1892326.0</v>
      </c>
      <c r="C424" s="40">
        <v>0.0</v>
      </c>
      <c r="D424" s="41">
        <v>45976.713871678236</v>
      </c>
    </row>
    <row r="425">
      <c r="A425" s="39" t="s">
        <v>222</v>
      </c>
      <c r="B425" s="40">
        <v>1901634.0</v>
      </c>
      <c r="C425" s="40">
        <v>22.0</v>
      </c>
      <c r="D425" s="41">
        <v>45994.29743708333</v>
      </c>
    </row>
    <row r="426">
      <c r="A426" s="39" t="s">
        <v>222</v>
      </c>
      <c r="B426" s="40">
        <v>1905196.0</v>
      </c>
      <c r="C426" s="40">
        <v>3.0</v>
      </c>
      <c r="D426" s="41">
        <v>45998.714069444446</v>
      </c>
    </row>
    <row r="427">
      <c r="A427" s="39" t="s">
        <v>222</v>
      </c>
      <c r="B427" s="40">
        <v>1905197.0</v>
      </c>
      <c r="C427" s="40">
        <v>0.0</v>
      </c>
      <c r="D427" s="41">
        <v>45997.7149468287</v>
      </c>
    </row>
    <row r="428">
      <c r="A428" s="39" t="s">
        <v>222</v>
      </c>
      <c r="B428" s="40">
        <v>1905198.0</v>
      </c>
      <c r="C428" s="40">
        <v>0.0</v>
      </c>
      <c r="D428" s="41">
        <v>45997.71495502315</v>
      </c>
    </row>
    <row r="429">
      <c r="A429" s="39" t="s">
        <v>222</v>
      </c>
      <c r="B429" s="40">
        <v>1905201.0</v>
      </c>
      <c r="C429" s="40">
        <v>0.0</v>
      </c>
      <c r="D429" s="41">
        <v>45997.71495731482</v>
      </c>
    </row>
    <row r="430">
      <c r="A430" s="39" t="s">
        <v>222</v>
      </c>
      <c r="B430" s="40">
        <v>1905206.0</v>
      </c>
      <c r="C430" s="40">
        <v>0.0</v>
      </c>
      <c r="D430" s="41">
        <v>45997.71496109954</v>
      </c>
    </row>
    <row r="431">
      <c r="A431" s="39" t="s">
        <v>222</v>
      </c>
      <c r="B431" s="40">
        <v>1909202.0</v>
      </c>
      <c r="C431" s="40">
        <v>6.0</v>
      </c>
      <c r="D431" s="41">
        <v>46003.52135387731</v>
      </c>
    </row>
    <row r="432">
      <c r="A432" s="39" t="s">
        <v>223</v>
      </c>
      <c r="B432" s="40">
        <v>1871474.0</v>
      </c>
      <c r="C432" s="40">
        <v>0.0</v>
      </c>
      <c r="D432" s="41">
        <v>45968.469517523146</v>
      </c>
    </row>
    <row r="433">
      <c r="A433" s="39" t="s">
        <v>223</v>
      </c>
      <c r="B433" s="40">
        <v>1871475.0</v>
      </c>
      <c r="C433" s="40">
        <v>0.0</v>
      </c>
      <c r="D433" s="41">
        <v>45968.46952042824</v>
      </c>
    </row>
    <row r="434">
      <c r="A434" s="39" t="s">
        <v>223</v>
      </c>
      <c r="B434" s="40">
        <v>1871476.0</v>
      </c>
      <c r="C434" s="40">
        <v>0.0</v>
      </c>
      <c r="D434" s="41">
        <v>45968.46952293981</v>
      </c>
    </row>
    <row r="435">
      <c r="A435" s="39" t="s">
        <v>223</v>
      </c>
      <c r="B435" s="40">
        <v>1871477.0</v>
      </c>
      <c r="C435" s="40">
        <v>0.0</v>
      </c>
      <c r="D435" s="41">
        <v>45968.46952853009</v>
      </c>
    </row>
    <row r="436">
      <c r="A436" s="39" t="s">
        <v>223</v>
      </c>
      <c r="B436" s="40">
        <v>1871478.0</v>
      </c>
      <c r="C436" s="40">
        <v>0.0</v>
      </c>
      <c r="D436" s="41">
        <v>45968.469531400464</v>
      </c>
    </row>
    <row r="437">
      <c r="A437" s="39" t="s">
        <v>223</v>
      </c>
      <c r="B437" s="40">
        <v>1872001.0</v>
      </c>
      <c r="C437" s="40">
        <v>0.0</v>
      </c>
      <c r="D437" s="41">
        <v>45968.46953386574</v>
      </c>
    </row>
    <row r="438">
      <c r="A438" s="39" t="s">
        <v>223</v>
      </c>
      <c r="B438" s="40">
        <v>1872002.0</v>
      </c>
      <c r="C438" s="40">
        <v>0.0</v>
      </c>
      <c r="D438" s="41">
        <v>45968.46953645833</v>
      </c>
    </row>
    <row r="439">
      <c r="A439" s="39" t="s">
        <v>223</v>
      </c>
      <c r="B439" s="40">
        <v>1872003.0</v>
      </c>
      <c r="C439" s="40">
        <v>0.0</v>
      </c>
      <c r="D439" s="41">
        <v>45968.46953945602</v>
      </c>
    </row>
    <row r="440">
      <c r="A440" s="39" t="s">
        <v>223</v>
      </c>
      <c r="B440" s="40">
        <v>1872011.0</v>
      </c>
      <c r="C440" s="40">
        <v>0.0</v>
      </c>
      <c r="D440" s="41">
        <v>45968.469541956016</v>
      </c>
    </row>
    <row r="441">
      <c r="A441" s="39" t="s">
        <v>223</v>
      </c>
      <c r="B441" s="40">
        <v>1872014.0</v>
      </c>
      <c r="C441" s="40">
        <v>0.0</v>
      </c>
      <c r="D441" s="41">
        <v>45968.46954464121</v>
      </c>
    </row>
    <row r="442">
      <c r="A442" s="39" t="s">
        <v>223</v>
      </c>
      <c r="B442" s="40">
        <v>1879211.0</v>
      </c>
      <c r="C442" s="40">
        <v>0.0</v>
      </c>
      <c r="D442" s="41">
        <v>45969.71720072917</v>
      </c>
    </row>
    <row r="443">
      <c r="A443" s="39" t="s">
        <v>223</v>
      </c>
      <c r="B443" s="40">
        <v>1879212.0</v>
      </c>
      <c r="C443" s="40">
        <v>0.0</v>
      </c>
      <c r="D443" s="41">
        <v>45969.71720353009</v>
      </c>
    </row>
    <row r="444">
      <c r="A444" s="39" t="s">
        <v>223</v>
      </c>
      <c r="B444" s="40">
        <v>1879213.0</v>
      </c>
      <c r="C444" s="40">
        <v>0.0</v>
      </c>
      <c r="D444" s="41">
        <v>45969.71720542824</v>
      </c>
    </row>
    <row r="445">
      <c r="A445" s="39" t="s">
        <v>223</v>
      </c>
      <c r="B445" s="40">
        <v>1879214.0</v>
      </c>
      <c r="C445" s="40">
        <v>0.0</v>
      </c>
      <c r="D445" s="41">
        <v>45969.71721219907</v>
      </c>
    </row>
    <row r="446">
      <c r="A446" s="39" t="s">
        <v>223</v>
      </c>
      <c r="B446" s="40">
        <v>1879215.0</v>
      </c>
      <c r="C446" s="40">
        <v>0.0</v>
      </c>
      <c r="D446" s="41">
        <v>45969.717214108794</v>
      </c>
    </row>
    <row r="447">
      <c r="A447" s="39" t="s">
        <v>223</v>
      </c>
      <c r="B447" s="40">
        <v>1892322.0</v>
      </c>
      <c r="C447" s="40">
        <v>0.0</v>
      </c>
      <c r="D447" s="41">
        <v>45976.71387337963</v>
      </c>
    </row>
    <row r="448">
      <c r="A448" s="39" t="s">
        <v>223</v>
      </c>
      <c r="B448" s="40">
        <v>1892323.0</v>
      </c>
      <c r="C448" s="40">
        <v>0.0</v>
      </c>
      <c r="D448" s="41">
        <v>45976.71387525463</v>
      </c>
    </row>
    <row r="449">
      <c r="A449" s="39" t="s">
        <v>223</v>
      </c>
      <c r="B449" s="40">
        <v>1892324.0</v>
      </c>
      <c r="C449" s="40">
        <v>0.0</v>
      </c>
      <c r="D449" s="41">
        <v>45976.713878043985</v>
      </c>
    </row>
    <row r="450">
      <c r="A450" s="39" t="s">
        <v>223</v>
      </c>
      <c r="B450" s="40">
        <v>1892325.0</v>
      </c>
      <c r="C450" s="40">
        <v>0.0</v>
      </c>
      <c r="D450" s="41">
        <v>45976.71387990741</v>
      </c>
    </row>
    <row r="451">
      <c r="A451" s="39" t="s">
        <v>223</v>
      </c>
      <c r="B451" s="40">
        <v>1892326.0</v>
      </c>
      <c r="C451" s="40">
        <v>0.0</v>
      </c>
      <c r="D451" s="41">
        <v>45976.713881828706</v>
      </c>
    </row>
    <row r="452">
      <c r="A452" s="39" t="s">
        <v>223</v>
      </c>
      <c r="B452" s="40">
        <v>1901634.0</v>
      </c>
      <c r="C452" s="40">
        <v>0.0</v>
      </c>
      <c r="D452" s="41">
        <v>45992.42247697916</v>
      </c>
    </row>
    <row r="453">
      <c r="A453" s="39" t="s">
        <v>223</v>
      </c>
      <c r="B453" s="40">
        <v>1905196.0</v>
      </c>
      <c r="C453" s="40">
        <v>0.0</v>
      </c>
      <c r="D453" s="41">
        <v>45997.71496509259</v>
      </c>
    </row>
    <row r="454">
      <c r="A454" s="39" t="s">
        <v>223</v>
      </c>
      <c r="B454" s="40">
        <v>1905197.0</v>
      </c>
      <c r="C454" s="40">
        <v>0.0</v>
      </c>
      <c r="D454" s="41">
        <v>45997.71496871528</v>
      </c>
    </row>
    <row r="455">
      <c r="A455" s="39" t="s">
        <v>223</v>
      </c>
      <c r="B455" s="40">
        <v>1905198.0</v>
      </c>
      <c r="C455" s="40">
        <v>0.0</v>
      </c>
      <c r="D455" s="41">
        <v>45997.71497328704</v>
      </c>
    </row>
    <row r="456">
      <c r="A456" s="39" t="s">
        <v>223</v>
      </c>
      <c r="B456" s="40">
        <v>1905201.0</v>
      </c>
      <c r="C456" s="40">
        <v>0.0</v>
      </c>
      <c r="D456" s="41">
        <v>45997.714979490745</v>
      </c>
    </row>
    <row r="457">
      <c r="A457" s="39" t="s">
        <v>223</v>
      </c>
      <c r="B457" s="40">
        <v>1905206.0</v>
      </c>
      <c r="C457" s="40">
        <v>0.0</v>
      </c>
      <c r="D457" s="41">
        <v>45997.714987430554</v>
      </c>
    </row>
    <row r="458">
      <c r="A458" s="39" t="s">
        <v>224</v>
      </c>
      <c r="B458" s="40">
        <v>1871474.0</v>
      </c>
      <c r="C458" s="40">
        <v>10.0</v>
      </c>
      <c r="D458" s="41">
        <v>45968.469547071756</v>
      </c>
    </row>
    <row r="459">
      <c r="A459" s="39" t="s">
        <v>224</v>
      </c>
      <c r="B459" s="40">
        <v>1871475.0</v>
      </c>
      <c r="C459" s="40">
        <v>15.0</v>
      </c>
      <c r="D459" s="41">
        <v>45968.46955006944</v>
      </c>
    </row>
    <row r="460">
      <c r="A460" s="39" t="s">
        <v>224</v>
      </c>
      <c r="B460" s="40">
        <v>1871477.0</v>
      </c>
      <c r="C460" s="40">
        <v>10.0</v>
      </c>
      <c r="D460" s="41">
        <v>45968.4695552662</v>
      </c>
    </row>
    <row r="461">
      <c r="A461" s="39" t="s">
        <v>224</v>
      </c>
      <c r="B461" s="40">
        <v>1871478.0</v>
      </c>
      <c r="C461" s="40">
        <v>20.0</v>
      </c>
      <c r="D461" s="41">
        <v>45968.46956291667</v>
      </c>
    </row>
    <row r="462">
      <c r="A462" s="39" t="s">
        <v>224</v>
      </c>
      <c r="B462" s="40">
        <v>1872001.0</v>
      </c>
      <c r="C462" s="40">
        <v>0.0</v>
      </c>
      <c r="D462" s="41">
        <v>45994.297443159725</v>
      </c>
    </row>
    <row r="463">
      <c r="A463" s="39" t="s">
        <v>224</v>
      </c>
      <c r="B463" s="40">
        <v>1872002.0</v>
      </c>
      <c r="C463" s="40">
        <v>20.0</v>
      </c>
      <c r="D463" s="41">
        <v>45968.469572256945</v>
      </c>
    </row>
    <row r="464">
      <c r="A464" s="39" t="s">
        <v>224</v>
      </c>
      <c r="B464" s="40">
        <v>1872003.0</v>
      </c>
      <c r="C464" s="40">
        <v>14.0</v>
      </c>
      <c r="D464" s="41">
        <v>45968.469574999996</v>
      </c>
    </row>
    <row r="465">
      <c r="A465" s="39" t="s">
        <v>224</v>
      </c>
      <c r="B465" s="40">
        <v>1872011.0</v>
      </c>
      <c r="C465" s="40">
        <v>12.0</v>
      </c>
      <c r="D465" s="41">
        <v>45978.410088969904</v>
      </c>
    </row>
    <row r="466">
      <c r="A466" s="39" t="s">
        <v>224</v>
      </c>
      <c r="B466" s="40">
        <v>1872014.0</v>
      </c>
      <c r="C466" s="40">
        <v>8.0</v>
      </c>
      <c r="D466" s="41">
        <v>45978.39964971065</v>
      </c>
    </row>
    <row r="467">
      <c r="A467" s="39" t="s">
        <v>224</v>
      </c>
      <c r="B467" s="40">
        <v>1879211.0</v>
      </c>
      <c r="C467" s="40">
        <v>10.0</v>
      </c>
      <c r="D467" s="41">
        <v>45968.46959020833</v>
      </c>
    </row>
    <row r="468">
      <c r="A468" s="39" t="s">
        <v>224</v>
      </c>
      <c r="B468" s="40">
        <v>1879212.0</v>
      </c>
      <c r="C468" s="40">
        <v>20.0</v>
      </c>
      <c r="D468" s="41">
        <v>45979.49385283564</v>
      </c>
    </row>
    <row r="469">
      <c r="A469" s="39" t="s">
        <v>224</v>
      </c>
      <c r="B469" s="40">
        <v>1879213.0</v>
      </c>
      <c r="C469" s="40">
        <v>20.0</v>
      </c>
      <c r="D469" s="41">
        <v>45979.73316013889</v>
      </c>
    </row>
    <row r="470">
      <c r="A470" s="39" t="s">
        <v>224</v>
      </c>
      <c r="B470" s="40">
        <v>1879214.0</v>
      </c>
      <c r="C470" s="40">
        <v>20.0</v>
      </c>
      <c r="D470" s="41">
        <v>45981.44154290509</v>
      </c>
    </row>
    <row r="471">
      <c r="A471" s="39" t="s">
        <v>224</v>
      </c>
      <c r="B471" s="40">
        <v>1879215.0</v>
      </c>
      <c r="C471" s="40">
        <v>18.0</v>
      </c>
      <c r="D471" s="41">
        <v>45979.49385646991</v>
      </c>
    </row>
    <row r="472">
      <c r="A472" s="39" t="s">
        <v>224</v>
      </c>
      <c r="B472" s="40">
        <v>1892323.0</v>
      </c>
      <c r="C472" s="40">
        <v>0.0</v>
      </c>
      <c r="D472" s="41">
        <v>45976.71388728009</v>
      </c>
    </row>
    <row r="473">
      <c r="A473" s="39" t="s">
        <v>224</v>
      </c>
      <c r="B473" s="40">
        <v>1892324.0</v>
      </c>
      <c r="C473" s="40">
        <v>0.0</v>
      </c>
      <c r="D473" s="41">
        <v>45976.71388909723</v>
      </c>
    </row>
    <row r="474">
      <c r="A474" s="39" t="s">
        <v>224</v>
      </c>
      <c r="B474" s="40">
        <v>1892325.0</v>
      </c>
      <c r="C474" s="40">
        <v>0.0</v>
      </c>
      <c r="D474" s="41">
        <v>45976.713891458334</v>
      </c>
    </row>
    <row r="475">
      <c r="A475" s="39" t="s">
        <v>224</v>
      </c>
      <c r="B475" s="40">
        <v>1892326.0</v>
      </c>
      <c r="C475" s="40">
        <v>0.0</v>
      </c>
      <c r="D475" s="41">
        <v>45976.71389328704</v>
      </c>
    </row>
    <row r="476">
      <c r="A476" s="39" t="s">
        <v>224</v>
      </c>
      <c r="B476" s="40">
        <v>1901634.0</v>
      </c>
      <c r="C476" s="40">
        <v>54.0</v>
      </c>
      <c r="D476" s="41">
        <v>45994.29744978009</v>
      </c>
    </row>
    <row r="477">
      <c r="A477" s="39" t="s">
        <v>224</v>
      </c>
      <c r="B477" s="40">
        <v>1905196.0</v>
      </c>
      <c r="C477" s="40">
        <v>12.0</v>
      </c>
      <c r="D477" s="41">
        <v>46003.52135387731</v>
      </c>
    </row>
    <row r="478">
      <c r="A478" s="39" t="s">
        <v>224</v>
      </c>
      <c r="B478" s="40">
        <v>1905197.0</v>
      </c>
      <c r="C478" s="40">
        <v>0.0</v>
      </c>
      <c r="D478" s="41">
        <v>45997.71500175926</v>
      </c>
    </row>
    <row r="479">
      <c r="A479" s="39" t="s">
        <v>224</v>
      </c>
      <c r="B479" s="40">
        <v>1905198.0</v>
      </c>
      <c r="C479" s="40">
        <v>8.0</v>
      </c>
      <c r="D479" s="41">
        <v>46003.52135387731</v>
      </c>
    </row>
    <row r="480">
      <c r="A480" s="39" t="s">
        <v>224</v>
      </c>
      <c r="B480" s="40">
        <v>1905201.0</v>
      </c>
      <c r="C480" s="40">
        <v>0.0</v>
      </c>
      <c r="D480" s="41">
        <v>45997.715008784726</v>
      </c>
    </row>
    <row r="481">
      <c r="A481" s="39" t="s">
        <v>224</v>
      </c>
      <c r="B481" s="40">
        <v>1905206.0</v>
      </c>
      <c r="C481" s="40">
        <v>0.0</v>
      </c>
      <c r="D481" s="41">
        <v>45997.71501280092</v>
      </c>
    </row>
    <row r="482">
      <c r="A482" s="39" t="s">
        <v>225</v>
      </c>
      <c r="B482" s="40">
        <v>1871474.0</v>
      </c>
      <c r="C482" s="40">
        <v>0.0</v>
      </c>
      <c r="D482" s="41">
        <v>45968.46959270834</v>
      </c>
    </row>
    <row r="483">
      <c r="A483" s="39" t="s">
        <v>225</v>
      </c>
      <c r="B483" s="40">
        <v>1871475.0</v>
      </c>
      <c r="C483" s="40">
        <v>0.0</v>
      </c>
      <c r="D483" s="41">
        <v>45968.46959540509</v>
      </c>
    </row>
    <row r="484">
      <c r="A484" s="39" t="s">
        <v>225</v>
      </c>
      <c r="B484" s="40">
        <v>1871476.0</v>
      </c>
      <c r="C484" s="40">
        <v>0.0</v>
      </c>
      <c r="D484" s="41">
        <v>45968.469598553245</v>
      </c>
    </row>
    <row r="485">
      <c r="A485" s="39" t="s">
        <v>225</v>
      </c>
      <c r="B485" s="40">
        <v>1871477.0</v>
      </c>
      <c r="C485" s="40">
        <v>0.0</v>
      </c>
      <c r="D485" s="41">
        <v>45968.46960111111</v>
      </c>
    </row>
    <row r="486">
      <c r="A486" s="39" t="s">
        <v>225</v>
      </c>
      <c r="B486" s="40">
        <v>1871478.0</v>
      </c>
      <c r="C486" s="40">
        <v>0.0</v>
      </c>
      <c r="D486" s="41">
        <v>45968.46960361111</v>
      </c>
    </row>
    <row r="487">
      <c r="A487" s="39" t="s">
        <v>225</v>
      </c>
      <c r="B487" s="40">
        <v>1872001.0</v>
      </c>
      <c r="C487" s="40">
        <v>0.0</v>
      </c>
      <c r="D487" s="41">
        <v>45968.46960604167</v>
      </c>
    </row>
    <row r="488">
      <c r="A488" s="39" t="s">
        <v>225</v>
      </c>
      <c r="B488" s="40">
        <v>1872002.0</v>
      </c>
      <c r="C488" s="40">
        <v>0.0</v>
      </c>
      <c r="D488" s="41">
        <v>45968.4696085301</v>
      </c>
    </row>
    <row r="489">
      <c r="A489" s="39" t="s">
        <v>225</v>
      </c>
      <c r="B489" s="40">
        <v>1872003.0</v>
      </c>
      <c r="C489" s="40">
        <v>0.0</v>
      </c>
      <c r="D489" s="41">
        <v>45968.46961168981</v>
      </c>
    </row>
    <row r="490">
      <c r="A490" s="39" t="s">
        <v>225</v>
      </c>
      <c r="B490" s="40">
        <v>1872011.0</v>
      </c>
      <c r="C490" s="40">
        <v>0.0</v>
      </c>
      <c r="D490" s="41">
        <v>45968.46961424769</v>
      </c>
    </row>
    <row r="491">
      <c r="A491" s="39" t="s">
        <v>225</v>
      </c>
      <c r="B491" s="40">
        <v>1872014.0</v>
      </c>
      <c r="C491" s="40">
        <v>0.0</v>
      </c>
      <c r="D491" s="41">
        <v>45968.469616689814</v>
      </c>
    </row>
    <row r="492">
      <c r="A492" s="39" t="s">
        <v>225</v>
      </c>
      <c r="B492" s="40">
        <v>1879211.0</v>
      </c>
      <c r="C492" s="40">
        <v>0.0</v>
      </c>
      <c r="D492" s="41">
        <v>45969.71722747685</v>
      </c>
    </row>
    <row r="493">
      <c r="A493" s="39" t="s">
        <v>225</v>
      </c>
      <c r="B493" s="40">
        <v>1879212.0</v>
      </c>
      <c r="C493" s="40">
        <v>0.0</v>
      </c>
      <c r="D493" s="41">
        <v>45969.71722990741</v>
      </c>
    </row>
    <row r="494">
      <c r="A494" s="39" t="s">
        <v>225</v>
      </c>
      <c r="B494" s="40">
        <v>1879213.0</v>
      </c>
      <c r="C494" s="40">
        <v>0.0</v>
      </c>
      <c r="D494" s="41">
        <v>45969.71723234953</v>
      </c>
    </row>
    <row r="495">
      <c r="A495" s="39" t="s">
        <v>225</v>
      </c>
      <c r="B495" s="40">
        <v>1879214.0</v>
      </c>
      <c r="C495" s="40">
        <v>0.0</v>
      </c>
      <c r="D495" s="41">
        <v>45969.71723476852</v>
      </c>
    </row>
    <row r="496">
      <c r="A496" s="39" t="s">
        <v>225</v>
      </c>
      <c r="B496" s="40">
        <v>1879215.0</v>
      </c>
      <c r="C496" s="40">
        <v>0.0</v>
      </c>
      <c r="D496" s="41">
        <v>45969.71723663194</v>
      </c>
    </row>
    <row r="497">
      <c r="A497" s="39" t="s">
        <v>225</v>
      </c>
      <c r="B497" s="40">
        <v>1892322.0</v>
      </c>
      <c r="C497" s="40">
        <v>0.0</v>
      </c>
      <c r="D497" s="41">
        <v>45976.713895636574</v>
      </c>
    </row>
    <row r="498">
      <c r="A498" s="39" t="s">
        <v>225</v>
      </c>
      <c r="B498" s="40">
        <v>1892323.0</v>
      </c>
      <c r="C498" s="40">
        <v>0.0</v>
      </c>
      <c r="D498" s="41">
        <v>45976.713897685186</v>
      </c>
    </row>
    <row r="499">
      <c r="A499" s="39" t="s">
        <v>225</v>
      </c>
      <c r="B499" s="40">
        <v>1892324.0</v>
      </c>
      <c r="C499" s="40">
        <v>0.0</v>
      </c>
      <c r="D499" s="41">
        <v>45976.713899571754</v>
      </c>
    </row>
    <row r="500">
      <c r="A500" s="39" t="s">
        <v>225</v>
      </c>
      <c r="B500" s="40">
        <v>1892325.0</v>
      </c>
      <c r="C500" s="40">
        <v>0.0</v>
      </c>
      <c r="D500" s="41">
        <v>45976.7139016088</v>
      </c>
    </row>
    <row r="501">
      <c r="A501" s="39" t="s">
        <v>225</v>
      </c>
      <c r="B501" s="40">
        <v>1892326.0</v>
      </c>
      <c r="C501" s="40">
        <v>0.0</v>
      </c>
      <c r="D501" s="41">
        <v>45976.713913784726</v>
      </c>
    </row>
    <row r="502">
      <c r="A502" s="39" t="s">
        <v>225</v>
      </c>
      <c r="B502" s="40">
        <v>1901634.0</v>
      </c>
      <c r="C502" s="40">
        <v>0.0</v>
      </c>
      <c r="D502" s="41">
        <v>45992.42249109954</v>
      </c>
    </row>
    <row r="503">
      <c r="A503" s="39" t="s">
        <v>225</v>
      </c>
      <c r="B503" s="40">
        <v>1905196.0</v>
      </c>
      <c r="C503" s="40">
        <v>0.0</v>
      </c>
      <c r="D503" s="41">
        <v>45997.7150165625</v>
      </c>
    </row>
    <row r="504">
      <c r="A504" s="39" t="s">
        <v>225</v>
      </c>
      <c r="B504" s="40">
        <v>1905197.0</v>
      </c>
      <c r="C504" s="40">
        <v>0.0</v>
      </c>
      <c r="D504" s="41">
        <v>45997.715020358795</v>
      </c>
    </row>
    <row r="505">
      <c r="A505" s="39" t="s">
        <v>225</v>
      </c>
      <c r="B505" s="40">
        <v>1905198.0</v>
      </c>
      <c r="C505" s="40">
        <v>0.0</v>
      </c>
      <c r="D505" s="41">
        <v>45997.715024432866</v>
      </c>
    </row>
    <row r="506">
      <c r="A506" s="39" t="s">
        <v>225</v>
      </c>
      <c r="B506" s="40">
        <v>1905201.0</v>
      </c>
      <c r="C506" s="40">
        <v>0.0</v>
      </c>
      <c r="D506" s="41">
        <v>45997.715028148144</v>
      </c>
    </row>
    <row r="507">
      <c r="A507" s="39" t="s">
        <v>225</v>
      </c>
      <c r="B507" s="40">
        <v>1905206.0</v>
      </c>
      <c r="C507" s="40">
        <v>0.0</v>
      </c>
      <c r="D507" s="41">
        <v>45997.715031886575</v>
      </c>
    </row>
    <row r="508">
      <c r="A508" s="39" t="s">
        <v>226</v>
      </c>
      <c r="B508" s="40">
        <v>1871474.0</v>
      </c>
      <c r="C508" s="40">
        <v>10.0</v>
      </c>
      <c r="D508" s="41">
        <v>45968.46961912037</v>
      </c>
    </row>
    <row r="509">
      <c r="A509" s="39" t="s">
        <v>226</v>
      </c>
      <c r="B509" s="40">
        <v>1871475.0</v>
      </c>
      <c r="C509" s="40">
        <v>0.0</v>
      </c>
      <c r="D509" s="41">
        <v>45968.46962157407</v>
      </c>
    </row>
    <row r="510">
      <c r="A510" s="39" t="s">
        <v>226</v>
      </c>
      <c r="B510" s="40">
        <v>1871478.0</v>
      </c>
      <c r="C510" s="40">
        <v>20.0</v>
      </c>
      <c r="D510" s="41">
        <v>45972.53905952546</v>
      </c>
    </row>
    <row r="511">
      <c r="A511" s="39" t="s">
        <v>226</v>
      </c>
      <c r="B511" s="40">
        <v>1872001.0</v>
      </c>
      <c r="C511" s="40">
        <v>0.0</v>
      </c>
      <c r="D511" s="41">
        <v>45994.29745952546</v>
      </c>
    </row>
    <row r="512">
      <c r="A512" s="39" t="s">
        <v>226</v>
      </c>
      <c r="B512" s="40">
        <v>1872002.0</v>
      </c>
      <c r="C512" s="40">
        <v>6.0</v>
      </c>
      <c r="D512" s="41">
        <v>45968.46963452546</v>
      </c>
    </row>
    <row r="513">
      <c r="A513" s="39" t="s">
        <v>226</v>
      </c>
      <c r="B513" s="40">
        <v>1872003.0</v>
      </c>
      <c r="C513" s="40">
        <v>3.0</v>
      </c>
      <c r="D513" s="41">
        <v>45968.46963706019</v>
      </c>
    </row>
    <row r="514">
      <c r="A514" s="39" t="s">
        <v>226</v>
      </c>
      <c r="B514" s="40">
        <v>1872011.0</v>
      </c>
      <c r="C514" s="40">
        <v>0.0</v>
      </c>
      <c r="D514" s="41">
        <v>45968.46964023148</v>
      </c>
    </row>
    <row r="515">
      <c r="A515" s="39" t="s">
        <v>226</v>
      </c>
      <c r="B515" s="40">
        <v>1872014.0</v>
      </c>
      <c r="C515" s="40">
        <v>0.0</v>
      </c>
      <c r="D515" s="41">
        <v>45968.46964282407</v>
      </c>
    </row>
    <row r="516">
      <c r="A516" s="39" t="s">
        <v>226</v>
      </c>
      <c r="B516" s="40">
        <v>1879211.0</v>
      </c>
      <c r="C516" s="40">
        <v>10.0</v>
      </c>
      <c r="D516" s="41">
        <v>45968.46964619213</v>
      </c>
    </row>
    <row r="517">
      <c r="A517" s="39" t="s">
        <v>226</v>
      </c>
      <c r="B517" s="40">
        <v>1879212.0</v>
      </c>
      <c r="C517" s="40">
        <v>6.0</v>
      </c>
      <c r="D517" s="41">
        <v>45968.469648831015</v>
      </c>
    </row>
    <row r="518">
      <c r="A518" s="39" t="s">
        <v>226</v>
      </c>
      <c r="B518" s="40">
        <v>1879213.0</v>
      </c>
      <c r="C518" s="40">
        <v>9.0</v>
      </c>
      <c r="D518" s="41">
        <v>45979.493879155096</v>
      </c>
    </row>
    <row r="519">
      <c r="A519" s="39" t="s">
        <v>226</v>
      </c>
      <c r="B519" s="40">
        <v>1879214.0</v>
      </c>
      <c r="C519" s="40">
        <v>6.0</v>
      </c>
      <c r="D519" s="41">
        <v>45979.49388224537</v>
      </c>
    </row>
    <row r="520">
      <c r="A520" s="39" t="s">
        <v>226</v>
      </c>
      <c r="B520" s="40">
        <v>1879215.0</v>
      </c>
      <c r="C520" s="40">
        <v>14.0</v>
      </c>
      <c r="D520" s="41">
        <v>45979.49388501157</v>
      </c>
    </row>
    <row r="521">
      <c r="A521" s="39" t="s">
        <v>226</v>
      </c>
      <c r="B521" s="40">
        <v>1892322.0</v>
      </c>
      <c r="C521" s="40">
        <v>3.0</v>
      </c>
      <c r="D521" s="41">
        <v>45980.45205958333</v>
      </c>
    </row>
    <row r="522">
      <c r="A522" s="39" t="s">
        <v>226</v>
      </c>
      <c r="B522" s="40">
        <v>1892323.0</v>
      </c>
      <c r="C522" s="40">
        <v>0.0</v>
      </c>
      <c r="D522" s="41">
        <v>45976.713921250004</v>
      </c>
    </row>
    <row r="523">
      <c r="A523" s="39" t="s">
        <v>226</v>
      </c>
      <c r="B523" s="40">
        <v>1892324.0</v>
      </c>
      <c r="C523" s="40">
        <v>0.0</v>
      </c>
      <c r="D523" s="41">
        <v>45976.713923055555</v>
      </c>
    </row>
    <row r="524">
      <c r="A524" s="39" t="s">
        <v>226</v>
      </c>
      <c r="B524" s="40">
        <v>1892325.0</v>
      </c>
      <c r="C524" s="40">
        <v>0.0</v>
      </c>
      <c r="D524" s="41">
        <v>45976.713925324075</v>
      </c>
    </row>
    <row r="525">
      <c r="A525" s="39" t="s">
        <v>226</v>
      </c>
      <c r="B525" s="40">
        <v>1892326.0</v>
      </c>
      <c r="C525" s="40">
        <v>0.0</v>
      </c>
      <c r="D525" s="41">
        <v>45976.713946805554</v>
      </c>
    </row>
    <row r="526">
      <c r="A526" s="39" t="s">
        <v>226</v>
      </c>
      <c r="B526" s="40">
        <v>1901634.0</v>
      </c>
      <c r="C526" s="40">
        <v>0.0</v>
      </c>
      <c r="D526" s="41">
        <v>45992.42250246528</v>
      </c>
    </row>
    <row r="527">
      <c r="A527" s="39" t="s">
        <v>226</v>
      </c>
      <c r="B527" s="40">
        <v>1905196.0</v>
      </c>
      <c r="C527" s="40">
        <v>9.0</v>
      </c>
      <c r="D527" s="41">
        <v>46003.52135387731</v>
      </c>
    </row>
    <row r="528">
      <c r="A528" s="39" t="s">
        <v>226</v>
      </c>
      <c r="B528" s="40">
        <v>1905197.0</v>
      </c>
      <c r="C528" s="40">
        <v>0.0</v>
      </c>
      <c r="D528" s="41">
        <v>45997.71505221065</v>
      </c>
    </row>
    <row r="529">
      <c r="A529" s="39" t="s">
        <v>226</v>
      </c>
      <c r="B529" s="40">
        <v>1905198.0</v>
      </c>
      <c r="C529" s="40">
        <v>0.0</v>
      </c>
      <c r="D529" s="41">
        <v>45997.71505675926</v>
      </c>
    </row>
    <row r="530">
      <c r="A530" s="39" t="s">
        <v>226</v>
      </c>
      <c r="B530" s="40">
        <v>1905201.0</v>
      </c>
      <c r="C530" s="40">
        <v>0.0</v>
      </c>
      <c r="D530" s="41">
        <v>45997.715059988426</v>
      </c>
    </row>
    <row r="531">
      <c r="A531" s="39" t="s">
        <v>226</v>
      </c>
      <c r="B531" s="40">
        <v>1905206.0</v>
      </c>
      <c r="C531" s="40">
        <v>0.0</v>
      </c>
      <c r="D531" s="41">
        <v>45997.71506390046</v>
      </c>
    </row>
    <row r="532">
      <c r="A532" s="39" t="s">
        <v>227</v>
      </c>
      <c r="B532" s="40">
        <v>1871474.0</v>
      </c>
      <c r="C532" s="40">
        <v>10.0</v>
      </c>
      <c r="D532" s="41">
        <v>45968.469660625</v>
      </c>
    </row>
    <row r="533">
      <c r="A533" s="39" t="s">
        <v>227</v>
      </c>
      <c r="B533" s="40">
        <v>1871475.0</v>
      </c>
      <c r="C533" s="40">
        <v>0.0</v>
      </c>
      <c r="D533" s="41">
        <v>45968.469663738426</v>
      </c>
    </row>
    <row r="534">
      <c r="A534" s="39" t="s">
        <v>227</v>
      </c>
      <c r="B534" s="40">
        <v>1871476.0</v>
      </c>
      <c r="C534" s="40">
        <v>10.0</v>
      </c>
      <c r="D534" s="41">
        <v>45974.46355712963</v>
      </c>
    </row>
    <row r="535">
      <c r="A535" s="39" t="s">
        <v>227</v>
      </c>
      <c r="B535" s="40">
        <v>1871477.0</v>
      </c>
      <c r="C535" s="40">
        <v>0.0</v>
      </c>
      <c r="D535" s="41">
        <v>45968.46966935185</v>
      </c>
    </row>
    <row r="536">
      <c r="A536" s="39" t="s">
        <v>227</v>
      </c>
      <c r="B536" s="40">
        <v>1871478.0</v>
      </c>
      <c r="C536" s="40">
        <v>0.0</v>
      </c>
      <c r="D536" s="41">
        <v>45968.46967193287</v>
      </c>
    </row>
    <row r="537">
      <c r="A537" s="39" t="s">
        <v>227</v>
      </c>
      <c r="B537" s="40">
        <v>1872001.0</v>
      </c>
      <c r="C537" s="40">
        <v>0.0</v>
      </c>
      <c r="D537" s="41">
        <v>45994.29746292824</v>
      </c>
    </row>
    <row r="538">
      <c r="A538" s="39" t="s">
        <v>227</v>
      </c>
      <c r="B538" s="40">
        <v>1872002.0</v>
      </c>
      <c r="C538" s="40">
        <v>0.0</v>
      </c>
      <c r="D538" s="41">
        <v>45968.4696769213</v>
      </c>
    </row>
    <row r="539">
      <c r="A539" s="39" t="s">
        <v>227</v>
      </c>
      <c r="B539" s="40">
        <v>1872003.0</v>
      </c>
      <c r="C539" s="40">
        <v>0.0</v>
      </c>
      <c r="D539" s="41">
        <v>45968.469686689816</v>
      </c>
    </row>
    <row r="540">
      <c r="A540" s="39" t="s">
        <v>227</v>
      </c>
      <c r="B540" s="40">
        <v>1872011.0</v>
      </c>
      <c r="C540" s="40">
        <v>0.0</v>
      </c>
      <c r="D540" s="41">
        <v>45968.46968956018</v>
      </c>
    </row>
    <row r="541">
      <c r="A541" s="39" t="s">
        <v>227</v>
      </c>
      <c r="B541" s="40">
        <v>1872014.0</v>
      </c>
      <c r="C541" s="40">
        <v>0.0</v>
      </c>
      <c r="D541" s="41">
        <v>45968.46969204861</v>
      </c>
    </row>
    <row r="542">
      <c r="A542" s="39" t="s">
        <v>227</v>
      </c>
      <c r="B542" s="40">
        <v>1879211.0</v>
      </c>
      <c r="C542" s="40">
        <v>10.0</v>
      </c>
      <c r="D542" s="41">
        <v>45968.46969466435</v>
      </c>
    </row>
    <row r="543">
      <c r="A543" s="39" t="s">
        <v>227</v>
      </c>
      <c r="B543" s="40">
        <v>1879212.0</v>
      </c>
      <c r="C543" s="40">
        <v>0.0</v>
      </c>
      <c r="D543" s="41">
        <v>45969.71724745371</v>
      </c>
    </row>
    <row r="544">
      <c r="A544" s="39" t="s">
        <v>227</v>
      </c>
      <c r="B544" s="40">
        <v>1879213.0</v>
      </c>
      <c r="C544" s="40">
        <v>0.0</v>
      </c>
      <c r="D544" s="41">
        <v>45969.71724978009</v>
      </c>
    </row>
    <row r="545">
      <c r="A545" s="39" t="s">
        <v>227</v>
      </c>
      <c r="B545" s="40">
        <v>1879214.0</v>
      </c>
      <c r="C545" s="40">
        <v>0.0</v>
      </c>
      <c r="D545" s="41">
        <v>45969.71725797454</v>
      </c>
    </row>
    <row r="546">
      <c r="A546" s="39" t="s">
        <v>227</v>
      </c>
      <c r="B546" s="40">
        <v>1879215.0</v>
      </c>
      <c r="C546" s="40">
        <v>3.0</v>
      </c>
      <c r="D546" s="41">
        <v>45968.46969725694</v>
      </c>
    </row>
    <row r="547">
      <c r="A547" s="39" t="s">
        <v>227</v>
      </c>
      <c r="B547" s="40">
        <v>1892322.0</v>
      </c>
      <c r="C547" s="40">
        <v>4.0</v>
      </c>
      <c r="D547" s="41">
        <v>45979.50427640046</v>
      </c>
    </row>
    <row r="548">
      <c r="A548" s="39" t="s">
        <v>227</v>
      </c>
      <c r="B548" s="40">
        <v>1892323.0</v>
      </c>
      <c r="C548" s="40">
        <v>0.0</v>
      </c>
      <c r="D548" s="41">
        <v>45974.37988329861</v>
      </c>
    </row>
    <row r="549">
      <c r="A549" s="39" t="s">
        <v>227</v>
      </c>
      <c r="B549" s="40">
        <v>1892324.0</v>
      </c>
      <c r="C549" s="40">
        <v>2.0</v>
      </c>
      <c r="D549" s="41">
        <v>45974.37988680556</v>
      </c>
    </row>
    <row r="550">
      <c r="A550" s="39" t="s">
        <v>227</v>
      </c>
      <c r="B550" s="40">
        <v>1892325.0</v>
      </c>
      <c r="C550" s="40">
        <v>0.0</v>
      </c>
      <c r="D550" s="41">
        <v>45974.45278885416</v>
      </c>
    </row>
    <row r="551">
      <c r="A551" s="39" t="s">
        <v>227</v>
      </c>
      <c r="B551" s="40">
        <v>1892326.0</v>
      </c>
      <c r="C551" s="40">
        <v>3.0</v>
      </c>
      <c r="D551" s="41">
        <v>45986.50417920139</v>
      </c>
    </row>
    <row r="552">
      <c r="A552" s="39" t="s">
        <v>227</v>
      </c>
      <c r="B552" s="40">
        <v>1901634.0</v>
      </c>
      <c r="C552" s="40">
        <v>0.0</v>
      </c>
      <c r="D552" s="41">
        <v>45992.42250642361</v>
      </c>
    </row>
    <row r="553">
      <c r="A553" s="39" t="s">
        <v>227</v>
      </c>
      <c r="B553" s="40">
        <v>1905196.0</v>
      </c>
      <c r="C553" s="40">
        <v>0.0</v>
      </c>
      <c r="D553" s="41">
        <v>45997.715068460646</v>
      </c>
    </row>
    <row r="554">
      <c r="A554" s="39" t="s">
        <v>227</v>
      </c>
      <c r="B554" s="40">
        <v>1905197.0</v>
      </c>
      <c r="C554" s="40">
        <v>5.0</v>
      </c>
      <c r="D554" s="41">
        <v>45998.7141053588</v>
      </c>
    </row>
    <row r="555">
      <c r="A555" s="39" t="s">
        <v>227</v>
      </c>
      <c r="B555" s="40">
        <v>1905198.0</v>
      </c>
      <c r="C555" s="40">
        <v>0.0</v>
      </c>
      <c r="D555" s="41">
        <v>45997.71507626158</v>
      </c>
    </row>
    <row r="556">
      <c r="A556" s="39" t="s">
        <v>227</v>
      </c>
      <c r="B556" s="40">
        <v>1905201.0</v>
      </c>
      <c r="C556" s="40">
        <v>0.0</v>
      </c>
      <c r="D556" s="41">
        <v>45997.715081180555</v>
      </c>
    </row>
    <row r="557">
      <c r="A557" s="39" t="s">
        <v>227</v>
      </c>
      <c r="B557" s="40">
        <v>1905206.0</v>
      </c>
      <c r="C557" s="40">
        <v>0.0</v>
      </c>
      <c r="D557" s="41">
        <v>45997.71508603009</v>
      </c>
    </row>
    <row r="558">
      <c r="A558" s="39" t="s">
        <v>227</v>
      </c>
      <c r="B558" s="40">
        <v>1909202.0</v>
      </c>
      <c r="C558" s="40">
        <v>6.0</v>
      </c>
      <c r="D558" s="41">
        <v>46001.33870075231</v>
      </c>
    </row>
    <row r="559">
      <c r="A559" s="39" t="s">
        <v>227</v>
      </c>
      <c r="B559" s="40">
        <v>1909203.0</v>
      </c>
      <c r="C559" s="40">
        <v>0.0</v>
      </c>
      <c r="D559" s="41">
        <v>46001.33870482639</v>
      </c>
    </row>
    <row r="560">
      <c r="A560" s="39" t="s">
        <v>228</v>
      </c>
      <c r="B560" s="40">
        <v>1871474.0</v>
      </c>
      <c r="C560" s="40">
        <v>10.0</v>
      </c>
      <c r="D560" s="41">
        <v>45974.379891874996</v>
      </c>
    </row>
    <row r="561">
      <c r="A561" s="39" t="s">
        <v>228</v>
      </c>
      <c r="B561" s="40">
        <v>1871475.0</v>
      </c>
      <c r="C561" s="40">
        <v>0.0</v>
      </c>
      <c r="D561" s="41">
        <v>45968.46970365741</v>
      </c>
    </row>
    <row r="562">
      <c r="A562" s="39" t="s">
        <v>228</v>
      </c>
      <c r="B562" s="40">
        <v>1871477.0</v>
      </c>
      <c r="C562" s="40">
        <v>0.0</v>
      </c>
      <c r="D562" s="41">
        <v>45968.469708668985</v>
      </c>
    </row>
    <row r="563">
      <c r="A563" s="39" t="s">
        <v>228</v>
      </c>
      <c r="B563" s="40">
        <v>1871478.0</v>
      </c>
      <c r="C563" s="40">
        <v>20.0</v>
      </c>
      <c r="D563" s="41">
        <v>45981.56666469907</v>
      </c>
    </row>
    <row r="564">
      <c r="A564" s="39" t="s">
        <v>228</v>
      </c>
      <c r="B564" s="40">
        <v>1872001.0</v>
      </c>
      <c r="C564" s="40">
        <v>0.0</v>
      </c>
      <c r="D564" s="41">
        <v>45994.297470034726</v>
      </c>
    </row>
    <row r="565">
      <c r="A565" s="39" t="s">
        <v>228</v>
      </c>
      <c r="B565" s="40">
        <v>1872002.0</v>
      </c>
      <c r="C565" s="40">
        <v>0.0</v>
      </c>
      <c r="D565" s="41">
        <v>45968.46972121528</v>
      </c>
    </row>
    <row r="566">
      <c r="A566" s="39" t="s">
        <v>228</v>
      </c>
      <c r="B566" s="40">
        <v>1872003.0</v>
      </c>
      <c r="C566" s="40">
        <v>0.0</v>
      </c>
      <c r="D566" s="41">
        <v>45968.46972361111</v>
      </c>
    </row>
    <row r="567">
      <c r="A567" s="39" t="s">
        <v>228</v>
      </c>
      <c r="B567" s="40">
        <v>1872011.0</v>
      </c>
      <c r="C567" s="40">
        <v>0.0</v>
      </c>
      <c r="D567" s="41">
        <v>45968.46972635417</v>
      </c>
    </row>
    <row r="568">
      <c r="A568" s="39" t="s">
        <v>228</v>
      </c>
      <c r="B568" s="40">
        <v>1872014.0</v>
      </c>
      <c r="C568" s="40">
        <v>2.0</v>
      </c>
      <c r="D568" s="41">
        <v>45981.493649131946</v>
      </c>
    </row>
    <row r="569">
      <c r="A569" s="39" t="s">
        <v>228</v>
      </c>
      <c r="B569" s="40">
        <v>1879211.0</v>
      </c>
      <c r="C569" s="40">
        <v>10.0</v>
      </c>
      <c r="D569" s="41">
        <v>45974.62942405093</v>
      </c>
    </row>
    <row r="570">
      <c r="A570" s="39" t="s">
        <v>228</v>
      </c>
      <c r="B570" s="40">
        <v>1879212.0</v>
      </c>
      <c r="C570" s="40">
        <v>0.0</v>
      </c>
      <c r="D570" s="41">
        <v>45969.71726201389</v>
      </c>
    </row>
    <row r="571">
      <c r="A571" s="39" t="s">
        <v>228</v>
      </c>
      <c r="B571" s="40">
        <v>1879213.0</v>
      </c>
      <c r="C571" s="40">
        <v>0.0</v>
      </c>
      <c r="D571" s="41">
        <v>45969.71726438658</v>
      </c>
    </row>
    <row r="572">
      <c r="A572" s="39" t="s">
        <v>228</v>
      </c>
      <c r="B572" s="40">
        <v>1879214.0</v>
      </c>
      <c r="C572" s="40">
        <v>18.0</v>
      </c>
      <c r="D572" s="41">
        <v>45979.4938890162</v>
      </c>
    </row>
    <row r="573">
      <c r="A573" s="39" t="s">
        <v>228</v>
      </c>
      <c r="B573" s="40">
        <v>1879215.0</v>
      </c>
      <c r="C573" s="40">
        <v>6.0</v>
      </c>
      <c r="D573" s="41">
        <v>45981.56666837963</v>
      </c>
    </row>
    <row r="574">
      <c r="A574" s="39" t="s">
        <v>228</v>
      </c>
      <c r="B574" s="40">
        <v>1892322.0</v>
      </c>
      <c r="C574" s="40">
        <v>7.0</v>
      </c>
      <c r="D574" s="41">
        <v>45981.48337516203</v>
      </c>
    </row>
    <row r="575">
      <c r="A575" s="39" t="s">
        <v>228</v>
      </c>
      <c r="B575" s="40">
        <v>1892323.0</v>
      </c>
      <c r="C575" s="40">
        <v>0.0</v>
      </c>
      <c r="D575" s="41">
        <v>45976.713950879624</v>
      </c>
    </row>
    <row r="576">
      <c r="A576" s="39" t="s">
        <v>228</v>
      </c>
      <c r="B576" s="40">
        <v>1892324.0</v>
      </c>
      <c r="C576" s="40">
        <v>0.0</v>
      </c>
      <c r="D576" s="41">
        <v>45976.71395262731</v>
      </c>
    </row>
    <row r="577">
      <c r="A577" s="39" t="s">
        <v>228</v>
      </c>
      <c r="B577" s="40">
        <v>1892325.0</v>
      </c>
      <c r="C577" s="40">
        <v>0.0</v>
      </c>
      <c r="D577" s="41">
        <v>45976.71395878472</v>
      </c>
    </row>
    <row r="578">
      <c r="A578" s="39" t="s">
        <v>228</v>
      </c>
      <c r="B578" s="40">
        <v>1892326.0</v>
      </c>
      <c r="C578" s="40">
        <v>0.0</v>
      </c>
      <c r="D578" s="41">
        <v>45976.71396042824</v>
      </c>
    </row>
    <row r="579">
      <c r="A579" s="39" t="s">
        <v>228</v>
      </c>
      <c r="B579" s="40">
        <v>1901634.0</v>
      </c>
      <c r="C579" s="40">
        <v>0.0</v>
      </c>
      <c r="D579" s="41">
        <v>45992.42251471065</v>
      </c>
    </row>
    <row r="580">
      <c r="A580" s="39" t="s">
        <v>228</v>
      </c>
      <c r="B580" s="40">
        <v>1905196.0</v>
      </c>
      <c r="C580" s="40">
        <v>0.0</v>
      </c>
      <c r="D580" s="41">
        <v>45997.71509438657</v>
      </c>
    </row>
    <row r="581">
      <c r="A581" s="39" t="s">
        <v>228</v>
      </c>
      <c r="B581" s="40">
        <v>1905197.0</v>
      </c>
      <c r="C581" s="40">
        <v>0.0</v>
      </c>
      <c r="D581" s="41">
        <v>45997.71509819444</v>
      </c>
    </row>
    <row r="582">
      <c r="A582" s="39" t="s">
        <v>228</v>
      </c>
      <c r="B582" s="40">
        <v>1905198.0</v>
      </c>
      <c r="C582" s="40">
        <v>0.0</v>
      </c>
      <c r="D582" s="41">
        <v>45997.71510204861</v>
      </c>
    </row>
    <row r="583">
      <c r="A583" s="39" t="s">
        <v>228</v>
      </c>
      <c r="B583" s="40">
        <v>1905201.0</v>
      </c>
      <c r="C583" s="40">
        <v>0.0</v>
      </c>
      <c r="D583" s="41">
        <v>45997.71510574074</v>
      </c>
    </row>
    <row r="584">
      <c r="A584" s="39" t="s">
        <v>228</v>
      </c>
      <c r="B584" s="40">
        <v>1905206.0</v>
      </c>
      <c r="C584" s="40">
        <v>0.0</v>
      </c>
      <c r="D584" s="41">
        <v>45997.7151091088</v>
      </c>
    </row>
    <row r="585">
      <c r="A585" s="39" t="s">
        <v>229</v>
      </c>
      <c r="B585" s="40">
        <v>1871474.0</v>
      </c>
      <c r="C585" s="40">
        <v>10.0</v>
      </c>
      <c r="D585" s="41">
        <v>45968.46973459491</v>
      </c>
    </row>
    <row r="586">
      <c r="A586" s="39" t="s">
        <v>229</v>
      </c>
      <c r="B586" s="40">
        <v>1871475.0</v>
      </c>
      <c r="C586" s="40">
        <v>10.0</v>
      </c>
      <c r="D586" s="41">
        <v>45968.46973820602</v>
      </c>
    </row>
    <row r="587">
      <c r="A587" s="39" t="s">
        <v>229</v>
      </c>
      <c r="B587" s="40">
        <v>1871477.0</v>
      </c>
      <c r="C587" s="40">
        <v>0.0</v>
      </c>
      <c r="D587" s="41">
        <v>45968.46974409722</v>
      </c>
    </row>
    <row r="588">
      <c r="A588" s="39" t="s">
        <v>229</v>
      </c>
      <c r="B588" s="40">
        <v>1871478.0</v>
      </c>
      <c r="C588" s="40">
        <v>20.0</v>
      </c>
      <c r="D588" s="41">
        <v>45968.46974675926</v>
      </c>
    </row>
    <row r="589">
      <c r="A589" s="39" t="s">
        <v>229</v>
      </c>
      <c r="B589" s="40">
        <v>1872001.0</v>
      </c>
      <c r="C589" s="40">
        <v>0.0</v>
      </c>
      <c r="D589" s="41">
        <v>45994.29747677084</v>
      </c>
    </row>
    <row r="590">
      <c r="A590" s="39" t="s">
        <v>229</v>
      </c>
      <c r="B590" s="40">
        <v>1872002.0</v>
      </c>
      <c r="C590" s="40">
        <v>3.0</v>
      </c>
      <c r="D590" s="41">
        <v>45981.48338311343</v>
      </c>
    </row>
    <row r="591">
      <c r="A591" s="39" t="s">
        <v>229</v>
      </c>
      <c r="B591" s="40">
        <v>1872003.0</v>
      </c>
      <c r="C591" s="40">
        <v>6.0</v>
      </c>
      <c r="D591" s="41">
        <v>45980.42069695602</v>
      </c>
    </row>
    <row r="592">
      <c r="A592" s="39" t="s">
        <v>229</v>
      </c>
      <c r="B592" s="40">
        <v>1872011.0</v>
      </c>
      <c r="C592" s="40">
        <v>9.0</v>
      </c>
      <c r="D592" s="41">
        <v>45981.48338600695</v>
      </c>
    </row>
    <row r="593">
      <c r="A593" s="39" t="s">
        <v>229</v>
      </c>
      <c r="B593" s="40">
        <v>1872014.0</v>
      </c>
      <c r="C593" s="40">
        <v>4.0</v>
      </c>
      <c r="D593" s="41">
        <v>45973.296417708334</v>
      </c>
    </row>
    <row r="594">
      <c r="A594" s="39" t="s">
        <v>229</v>
      </c>
      <c r="B594" s="40">
        <v>1879211.0</v>
      </c>
      <c r="C594" s="40">
        <v>0.0</v>
      </c>
      <c r="D594" s="41">
        <v>45969.71728835648</v>
      </c>
    </row>
    <row r="595">
      <c r="A595" s="39" t="s">
        <v>229</v>
      </c>
      <c r="B595" s="40">
        <v>1879212.0</v>
      </c>
      <c r="C595" s="40">
        <v>0.0</v>
      </c>
      <c r="D595" s="41">
        <v>45969.71729086805</v>
      </c>
    </row>
    <row r="596">
      <c r="A596" s="39" t="s">
        <v>229</v>
      </c>
      <c r="B596" s="40">
        <v>1879213.0</v>
      </c>
      <c r="C596" s="40">
        <v>0.0</v>
      </c>
      <c r="D596" s="41">
        <v>45969.71729378472</v>
      </c>
    </row>
    <row r="597">
      <c r="A597" s="39" t="s">
        <v>229</v>
      </c>
      <c r="B597" s="40">
        <v>1879214.0</v>
      </c>
      <c r="C597" s="40">
        <v>0.0</v>
      </c>
      <c r="D597" s="41">
        <v>45969.7172983912</v>
      </c>
    </row>
    <row r="598">
      <c r="A598" s="39" t="s">
        <v>229</v>
      </c>
      <c r="B598" s="40">
        <v>1879215.0</v>
      </c>
      <c r="C598" s="40">
        <v>11.0</v>
      </c>
      <c r="D598" s="41">
        <v>45979.49389583334</v>
      </c>
    </row>
    <row r="599">
      <c r="A599" s="39" t="s">
        <v>229</v>
      </c>
      <c r="B599" s="40">
        <v>1892322.0</v>
      </c>
      <c r="C599" s="40">
        <v>0.0</v>
      </c>
      <c r="D599" s="41">
        <v>45976.713965601855</v>
      </c>
    </row>
    <row r="600">
      <c r="A600" s="39" t="s">
        <v>229</v>
      </c>
      <c r="B600" s="40">
        <v>1892323.0</v>
      </c>
      <c r="C600" s="40">
        <v>0.0</v>
      </c>
      <c r="D600" s="41">
        <v>45976.71396767361</v>
      </c>
    </row>
    <row r="601">
      <c r="A601" s="39" t="s">
        <v>229</v>
      </c>
      <c r="B601" s="40">
        <v>1892324.0</v>
      </c>
      <c r="C601" s="40">
        <v>0.0</v>
      </c>
      <c r="D601" s="41">
        <v>45976.713970185185</v>
      </c>
    </row>
    <row r="602">
      <c r="A602" s="39" t="s">
        <v>229</v>
      </c>
      <c r="B602" s="40">
        <v>1892325.0</v>
      </c>
      <c r="C602" s="40">
        <v>0.0</v>
      </c>
      <c r="D602" s="41">
        <v>45976.713972592595</v>
      </c>
    </row>
    <row r="603">
      <c r="A603" s="39" t="s">
        <v>229</v>
      </c>
      <c r="B603" s="40">
        <v>1892326.0</v>
      </c>
      <c r="C603" s="40">
        <v>0.0</v>
      </c>
      <c r="D603" s="41">
        <v>45976.71397481482</v>
      </c>
    </row>
    <row r="604">
      <c r="A604" s="39" t="s">
        <v>229</v>
      </c>
      <c r="B604" s="40">
        <v>1901634.0</v>
      </c>
      <c r="C604" s="40">
        <v>56.0</v>
      </c>
      <c r="D604" s="41">
        <v>45994.29748060185</v>
      </c>
    </row>
    <row r="605">
      <c r="A605" s="39" t="s">
        <v>229</v>
      </c>
      <c r="B605" s="40">
        <v>1905196.0</v>
      </c>
      <c r="C605" s="40">
        <v>10.0</v>
      </c>
      <c r="D605" s="41">
        <v>46003.52135387731</v>
      </c>
    </row>
    <row r="606">
      <c r="A606" s="39" t="s">
        <v>229</v>
      </c>
      <c r="B606" s="40">
        <v>1905197.0</v>
      </c>
      <c r="C606" s="40">
        <v>0.0</v>
      </c>
      <c r="D606" s="41">
        <v>45997.71512142361</v>
      </c>
    </row>
    <row r="607">
      <c r="A607" s="39" t="s">
        <v>229</v>
      </c>
      <c r="B607" s="40">
        <v>1905198.0</v>
      </c>
      <c r="C607" s="40">
        <v>0.0</v>
      </c>
      <c r="D607" s="41">
        <v>45997.71512530092</v>
      </c>
    </row>
    <row r="608">
      <c r="A608" s="39" t="s">
        <v>229</v>
      </c>
      <c r="B608" s="40">
        <v>1905201.0</v>
      </c>
      <c r="C608" s="40">
        <v>0.0</v>
      </c>
      <c r="D608" s="41">
        <v>45997.71512866898</v>
      </c>
    </row>
    <row r="609">
      <c r="A609" s="39" t="s">
        <v>229</v>
      </c>
      <c r="B609" s="40">
        <v>1905206.0</v>
      </c>
      <c r="C609" s="40">
        <v>0.0</v>
      </c>
      <c r="D609" s="41">
        <v>45997.71513269676</v>
      </c>
    </row>
    <row r="610">
      <c r="A610" s="39" t="s">
        <v>229</v>
      </c>
      <c r="B610" s="40">
        <v>1909202.0</v>
      </c>
      <c r="C610" s="40">
        <v>9.0</v>
      </c>
      <c r="D610" s="41">
        <v>46003.52135387731</v>
      </c>
    </row>
    <row r="611">
      <c r="A611" s="39" t="s">
        <v>230</v>
      </c>
      <c r="B611" s="40">
        <v>1871474.0</v>
      </c>
      <c r="C611" s="40">
        <v>10.0</v>
      </c>
      <c r="D611" s="41">
        <v>45968.469764699075</v>
      </c>
    </row>
    <row r="612">
      <c r="A612" s="39" t="s">
        <v>230</v>
      </c>
      <c r="B612" s="40">
        <v>1871475.0</v>
      </c>
      <c r="C612" s="40">
        <v>15.0</v>
      </c>
      <c r="D612" s="41">
        <v>45968.46976712963</v>
      </c>
    </row>
    <row r="613">
      <c r="A613" s="39" t="s">
        <v>230</v>
      </c>
      <c r="B613" s="40">
        <v>1871478.0</v>
      </c>
      <c r="C613" s="40">
        <v>20.0</v>
      </c>
      <c r="D613" s="41">
        <v>45968.469775578706</v>
      </c>
    </row>
    <row r="614">
      <c r="A614" s="39" t="s">
        <v>230</v>
      </c>
      <c r="B614" s="40">
        <v>1872001.0</v>
      </c>
      <c r="C614" s="40">
        <v>0.0</v>
      </c>
      <c r="D614" s="41">
        <v>45994.297492743055</v>
      </c>
    </row>
    <row r="615">
      <c r="A615" s="39" t="s">
        <v>230</v>
      </c>
      <c r="B615" s="40">
        <v>1872002.0</v>
      </c>
      <c r="C615" s="40">
        <v>8.0</v>
      </c>
      <c r="D615" s="41">
        <v>45974.483798263886</v>
      </c>
    </row>
    <row r="616">
      <c r="A616" s="39" t="s">
        <v>230</v>
      </c>
      <c r="B616" s="40">
        <v>1872003.0</v>
      </c>
      <c r="C616" s="40">
        <v>0.0</v>
      </c>
      <c r="D616" s="41">
        <v>45968.469783657405</v>
      </c>
    </row>
    <row r="617">
      <c r="A617" s="39" t="s">
        <v>230</v>
      </c>
      <c r="B617" s="40">
        <v>1872011.0</v>
      </c>
      <c r="C617" s="40">
        <v>0.0</v>
      </c>
      <c r="D617" s="41">
        <v>45968.46978621528</v>
      </c>
    </row>
    <row r="618">
      <c r="A618" s="39" t="s">
        <v>230</v>
      </c>
      <c r="B618" s="40">
        <v>1872014.0</v>
      </c>
      <c r="C618" s="40">
        <v>0.0</v>
      </c>
      <c r="D618" s="41">
        <v>45968.469788726856</v>
      </c>
    </row>
    <row r="619">
      <c r="A619" s="39" t="s">
        <v>230</v>
      </c>
      <c r="B619" s="40">
        <v>1879211.0</v>
      </c>
      <c r="C619" s="40">
        <v>0.0</v>
      </c>
      <c r="D619" s="41">
        <v>45969.71732181713</v>
      </c>
    </row>
    <row r="620">
      <c r="A620" s="39" t="s">
        <v>230</v>
      </c>
      <c r="B620" s="40">
        <v>1879212.0</v>
      </c>
      <c r="C620" s="40">
        <v>0.0</v>
      </c>
      <c r="D620" s="41">
        <v>45969.717324004625</v>
      </c>
    </row>
    <row r="621">
      <c r="A621" s="39" t="s">
        <v>230</v>
      </c>
      <c r="B621" s="40">
        <v>1879213.0</v>
      </c>
      <c r="C621" s="40">
        <v>0.0</v>
      </c>
      <c r="D621" s="41">
        <v>45969.71732626157</v>
      </c>
    </row>
    <row r="622">
      <c r="A622" s="39" t="s">
        <v>230</v>
      </c>
      <c r="B622" s="40">
        <v>1879214.0</v>
      </c>
      <c r="C622" s="40">
        <v>0.0</v>
      </c>
      <c r="D622" s="41">
        <v>45969.71732951389</v>
      </c>
    </row>
    <row r="623">
      <c r="A623" s="39" t="s">
        <v>230</v>
      </c>
      <c r="B623" s="40">
        <v>1879215.0</v>
      </c>
      <c r="C623" s="40">
        <v>0.0</v>
      </c>
      <c r="D623" s="41">
        <v>45969.71733197916</v>
      </c>
    </row>
    <row r="624">
      <c r="A624" s="39" t="s">
        <v>230</v>
      </c>
      <c r="B624" s="40">
        <v>1892322.0</v>
      </c>
      <c r="C624" s="40">
        <v>0.0</v>
      </c>
      <c r="D624" s="41">
        <v>45976.713981469904</v>
      </c>
    </row>
    <row r="625">
      <c r="A625" s="39" t="s">
        <v>230</v>
      </c>
      <c r="B625" s="40">
        <v>1892323.0</v>
      </c>
      <c r="C625" s="40">
        <v>0.0</v>
      </c>
      <c r="D625" s="41">
        <v>45976.71398366898</v>
      </c>
    </row>
    <row r="626">
      <c r="A626" s="39" t="s">
        <v>230</v>
      </c>
      <c r="B626" s="40">
        <v>1892324.0</v>
      </c>
      <c r="C626" s="40">
        <v>0.0</v>
      </c>
      <c r="D626" s="41">
        <v>45976.713985752314</v>
      </c>
    </row>
    <row r="627">
      <c r="A627" s="39" t="s">
        <v>230</v>
      </c>
      <c r="B627" s="40">
        <v>1892325.0</v>
      </c>
      <c r="C627" s="40">
        <v>0.0</v>
      </c>
      <c r="D627" s="41">
        <v>45976.713990000004</v>
      </c>
    </row>
    <row r="628">
      <c r="A628" s="39" t="s">
        <v>230</v>
      </c>
      <c r="B628" s="40">
        <v>1892326.0</v>
      </c>
      <c r="C628" s="40">
        <v>0.0</v>
      </c>
      <c r="D628" s="41">
        <v>45976.71399581018</v>
      </c>
    </row>
    <row r="629">
      <c r="A629" s="39" t="s">
        <v>230</v>
      </c>
      <c r="B629" s="40">
        <v>1901634.0</v>
      </c>
      <c r="C629" s="40">
        <v>45.0</v>
      </c>
      <c r="D629" s="41">
        <v>45994.29749568287</v>
      </c>
    </row>
    <row r="630">
      <c r="A630" s="39" t="s">
        <v>230</v>
      </c>
      <c r="B630" s="40">
        <v>1905196.0</v>
      </c>
      <c r="C630" s="40">
        <v>0.0</v>
      </c>
      <c r="D630" s="41">
        <v>45997.71514424769</v>
      </c>
    </row>
    <row r="631">
      <c r="A631" s="39" t="s">
        <v>230</v>
      </c>
      <c r="B631" s="40">
        <v>1905197.0</v>
      </c>
      <c r="C631" s="40">
        <v>0.0</v>
      </c>
      <c r="D631" s="41">
        <v>45997.71514966435</v>
      </c>
    </row>
    <row r="632">
      <c r="A632" s="39" t="s">
        <v>230</v>
      </c>
      <c r="B632" s="40">
        <v>1905198.0</v>
      </c>
      <c r="C632" s="40">
        <v>0.0</v>
      </c>
      <c r="D632" s="41">
        <v>45997.715156990744</v>
      </c>
    </row>
    <row r="633">
      <c r="A633" s="39" t="s">
        <v>230</v>
      </c>
      <c r="B633" s="40">
        <v>1905201.0</v>
      </c>
      <c r="C633" s="40">
        <v>0.0</v>
      </c>
      <c r="D633" s="41">
        <v>45997.71516019676</v>
      </c>
    </row>
    <row r="634">
      <c r="A634" s="39" t="s">
        <v>230</v>
      </c>
      <c r="B634" s="40">
        <v>1905206.0</v>
      </c>
      <c r="C634" s="40">
        <v>0.0</v>
      </c>
      <c r="D634" s="41">
        <v>45997.71516519676</v>
      </c>
    </row>
    <row r="635">
      <c r="A635" s="39" t="s">
        <v>230</v>
      </c>
      <c r="B635" s="40">
        <v>1909202.0</v>
      </c>
      <c r="C635" s="40">
        <v>12.0</v>
      </c>
      <c r="D635" s="41">
        <v>46003.52135387731</v>
      </c>
    </row>
    <row r="636">
      <c r="A636" s="39" t="s">
        <v>230</v>
      </c>
      <c r="B636" s="40">
        <v>1909203.0</v>
      </c>
      <c r="C636" s="40">
        <v>7.0</v>
      </c>
      <c r="D636" s="41">
        <v>46003.52135387731</v>
      </c>
    </row>
    <row r="637">
      <c r="A637" s="39" t="s">
        <v>231</v>
      </c>
      <c r="B637" s="40">
        <v>1871474.0</v>
      </c>
      <c r="C637" s="40">
        <v>10.0</v>
      </c>
      <c r="D637" s="41">
        <v>45968.46979912037</v>
      </c>
    </row>
    <row r="638">
      <c r="A638" s="39" t="s">
        <v>231</v>
      </c>
      <c r="B638" s="40">
        <v>1871475.0</v>
      </c>
      <c r="C638" s="40">
        <v>10.0</v>
      </c>
      <c r="D638" s="41">
        <v>45968.46980168982</v>
      </c>
    </row>
    <row r="639">
      <c r="A639" s="39" t="s">
        <v>231</v>
      </c>
      <c r="B639" s="40">
        <v>1871477.0</v>
      </c>
      <c r="C639" s="40">
        <v>5.0</v>
      </c>
      <c r="D639" s="41">
        <v>45981.46237173611</v>
      </c>
    </row>
    <row r="640">
      <c r="A640" s="39" t="s">
        <v>231</v>
      </c>
      <c r="B640" s="40">
        <v>1871478.0</v>
      </c>
      <c r="C640" s="40">
        <v>20.0</v>
      </c>
      <c r="D640" s="41">
        <v>45981.3686784375</v>
      </c>
    </row>
    <row r="641">
      <c r="A641" s="39" t="s">
        <v>231</v>
      </c>
      <c r="B641" s="40">
        <v>1872001.0</v>
      </c>
      <c r="C641" s="40">
        <v>0.0</v>
      </c>
      <c r="D641" s="41">
        <v>45994.297504953705</v>
      </c>
    </row>
    <row r="642">
      <c r="A642" s="39" t="s">
        <v>231</v>
      </c>
      <c r="B642" s="40">
        <v>1872002.0</v>
      </c>
      <c r="C642" s="40">
        <v>9.0</v>
      </c>
      <c r="D642" s="41">
        <v>45974.58804840277</v>
      </c>
    </row>
    <row r="643">
      <c r="A643" s="39" t="s">
        <v>231</v>
      </c>
      <c r="B643" s="40">
        <v>1872003.0</v>
      </c>
      <c r="C643" s="40">
        <v>0.0</v>
      </c>
      <c r="D643" s="41">
        <v>45968.46982371528</v>
      </c>
    </row>
    <row r="644">
      <c r="A644" s="39" t="s">
        <v>231</v>
      </c>
      <c r="B644" s="40">
        <v>1872011.0</v>
      </c>
      <c r="C644" s="40">
        <v>0.0</v>
      </c>
      <c r="D644" s="41">
        <v>45968.469826342596</v>
      </c>
    </row>
    <row r="645">
      <c r="A645" s="39" t="s">
        <v>231</v>
      </c>
      <c r="B645" s="40">
        <v>1872014.0</v>
      </c>
      <c r="C645" s="40">
        <v>1.0</v>
      </c>
      <c r="D645" s="41">
        <v>45992.37947998843</v>
      </c>
    </row>
    <row r="646">
      <c r="A646" s="39" t="s">
        <v>231</v>
      </c>
      <c r="B646" s="40">
        <v>1879211.0</v>
      </c>
      <c r="C646" s="40">
        <v>0.0</v>
      </c>
      <c r="D646" s="41">
        <v>45969.71733400463</v>
      </c>
    </row>
    <row r="647">
      <c r="A647" s="39" t="s">
        <v>231</v>
      </c>
      <c r="B647" s="40">
        <v>1879212.0</v>
      </c>
      <c r="C647" s="40">
        <v>0.0</v>
      </c>
      <c r="D647" s="41">
        <v>45969.71733627315</v>
      </c>
    </row>
    <row r="648">
      <c r="A648" s="39" t="s">
        <v>231</v>
      </c>
      <c r="B648" s="40">
        <v>1879213.0</v>
      </c>
      <c r="C648" s="40">
        <v>0.0</v>
      </c>
      <c r="D648" s="41">
        <v>45969.71733803241</v>
      </c>
    </row>
    <row r="649">
      <c r="A649" s="39" t="s">
        <v>231</v>
      </c>
      <c r="B649" s="40">
        <v>1879214.0</v>
      </c>
      <c r="C649" s="40">
        <v>0.0</v>
      </c>
      <c r="D649" s="41">
        <v>45969.717340347226</v>
      </c>
    </row>
    <row r="650">
      <c r="A650" s="39" t="s">
        <v>231</v>
      </c>
      <c r="B650" s="40">
        <v>1879215.0</v>
      </c>
      <c r="C650" s="40">
        <v>0.0</v>
      </c>
      <c r="D650" s="41">
        <v>45969.71734270833</v>
      </c>
    </row>
    <row r="651">
      <c r="A651" s="39" t="s">
        <v>231</v>
      </c>
      <c r="B651" s="40">
        <v>1892322.0</v>
      </c>
      <c r="C651" s="40">
        <v>4.0</v>
      </c>
      <c r="D651" s="41">
        <v>45979.504288993056</v>
      </c>
    </row>
    <row r="652">
      <c r="A652" s="39" t="s">
        <v>231</v>
      </c>
      <c r="B652" s="40">
        <v>1892323.0</v>
      </c>
      <c r="C652" s="40">
        <v>0.0</v>
      </c>
      <c r="D652" s="41">
        <v>45976.71399771991</v>
      </c>
    </row>
    <row r="653">
      <c r="A653" s="39" t="s">
        <v>231</v>
      </c>
      <c r="B653" s="40">
        <v>1892324.0</v>
      </c>
      <c r="C653" s="40">
        <v>0.0</v>
      </c>
      <c r="D653" s="41">
        <v>45976.71399978009</v>
      </c>
    </row>
    <row r="654">
      <c r="A654" s="39" t="s">
        <v>231</v>
      </c>
      <c r="B654" s="40">
        <v>1892325.0</v>
      </c>
      <c r="C654" s="40">
        <v>0.0</v>
      </c>
      <c r="D654" s="41">
        <v>45976.71400201389</v>
      </c>
    </row>
    <row r="655">
      <c r="A655" s="39" t="s">
        <v>231</v>
      </c>
      <c r="B655" s="40">
        <v>1892326.0</v>
      </c>
      <c r="C655" s="40">
        <v>0.0</v>
      </c>
      <c r="D655" s="41">
        <v>45976.71400395833</v>
      </c>
    </row>
    <row r="656">
      <c r="A656" s="39" t="s">
        <v>231</v>
      </c>
      <c r="B656" s="40">
        <v>1901634.0</v>
      </c>
      <c r="C656" s="40">
        <v>27.0</v>
      </c>
      <c r="D656" s="41">
        <v>45994.297508240736</v>
      </c>
    </row>
    <row r="657">
      <c r="A657" s="39" t="s">
        <v>231</v>
      </c>
      <c r="B657" s="40">
        <v>1905196.0</v>
      </c>
      <c r="C657" s="40">
        <v>0.0</v>
      </c>
      <c r="D657" s="41">
        <v>45997.71517354167</v>
      </c>
    </row>
    <row r="658">
      <c r="A658" s="39" t="s">
        <v>231</v>
      </c>
      <c r="B658" s="40">
        <v>1905197.0</v>
      </c>
      <c r="C658" s="40">
        <v>0.0</v>
      </c>
      <c r="D658" s="41">
        <v>45997.715180150466</v>
      </c>
    </row>
    <row r="659">
      <c r="A659" s="39" t="s">
        <v>231</v>
      </c>
      <c r="B659" s="40">
        <v>1905198.0</v>
      </c>
      <c r="C659" s="40">
        <v>0.0</v>
      </c>
      <c r="D659" s="41">
        <v>45997.71518366898</v>
      </c>
    </row>
    <row r="660">
      <c r="A660" s="39" t="s">
        <v>231</v>
      </c>
      <c r="B660" s="40">
        <v>1905201.0</v>
      </c>
      <c r="C660" s="40">
        <v>0.0</v>
      </c>
      <c r="D660" s="41">
        <v>45997.71518800926</v>
      </c>
    </row>
    <row r="661">
      <c r="A661" s="39" t="s">
        <v>231</v>
      </c>
      <c r="B661" s="40">
        <v>1905206.0</v>
      </c>
      <c r="C661" s="40">
        <v>0.0</v>
      </c>
      <c r="D661" s="41">
        <v>45997.71519155093</v>
      </c>
    </row>
    <row r="662">
      <c r="A662" s="39" t="s">
        <v>232</v>
      </c>
      <c r="B662" s="40">
        <v>1871474.0</v>
      </c>
      <c r="C662" s="40">
        <v>10.0</v>
      </c>
      <c r="D662" s="41">
        <v>45968.46983133102</v>
      </c>
    </row>
    <row r="663">
      <c r="A663" s="39" t="s">
        <v>232</v>
      </c>
      <c r="B663" s="40">
        <v>1871475.0</v>
      </c>
      <c r="C663" s="40">
        <v>0.0</v>
      </c>
      <c r="D663" s="41">
        <v>45968.46983383102</v>
      </c>
    </row>
    <row r="664">
      <c r="A664" s="39" t="s">
        <v>232</v>
      </c>
      <c r="B664" s="40">
        <v>1871476.0</v>
      </c>
      <c r="C664" s="40">
        <v>0.0</v>
      </c>
      <c r="D664" s="41">
        <v>45968.46984145833</v>
      </c>
    </row>
    <row r="665">
      <c r="A665" s="39" t="s">
        <v>232</v>
      </c>
      <c r="B665" s="40">
        <v>1871477.0</v>
      </c>
      <c r="C665" s="40">
        <v>15.0</v>
      </c>
      <c r="D665" s="41">
        <v>45974.57778600694</v>
      </c>
    </row>
    <row r="666">
      <c r="A666" s="39" t="s">
        <v>232</v>
      </c>
      <c r="B666" s="40">
        <v>1871478.0</v>
      </c>
      <c r="C666" s="40">
        <v>0.0</v>
      </c>
      <c r="D666" s="41">
        <v>45968.46984731482</v>
      </c>
    </row>
    <row r="667">
      <c r="A667" s="39" t="s">
        <v>232</v>
      </c>
      <c r="B667" s="40">
        <v>1872001.0</v>
      </c>
      <c r="C667" s="40">
        <v>0.0</v>
      </c>
      <c r="D667" s="41">
        <v>45994.29751097222</v>
      </c>
    </row>
    <row r="668">
      <c r="A668" s="39" t="s">
        <v>232</v>
      </c>
      <c r="B668" s="40">
        <v>1872002.0</v>
      </c>
      <c r="C668" s="40">
        <v>11.0</v>
      </c>
      <c r="D668" s="41">
        <v>45968.46985947917</v>
      </c>
    </row>
    <row r="669">
      <c r="A669" s="39" t="s">
        <v>232</v>
      </c>
      <c r="B669" s="40">
        <v>1872003.0</v>
      </c>
      <c r="C669" s="40">
        <v>17.0</v>
      </c>
      <c r="D669" s="41">
        <v>45978.58718539352</v>
      </c>
    </row>
    <row r="670">
      <c r="A670" s="39" t="s">
        <v>232</v>
      </c>
      <c r="B670" s="40">
        <v>1872011.0</v>
      </c>
      <c r="C670" s="40">
        <v>12.0</v>
      </c>
      <c r="D670" s="41">
        <v>45978.58718854167</v>
      </c>
    </row>
    <row r="671">
      <c r="A671" s="39" t="s">
        <v>232</v>
      </c>
      <c r="B671" s="40">
        <v>1872014.0</v>
      </c>
      <c r="C671" s="40">
        <v>10.0</v>
      </c>
      <c r="D671" s="41">
        <v>45978.59755092593</v>
      </c>
    </row>
    <row r="672">
      <c r="A672" s="39" t="s">
        <v>232</v>
      </c>
      <c r="B672" s="40">
        <v>1879211.0</v>
      </c>
      <c r="C672" s="40">
        <v>10.0</v>
      </c>
      <c r="D672" s="41">
        <v>45968.46988469907</v>
      </c>
    </row>
    <row r="673">
      <c r="A673" s="39" t="s">
        <v>232</v>
      </c>
      <c r="B673" s="40">
        <v>1879212.0</v>
      </c>
      <c r="C673" s="40">
        <v>15.0</v>
      </c>
      <c r="D673" s="41">
        <v>45979.493906979165</v>
      </c>
    </row>
    <row r="674">
      <c r="A674" s="39" t="s">
        <v>232</v>
      </c>
      <c r="B674" s="40">
        <v>1879213.0</v>
      </c>
      <c r="C674" s="40">
        <v>20.0</v>
      </c>
      <c r="D674" s="41">
        <v>45968.46988989583</v>
      </c>
    </row>
    <row r="675">
      <c r="A675" s="39" t="s">
        <v>232</v>
      </c>
      <c r="B675" s="40">
        <v>1879214.0</v>
      </c>
      <c r="C675" s="40">
        <v>20.0</v>
      </c>
      <c r="D675" s="41">
        <v>45968.469898587966</v>
      </c>
    </row>
    <row r="676">
      <c r="A676" s="39" t="s">
        <v>232</v>
      </c>
      <c r="B676" s="40">
        <v>1879215.0</v>
      </c>
      <c r="C676" s="40">
        <v>18.0</v>
      </c>
      <c r="D676" s="41">
        <v>45979.4939103588</v>
      </c>
    </row>
    <row r="677">
      <c r="A677" s="39" t="s">
        <v>232</v>
      </c>
      <c r="B677" s="40">
        <v>1892323.0</v>
      </c>
      <c r="C677" s="40">
        <v>0.0</v>
      </c>
      <c r="D677" s="41">
        <v>45976.71400835648</v>
      </c>
    </row>
    <row r="678">
      <c r="A678" s="39" t="s">
        <v>232</v>
      </c>
      <c r="B678" s="40">
        <v>1892324.0</v>
      </c>
      <c r="C678" s="40">
        <v>4.0</v>
      </c>
      <c r="D678" s="41">
        <v>45978.56638056713</v>
      </c>
    </row>
    <row r="679">
      <c r="A679" s="39" t="s">
        <v>232</v>
      </c>
      <c r="B679" s="40">
        <v>1892325.0</v>
      </c>
      <c r="C679" s="40">
        <v>0.0</v>
      </c>
      <c r="D679" s="41">
        <v>45976.71401256944</v>
      </c>
    </row>
    <row r="680">
      <c r="A680" s="39" t="s">
        <v>232</v>
      </c>
      <c r="B680" s="40">
        <v>1892326.0</v>
      </c>
      <c r="C680" s="40">
        <v>2.0</v>
      </c>
      <c r="D680" s="41">
        <v>45986.50420280093</v>
      </c>
    </row>
    <row r="681">
      <c r="A681" s="39" t="s">
        <v>232</v>
      </c>
      <c r="B681" s="40">
        <v>1901634.0</v>
      </c>
      <c r="C681" s="40">
        <v>0.0</v>
      </c>
      <c r="D681" s="41">
        <v>45992.42255012732</v>
      </c>
    </row>
    <row r="682">
      <c r="A682" s="39" t="s">
        <v>232</v>
      </c>
      <c r="B682" s="40">
        <v>1905196.0</v>
      </c>
      <c r="C682" s="40">
        <v>0.0</v>
      </c>
      <c r="D682" s="41">
        <v>45997.7151996412</v>
      </c>
    </row>
    <row r="683">
      <c r="A683" s="39" t="s">
        <v>232</v>
      </c>
      <c r="B683" s="40">
        <v>1905197.0</v>
      </c>
      <c r="C683" s="40">
        <v>0.0</v>
      </c>
      <c r="D683" s="41">
        <v>45997.7152077662</v>
      </c>
    </row>
    <row r="684">
      <c r="A684" s="39" t="s">
        <v>232</v>
      </c>
      <c r="B684" s="40">
        <v>1905198.0</v>
      </c>
      <c r="C684" s="40">
        <v>0.0</v>
      </c>
      <c r="D684" s="41">
        <v>45997.71521221065</v>
      </c>
    </row>
    <row r="685">
      <c r="A685" s="39" t="s">
        <v>232</v>
      </c>
      <c r="B685" s="40">
        <v>1905201.0</v>
      </c>
      <c r="C685" s="40">
        <v>0.0</v>
      </c>
      <c r="D685" s="41">
        <v>45997.71521630787</v>
      </c>
    </row>
    <row r="686">
      <c r="A686" s="39" t="s">
        <v>232</v>
      </c>
      <c r="B686" s="40">
        <v>1905206.0</v>
      </c>
      <c r="C686" s="40">
        <v>0.0</v>
      </c>
      <c r="D686" s="41">
        <v>45997.71522006944</v>
      </c>
    </row>
    <row r="687">
      <c r="A687" s="39" t="s">
        <v>232</v>
      </c>
      <c r="B687" s="40">
        <v>1909202.0</v>
      </c>
      <c r="C687" s="40">
        <v>12.0</v>
      </c>
      <c r="D687" s="41">
        <v>46003.52135387731</v>
      </c>
    </row>
    <row r="688">
      <c r="A688" s="39" t="s">
        <v>232</v>
      </c>
      <c r="B688" s="40">
        <v>1909203.0</v>
      </c>
      <c r="C688" s="40">
        <v>13.0</v>
      </c>
      <c r="D688" s="41">
        <v>46003.52135387731</v>
      </c>
    </row>
    <row r="689">
      <c r="A689" s="39" t="s">
        <v>233</v>
      </c>
      <c r="B689" s="40">
        <v>1871474.0</v>
      </c>
      <c r="C689" s="40">
        <v>10.0</v>
      </c>
      <c r="D689" s="41">
        <v>45968.46990684028</v>
      </c>
    </row>
    <row r="690">
      <c r="A690" s="39" t="s">
        <v>233</v>
      </c>
      <c r="B690" s="40">
        <v>1871475.0</v>
      </c>
      <c r="C690" s="40">
        <v>10.0</v>
      </c>
      <c r="D690" s="41">
        <v>45968.46990917824</v>
      </c>
    </row>
    <row r="691">
      <c r="A691" s="39" t="s">
        <v>233</v>
      </c>
      <c r="B691" s="40">
        <v>1871476.0</v>
      </c>
      <c r="C691" s="40">
        <v>0.0</v>
      </c>
      <c r="D691" s="41">
        <v>45968.46991164352</v>
      </c>
    </row>
    <row r="692">
      <c r="A692" s="39" t="s">
        <v>233</v>
      </c>
      <c r="B692" s="40">
        <v>1871477.0</v>
      </c>
      <c r="C692" s="40">
        <v>5.0</v>
      </c>
      <c r="D692" s="41">
        <v>45978.49344226852</v>
      </c>
    </row>
    <row r="693">
      <c r="A693" s="39" t="s">
        <v>233</v>
      </c>
      <c r="B693" s="40">
        <v>1871478.0</v>
      </c>
      <c r="C693" s="40">
        <v>20.0</v>
      </c>
      <c r="D693" s="41">
        <v>45968.46991666667</v>
      </c>
    </row>
    <row r="694">
      <c r="A694" s="39" t="s">
        <v>233</v>
      </c>
      <c r="B694" s="40">
        <v>1872001.0</v>
      </c>
      <c r="C694" s="40">
        <v>0.0</v>
      </c>
      <c r="D694" s="41">
        <v>45994.29755689815</v>
      </c>
    </row>
    <row r="695">
      <c r="A695" s="39" t="s">
        <v>233</v>
      </c>
      <c r="B695" s="40">
        <v>1872002.0</v>
      </c>
      <c r="C695" s="40">
        <v>0.0</v>
      </c>
      <c r="D695" s="41">
        <v>45968.46992729166</v>
      </c>
    </row>
    <row r="696">
      <c r="A696" s="39" t="s">
        <v>233</v>
      </c>
      <c r="B696" s="40">
        <v>1872003.0</v>
      </c>
      <c r="C696" s="40">
        <v>0.0</v>
      </c>
      <c r="D696" s="41">
        <v>45968.46992979167</v>
      </c>
    </row>
    <row r="697">
      <c r="A697" s="39" t="s">
        <v>233</v>
      </c>
      <c r="B697" s="40">
        <v>1872011.0</v>
      </c>
      <c r="C697" s="40">
        <v>0.0</v>
      </c>
      <c r="D697" s="41">
        <v>45968.46993222222</v>
      </c>
    </row>
    <row r="698">
      <c r="A698" s="39" t="s">
        <v>233</v>
      </c>
      <c r="B698" s="40">
        <v>1872014.0</v>
      </c>
      <c r="C698" s="40">
        <v>0.0</v>
      </c>
      <c r="D698" s="41">
        <v>45968.469934733796</v>
      </c>
    </row>
    <row r="699">
      <c r="A699" s="39" t="s">
        <v>233</v>
      </c>
      <c r="B699" s="40">
        <v>1879211.0</v>
      </c>
      <c r="C699" s="40">
        <v>10.0</v>
      </c>
      <c r="D699" s="41">
        <v>45968.46993734954</v>
      </c>
    </row>
    <row r="700">
      <c r="A700" s="39" t="s">
        <v>233</v>
      </c>
      <c r="B700" s="40">
        <v>1879212.0</v>
      </c>
      <c r="C700" s="40">
        <v>4.0</v>
      </c>
      <c r="D700" s="41">
        <v>45968.469939814815</v>
      </c>
    </row>
    <row r="701">
      <c r="A701" s="39" t="s">
        <v>233</v>
      </c>
      <c r="B701" s="40">
        <v>1879213.0</v>
      </c>
      <c r="C701" s="40">
        <v>0.0</v>
      </c>
      <c r="D701" s="41">
        <v>45969.71734459491</v>
      </c>
    </row>
    <row r="702">
      <c r="A702" s="39" t="s">
        <v>233</v>
      </c>
      <c r="B702" s="40">
        <v>1879214.0</v>
      </c>
      <c r="C702" s="40">
        <v>0.0</v>
      </c>
      <c r="D702" s="41">
        <v>45969.71734696759</v>
      </c>
    </row>
    <row r="703">
      <c r="A703" s="39" t="s">
        <v>233</v>
      </c>
      <c r="B703" s="40">
        <v>1879215.0</v>
      </c>
      <c r="C703" s="40">
        <v>2.0</v>
      </c>
      <c r="D703" s="41">
        <v>45979.49391689815</v>
      </c>
    </row>
    <row r="704">
      <c r="A704" s="39" t="s">
        <v>233</v>
      </c>
      <c r="B704" s="40">
        <v>1892322.0</v>
      </c>
      <c r="C704" s="40">
        <v>0.0</v>
      </c>
      <c r="D704" s="41">
        <v>45976.71401650463</v>
      </c>
    </row>
    <row r="705">
      <c r="A705" s="39" t="s">
        <v>233</v>
      </c>
      <c r="B705" s="40">
        <v>1892323.0</v>
      </c>
      <c r="C705" s="40">
        <v>0.0</v>
      </c>
      <c r="D705" s="41">
        <v>45976.71401840278</v>
      </c>
    </row>
    <row r="706">
      <c r="A706" s="39" t="s">
        <v>233</v>
      </c>
      <c r="B706" s="40">
        <v>1892324.0</v>
      </c>
      <c r="C706" s="40">
        <v>0.0</v>
      </c>
      <c r="D706" s="41">
        <v>45976.71402064815</v>
      </c>
    </row>
    <row r="707">
      <c r="A707" s="39" t="s">
        <v>233</v>
      </c>
      <c r="B707" s="40">
        <v>1892325.0</v>
      </c>
      <c r="C707" s="40">
        <v>0.0</v>
      </c>
      <c r="D707" s="41">
        <v>45976.714022789354</v>
      </c>
    </row>
    <row r="708">
      <c r="A708" s="39" t="s">
        <v>233</v>
      </c>
      <c r="B708" s="40">
        <v>1892326.0</v>
      </c>
      <c r="C708" s="40">
        <v>0.0</v>
      </c>
      <c r="D708" s="41">
        <v>45976.71402482639</v>
      </c>
    </row>
    <row r="709">
      <c r="A709" s="39" t="s">
        <v>233</v>
      </c>
      <c r="B709" s="40">
        <v>1901634.0</v>
      </c>
      <c r="C709" s="40">
        <v>42.0</v>
      </c>
      <c r="D709" s="41">
        <v>45994.29756140047</v>
      </c>
    </row>
    <row r="710">
      <c r="A710" s="39" t="s">
        <v>233</v>
      </c>
      <c r="B710" s="40">
        <v>1905196.0</v>
      </c>
      <c r="C710" s="40">
        <v>0.0</v>
      </c>
      <c r="D710" s="41">
        <v>45997.71522408565</v>
      </c>
    </row>
    <row r="711">
      <c r="A711" s="39" t="s">
        <v>233</v>
      </c>
      <c r="B711" s="40">
        <v>1905197.0</v>
      </c>
      <c r="C711" s="40">
        <v>5.0</v>
      </c>
      <c r="D711" s="41">
        <v>45998.71414005787</v>
      </c>
    </row>
    <row r="712">
      <c r="A712" s="39" t="s">
        <v>233</v>
      </c>
      <c r="B712" s="40">
        <v>1905198.0</v>
      </c>
      <c r="C712" s="40">
        <v>0.0</v>
      </c>
      <c r="D712" s="41">
        <v>45997.71523165509</v>
      </c>
    </row>
    <row r="713">
      <c r="A713" s="39" t="s">
        <v>233</v>
      </c>
      <c r="B713" s="40">
        <v>1905201.0</v>
      </c>
      <c r="C713" s="40">
        <v>0.0</v>
      </c>
      <c r="D713" s="41">
        <v>45997.71523533565</v>
      </c>
    </row>
    <row r="714">
      <c r="A714" s="39" t="s">
        <v>233</v>
      </c>
      <c r="B714" s="40">
        <v>1905206.0</v>
      </c>
      <c r="C714" s="40">
        <v>0.0</v>
      </c>
      <c r="D714" s="41">
        <v>45997.715238923614</v>
      </c>
    </row>
    <row r="715">
      <c r="A715" s="39" t="s">
        <v>233</v>
      </c>
      <c r="B715" s="40">
        <v>1909202.0</v>
      </c>
      <c r="C715" s="40">
        <v>6.0</v>
      </c>
      <c r="D715" s="41">
        <v>46003.52135387731</v>
      </c>
    </row>
    <row r="716">
      <c r="A716" s="39" t="s">
        <v>233</v>
      </c>
      <c r="B716" s="40">
        <v>1909203.0</v>
      </c>
      <c r="C716" s="40">
        <v>9.0</v>
      </c>
      <c r="D716" s="41">
        <v>46003.52135387731</v>
      </c>
    </row>
    <row r="717">
      <c r="A717" s="39" t="s">
        <v>233</v>
      </c>
      <c r="B717" s="40">
        <v>1909205.0</v>
      </c>
      <c r="C717" s="40">
        <v>0.0</v>
      </c>
      <c r="D717" s="41">
        <v>46003.52135387731</v>
      </c>
    </row>
    <row r="718">
      <c r="A718" s="39" t="s">
        <v>233</v>
      </c>
      <c r="B718" s="40">
        <v>1909206.0</v>
      </c>
      <c r="C718" s="40">
        <v>8.0</v>
      </c>
      <c r="D718" s="41">
        <v>46003.52135387731</v>
      </c>
    </row>
    <row r="719">
      <c r="A719" s="39" t="s">
        <v>234</v>
      </c>
      <c r="B719" s="40">
        <v>1871474.0</v>
      </c>
      <c r="C719" s="40">
        <v>10.0</v>
      </c>
      <c r="D719" s="41">
        <v>45968.46995273148</v>
      </c>
    </row>
    <row r="720">
      <c r="A720" s="39" t="s">
        <v>234</v>
      </c>
      <c r="B720" s="40">
        <v>1871475.0</v>
      </c>
      <c r="C720" s="40">
        <v>10.0</v>
      </c>
      <c r="D720" s="41">
        <v>45968.46995528935</v>
      </c>
    </row>
    <row r="721">
      <c r="A721" s="39" t="s">
        <v>234</v>
      </c>
      <c r="B721" s="40">
        <v>1871476.0</v>
      </c>
      <c r="C721" s="40">
        <v>20.0</v>
      </c>
      <c r="D721" s="41">
        <v>45968.469957939815</v>
      </c>
    </row>
    <row r="722">
      <c r="A722" s="39" t="s">
        <v>234</v>
      </c>
      <c r="B722" s="40">
        <v>1871477.0</v>
      </c>
      <c r="C722" s="40">
        <v>10.0</v>
      </c>
      <c r="D722" s="41">
        <v>45978.35802946759</v>
      </c>
    </row>
    <row r="723">
      <c r="A723" s="39" t="s">
        <v>234</v>
      </c>
      <c r="B723" s="40">
        <v>1871478.0</v>
      </c>
      <c r="C723" s="40">
        <v>20.0</v>
      </c>
      <c r="D723" s="41">
        <v>45978.37919663194</v>
      </c>
    </row>
    <row r="724">
      <c r="A724" s="39" t="s">
        <v>234</v>
      </c>
      <c r="B724" s="40">
        <v>1872001.0</v>
      </c>
      <c r="C724" s="40">
        <v>0.0</v>
      </c>
      <c r="D724" s="41">
        <v>45994.297564293985</v>
      </c>
    </row>
    <row r="725">
      <c r="A725" s="39" t="s">
        <v>234</v>
      </c>
      <c r="B725" s="40">
        <v>1872002.0</v>
      </c>
      <c r="C725" s="40">
        <v>14.0</v>
      </c>
      <c r="D725" s="41">
        <v>45978.71229711805</v>
      </c>
    </row>
    <row r="726">
      <c r="A726" s="39" t="s">
        <v>234</v>
      </c>
      <c r="B726" s="40">
        <v>1872003.0</v>
      </c>
      <c r="C726" s="40">
        <v>14.0</v>
      </c>
      <c r="D726" s="41">
        <v>45979.37906766204</v>
      </c>
    </row>
    <row r="727">
      <c r="A727" s="39" t="s">
        <v>234</v>
      </c>
      <c r="B727" s="40">
        <v>1872011.0</v>
      </c>
      <c r="C727" s="40">
        <v>12.0</v>
      </c>
      <c r="D727" s="41">
        <v>45979.42064887732</v>
      </c>
    </row>
    <row r="728">
      <c r="A728" s="39" t="s">
        <v>234</v>
      </c>
      <c r="B728" s="40">
        <v>1872014.0</v>
      </c>
      <c r="C728" s="40">
        <v>10.0</v>
      </c>
      <c r="D728" s="41">
        <v>45980.48324568287</v>
      </c>
    </row>
    <row r="729">
      <c r="A729" s="39" t="s">
        <v>234</v>
      </c>
      <c r="B729" s="40">
        <v>1879211.0</v>
      </c>
      <c r="C729" s="40">
        <v>10.0</v>
      </c>
      <c r="D729" s="41">
        <v>45981.38942019676</v>
      </c>
    </row>
    <row r="730">
      <c r="A730" s="39" t="s">
        <v>234</v>
      </c>
      <c r="B730" s="40">
        <v>1879212.0</v>
      </c>
      <c r="C730" s="40">
        <v>16.0</v>
      </c>
      <c r="D730" s="41">
        <v>45981.4728889699</v>
      </c>
    </row>
    <row r="731">
      <c r="A731" s="39" t="s">
        <v>234</v>
      </c>
      <c r="B731" s="40">
        <v>1879213.0</v>
      </c>
      <c r="C731" s="40">
        <v>20.0</v>
      </c>
      <c r="D731" s="41">
        <v>45982.358205</v>
      </c>
    </row>
    <row r="732">
      <c r="A732" s="39" t="s">
        <v>234</v>
      </c>
      <c r="B732" s="40">
        <v>1879214.0</v>
      </c>
      <c r="C732" s="40">
        <v>17.0</v>
      </c>
      <c r="D732" s="41">
        <v>45981.58743076389</v>
      </c>
    </row>
    <row r="733">
      <c r="A733" s="39" t="s">
        <v>234</v>
      </c>
      <c r="B733" s="40">
        <v>1879215.0</v>
      </c>
      <c r="C733" s="40">
        <v>13.0</v>
      </c>
      <c r="D733" s="41">
        <v>45981.4728971875</v>
      </c>
    </row>
    <row r="734">
      <c r="A734" s="39" t="s">
        <v>234</v>
      </c>
      <c r="B734" s="40">
        <v>1892322.0</v>
      </c>
      <c r="C734" s="40">
        <v>0.0</v>
      </c>
      <c r="D734" s="41">
        <v>45976.71402694445</v>
      </c>
    </row>
    <row r="735">
      <c r="A735" s="39" t="s">
        <v>234</v>
      </c>
      <c r="B735" s="40">
        <v>1892323.0</v>
      </c>
      <c r="C735" s="40">
        <v>0.0</v>
      </c>
      <c r="D735" s="41">
        <v>45976.71402881945</v>
      </c>
    </row>
    <row r="736">
      <c r="A736" s="39" t="s">
        <v>234</v>
      </c>
      <c r="B736" s="40">
        <v>1892324.0</v>
      </c>
      <c r="C736" s="40">
        <v>0.0</v>
      </c>
      <c r="D736" s="41">
        <v>45976.7140421875</v>
      </c>
    </row>
    <row r="737">
      <c r="A737" s="39" t="s">
        <v>234</v>
      </c>
      <c r="B737" s="40">
        <v>1892325.0</v>
      </c>
      <c r="C737" s="40">
        <v>0.0</v>
      </c>
      <c r="D737" s="41">
        <v>45976.714050208335</v>
      </c>
    </row>
    <row r="738">
      <c r="A738" s="39" t="s">
        <v>234</v>
      </c>
      <c r="B738" s="40">
        <v>1892326.0</v>
      </c>
      <c r="C738" s="40">
        <v>0.0</v>
      </c>
      <c r="D738" s="41">
        <v>45976.71405197917</v>
      </c>
    </row>
    <row r="739">
      <c r="A739" s="39" t="s">
        <v>234</v>
      </c>
      <c r="B739" s="40">
        <v>1901634.0</v>
      </c>
      <c r="C739" s="40">
        <v>0.0</v>
      </c>
      <c r="D739" s="41">
        <v>45992.42255859954</v>
      </c>
    </row>
    <row r="740">
      <c r="A740" s="39" t="s">
        <v>234</v>
      </c>
      <c r="B740" s="40">
        <v>1905196.0</v>
      </c>
      <c r="C740" s="40">
        <v>0.0</v>
      </c>
      <c r="D740" s="41">
        <v>45997.71524265046</v>
      </c>
    </row>
    <row r="741">
      <c r="A741" s="39" t="s">
        <v>234</v>
      </c>
      <c r="B741" s="40">
        <v>1905197.0</v>
      </c>
      <c r="C741" s="40">
        <v>0.0</v>
      </c>
      <c r="D741" s="41">
        <v>45997.71524675926</v>
      </c>
    </row>
    <row r="742">
      <c r="A742" s="39" t="s">
        <v>234</v>
      </c>
      <c r="B742" s="40">
        <v>1905198.0</v>
      </c>
      <c r="C742" s="40">
        <v>0.0</v>
      </c>
      <c r="D742" s="41">
        <v>45997.715253692135</v>
      </c>
    </row>
    <row r="743">
      <c r="A743" s="39" t="s">
        <v>234</v>
      </c>
      <c r="B743" s="40">
        <v>1905201.0</v>
      </c>
      <c r="C743" s="40">
        <v>0.0</v>
      </c>
      <c r="D743" s="41">
        <v>45997.71525770833</v>
      </c>
    </row>
    <row r="744">
      <c r="A744" s="39" t="s">
        <v>234</v>
      </c>
      <c r="B744" s="40">
        <v>1905206.0</v>
      </c>
      <c r="C744" s="40">
        <v>0.0</v>
      </c>
      <c r="D744" s="41">
        <v>45997.71527018519</v>
      </c>
    </row>
    <row r="745">
      <c r="A745" s="39" t="s">
        <v>234</v>
      </c>
      <c r="B745" s="40">
        <v>1909202.0</v>
      </c>
      <c r="C745" s="40">
        <v>12.0</v>
      </c>
      <c r="D745" s="41">
        <v>46003.52135387731</v>
      </c>
    </row>
    <row r="746">
      <c r="A746" s="39" t="s">
        <v>234</v>
      </c>
      <c r="B746" s="40">
        <v>1909203.0</v>
      </c>
      <c r="C746" s="40">
        <v>7.0</v>
      </c>
      <c r="D746" s="41">
        <v>46003.52135387731</v>
      </c>
    </row>
    <row r="747">
      <c r="A747" s="39" t="s">
        <v>235</v>
      </c>
      <c r="B747" s="40">
        <v>1871474.0</v>
      </c>
      <c r="C747" s="40">
        <v>0.0</v>
      </c>
      <c r="D747" s="41">
        <v>45968.470008564815</v>
      </c>
    </row>
    <row r="748">
      <c r="A748" s="39" t="s">
        <v>235</v>
      </c>
      <c r="B748" s="40">
        <v>1871475.0</v>
      </c>
      <c r="C748" s="40">
        <v>0.0</v>
      </c>
      <c r="D748" s="41">
        <v>45968.47001142361</v>
      </c>
    </row>
    <row r="749">
      <c r="A749" s="39" t="s">
        <v>235</v>
      </c>
      <c r="B749" s="40">
        <v>1871476.0</v>
      </c>
      <c r="C749" s="40">
        <v>0.0</v>
      </c>
      <c r="D749" s="41">
        <v>45968.47001427083</v>
      </c>
    </row>
    <row r="750">
      <c r="A750" s="39" t="s">
        <v>235</v>
      </c>
      <c r="B750" s="40">
        <v>1871477.0</v>
      </c>
      <c r="C750" s="40">
        <v>0.0</v>
      </c>
      <c r="D750" s="41">
        <v>45968.470225613426</v>
      </c>
    </row>
    <row r="751">
      <c r="A751" s="39" t="s">
        <v>235</v>
      </c>
      <c r="B751" s="40">
        <v>1871478.0</v>
      </c>
      <c r="C751" s="40">
        <v>0.0</v>
      </c>
      <c r="D751" s="41">
        <v>45968.47023399305</v>
      </c>
    </row>
    <row r="752">
      <c r="A752" s="39" t="s">
        <v>235</v>
      </c>
      <c r="B752" s="40">
        <v>1872001.0</v>
      </c>
      <c r="C752" s="40">
        <v>0.0</v>
      </c>
      <c r="D752" s="41">
        <v>45968.47023659722</v>
      </c>
    </row>
    <row r="753">
      <c r="A753" s="39" t="s">
        <v>235</v>
      </c>
      <c r="B753" s="40">
        <v>1872002.0</v>
      </c>
      <c r="C753" s="40">
        <v>0.0</v>
      </c>
      <c r="D753" s="41">
        <v>45968.47023979167</v>
      </c>
    </row>
    <row r="754">
      <c r="A754" s="39" t="s">
        <v>235</v>
      </c>
      <c r="B754" s="40">
        <v>1872003.0</v>
      </c>
      <c r="C754" s="40">
        <v>0.0</v>
      </c>
      <c r="D754" s="41">
        <v>45968.47024253472</v>
      </c>
    </row>
    <row r="755">
      <c r="A755" s="39" t="s">
        <v>235</v>
      </c>
      <c r="B755" s="40">
        <v>1872011.0</v>
      </c>
      <c r="C755" s="40">
        <v>0.0</v>
      </c>
      <c r="D755" s="41">
        <v>45968.47024530092</v>
      </c>
    </row>
    <row r="756">
      <c r="A756" s="39" t="s">
        <v>235</v>
      </c>
      <c r="B756" s="40">
        <v>1872014.0</v>
      </c>
      <c r="C756" s="40">
        <v>0.0</v>
      </c>
      <c r="D756" s="41">
        <v>45968.47024790509</v>
      </c>
    </row>
    <row r="757">
      <c r="A757" s="39" t="s">
        <v>235</v>
      </c>
      <c r="B757" s="40">
        <v>1879211.0</v>
      </c>
      <c r="C757" s="40">
        <v>0.0</v>
      </c>
      <c r="D757" s="41">
        <v>45969.71739331019</v>
      </c>
    </row>
    <row r="758">
      <c r="A758" s="39" t="s">
        <v>235</v>
      </c>
      <c r="B758" s="40">
        <v>1879212.0</v>
      </c>
      <c r="C758" s="40">
        <v>0.0</v>
      </c>
      <c r="D758" s="41">
        <v>45969.717395625004</v>
      </c>
    </row>
    <row r="759">
      <c r="A759" s="39" t="s">
        <v>235</v>
      </c>
      <c r="B759" s="40">
        <v>1879213.0</v>
      </c>
      <c r="C759" s="40">
        <v>0.0</v>
      </c>
      <c r="D759" s="41">
        <v>45969.71739805555</v>
      </c>
    </row>
    <row r="760">
      <c r="A760" s="39" t="s">
        <v>235</v>
      </c>
      <c r="B760" s="40">
        <v>1879214.0</v>
      </c>
      <c r="C760" s="40">
        <v>0.0</v>
      </c>
      <c r="D760" s="41">
        <v>45969.71740581018</v>
      </c>
    </row>
    <row r="761">
      <c r="A761" s="39" t="s">
        <v>235</v>
      </c>
      <c r="B761" s="40">
        <v>1879215.0</v>
      </c>
      <c r="C761" s="40">
        <v>0.0</v>
      </c>
      <c r="D761" s="41">
        <v>45969.71740836806</v>
      </c>
    </row>
    <row r="762">
      <c r="A762" s="39" t="s">
        <v>235</v>
      </c>
      <c r="B762" s="40">
        <v>1892322.0</v>
      </c>
      <c r="C762" s="40">
        <v>0.0</v>
      </c>
      <c r="D762" s="41">
        <v>45976.71405447916</v>
      </c>
    </row>
    <row r="763">
      <c r="A763" s="39" t="s">
        <v>235</v>
      </c>
      <c r="B763" s="40">
        <v>1892323.0</v>
      </c>
      <c r="C763" s="40">
        <v>0.0</v>
      </c>
      <c r="D763" s="41">
        <v>45976.71406738426</v>
      </c>
    </row>
    <row r="764">
      <c r="A764" s="39" t="s">
        <v>235</v>
      </c>
      <c r="B764" s="40">
        <v>1892324.0</v>
      </c>
      <c r="C764" s="40">
        <v>0.0</v>
      </c>
      <c r="D764" s="41">
        <v>45976.714085381944</v>
      </c>
    </row>
    <row r="765">
      <c r="A765" s="39" t="s">
        <v>235</v>
      </c>
      <c r="B765" s="40">
        <v>1892325.0</v>
      </c>
      <c r="C765" s="40">
        <v>0.0</v>
      </c>
      <c r="D765" s="41">
        <v>45976.71408815972</v>
      </c>
    </row>
    <row r="766">
      <c r="A766" s="39" t="s">
        <v>235</v>
      </c>
      <c r="B766" s="40">
        <v>1892326.0</v>
      </c>
      <c r="C766" s="40">
        <v>0.0</v>
      </c>
      <c r="D766" s="41">
        <v>45976.71408989583</v>
      </c>
    </row>
    <row r="767">
      <c r="A767" s="39" t="s">
        <v>235</v>
      </c>
      <c r="B767" s="40">
        <v>1901634.0</v>
      </c>
      <c r="C767" s="40">
        <v>0.0</v>
      </c>
      <c r="D767" s="41">
        <v>45992.42256717593</v>
      </c>
    </row>
    <row r="768">
      <c r="A768" s="39" t="s">
        <v>235</v>
      </c>
      <c r="B768" s="40">
        <v>1905196.0</v>
      </c>
      <c r="C768" s="40">
        <v>0.0</v>
      </c>
      <c r="D768" s="41">
        <v>45997.715274849535</v>
      </c>
    </row>
    <row r="769">
      <c r="A769" s="39" t="s">
        <v>235</v>
      </c>
      <c r="B769" s="40">
        <v>1905197.0</v>
      </c>
      <c r="C769" s="40">
        <v>0.0</v>
      </c>
      <c r="D769" s="41">
        <v>45997.715278738426</v>
      </c>
    </row>
    <row r="770">
      <c r="A770" s="39" t="s">
        <v>235</v>
      </c>
      <c r="B770" s="40">
        <v>1905198.0</v>
      </c>
      <c r="C770" s="40">
        <v>0.0</v>
      </c>
      <c r="D770" s="41">
        <v>45997.71528244213</v>
      </c>
    </row>
    <row r="771">
      <c r="A771" s="39" t="s">
        <v>235</v>
      </c>
      <c r="B771" s="40">
        <v>1905201.0</v>
      </c>
      <c r="C771" s="40">
        <v>0.0</v>
      </c>
      <c r="D771" s="41">
        <v>45997.71528614583</v>
      </c>
    </row>
    <row r="772">
      <c r="A772" s="39" t="s">
        <v>235</v>
      </c>
      <c r="B772" s="40">
        <v>1905206.0</v>
      </c>
      <c r="C772" s="40">
        <v>0.0</v>
      </c>
      <c r="D772" s="41">
        <v>45997.71528965278</v>
      </c>
    </row>
    <row r="773">
      <c r="A773" s="39" t="s">
        <v>236</v>
      </c>
      <c r="B773" s="40">
        <v>1871474.0</v>
      </c>
      <c r="C773" s="40">
        <v>10.0</v>
      </c>
      <c r="D773" s="41">
        <v>45968.47025038194</v>
      </c>
    </row>
    <row r="774">
      <c r="A774" s="39" t="s">
        <v>236</v>
      </c>
      <c r="B774" s="40">
        <v>1871475.0</v>
      </c>
      <c r="C774" s="40">
        <v>0.0</v>
      </c>
      <c r="D774" s="41">
        <v>45968.47025334491</v>
      </c>
    </row>
    <row r="775">
      <c r="A775" s="39" t="s">
        <v>236</v>
      </c>
      <c r="B775" s="40">
        <v>1871476.0</v>
      </c>
      <c r="C775" s="40">
        <v>0.0</v>
      </c>
      <c r="D775" s="41">
        <v>45968.47025597222</v>
      </c>
    </row>
    <row r="776">
      <c r="A776" s="39" t="s">
        <v>236</v>
      </c>
      <c r="B776" s="40">
        <v>1871477.0</v>
      </c>
      <c r="C776" s="40">
        <v>0.0</v>
      </c>
      <c r="D776" s="41">
        <v>45968.47025960648</v>
      </c>
    </row>
    <row r="777">
      <c r="A777" s="39" t="s">
        <v>236</v>
      </c>
      <c r="B777" s="40">
        <v>1871478.0</v>
      </c>
      <c r="C777" s="40">
        <v>0.0</v>
      </c>
      <c r="D777" s="41">
        <v>45968.470262303235</v>
      </c>
    </row>
    <row r="778">
      <c r="A778" s="39" t="s">
        <v>236</v>
      </c>
      <c r="B778" s="40">
        <v>1872001.0</v>
      </c>
      <c r="C778" s="40">
        <v>0.0</v>
      </c>
      <c r="D778" s="41">
        <v>45994.29756832176</v>
      </c>
    </row>
    <row r="779">
      <c r="A779" s="39" t="s">
        <v>236</v>
      </c>
      <c r="B779" s="40">
        <v>1872002.0</v>
      </c>
      <c r="C779" s="40">
        <v>3.0</v>
      </c>
      <c r="D779" s="41">
        <v>45981.72282621528</v>
      </c>
    </row>
    <row r="780">
      <c r="A780" s="39" t="s">
        <v>236</v>
      </c>
      <c r="B780" s="40">
        <v>1872003.0</v>
      </c>
      <c r="C780" s="40">
        <v>0.0</v>
      </c>
      <c r="D780" s="41">
        <v>45968.47027351852</v>
      </c>
    </row>
    <row r="781">
      <c r="A781" s="39" t="s">
        <v>236</v>
      </c>
      <c r="B781" s="40">
        <v>1872011.0</v>
      </c>
      <c r="C781" s="40">
        <v>0.0</v>
      </c>
      <c r="D781" s="41">
        <v>45968.4702759838</v>
      </c>
    </row>
    <row r="782">
      <c r="A782" s="39" t="s">
        <v>236</v>
      </c>
      <c r="B782" s="40">
        <v>1872014.0</v>
      </c>
      <c r="C782" s="40">
        <v>0.0</v>
      </c>
      <c r="D782" s="41">
        <v>45968.47027853009</v>
      </c>
    </row>
    <row r="783">
      <c r="A783" s="39" t="s">
        <v>236</v>
      </c>
      <c r="B783" s="40">
        <v>1879211.0</v>
      </c>
      <c r="C783" s="40">
        <v>10.0</v>
      </c>
      <c r="D783" s="41">
        <v>45981.35823722222</v>
      </c>
    </row>
    <row r="784">
      <c r="A784" s="39" t="s">
        <v>236</v>
      </c>
      <c r="B784" s="40">
        <v>1879212.0</v>
      </c>
      <c r="C784" s="40">
        <v>0.0</v>
      </c>
      <c r="D784" s="41">
        <v>45969.71741271991</v>
      </c>
    </row>
    <row r="785">
      <c r="A785" s="39" t="s">
        <v>236</v>
      </c>
      <c r="B785" s="40">
        <v>1879213.0</v>
      </c>
      <c r="C785" s="40">
        <v>0.0</v>
      </c>
      <c r="D785" s="41">
        <v>45969.71742112268</v>
      </c>
    </row>
    <row r="786">
      <c r="A786" s="39" t="s">
        <v>236</v>
      </c>
      <c r="B786" s="40">
        <v>1879214.0</v>
      </c>
      <c r="C786" s="40">
        <v>0.0</v>
      </c>
      <c r="D786" s="41">
        <v>45969.717423298614</v>
      </c>
    </row>
    <row r="787">
      <c r="A787" s="39" t="s">
        <v>236</v>
      </c>
      <c r="B787" s="40">
        <v>1879215.0</v>
      </c>
      <c r="C787" s="40">
        <v>0.0</v>
      </c>
      <c r="D787" s="41">
        <v>45969.71742685185</v>
      </c>
    </row>
    <row r="788">
      <c r="A788" s="39" t="s">
        <v>236</v>
      </c>
      <c r="B788" s="40">
        <v>1892322.0</v>
      </c>
      <c r="C788" s="40">
        <v>2.0</v>
      </c>
      <c r="D788" s="41">
        <v>45975.723076423616</v>
      </c>
    </row>
    <row r="789">
      <c r="A789" s="39" t="s">
        <v>236</v>
      </c>
      <c r="B789" s="40">
        <v>1892323.0</v>
      </c>
      <c r="C789" s="40">
        <v>0.0</v>
      </c>
      <c r="D789" s="41">
        <v>45976.71409166667</v>
      </c>
    </row>
    <row r="790">
      <c r="A790" s="39" t="s">
        <v>236</v>
      </c>
      <c r="B790" s="40">
        <v>1892324.0</v>
      </c>
      <c r="C790" s="40">
        <v>0.0</v>
      </c>
      <c r="D790" s="41">
        <v>45976.71409350695</v>
      </c>
    </row>
    <row r="791">
      <c r="A791" s="39" t="s">
        <v>236</v>
      </c>
      <c r="B791" s="40">
        <v>1892325.0</v>
      </c>
      <c r="C791" s="40">
        <v>0.0</v>
      </c>
      <c r="D791" s="41">
        <v>45976.71409555555</v>
      </c>
    </row>
    <row r="792">
      <c r="A792" s="39" t="s">
        <v>236</v>
      </c>
      <c r="B792" s="40">
        <v>1892326.0</v>
      </c>
      <c r="C792" s="40">
        <v>0.0</v>
      </c>
      <c r="D792" s="41">
        <v>45976.71409844907</v>
      </c>
    </row>
    <row r="793">
      <c r="A793" s="39" t="s">
        <v>236</v>
      </c>
      <c r="B793" s="40">
        <v>1901634.0</v>
      </c>
      <c r="C793" s="40">
        <v>0.0</v>
      </c>
      <c r="D793" s="41">
        <v>45992.422570219904</v>
      </c>
    </row>
    <row r="794">
      <c r="A794" s="39" t="s">
        <v>236</v>
      </c>
      <c r="B794" s="40">
        <v>1905196.0</v>
      </c>
      <c r="C794" s="40">
        <v>3.0</v>
      </c>
      <c r="D794" s="41">
        <v>46001.35981545139</v>
      </c>
    </row>
    <row r="795">
      <c r="A795" s="39" t="s">
        <v>236</v>
      </c>
      <c r="B795" s="40">
        <v>1905197.0</v>
      </c>
      <c r="C795" s="40">
        <v>0.0</v>
      </c>
      <c r="D795" s="41">
        <v>45997.71529769676</v>
      </c>
    </row>
    <row r="796">
      <c r="A796" s="39" t="s">
        <v>236</v>
      </c>
      <c r="B796" s="40">
        <v>1905198.0</v>
      </c>
      <c r="C796" s="40">
        <v>12.0</v>
      </c>
      <c r="D796" s="41">
        <v>46003.52135387731</v>
      </c>
    </row>
    <row r="797">
      <c r="A797" s="39" t="s">
        <v>236</v>
      </c>
      <c r="B797" s="40">
        <v>1905201.0</v>
      </c>
      <c r="C797" s="40">
        <v>5.0</v>
      </c>
      <c r="D797" s="41">
        <v>46003.52135387731</v>
      </c>
    </row>
    <row r="798">
      <c r="A798" s="39" t="s">
        <v>236</v>
      </c>
      <c r="B798" s="40">
        <v>1905206.0</v>
      </c>
      <c r="C798" s="40">
        <v>0.0</v>
      </c>
      <c r="D798" s="41">
        <v>45997.71530810185</v>
      </c>
    </row>
    <row r="799">
      <c r="A799" s="39" t="s">
        <v>236</v>
      </c>
      <c r="B799" s="40">
        <v>1909202.0</v>
      </c>
      <c r="C799" s="40">
        <v>6.0</v>
      </c>
      <c r="D799" s="41">
        <v>46001.338766863424</v>
      </c>
    </row>
    <row r="800">
      <c r="A800" s="39" t="s">
        <v>237</v>
      </c>
      <c r="B800" s="40">
        <v>1871474.0</v>
      </c>
      <c r="C800" s="40">
        <v>0.0</v>
      </c>
      <c r="D800" s="41">
        <v>45968.47028136574</v>
      </c>
    </row>
    <row r="801">
      <c r="A801" s="39" t="s">
        <v>237</v>
      </c>
      <c r="B801" s="40">
        <v>1871475.0</v>
      </c>
      <c r="C801" s="40">
        <v>0.0</v>
      </c>
      <c r="D801" s="41">
        <v>45968.470284027775</v>
      </c>
    </row>
    <row r="802">
      <c r="A802" s="39" t="s">
        <v>237</v>
      </c>
      <c r="B802" s="40">
        <v>1871476.0</v>
      </c>
      <c r="C802" s="40">
        <v>0.0</v>
      </c>
      <c r="D802" s="41">
        <v>45968.470290474535</v>
      </c>
    </row>
    <row r="803">
      <c r="A803" s="39" t="s">
        <v>237</v>
      </c>
      <c r="B803" s="40">
        <v>1871477.0</v>
      </c>
      <c r="C803" s="40">
        <v>0.0</v>
      </c>
      <c r="D803" s="41">
        <v>45968.470301284724</v>
      </c>
    </row>
    <row r="804">
      <c r="A804" s="39" t="s">
        <v>237</v>
      </c>
      <c r="B804" s="40">
        <v>1871478.0</v>
      </c>
      <c r="C804" s="40">
        <v>0.0</v>
      </c>
      <c r="D804" s="41">
        <v>45968.470303912036</v>
      </c>
    </row>
    <row r="805">
      <c r="A805" s="39" t="s">
        <v>237</v>
      </c>
      <c r="B805" s="40">
        <v>1872001.0</v>
      </c>
      <c r="C805" s="40">
        <v>0.0</v>
      </c>
      <c r="D805" s="41">
        <v>45968.47030637732</v>
      </c>
    </row>
    <row r="806">
      <c r="A806" s="39" t="s">
        <v>237</v>
      </c>
      <c r="B806" s="40">
        <v>1872002.0</v>
      </c>
      <c r="C806" s="40">
        <v>0.0</v>
      </c>
      <c r="D806" s="41">
        <v>45968.47030893518</v>
      </c>
    </row>
    <row r="807">
      <c r="A807" s="39" t="s">
        <v>237</v>
      </c>
      <c r="B807" s="40">
        <v>1872003.0</v>
      </c>
      <c r="C807" s="40">
        <v>0.0</v>
      </c>
      <c r="D807" s="41">
        <v>45968.470311446756</v>
      </c>
    </row>
    <row r="808">
      <c r="A808" s="39" t="s">
        <v>237</v>
      </c>
      <c r="B808" s="40">
        <v>1872011.0</v>
      </c>
      <c r="C808" s="40">
        <v>0.0</v>
      </c>
      <c r="D808" s="41">
        <v>45968.47031394676</v>
      </c>
    </row>
    <row r="809">
      <c r="A809" s="39" t="s">
        <v>237</v>
      </c>
      <c r="B809" s="40">
        <v>1872014.0</v>
      </c>
      <c r="C809" s="40">
        <v>0.0</v>
      </c>
      <c r="D809" s="41">
        <v>45968.47031651621</v>
      </c>
    </row>
    <row r="810">
      <c r="A810" s="39" t="s">
        <v>237</v>
      </c>
      <c r="B810" s="40">
        <v>1879211.0</v>
      </c>
      <c r="C810" s="40">
        <v>0.0</v>
      </c>
      <c r="D810" s="41">
        <v>45969.71742965278</v>
      </c>
    </row>
    <row r="811">
      <c r="A811" s="39" t="s">
        <v>237</v>
      </c>
      <c r="B811" s="40">
        <v>1879212.0</v>
      </c>
      <c r="C811" s="40">
        <v>0.0</v>
      </c>
      <c r="D811" s="41">
        <v>45969.717431620375</v>
      </c>
    </row>
    <row r="812">
      <c r="A812" s="39" t="s">
        <v>237</v>
      </c>
      <c r="B812" s="40">
        <v>1879213.0</v>
      </c>
      <c r="C812" s="40">
        <v>0.0</v>
      </c>
      <c r="D812" s="41">
        <v>45969.71743388889</v>
      </c>
    </row>
    <row r="813">
      <c r="A813" s="39" t="s">
        <v>237</v>
      </c>
      <c r="B813" s="40">
        <v>1879214.0</v>
      </c>
      <c r="C813" s="40">
        <v>0.0</v>
      </c>
      <c r="D813" s="41">
        <v>45969.71743599537</v>
      </c>
    </row>
    <row r="814">
      <c r="A814" s="39" t="s">
        <v>237</v>
      </c>
      <c r="B814" s="40">
        <v>1879215.0</v>
      </c>
      <c r="C814" s="40">
        <v>0.0</v>
      </c>
      <c r="D814" s="41">
        <v>45969.717438472224</v>
      </c>
    </row>
    <row r="815">
      <c r="A815" s="39" t="s">
        <v>237</v>
      </c>
      <c r="B815" s="40">
        <v>1892322.0</v>
      </c>
      <c r="C815" s="40">
        <v>0.0</v>
      </c>
      <c r="D815" s="41">
        <v>45976.7141003125</v>
      </c>
    </row>
    <row r="816">
      <c r="A816" s="39" t="s">
        <v>237</v>
      </c>
      <c r="B816" s="40">
        <v>1892323.0</v>
      </c>
      <c r="C816" s="40">
        <v>0.0</v>
      </c>
      <c r="D816" s="41">
        <v>45976.71411050926</v>
      </c>
    </row>
    <row r="817">
      <c r="A817" s="39" t="s">
        <v>237</v>
      </c>
      <c r="B817" s="40">
        <v>1892324.0</v>
      </c>
      <c r="C817" s="40">
        <v>0.0</v>
      </c>
      <c r="D817" s="41">
        <v>45976.71411237269</v>
      </c>
    </row>
    <row r="818">
      <c r="A818" s="39" t="s">
        <v>237</v>
      </c>
      <c r="B818" s="40">
        <v>1892325.0</v>
      </c>
      <c r="C818" s="40">
        <v>0.0</v>
      </c>
      <c r="D818" s="41">
        <v>45976.7141156713</v>
      </c>
    </row>
    <row r="819">
      <c r="A819" s="39" t="s">
        <v>237</v>
      </c>
      <c r="B819" s="40">
        <v>1892326.0</v>
      </c>
      <c r="C819" s="40">
        <v>0.0</v>
      </c>
      <c r="D819" s="41">
        <v>45976.71411756944</v>
      </c>
    </row>
    <row r="820">
      <c r="A820" s="39" t="s">
        <v>237</v>
      </c>
      <c r="B820" s="40">
        <v>1901634.0</v>
      </c>
      <c r="C820" s="40">
        <v>0.0</v>
      </c>
      <c r="D820" s="41">
        <v>45992.42257391204</v>
      </c>
    </row>
    <row r="821">
      <c r="A821" s="39" t="s">
        <v>237</v>
      </c>
      <c r="B821" s="40">
        <v>1905196.0</v>
      </c>
      <c r="C821" s="40">
        <v>0.0</v>
      </c>
      <c r="D821" s="41">
        <v>45997.71531292824</v>
      </c>
    </row>
    <row r="822">
      <c r="A822" s="39" t="s">
        <v>237</v>
      </c>
      <c r="B822" s="40">
        <v>1905197.0</v>
      </c>
      <c r="C822" s="40">
        <v>0.0</v>
      </c>
      <c r="D822" s="41">
        <v>45997.71531721065</v>
      </c>
    </row>
    <row r="823">
      <c r="A823" s="39" t="s">
        <v>237</v>
      </c>
      <c r="B823" s="40">
        <v>1905198.0</v>
      </c>
      <c r="C823" s="40">
        <v>0.0</v>
      </c>
      <c r="D823" s="41">
        <v>45997.71532737269</v>
      </c>
    </row>
    <row r="824">
      <c r="A824" s="39" t="s">
        <v>237</v>
      </c>
      <c r="B824" s="40">
        <v>1905201.0</v>
      </c>
      <c r="C824" s="40">
        <v>0.0</v>
      </c>
      <c r="D824" s="41">
        <v>45997.71533121528</v>
      </c>
    </row>
    <row r="825">
      <c r="A825" s="39" t="s">
        <v>237</v>
      </c>
      <c r="B825" s="40">
        <v>1905206.0</v>
      </c>
      <c r="C825" s="40">
        <v>0.0</v>
      </c>
      <c r="D825" s="41">
        <v>45997.715335092595</v>
      </c>
    </row>
    <row r="826">
      <c r="A826" s="39" t="s">
        <v>238</v>
      </c>
      <c r="B826" s="40">
        <v>1871474.0</v>
      </c>
      <c r="C826" s="40">
        <v>10.0</v>
      </c>
      <c r="D826" s="41">
        <v>45968.47031900463</v>
      </c>
    </row>
    <row r="827">
      <c r="A827" s="39" t="s">
        <v>238</v>
      </c>
      <c r="B827" s="40">
        <v>1871475.0</v>
      </c>
      <c r="C827" s="40">
        <v>10.0</v>
      </c>
      <c r="D827" s="41">
        <v>45968.4703215162</v>
      </c>
    </row>
    <row r="828">
      <c r="A828" s="39" t="s">
        <v>238</v>
      </c>
      <c r="B828" s="40">
        <v>1871476.0</v>
      </c>
      <c r="C828" s="40">
        <v>0.0</v>
      </c>
      <c r="D828" s="41">
        <v>45968.47033115741</v>
      </c>
    </row>
    <row r="829">
      <c r="A829" s="39" t="s">
        <v>238</v>
      </c>
      <c r="B829" s="40">
        <v>1871477.0</v>
      </c>
      <c r="C829" s="40">
        <v>15.0</v>
      </c>
      <c r="D829" s="41">
        <v>45968.47033373843</v>
      </c>
    </row>
    <row r="830">
      <c r="A830" s="39" t="s">
        <v>238</v>
      </c>
      <c r="B830" s="40">
        <v>1871478.0</v>
      </c>
      <c r="C830" s="40">
        <v>20.0</v>
      </c>
      <c r="D830" s="41">
        <v>45968.47033814815</v>
      </c>
    </row>
    <row r="831">
      <c r="A831" s="39" t="s">
        <v>238</v>
      </c>
      <c r="B831" s="40">
        <v>1872001.0</v>
      </c>
      <c r="C831" s="40">
        <v>0.0</v>
      </c>
      <c r="D831" s="41">
        <v>45994.297571828705</v>
      </c>
    </row>
    <row r="832">
      <c r="A832" s="39" t="s">
        <v>238</v>
      </c>
      <c r="B832" s="40">
        <v>1872002.0</v>
      </c>
      <c r="C832" s="40">
        <v>6.0</v>
      </c>
      <c r="D832" s="41">
        <v>45968.47034303241</v>
      </c>
    </row>
    <row r="833">
      <c r="A833" s="39" t="s">
        <v>238</v>
      </c>
      <c r="B833" s="40">
        <v>1872003.0</v>
      </c>
      <c r="C833" s="40">
        <v>6.0</v>
      </c>
      <c r="D833" s="41">
        <v>45968.47034559028</v>
      </c>
    </row>
    <row r="834">
      <c r="A834" s="39" t="s">
        <v>238</v>
      </c>
      <c r="B834" s="40">
        <v>1872011.0</v>
      </c>
      <c r="C834" s="40">
        <v>6.0</v>
      </c>
      <c r="D834" s="41">
        <v>45968.470348310184</v>
      </c>
    </row>
    <row r="835">
      <c r="A835" s="39" t="s">
        <v>238</v>
      </c>
      <c r="B835" s="40">
        <v>1872014.0</v>
      </c>
      <c r="C835" s="40">
        <v>2.0</v>
      </c>
      <c r="D835" s="41">
        <v>45968.47035096065</v>
      </c>
    </row>
    <row r="836">
      <c r="A836" s="39" t="s">
        <v>238</v>
      </c>
      <c r="B836" s="40">
        <v>1879211.0</v>
      </c>
      <c r="C836" s="40">
        <v>10.0</v>
      </c>
      <c r="D836" s="41">
        <v>45968.470360625</v>
      </c>
    </row>
    <row r="837">
      <c r="A837" s="39" t="s">
        <v>238</v>
      </c>
      <c r="B837" s="40">
        <v>1879212.0</v>
      </c>
      <c r="C837" s="40">
        <v>20.0</v>
      </c>
      <c r="D837" s="41">
        <v>45979.49392125</v>
      </c>
    </row>
    <row r="838">
      <c r="A838" s="39" t="s">
        <v>238</v>
      </c>
      <c r="B838" s="40">
        <v>1879213.0</v>
      </c>
      <c r="C838" s="40">
        <v>7.0</v>
      </c>
      <c r="D838" s="41">
        <v>45979.49392454861</v>
      </c>
    </row>
    <row r="839">
      <c r="A839" s="39" t="s">
        <v>238</v>
      </c>
      <c r="B839" s="40">
        <v>1879214.0</v>
      </c>
      <c r="C839" s="40">
        <v>7.0</v>
      </c>
      <c r="D839" s="41">
        <v>45979.493934224534</v>
      </c>
    </row>
    <row r="840">
      <c r="A840" s="39" t="s">
        <v>238</v>
      </c>
      <c r="B840" s="40">
        <v>1879215.0</v>
      </c>
      <c r="C840" s="40">
        <v>9.0</v>
      </c>
      <c r="D840" s="41">
        <v>45968.47037069444</v>
      </c>
    </row>
    <row r="841">
      <c r="A841" s="39" t="s">
        <v>238</v>
      </c>
      <c r="B841" s="40">
        <v>1892323.0</v>
      </c>
      <c r="C841" s="40">
        <v>8.0</v>
      </c>
      <c r="D841" s="41">
        <v>45979.524815324075</v>
      </c>
    </row>
    <row r="842">
      <c r="A842" s="39" t="s">
        <v>238</v>
      </c>
      <c r="B842" s="40">
        <v>1892324.0</v>
      </c>
      <c r="C842" s="40">
        <v>4.0</v>
      </c>
      <c r="D842" s="41">
        <v>45979.577075486115</v>
      </c>
    </row>
    <row r="843">
      <c r="A843" s="39" t="s">
        <v>238</v>
      </c>
      <c r="B843" s="40">
        <v>1892325.0</v>
      </c>
      <c r="C843" s="40">
        <v>4.0</v>
      </c>
      <c r="D843" s="41">
        <v>45982.48329618055</v>
      </c>
    </row>
    <row r="844">
      <c r="A844" s="39" t="s">
        <v>238</v>
      </c>
      <c r="B844" s="40">
        <v>1892326.0</v>
      </c>
      <c r="C844" s="40">
        <v>0.0</v>
      </c>
      <c r="D844" s="41">
        <v>45976.71413162037</v>
      </c>
    </row>
    <row r="845">
      <c r="A845" s="39" t="s">
        <v>238</v>
      </c>
      <c r="B845" s="40">
        <v>1901634.0</v>
      </c>
      <c r="C845" s="40">
        <v>0.0</v>
      </c>
      <c r="D845" s="41">
        <v>45992.422581736115</v>
      </c>
    </row>
    <row r="846">
      <c r="A846" s="39" t="s">
        <v>238</v>
      </c>
      <c r="B846" s="40">
        <v>1905196.0</v>
      </c>
      <c r="C846" s="40">
        <v>6.0</v>
      </c>
      <c r="D846" s="41">
        <v>46003.52135387731</v>
      </c>
    </row>
    <row r="847">
      <c r="A847" s="39" t="s">
        <v>238</v>
      </c>
      <c r="B847" s="40">
        <v>1905197.0</v>
      </c>
      <c r="C847" s="40">
        <v>0.0</v>
      </c>
      <c r="D847" s="41">
        <v>45997.71535082176</v>
      </c>
    </row>
    <row r="848">
      <c r="A848" s="39" t="s">
        <v>238</v>
      </c>
      <c r="B848" s="40">
        <v>1905198.0</v>
      </c>
      <c r="C848" s="40">
        <v>0.0</v>
      </c>
      <c r="D848" s="41">
        <v>45997.71535508102</v>
      </c>
    </row>
    <row r="849">
      <c r="A849" s="39" t="s">
        <v>238</v>
      </c>
      <c r="B849" s="40">
        <v>1905201.0</v>
      </c>
      <c r="C849" s="40">
        <v>0.0</v>
      </c>
      <c r="D849" s="41">
        <v>45997.71535885417</v>
      </c>
    </row>
    <row r="850">
      <c r="A850" s="39" t="s">
        <v>238</v>
      </c>
      <c r="B850" s="40">
        <v>1905206.0</v>
      </c>
      <c r="C850" s="40">
        <v>0.0</v>
      </c>
      <c r="D850" s="41">
        <v>45997.71536261574</v>
      </c>
    </row>
    <row r="851">
      <c r="A851" s="39" t="s">
        <v>239</v>
      </c>
      <c r="B851" s="40">
        <v>1871474.0</v>
      </c>
      <c r="C851" s="40">
        <v>10.0</v>
      </c>
      <c r="D851" s="41">
        <v>45978.55597236111</v>
      </c>
    </row>
    <row r="852">
      <c r="A852" s="39" t="s">
        <v>239</v>
      </c>
      <c r="B852" s="40">
        <v>1871475.0</v>
      </c>
      <c r="C852" s="40">
        <v>0.0</v>
      </c>
      <c r="D852" s="41">
        <v>45968.47040280093</v>
      </c>
    </row>
    <row r="853">
      <c r="A853" s="39" t="s">
        <v>239</v>
      </c>
      <c r="B853" s="40">
        <v>1871476.0</v>
      </c>
      <c r="C853" s="40">
        <v>0.0</v>
      </c>
      <c r="D853" s="41">
        <v>45968.470407534725</v>
      </c>
    </row>
    <row r="854">
      <c r="A854" s="39" t="s">
        <v>239</v>
      </c>
      <c r="B854" s="40">
        <v>1871477.0</v>
      </c>
      <c r="C854" s="40">
        <v>0.0</v>
      </c>
      <c r="D854" s="41">
        <v>45968.47041076389</v>
      </c>
    </row>
    <row r="855">
      <c r="A855" s="39" t="s">
        <v>239</v>
      </c>
      <c r="B855" s="40">
        <v>1871478.0</v>
      </c>
      <c r="C855" s="40">
        <v>0.0</v>
      </c>
      <c r="D855" s="41">
        <v>45968.47041328704</v>
      </c>
    </row>
    <row r="856">
      <c r="A856" s="39" t="s">
        <v>239</v>
      </c>
      <c r="B856" s="40">
        <v>1872001.0</v>
      </c>
      <c r="C856" s="40">
        <v>0.0</v>
      </c>
      <c r="D856" s="41">
        <v>45994.29757871528</v>
      </c>
    </row>
    <row r="857">
      <c r="A857" s="39" t="s">
        <v>239</v>
      </c>
      <c r="B857" s="40">
        <v>1872002.0</v>
      </c>
      <c r="C857" s="40">
        <v>0.0</v>
      </c>
      <c r="D857" s="41">
        <v>45968.470418240744</v>
      </c>
    </row>
    <row r="858">
      <c r="A858" s="39" t="s">
        <v>239</v>
      </c>
      <c r="B858" s="40">
        <v>1872003.0</v>
      </c>
      <c r="C858" s="40">
        <v>0.0</v>
      </c>
      <c r="D858" s="41">
        <v>45968.47042096065</v>
      </c>
    </row>
    <row r="859">
      <c r="A859" s="39" t="s">
        <v>239</v>
      </c>
      <c r="B859" s="40">
        <v>1872011.0</v>
      </c>
      <c r="C859" s="40">
        <v>0.0</v>
      </c>
      <c r="D859" s="41">
        <v>45968.470423611114</v>
      </c>
    </row>
    <row r="860">
      <c r="A860" s="39" t="s">
        <v>239</v>
      </c>
      <c r="B860" s="40">
        <v>1872014.0</v>
      </c>
      <c r="C860" s="40">
        <v>0.0</v>
      </c>
      <c r="D860" s="41">
        <v>45968.47042627315</v>
      </c>
    </row>
    <row r="861">
      <c r="A861" s="39" t="s">
        <v>239</v>
      </c>
      <c r="B861" s="40">
        <v>1879211.0</v>
      </c>
      <c r="C861" s="40">
        <v>0.0</v>
      </c>
      <c r="D861" s="41">
        <v>45969.71745182871</v>
      </c>
    </row>
    <row r="862">
      <c r="A862" s="39" t="s">
        <v>239</v>
      </c>
      <c r="B862" s="40">
        <v>1879212.0</v>
      </c>
      <c r="C862" s="40">
        <v>0.0</v>
      </c>
      <c r="D862" s="41">
        <v>45969.717453958336</v>
      </c>
    </row>
    <row r="863">
      <c r="A863" s="39" t="s">
        <v>239</v>
      </c>
      <c r="B863" s="40">
        <v>1879213.0</v>
      </c>
      <c r="C863" s="40">
        <v>0.0</v>
      </c>
      <c r="D863" s="41">
        <v>45969.71745585648</v>
      </c>
    </row>
    <row r="864">
      <c r="A864" s="39" t="s">
        <v>239</v>
      </c>
      <c r="B864" s="40">
        <v>1879214.0</v>
      </c>
      <c r="C864" s="40">
        <v>0.0</v>
      </c>
      <c r="D864" s="41">
        <v>45969.717467442126</v>
      </c>
    </row>
    <row r="865">
      <c r="A865" s="39" t="s">
        <v>239</v>
      </c>
      <c r="B865" s="40">
        <v>1879215.0</v>
      </c>
      <c r="C865" s="40">
        <v>0.0</v>
      </c>
      <c r="D865" s="41">
        <v>45969.71747679399</v>
      </c>
    </row>
    <row r="866">
      <c r="A866" s="39" t="s">
        <v>239</v>
      </c>
      <c r="B866" s="40">
        <v>1892322.0</v>
      </c>
      <c r="C866" s="40">
        <v>0.0</v>
      </c>
      <c r="D866" s="41">
        <v>45976.71414596065</v>
      </c>
    </row>
    <row r="867">
      <c r="A867" s="39" t="s">
        <v>239</v>
      </c>
      <c r="B867" s="40">
        <v>1892323.0</v>
      </c>
      <c r="C867" s="40">
        <v>0.0</v>
      </c>
      <c r="D867" s="41">
        <v>45976.714148287036</v>
      </c>
    </row>
    <row r="868">
      <c r="A868" s="39" t="s">
        <v>239</v>
      </c>
      <c r="B868" s="40">
        <v>1892324.0</v>
      </c>
      <c r="C868" s="40">
        <v>0.0</v>
      </c>
      <c r="D868" s="41">
        <v>45976.714155520836</v>
      </c>
    </row>
    <row r="869">
      <c r="A869" s="39" t="s">
        <v>239</v>
      </c>
      <c r="B869" s="40">
        <v>1892325.0</v>
      </c>
      <c r="C869" s="40">
        <v>0.0</v>
      </c>
      <c r="D869" s="41">
        <v>45976.71415747685</v>
      </c>
    </row>
    <row r="870">
      <c r="A870" s="39" t="s">
        <v>239</v>
      </c>
      <c r="B870" s="40">
        <v>1892326.0</v>
      </c>
      <c r="C870" s="40">
        <v>0.0</v>
      </c>
      <c r="D870" s="41">
        <v>45976.7141597338</v>
      </c>
    </row>
    <row r="871">
      <c r="A871" s="39" t="s">
        <v>239</v>
      </c>
      <c r="B871" s="40">
        <v>1901634.0</v>
      </c>
      <c r="C871" s="40">
        <v>16.0</v>
      </c>
      <c r="D871" s="41">
        <v>45994.297582175925</v>
      </c>
    </row>
    <row r="872">
      <c r="A872" s="39" t="s">
        <v>239</v>
      </c>
      <c r="B872" s="40">
        <v>1905196.0</v>
      </c>
      <c r="C872" s="40">
        <v>0.0</v>
      </c>
      <c r="D872" s="41">
        <v>45997.71541953704</v>
      </c>
    </row>
    <row r="873">
      <c r="A873" s="39" t="s">
        <v>239</v>
      </c>
      <c r="B873" s="40">
        <v>1905197.0</v>
      </c>
      <c r="C873" s="40">
        <v>0.0</v>
      </c>
      <c r="D873" s="41">
        <v>45997.71542494213</v>
      </c>
    </row>
    <row r="874">
      <c r="A874" s="39" t="s">
        <v>239</v>
      </c>
      <c r="B874" s="40">
        <v>1905198.0</v>
      </c>
      <c r="C874" s="40">
        <v>0.0</v>
      </c>
      <c r="D874" s="41">
        <v>45997.71542827546</v>
      </c>
    </row>
    <row r="875">
      <c r="A875" s="39" t="s">
        <v>239</v>
      </c>
      <c r="B875" s="40">
        <v>1905201.0</v>
      </c>
      <c r="C875" s="40">
        <v>0.0</v>
      </c>
      <c r="D875" s="41">
        <v>45997.715432060184</v>
      </c>
    </row>
    <row r="876">
      <c r="A876" s="39" t="s">
        <v>239</v>
      </c>
      <c r="B876" s="40">
        <v>1905206.0</v>
      </c>
      <c r="C876" s="40">
        <v>10.0</v>
      </c>
      <c r="D876" s="41">
        <v>46003.52135387731</v>
      </c>
    </row>
    <row r="877">
      <c r="A877" s="39" t="s">
        <v>239</v>
      </c>
      <c r="B877" s="40">
        <v>1909202.0</v>
      </c>
      <c r="C877" s="40">
        <v>9.0</v>
      </c>
      <c r="D877" s="41">
        <v>46003.52135387731</v>
      </c>
    </row>
    <row r="878">
      <c r="A878" s="39" t="s">
        <v>240</v>
      </c>
      <c r="B878" s="40">
        <v>1871474.0</v>
      </c>
      <c r="C878" s="40">
        <v>10.0</v>
      </c>
      <c r="D878" s="41">
        <v>45968.47043104167</v>
      </c>
    </row>
    <row r="879">
      <c r="A879" s="39" t="s">
        <v>240</v>
      </c>
      <c r="B879" s="40">
        <v>1871475.0</v>
      </c>
      <c r="C879" s="40">
        <v>10.0</v>
      </c>
      <c r="D879" s="41">
        <v>45968.470440150464</v>
      </c>
    </row>
    <row r="880">
      <c r="A880" s="39" t="s">
        <v>240</v>
      </c>
      <c r="B880" s="40">
        <v>1871477.0</v>
      </c>
      <c r="C880" s="40">
        <v>15.0</v>
      </c>
      <c r="D880" s="41">
        <v>45968.47044538194</v>
      </c>
    </row>
    <row r="881">
      <c r="A881" s="39" t="s">
        <v>240</v>
      </c>
      <c r="B881" s="40">
        <v>1871478.0</v>
      </c>
      <c r="C881" s="40">
        <v>20.0</v>
      </c>
      <c r="D881" s="41">
        <v>45968.47044783564</v>
      </c>
    </row>
    <row r="882">
      <c r="A882" s="39" t="s">
        <v>240</v>
      </c>
      <c r="B882" s="40">
        <v>1872001.0</v>
      </c>
      <c r="C882" s="40">
        <v>0.0</v>
      </c>
      <c r="D882" s="41">
        <v>45994.29759298611</v>
      </c>
    </row>
    <row r="883">
      <c r="A883" s="39" t="s">
        <v>240</v>
      </c>
      <c r="B883" s="40">
        <v>1872002.0</v>
      </c>
      <c r="C883" s="40">
        <v>15.0</v>
      </c>
      <c r="D883" s="41">
        <v>45968.47045311343</v>
      </c>
    </row>
    <row r="884">
      <c r="A884" s="39" t="s">
        <v>240</v>
      </c>
      <c r="B884" s="40">
        <v>1872003.0</v>
      </c>
      <c r="C884" s="40">
        <v>17.0</v>
      </c>
      <c r="D884" s="41">
        <v>45968.470455856484</v>
      </c>
    </row>
    <row r="885">
      <c r="A885" s="39" t="s">
        <v>240</v>
      </c>
      <c r="B885" s="40">
        <v>1872014.0</v>
      </c>
      <c r="C885" s="40">
        <v>8.0</v>
      </c>
      <c r="D885" s="41">
        <v>45968.47046116898</v>
      </c>
    </row>
    <row r="886">
      <c r="A886" s="39" t="s">
        <v>240</v>
      </c>
      <c r="B886" s="40">
        <v>1879211.0</v>
      </c>
      <c r="C886" s="40">
        <v>10.0</v>
      </c>
      <c r="D886" s="41">
        <v>45968.47046362268</v>
      </c>
    </row>
    <row r="887">
      <c r="A887" s="39" t="s">
        <v>240</v>
      </c>
      <c r="B887" s="40">
        <v>1879212.0</v>
      </c>
      <c r="C887" s="40">
        <v>20.0</v>
      </c>
      <c r="D887" s="41">
        <v>45979.49394834491</v>
      </c>
    </row>
    <row r="888">
      <c r="A888" s="39" t="s">
        <v>240</v>
      </c>
      <c r="B888" s="40">
        <v>1879213.0</v>
      </c>
      <c r="C888" s="40">
        <v>0.0</v>
      </c>
      <c r="D888" s="41">
        <v>45969.71748475694</v>
      </c>
    </row>
    <row r="889">
      <c r="A889" s="39" t="s">
        <v>240</v>
      </c>
      <c r="B889" s="40">
        <v>1879214.0</v>
      </c>
      <c r="C889" s="40">
        <v>0.0</v>
      </c>
      <c r="D889" s="41">
        <v>45969.71748708333</v>
      </c>
    </row>
    <row r="890">
      <c r="A890" s="39" t="s">
        <v>240</v>
      </c>
      <c r="B890" s="40">
        <v>1879215.0</v>
      </c>
      <c r="C890" s="40">
        <v>8.0</v>
      </c>
      <c r="D890" s="41">
        <v>45979.493951909724</v>
      </c>
    </row>
    <row r="891">
      <c r="A891" s="39" t="s">
        <v>240</v>
      </c>
      <c r="B891" s="40">
        <v>1892323.0</v>
      </c>
      <c r="C891" s="40">
        <v>0.0</v>
      </c>
      <c r="D891" s="41">
        <v>45976.71417075231</v>
      </c>
    </row>
    <row r="892">
      <c r="A892" s="39" t="s">
        <v>240</v>
      </c>
      <c r="B892" s="40">
        <v>1892324.0</v>
      </c>
      <c r="C892" s="40">
        <v>0.0</v>
      </c>
      <c r="D892" s="41">
        <v>45976.71417259259</v>
      </c>
    </row>
    <row r="893">
      <c r="A893" s="39" t="s">
        <v>240</v>
      </c>
      <c r="B893" s="40">
        <v>1892325.0</v>
      </c>
      <c r="C893" s="40">
        <v>0.0</v>
      </c>
      <c r="D893" s="41">
        <v>45976.71417479167</v>
      </c>
    </row>
    <row r="894">
      <c r="A894" s="39" t="s">
        <v>240</v>
      </c>
      <c r="B894" s="40">
        <v>1892326.0</v>
      </c>
      <c r="C894" s="40">
        <v>0.0</v>
      </c>
      <c r="D894" s="41">
        <v>45976.71417707176</v>
      </c>
    </row>
    <row r="895">
      <c r="A895" s="39" t="s">
        <v>240</v>
      </c>
      <c r="B895" s="40">
        <v>1901634.0</v>
      </c>
      <c r="C895" s="40">
        <v>60.0</v>
      </c>
      <c r="D895" s="41">
        <v>45994.297602164355</v>
      </c>
    </row>
    <row r="896">
      <c r="A896" s="39" t="s">
        <v>240</v>
      </c>
      <c r="B896" s="40">
        <v>1905196.0</v>
      </c>
      <c r="C896" s="40">
        <v>12.0</v>
      </c>
      <c r="D896" s="41">
        <v>46003.52135387731</v>
      </c>
    </row>
    <row r="897">
      <c r="A897" s="39" t="s">
        <v>240</v>
      </c>
      <c r="B897" s="40">
        <v>1905197.0</v>
      </c>
      <c r="C897" s="40">
        <v>0.0</v>
      </c>
      <c r="D897" s="41">
        <v>45997.715457881946</v>
      </c>
    </row>
    <row r="898">
      <c r="A898" s="39" t="s">
        <v>240</v>
      </c>
      <c r="B898" s="40">
        <v>1905198.0</v>
      </c>
      <c r="C898" s="40">
        <v>0.0</v>
      </c>
      <c r="D898" s="41">
        <v>45997.7154624074</v>
      </c>
    </row>
    <row r="899">
      <c r="A899" s="39" t="s">
        <v>240</v>
      </c>
      <c r="B899" s="40">
        <v>1905201.0</v>
      </c>
      <c r="C899" s="40">
        <v>0.0</v>
      </c>
      <c r="D899" s="41">
        <v>45997.71546637731</v>
      </c>
    </row>
    <row r="900">
      <c r="A900" s="39" t="s">
        <v>240</v>
      </c>
      <c r="B900" s="40">
        <v>1905206.0</v>
      </c>
      <c r="C900" s="40">
        <v>0.0</v>
      </c>
      <c r="D900" s="41">
        <v>45997.715472384254</v>
      </c>
    </row>
    <row r="901">
      <c r="A901" s="39" t="s">
        <v>240</v>
      </c>
      <c r="B901" s="40">
        <v>1909202.0</v>
      </c>
      <c r="C901" s="40">
        <v>9.0</v>
      </c>
      <c r="D901" s="41">
        <v>46003.52135387731</v>
      </c>
    </row>
    <row r="902">
      <c r="A902" s="39" t="s">
        <v>240</v>
      </c>
      <c r="B902" s="40">
        <v>1909203.0</v>
      </c>
      <c r="C902" s="40">
        <v>18.0</v>
      </c>
      <c r="D902" s="41">
        <v>46003.52135387731</v>
      </c>
    </row>
    <row r="903">
      <c r="A903" s="39" t="s">
        <v>240</v>
      </c>
      <c r="B903" s="40">
        <v>1909205.0</v>
      </c>
      <c r="C903" s="40">
        <v>0.0</v>
      </c>
      <c r="D903" s="41">
        <v>46003.52135387731</v>
      </c>
    </row>
    <row r="904">
      <c r="A904" s="39" t="s">
        <v>241</v>
      </c>
      <c r="B904" s="40">
        <v>1871474.0</v>
      </c>
      <c r="C904" s="40">
        <v>10.0</v>
      </c>
      <c r="D904" s="41">
        <v>45968.470469155094</v>
      </c>
    </row>
    <row r="905">
      <c r="A905" s="39" t="s">
        <v>241</v>
      </c>
      <c r="B905" s="40">
        <v>1871475.0</v>
      </c>
      <c r="C905" s="40">
        <v>0.0</v>
      </c>
      <c r="D905" s="41">
        <v>45968.470472002315</v>
      </c>
    </row>
    <row r="906">
      <c r="A906" s="39" t="s">
        <v>241</v>
      </c>
      <c r="B906" s="40">
        <v>1871476.0</v>
      </c>
      <c r="C906" s="40">
        <v>20.0</v>
      </c>
      <c r="D906" s="41">
        <v>45974.59869074074</v>
      </c>
    </row>
    <row r="907">
      <c r="A907" s="39" t="s">
        <v>241</v>
      </c>
      <c r="B907" s="40">
        <v>1871477.0</v>
      </c>
      <c r="C907" s="40">
        <v>0.0</v>
      </c>
      <c r="D907" s="41">
        <v>45968.47047702546</v>
      </c>
    </row>
    <row r="908">
      <c r="A908" s="39" t="s">
        <v>241</v>
      </c>
      <c r="B908" s="40">
        <v>1871478.0</v>
      </c>
      <c r="C908" s="40">
        <v>0.0</v>
      </c>
      <c r="D908" s="41">
        <v>45968.47047946759</v>
      </c>
    </row>
    <row r="909">
      <c r="A909" s="39" t="s">
        <v>241</v>
      </c>
      <c r="B909" s="40">
        <v>1872001.0</v>
      </c>
      <c r="C909" s="40">
        <v>0.0</v>
      </c>
      <c r="D909" s="41">
        <v>45994.29760553241</v>
      </c>
    </row>
    <row r="910">
      <c r="A910" s="39" t="s">
        <v>241</v>
      </c>
      <c r="B910" s="40">
        <v>1872002.0</v>
      </c>
      <c r="C910" s="40">
        <v>0.0</v>
      </c>
      <c r="D910" s="41">
        <v>45968.47048552083</v>
      </c>
    </row>
    <row r="911">
      <c r="A911" s="39" t="s">
        <v>241</v>
      </c>
      <c r="B911" s="40">
        <v>1872003.0</v>
      </c>
      <c r="C911" s="40">
        <v>0.0</v>
      </c>
      <c r="D911" s="41">
        <v>45968.470505370366</v>
      </c>
    </row>
    <row r="912">
      <c r="A912" s="39" t="s">
        <v>241</v>
      </c>
      <c r="B912" s="40">
        <v>1872011.0</v>
      </c>
      <c r="C912" s="40">
        <v>0.0</v>
      </c>
      <c r="D912" s="41">
        <v>45968.47050792824</v>
      </c>
    </row>
    <row r="913">
      <c r="A913" s="39" t="s">
        <v>241</v>
      </c>
      <c r="B913" s="40">
        <v>1872014.0</v>
      </c>
      <c r="C913" s="40">
        <v>0.0</v>
      </c>
      <c r="D913" s="41">
        <v>45968.470511168984</v>
      </c>
    </row>
    <row r="914">
      <c r="A914" s="39" t="s">
        <v>241</v>
      </c>
      <c r="B914" s="40">
        <v>1879211.0</v>
      </c>
      <c r="C914" s="40">
        <v>0.0</v>
      </c>
      <c r="D914" s="41">
        <v>45969.71749135417</v>
      </c>
    </row>
    <row r="915">
      <c r="A915" s="39" t="s">
        <v>241</v>
      </c>
      <c r="B915" s="40">
        <v>1879212.0</v>
      </c>
      <c r="C915" s="40">
        <v>0.0</v>
      </c>
      <c r="D915" s="41">
        <v>45969.71749313657</v>
      </c>
    </row>
    <row r="916">
      <c r="A916" s="39" t="s">
        <v>241</v>
      </c>
      <c r="B916" s="40">
        <v>1879213.0</v>
      </c>
      <c r="C916" s="40">
        <v>0.0</v>
      </c>
      <c r="D916" s="41">
        <v>45969.71749513889</v>
      </c>
    </row>
    <row r="917">
      <c r="A917" s="39" t="s">
        <v>241</v>
      </c>
      <c r="B917" s="40">
        <v>1879214.0</v>
      </c>
      <c r="C917" s="40">
        <v>0.0</v>
      </c>
      <c r="D917" s="41">
        <v>45969.717496921294</v>
      </c>
    </row>
    <row r="918">
      <c r="A918" s="39" t="s">
        <v>241</v>
      </c>
      <c r="B918" s="40">
        <v>1879215.0</v>
      </c>
      <c r="C918" s="40">
        <v>0.0</v>
      </c>
      <c r="D918" s="41">
        <v>45969.71749905092</v>
      </c>
    </row>
    <row r="919">
      <c r="A919" s="39" t="s">
        <v>241</v>
      </c>
      <c r="B919" s="40">
        <v>1892322.0</v>
      </c>
      <c r="C919" s="40">
        <v>0.0</v>
      </c>
      <c r="D919" s="41">
        <v>45976.71417925926</v>
      </c>
    </row>
    <row r="920">
      <c r="A920" s="39" t="s">
        <v>241</v>
      </c>
      <c r="B920" s="40">
        <v>1892323.0</v>
      </c>
      <c r="C920" s="40">
        <v>0.0</v>
      </c>
      <c r="D920" s="41">
        <v>45976.71418134259</v>
      </c>
    </row>
    <row r="921">
      <c r="A921" s="39" t="s">
        <v>241</v>
      </c>
      <c r="B921" s="40">
        <v>1892324.0</v>
      </c>
      <c r="C921" s="40">
        <v>0.0</v>
      </c>
      <c r="D921" s="41">
        <v>45976.714183703705</v>
      </c>
    </row>
    <row r="922">
      <c r="A922" s="39" t="s">
        <v>241</v>
      </c>
      <c r="B922" s="40">
        <v>1892325.0</v>
      </c>
      <c r="C922" s="40">
        <v>0.0</v>
      </c>
      <c r="D922" s="41">
        <v>45976.71418574074</v>
      </c>
    </row>
    <row r="923">
      <c r="A923" s="39" t="s">
        <v>241</v>
      </c>
      <c r="B923" s="40">
        <v>1892326.0</v>
      </c>
      <c r="C923" s="40">
        <v>0.0</v>
      </c>
      <c r="D923" s="41">
        <v>45976.71418797453</v>
      </c>
    </row>
    <row r="924">
      <c r="A924" s="39" t="s">
        <v>241</v>
      </c>
      <c r="B924" s="40">
        <v>1901634.0</v>
      </c>
      <c r="C924" s="40">
        <v>0.0</v>
      </c>
      <c r="D924" s="41">
        <v>45992.422607245375</v>
      </c>
    </row>
    <row r="925">
      <c r="A925" s="39" t="s">
        <v>241</v>
      </c>
      <c r="B925" s="40">
        <v>1905196.0</v>
      </c>
      <c r="C925" s="40">
        <v>10.0</v>
      </c>
      <c r="D925" s="41">
        <v>46003.52135387731</v>
      </c>
    </row>
    <row r="926">
      <c r="A926" s="39" t="s">
        <v>241</v>
      </c>
      <c r="B926" s="40">
        <v>1905197.0</v>
      </c>
      <c r="C926" s="40">
        <v>0.0</v>
      </c>
      <c r="D926" s="41">
        <v>45997.71549407407</v>
      </c>
    </row>
    <row r="927">
      <c r="A927" s="39" t="s">
        <v>241</v>
      </c>
      <c r="B927" s="40">
        <v>1905198.0</v>
      </c>
      <c r="C927" s="40">
        <v>0.0</v>
      </c>
      <c r="D927" s="41">
        <v>45997.71549769676</v>
      </c>
    </row>
    <row r="928">
      <c r="A928" s="39" t="s">
        <v>241</v>
      </c>
      <c r="B928" s="40">
        <v>1905201.0</v>
      </c>
      <c r="C928" s="40">
        <v>0.0</v>
      </c>
      <c r="D928" s="41">
        <v>45997.71550237268</v>
      </c>
    </row>
    <row r="929">
      <c r="A929" s="39" t="s">
        <v>241</v>
      </c>
      <c r="B929" s="40">
        <v>1905206.0</v>
      </c>
      <c r="C929" s="40">
        <v>0.0</v>
      </c>
      <c r="D929" s="41">
        <v>45997.715506203705</v>
      </c>
    </row>
    <row r="930">
      <c r="A930" s="39" t="s">
        <v>242</v>
      </c>
      <c r="B930" s="40">
        <v>1871474.0</v>
      </c>
      <c r="C930" s="40">
        <v>10.0</v>
      </c>
      <c r="D930" s="41">
        <v>45968.47051363426</v>
      </c>
    </row>
    <row r="931">
      <c r="A931" s="39" t="s">
        <v>242</v>
      </c>
      <c r="B931" s="40">
        <v>1871475.0</v>
      </c>
      <c r="C931" s="40">
        <v>10.0</v>
      </c>
      <c r="D931" s="41">
        <v>45968.470516099536</v>
      </c>
    </row>
    <row r="932">
      <c r="A932" s="39" t="s">
        <v>242</v>
      </c>
      <c r="B932" s="40">
        <v>1871476.0</v>
      </c>
      <c r="C932" s="40">
        <v>10.0</v>
      </c>
      <c r="D932" s="41">
        <v>45968.470518622686</v>
      </c>
    </row>
    <row r="933">
      <c r="A933" s="39" t="s">
        <v>242</v>
      </c>
      <c r="B933" s="40">
        <v>1871477.0</v>
      </c>
      <c r="C933" s="40">
        <v>5.0</v>
      </c>
      <c r="D933" s="41">
        <v>45978.48322916667</v>
      </c>
    </row>
    <row r="934">
      <c r="A934" s="39" t="s">
        <v>242</v>
      </c>
      <c r="B934" s="40">
        <v>1871478.0</v>
      </c>
      <c r="C934" s="40">
        <v>20.0</v>
      </c>
      <c r="D934" s="41">
        <v>45968.470524212964</v>
      </c>
    </row>
    <row r="935">
      <c r="A935" s="39" t="s">
        <v>242</v>
      </c>
      <c r="B935" s="40">
        <v>1872001.0</v>
      </c>
      <c r="C935" s="40">
        <v>0.0</v>
      </c>
      <c r="D935" s="41">
        <v>45968.47052675926</v>
      </c>
    </row>
    <row r="936">
      <c r="A936" s="39" t="s">
        <v>242</v>
      </c>
      <c r="B936" s="40">
        <v>1872002.0</v>
      </c>
      <c r="C936" s="40">
        <v>0.0</v>
      </c>
      <c r="D936" s="41">
        <v>45968.47052935185</v>
      </c>
    </row>
    <row r="937">
      <c r="A937" s="39" t="s">
        <v>242</v>
      </c>
      <c r="B937" s="40">
        <v>1872003.0</v>
      </c>
      <c r="C937" s="40">
        <v>0.0</v>
      </c>
      <c r="D937" s="41">
        <v>45968.470531921295</v>
      </c>
    </row>
    <row r="938">
      <c r="A938" s="39" t="s">
        <v>242</v>
      </c>
      <c r="B938" s="40">
        <v>1872011.0</v>
      </c>
      <c r="C938" s="40">
        <v>0.0</v>
      </c>
      <c r="D938" s="41">
        <v>45968.47053464121</v>
      </c>
    </row>
    <row r="939">
      <c r="A939" s="39" t="s">
        <v>242</v>
      </c>
      <c r="B939" s="40">
        <v>1872014.0</v>
      </c>
      <c r="C939" s="40">
        <v>0.0</v>
      </c>
      <c r="D939" s="41">
        <v>45968.47053709491</v>
      </c>
    </row>
    <row r="940">
      <c r="A940" s="39" t="s">
        <v>242</v>
      </c>
      <c r="B940" s="40">
        <v>1879211.0</v>
      </c>
      <c r="C940" s="40">
        <v>0.0</v>
      </c>
      <c r="D940" s="41">
        <v>45969.71750083333</v>
      </c>
    </row>
    <row r="941">
      <c r="A941" s="39" t="s">
        <v>242</v>
      </c>
      <c r="B941" s="40">
        <v>1879212.0</v>
      </c>
      <c r="C941" s="40">
        <v>0.0</v>
      </c>
      <c r="D941" s="41">
        <v>45969.717503078704</v>
      </c>
    </row>
    <row r="942">
      <c r="A942" s="39" t="s">
        <v>242</v>
      </c>
      <c r="B942" s="40">
        <v>1879213.0</v>
      </c>
      <c r="C942" s="40">
        <v>0.0</v>
      </c>
      <c r="D942" s="41">
        <v>45969.71750564815</v>
      </c>
    </row>
    <row r="943">
      <c r="A943" s="39" t="s">
        <v>242</v>
      </c>
      <c r="B943" s="40">
        <v>1879214.0</v>
      </c>
      <c r="C943" s="40">
        <v>0.0</v>
      </c>
      <c r="D943" s="41">
        <v>45969.71750780093</v>
      </c>
    </row>
    <row r="944">
      <c r="A944" s="39" t="s">
        <v>242</v>
      </c>
      <c r="B944" s="40">
        <v>1879215.0</v>
      </c>
      <c r="C944" s="40">
        <v>0.0</v>
      </c>
      <c r="D944" s="41">
        <v>45969.71751041667</v>
      </c>
    </row>
    <row r="945">
      <c r="A945" s="39" t="s">
        <v>242</v>
      </c>
      <c r="B945" s="40">
        <v>1892322.0</v>
      </c>
      <c r="C945" s="40">
        <v>0.0</v>
      </c>
      <c r="D945" s="41">
        <v>45976.714194733795</v>
      </c>
    </row>
    <row r="946">
      <c r="A946" s="39" t="s">
        <v>242</v>
      </c>
      <c r="B946" s="40">
        <v>1892323.0</v>
      </c>
      <c r="C946" s="40">
        <v>0.0</v>
      </c>
      <c r="D946" s="41">
        <v>45976.71420125</v>
      </c>
    </row>
    <row r="947">
      <c r="A947" s="39" t="s">
        <v>242</v>
      </c>
      <c r="B947" s="40">
        <v>1892324.0</v>
      </c>
      <c r="C947" s="40">
        <v>0.0</v>
      </c>
      <c r="D947" s="41">
        <v>45976.71420756944</v>
      </c>
    </row>
    <row r="948">
      <c r="A948" s="39" t="s">
        <v>242</v>
      </c>
      <c r="B948" s="40">
        <v>1892325.0</v>
      </c>
      <c r="C948" s="40">
        <v>0.0</v>
      </c>
      <c r="D948" s="41">
        <v>45976.714209375</v>
      </c>
    </row>
    <row r="949">
      <c r="A949" s="39" t="s">
        <v>242</v>
      </c>
      <c r="B949" s="40">
        <v>1892326.0</v>
      </c>
      <c r="C949" s="40">
        <v>0.0</v>
      </c>
      <c r="D949" s="41">
        <v>45976.71421306713</v>
      </c>
    </row>
    <row r="950">
      <c r="A950" s="39" t="s">
        <v>242</v>
      </c>
      <c r="B950" s="40">
        <v>1901634.0</v>
      </c>
      <c r="C950" s="40">
        <v>17.0</v>
      </c>
      <c r="D950" s="41">
        <v>45994.297608912035</v>
      </c>
    </row>
    <row r="951">
      <c r="A951" s="39" t="s">
        <v>242</v>
      </c>
      <c r="B951" s="40">
        <v>1905196.0</v>
      </c>
      <c r="C951" s="40">
        <v>0.0</v>
      </c>
      <c r="D951" s="41">
        <v>45997.71551023149</v>
      </c>
    </row>
    <row r="952">
      <c r="A952" s="39" t="s">
        <v>242</v>
      </c>
      <c r="B952" s="40">
        <v>1905197.0</v>
      </c>
      <c r="C952" s="40">
        <v>5.0</v>
      </c>
      <c r="D952" s="41">
        <v>45998.71416364583</v>
      </c>
    </row>
    <row r="953">
      <c r="A953" s="39" t="s">
        <v>242</v>
      </c>
      <c r="B953" s="40">
        <v>1905198.0</v>
      </c>
      <c r="C953" s="40">
        <v>0.0</v>
      </c>
      <c r="D953" s="41">
        <v>45997.715519143516</v>
      </c>
    </row>
    <row r="954">
      <c r="A954" s="39" t="s">
        <v>242</v>
      </c>
      <c r="B954" s="40">
        <v>1905201.0</v>
      </c>
      <c r="C954" s="40">
        <v>0.0</v>
      </c>
      <c r="D954" s="41">
        <v>45997.715522858794</v>
      </c>
    </row>
    <row r="955">
      <c r="A955" s="39" t="s">
        <v>242</v>
      </c>
      <c r="B955" s="40">
        <v>1905206.0</v>
      </c>
      <c r="C955" s="40">
        <v>0.0</v>
      </c>
      <c r="D955" s="41">
        <v>45997.715527569446</v>
      </c>
    </row>
    <row r="956">
      <c r="A956" s="39" t="s">
        <v>242</v>
      </c>
      <c r="B956" s="40">
        <v>1909202.0</v>
      </c>
      <c r="C956" s="40">
        <v>0.0</v>
      </c>
      <c r="D956" s="41">
        <v>46001.3388</v>
      </c>
    </row>
    <row r="957">
      <c r="A957" s="39" t="s">
        <v>242</v>
      </c>
      <c r="B957" s="40">
        <v>1909203.0</v>
      </c>
      <c r="C957" s="40">
        <v>4.0</v>
      </c>
      <c r="D957" s="41">
        <v>46003.52135387731</v>
      </c>
    </row>
    <row r="958">
      <c r="A958" s="39" t="s">
        <v>242</v>
      </c>
      <c r="B958" s="40">
        <v>1909205.0</v>
      </c>
      <c r="C958" s="40">
        <v>0.0</v>
      </c>
      <c r="D958" s="41">
        <v>46003.52135387731</v>
      </c>
    </row>
    <row r="959">
      <c r="A959" s="39" t="s">
        <v>242</v>
      </c>
      <c r="B959" s="40">
        <v>1909206.0</v>
      </c>
      <c r="C959" s="40">
        <v>0.0</v>
      </c>
      <c r="D959" s="41">
        <v>46003.52135387731</v>
      </c>
    </row>
    <row r="960">
      <c r="A960" s="39" t="s">
        <v>243</v>
      </c>
      <c r="B960" s="40">
        <v>1871474.0</v>
      </c>
      <c r="C960" s="40">
        <v>10.0</v>
      </c>
      <c r="D960" s="41">
        <v>45968.4705405787</v>
      </c>
    </row>
    <row r="961">
      <c r="A961" s="39" t="s">
        <v>243</v>
      </c>
      <c r="B961" s="40">
        <v>1871475.0</v>
      </c>
      <c r="C961" s="40">
        <v>0.0</v>
      </c>
      <c r="D961" s="41">
        <v>45968.47054303241</v>
      </c>
    </row>
    <row r="962">
      <c r="A962" s="39" t="s">
        <v>243</v>
      </c>
      <c r="B962" s="40">
        <v>1871476.0</v>
      </c>
      <c r="C962" s="40">
        <v>0.0</v>
      </c>
      <c r="D962" s="41">
        <v>45968.47054546296</v>
      </c>
    </row>
    <row r="963">
      <c r="A963" s="39" t="s">
        <v>243</v>
      </c>
      <c r="B963" s="40">
        <v>1871477.0</v>
      </c>
      <c r="C963" s="40">
        <v>5.0</v>
      </c>
      <c r="D963" s="41">
        <v>45968.47054776621</v>
      </c>
    </row>
    <row r="964">
      <c r="A964" s="39" t="s">
        <v>243</v>
      </c>
      <c r="B964" s="40">
        <v>1871478.0</v>
      </c>
      <c r="C964" s="40">
        <v>0.0</v>
      </c>
      <c r="D964" s="41">
        <v>45968.470550266204</v>
      </c>
    </row>
    <row r="965">
      <c r="A965" s="39" t="s">
        <v>243</v>
      </c>
      <c r="B965" s="40">
        <v>1872001.0</v>
      </c>
      <c r="C965" s="40">
        <v>0.0</v>
      </c>
      <c r="D965" s="41">
        <v>45994.29761212963</v>
      </c>
    </row>
    <row r="966">
      <c r="A966" s="39" t="s">
        <v>243</v>
      </c>
      <c r="B966" s="40">
        <v>1872002.0</v>
      </c>
      <c r="C966" s="40">
        <v>0.0</v>
      </c>
      <c r="D966" s="41">
        <v>45968.47055542824</v>
      </c>
    </row>
    <row r="967">
      <c r="A967" s="39" t="s">
        <v>243</v>
      </c>
      <c r="B967" s="40">
        <v>1872003.0</v>
      </c>
      <c r="C967" s="40">
        <v>0.0</v>
      </c>
      <c r="D967" s="41">
        <v>45968.47055775463</v>
      </c>
    </row>
    <row r="968">
      <c r="A968" s="39" t="s">
        <v>243</v>
      </c>
      <c r="B968" s="40">
        <v>1872011.0</v>
      </c>
      <c r="C968" s="40">
        <v>0.0</v>
      </c>
      <c r="D968" s="41">
        <v>45968.47056027778</v>
      </c>
    </row>
    <row r="969">
      <c r="A969" s="39" t="s">
        <v>243</v>
      </c>
      <c r="B969" s="40">
        <v>1872014.0</v>
      </c>
      <c r="C969" s="40">
        <v>0.0</v>
      </c>
      <c r="D969" s="41">
        <v>45968.47056306713</v>
      </c>
    </row>
    <row r="970">
      <c r="A970" s="39" t="s">
        <v>243</v>
      </c>
      <c r="B970" s="40">
        <v>1879211.0</v>
      </c>
      <c r="C970" s="40">
        <v>10.0</v>
      </c>
      <c r="D970" s="41">
        <v>45968.47056565972</v>
      </c>
    </row>
    <row r="971">
      <c r="A971" s="39" t="s">
        <v>243</v>
      </c>
      <c r="B971" s="40">
        <v>1879212.0</v>
      </c>
      <c r="C971" s="40">
        <v>0.0</v>
      </c>
      <c r="D971" s="41">
        <v>45969.71752179398</v>
      </c>
    </row>
    <row r="972">
      <c r="A972" s="39" t="s">
        <v>243</v>
      </c>
      <c r="B972" s="40">
        <v>1879213.0</v>
      </c>
      <c r="C972" s="40">
        <v>0.0</v>
      </c>
      <c r="D972" s="41">
        <v>45969.71752525463</v>
      </c>
    </row>
    <row r="973">
      <c r="A973" s="39" t="s">
        <v>243</v>
      </c>
      <c r="B973" s="40">
        <v>1879214.0</v>
      </c>
      <c r="C973" s="40">
        <v>0.0</v>
      </c>
      <c r="D973" s="41">
        <v>45969.71752954861</v>
      </c>
    </row>
    <row r="974">
      <c r="A974" s="39" t="s">
        <v>243</v>
      </c>
      <c r="B974" s="40">
        <v>1879215.0</v>
      </c>
      <c r="C974" s="40">
        <v>2.0</v>
      </c>
      <c r="D974" s="41">
        <v>45979.493959942134</v>
      </c>
    </row>
    <row r="975">
      <c r="A975" s="39" t="s">
        <v>243</v>
      </c>
      <c r="B975" s="40">
        <v>1892322.0</v>
      </c>
      <c r="C975" s="40">
        <v>0.0</v>
      </c>
      <c r="D975" s="41">
        <v>45976.71421486112</v>
      </c>
    </row>
    <row r="976">
      <c r="A976" s="39" t="s">
        <v>243</v>
      </c>
      <c r="B976" s="40">
        <v>1892323.0</v>
      </c>
      <c r="C976" s="40">
        <v>0.0</v>
      </c>
      <c r="D976" s="41">
        <v>45976.7142165625</v>
      </c>
    </row>
    <row r="977">
      <c r="A977" s="39" t="s">
        <v>243</v>
      </c>
      <c r="B977" s="40">
        <v>1892324.0</v>
      </c>
      <c r="C977" s="40">
        <v>0.0</v>
      </c>
      <c r="D977" s="41">
        <v>45976.7142205787</v>
      </c>
    </row>
    <row r="978">
      <c r="A978" s="39" t="s">
        <v>243</v>
      </c>
      <c r="B978" s="40">
        <v>1892325.0</v>
      </c>
      <c r="C978" s="40">
        <v>0.0</v>
      </c>
      <c r="D978" s="41">
        <v>45976.7142222338</v>
      </c>
    </row>
    <row r="979">
      <c r="A979" s="39" t="s">
        <v>243</v>
      </c>
      <c r="B979" s="40">
        <v>1892326.0</v>
      </c>
      <c r="C979" s="40">
        <v>0.0</v>
      </c>
      <c r="D979" s="41">
        <v>45976.71422450231</v>
      </c>
    </row>
    <row r="980">
      <c r="A980" s="39" t="s">
        <v>243</v>
      </c>
      <c r="B980" s="40">
        <v>1901634.0</v>
      </c>
      <c r="C980" s="40">
        <v>25.0</v>
      </c>
      <c r="D980" s="41">
        <v>45994.297616076394</v>
      </c>
    </row>
    <row r="981">
      <c r="A981" s="39" t="s">
        <v>243</v>
      </c>
      <c r="B981" s="40">
        <v>1905196.0</v>
      </c>
      <c r="C981" s="40">
        <v>3.0</v>
      </c>
      <c r="D981" s="41">
        <v>45998.71416837963</v>
      </c>
    </row>
    <row r="982">
      <c r="A982" s="39" t="s">
        <v>243</v>
      </c>
      <c r="B982" s="40">
        <v>1905197.0</v>
      </c>
      <c r="C982" s="40">
        <v>10.0</v>
      </c>
      <c r="D982" s="41">
        <v>45998.71417310185</v>
      </c>
    </row>
    <row r="983">
      <c r="A983" s="39" t="s">
        <v>243</v>
      </c>
      <c r="B983" s="40">
        <v>1905198.0</v>
      </c>
      <c r="C983" s="40">
        <v>0.0</v>
      </c>
      <c r="D983" s="41">
        <v>45997.71554655093</v>
      </c>
    </row>
    <row r="984">
      <c r="A984" s="39" t="s">
        <v>243</v>
      </c>
      <c r="B984" s="40">
        <v>1905201.0</v>
      </c>
      <c r="C984" s="40">
        <v>0.0</v>
      </c>
      <c r="D984" s="41">
        <v>45997.71555090278</v>
      </c>
    </row>
    <row r="985">
      <c r="A985" s="39" t="s">
        <v>243</v>
      </c>
      <c r="B985" s="40">
        <v>1905206.0</v>
      </c>
      <c r="C985" s="40">
        <v>0.0</v>
      </c>
      <c r="D985" s="41">
        <v>45997.71555388889</v>
      </c>
    </row>
    <row r="986">
      <c r="A986" s="39" t="s">
        <v>243</v>
      </c>
      <c r="B986" s="40">
        <v>1909202.0</v>
      </c>
      <c r="C986" s="40">
        <v>9.0</v>
      </c>
      <c r="D986" s="41">
        <v>46003.52135387731</v>
      </c>
    </row>
    <row r="987">
      <c r="A987" s="39" t="s">
        <v>243</v>
      </c>
      <c r="B987" s="40">
        <v>1909203.0</v>
      </c>
      <c r="C987" s="40">
        <v>7.0</v>
      </c>
      <c r="D987" s="41">
        <v>46003.52135387731</v>
      </c>
    </row>
    <row r="988">
      <c r="A988" s="39" t="s">
        <v>244</v>
      </c>
      <c r="B988" s="40">
        <v>1871474.0</v>
      </c>
      <c r="C988" s="40">
        <v>10.0</v>
      </c>
      <c r="D988" s="41">
        <v>45968.47056819445</v>
      </c>
    </row>
    <row r="989">
      <c r="A989" s="39" t="s">
        <v>244</v>
      </c>
      <c r="B989" s="40">
        <v>1871475.0</v>
      </c>
      <c r="C989" s="40">
        <v>0.0</v>
      </c>
      <c r="D989" s="41">
        <v>45968.47057061343</v>
      </c>
    </row>
    <row r="990">
      <c r="A990" s="39" t="s">
        <v>244</v>
      </c>
      <c r="B990" s="40">
        <v>1871476.0</v>
      </c>
      <c r="C990" s="40">
        <v>0.0</v>
      </c>
      <c r="D990" s="41">
        <v>45968.47057306713</v>
      </c>
    </row>
    <row r="991">
      <c r="A991" s="39" t="s">
        <v>244</v>
      </c>
      <c r="B991" s="40">
        <v>1871477.0</v>
      </c>
      <c r="C991" s="40">
        <v>0.0</v>
      </c>
      <c r="D991" s="41">
        <v>45968.47057715278</v>
      </c>
    </row>
    <row r="992">
      <c r="A992" s="39" t="s">
        <v>244</v>
      </c>
      <c r="B992" s="40">
        <v>1871478.0</v>
      </c>
      <c r="C992" s="40">
        <v>0.0</v>
      </c>
      <c r="D992" s="41">
        <v>45968.47058317129</v>
      </c>
    </row>
    <row r="993">
      <c r="A993" s="39" t="s">
        <v>244</v>
      </c>
      <c r="B993" s="40">
        <v>1872001.0</v>
      </c>
      <c r="C993" s="40">
        <v>0.0</v>
      </c>
      <c r="D993" s="41">
        <v>45994.297624328705</v>
      </c>
    </row>
    <row r="994">
      <c r="A994" s="39" t="s">
        <v>244</v>
      </c>
      <c r="B994" s="40">
        <v>1872002.0</v>
      </c>
      <c r="C994" s="40">
        <v>3.0</v>
      </c>
      <c r="D994" s="41">
        <v>45974.535984409726</v>
      </c>
    </row>
    <row r="995">
      <c r="A995" s="39" t="s">
        <v>244</v>
      </c>
      <c r="B995" s="40">
        <v>1872003.0</v>
      </c>
      <c r="C995" s="40">
        <v>6.0</v>
      </c>
      <c r="D995" s="41">
        <v>45968.47059655093</v>
      </c>
    </row>
    <row r="996">
      <c r="A996" s="39" t="s">
        <v>244</v>
      </c>
      <c r="B996" s="40">
        <v>1872011.0</v>
      </c>
      <c r="C996" s="40">
        <v>19.0</v>
      </c>
      <c r="D996" s="41">
        <v>45968.4705991088</v>
      </c>
    </row>
    <row r="997">
      <c r="A997" s="39" t="s">
        <v>244</v>
      </c>
      <c r="B997" s="40">
        <v>1872014.0</v>
      </c>
      <c r="C997" s="40">
        <v>7.0</v>
      </c>
      <c r="D997" s="41">
        <v>45968.47060162037</v>
      </c>
    </row>
    <row r="998">
      <c r="A998" s="39" t="s">
        <v>244</v>
      </c>
      <c r="B998" s="40">
        <v>1879211.0</v>
      </c>
      <c r="C998" s="40">
        <v>0.0</v>
      </c>
      <c r="D998" s="41">
        <v>45969.717535868054</v>
      </c>
    </row>
    <row r="999">
      <c r="A999" s="39" t="s">
        <v>244</v>
      </c>
      <c r="B999" s="40">
        <v>1879212.0</v>
      </c>
      <c r="C999" s="40">
        <v>0.0</v>
      </c>
      <c r="D999" s="41">
        <v>45969.71753799768</v>
      </c>
    </row>
    <row r="1000">
      <c r="A1000" s="39" t="s">
        <v>244</v>
      </c>
      <c r="B1000" s="40">
        <v>1879213.0</v>
      </c>
      <c r="C1000" s="40">
        <v>0.0</v>
      </c>
      <c r="D1000" s="41">
        <v>45969.717539930556</v>
      </c>
    </row>
    <row r="1001">
      <c r="A1001" s="39" t="s">
        <v>244</v>
      </c>
      <c r="B1001" s="40">
        <v>1879214.0</v>
      </c>
      <c r="C1001" s="40">
        <v>0.0</v>
      </c>
      <c r="D1001" s="41">
        <v>45969.71754388889</v>
      </c>
    </row>
    <row r="1002">
      <c r="A1002" s="39" t="s">
        <v>244</v>
      </c>
      <c r="B1002" s="40">
        <v>1879215.0</v>
      </c>
      <c r="C1002" s="40">
        <v>6.0</v>
      </c>
      <c r="D1002" s="41">
        <v>45995.59893069444</v>
      </c>
    </row>
    <row r="1003">
      <c r="A1003" s="39" t="s">
        <v>244</v>
      </c>
      <c r="B1003" s="40">
        <v>1892322.0</v>
      </c>
      <c r="C1003" s="40">
        <v>1.0</v>
      </c>
      <c r="D1003" s="41">
        <v>45979.50430965278</v>
      </c>
    </row>
    <row r="1004">
      <c r="A1004" s="39" t="s">
        <v>244</v>
      </c>
      <c r="B1004" s="40">
        <v>1892323.0</v>
      </c>
      <c r="C1004" s="40">
        <v>10.0</v>
      </c>
      <c r="D1004" s="41">
        <v>45979.50431260417</v>
      </c>
    </row>
    <row r="1005">
      <c r="A1005" s="39" t="s">
        <v>244</v>
      </c>
      <c r="B1005" s="40">
        <v>1892324.0</v>
      </c>
      <c r="C1005" s="40">
        <v>2.0</v>
      </c>
      <c r="D1005" s="41">
        <v>45975.712975532406</v>
      </c>
    </row>
    <row r="1006">
      <c r="A1006" s="39" t="s">
        <v>244</v>
      </c>
      <c r="B1006" s="40">
        <v>1892325.0</v>
      </c>
      <c r="C1006" s="40">
        <v>2.0</v>
      </c>
      <c r="D1006" s="41">
        <v>45982.48330590277</v>
      </c>
    </row>
    <row r="1007">
      <c r="A1007" s="39" t="s">
        <v>244</v>
      </c>
      <c r="B1007" s="40">
        <v>1892326.0</v>
      </c>
      <c r="C1007" s="40">
        <v>3.0</v>
      </c>
      <c r="D1007" s="41">
        <v>45986.50421614583</v>
      </c>
    </row>
    <row r="1008">
      <c r="A1008" s="39" t="s">
        <v>244</v>
      </c>
      <c r="B1008" s="40">
        <v>1901634.0</v>
      </c>
      <c r="C1008" s="40">
        <v>13.0</v>
      </c>
      <c r="D1008" s="41">
        <v>45994.29762699074</v>
      </c>
    </row>
    <row r="1009">
      <c r="A1009" s="39" t="s">
        <v>244</v>
      </c>
      <c r="B1009" s="40">
        <v>1905196.0</v>
      </c>
      <c r="C1009" s="40">
        <v>0.0</v>
      </c>
      <c r="D1009" s="41">
        <v>45997.715557662035</v>
      </c>
    </row>
    <row r="1010">
      <c r="A1010" s="39" t="s">
        <v>244</v>
      </c>
      <c r="B1010" s="40">
        <v>1905197.0</v>
      </c>
      <c r="C1010" s="40">
        <v>0.0</v>
      </c>
      <c r="D1010" s="41">
        <v>45997.71556149305</v>
      </c>
    </row>
    <row r="1011">
      <c r="A1011" s="39" t="s">
        <v>244</v>
      </c>
      <c r="B1011" s="40">
        <v>1905198.0</v>
      </c>
      <c r="C1011" s="40">
        <v>0.0</v>
      </c>
      <c r="D1011" s="41">
        <v>45997.71556498842</v>
      </c>
    </row>
    <row r="1012">
      <c r="A1012" s="39" t="s">
        <v>244</v>
      </c>
      <c r="B1012" s="40">
        <v>1905201.0</v>
      </c>
      <c r="C1012" s="40">
        <v>0.0</v>
      </c>
      <c r="D1012" s="41">
        <v>45997.71556898148</v>
      </c>
    </row>
    <row r="1013">
      <c r="A1013" s="39" t="s">
        <v>244</v>
      </c>
      <c r="B1013" s="40">
        <v>1905206.0</v>
      </c>
      <c r="C1013" s="40">
        <v>0.0</v>
      </c>
      <c r="D1013" s="41">
        <v>45997.715573090274</v>
      </c>
    </row>
    <row r="1014">
      <c r="A1014" s="39" t="s">
        <v>244</v>
      </c>
      <c r="B1014" s="40">
        <v>1909202.0</v>
      </c>
      <c r="C1014" s="40">
        <v>6.0</v>
      </c>
      <c r="D1014" s="41">
        <v>46001.33881016204</v>
      </c>
    </row>
    <row r="1015">
      <c r="A1015" s="39" t="s">
        <v>244</v>
      </c>
      <c r="B1015" s="40">
        <v>1909203.0</v>
      </c>
      <c r="C1015" s="40">
        <v>0.0</v>
      </c>
      <c r="D1015" s="41">
        <v>46001.44258585648</v>
      </c>
    </row>
    <row r="1016">
      <c r="A1016" s="39" t="s">
        <v>245</v>
      </c>
      <c r="B1016" s="40">
        <v>1871474.0</v>
      </c>
      <c r="C1016" s="40">
        <v>10.0</v>
      </c>
      <c r="D1016" s="41">
        <v>45974.46359734954</v>
      </c>
    </row>
    <row r="1017">
      <c r="A1017" s="39" t="s">
        <v>245</v>
      </c>
      <c r="B1017" s="40">
        <v>1871475.0</v>
      </c>
      <c r="C1017" s="40">
        <v>0.0</v>
      </c>
      <c r="D1017" s="41">
        <v>45968.47061819445</v>
      </c>
    </row>
    <row r="1018">
      <c r="A1018" s="39" t="s">
        <v>245</v>
      </c>
      <c r="B1018" s="40">
        <v>1871476.0</v>
      </c>
      <c r="C1018" s="40">
        <v>10.0</v>
      </c>
      <c r="D1018" s="41">
        <v>45974.47370821759</v>
      </c>
    </row>
    <row r="1019">
      <c r="A1019" s="39" t="s">
        <v>245</v>
      </c>
      <c r="B1019" s="40">
        <v>1871477.0</v>
      </c>
      <c r="C1019" s="40">
        <v>5.0</v>
      </c>
      <c r="D1019" s="41">
        <v>45974.48380833333</v>
      </c>
    </row>
    <row r="1020">
      <c r="A1020" s="39" t="s">
        <v>245</v>
      </c>
      <c r="B1020" s="40">
        <v>1871478.0</v>
      </c>
      <c r="C1020" s="40">
        <v>20.0</v>
      </c>
      <c r="D1020" s="41">
        <v>45978.462330636576</v>
      </c>
    </row>
    <row r="1021">
      <c r="A1021" s="39" t="s">
        <v>245</v>
      </c>
      <c r="B1021" s="40">
        <v>1872001.0</v>
      </c>
      <c r="C1021" s="40">
        <v>0.0</v>
      </c>
      <c r="D1021" s="41">
        <v>45994.29763060185</v>
      </c>
    </row>
    <row r="1022">
      <c r="A1022" s="39" t="s">
        <v>245</v>
      </c>
      <c r="B1022" s="40">
        <v>1872002.0</v>
      </c>
      <c r="C1022" s="40">
        <v>11.0</v>
      </c>
      <c r="D1022" s="41">
        <v>45978.49345388889</v>
      </c>
    </row>
    <row r="1023">
      <c r="A1023" s="39" t="s">
        <v>245</v>
      </c>
      <c r="B1023" s="40">
        <v>1872003.0</v>
      </c>
      <c r="C1023" s="40">
        <v>17.0</v>
      </c>
      <c r="D1023" s="41">
        <v>45978.56638940972</v>
      </c>
    </row>
    <row r="1024">
      <c r="A1024" s="39" t="s">
        <v>245</v>
      </c>
      <c r="B1024" s="40">
        <v>1872011.0</v>
      </c>
      <c r="C1024" s="40">
        <v>0.0</v>
      </c>
      <c r="D1024" s="41">
        <v>45968.47063921296</v>
      </c>
    </row>
    <row r="1025">
      <c r="A1025" s="39" t="s">
        <v>245</v>
      </c>
      <c r="B1025" s="40">
        <v>1872014.0</v>
      </c>
      <c r="C1025" s="40">
        <v>0.0</v>
      </c>
      <c r="D1025" s="41">
        <v>45968.470641736116</v>
      </c>
    </row>
    <row r="1026">
      <c r="A1026" s="39" t="s">
        <v>245</v>
      </c>
      <c r="B1026" s="40">
        <v>1879211.0</v>
      </c>
      <c r="C1026" s="40">
        <v>10.0</v>
      </c>
      <c r="D1026" s="41">
        <v>45979.47265953704</v>
      </c>
    </row>
    <row r="1027">
      <c r="A1027" s="39" t="s">
        <v>245</v>
      </c>
      <c r="B1027" s="40">
        <v>1879212.0</v>
      </c>
      <c r="C1027" s="40">
        <v>18.0</v>
      </c>
      <c r="D1027" s="41">
        <v>45979.472667511574</v>
      </c>
    </row>
    <row r="1028">
      <c r="A1028" s="39" t="s">
        <v>245</v>
      </c>
      <c r="B1028" s="40">
        <v>1879213.0</v>
      </c>
      <c r="C1028" s="40">
        <v>20.0</v>
      </c>
      <c r="D1028" s="41">
        <v>45979.482996203704</v>
      </c>
    </row>
    <row r="1029">
      <c r="A1029" s="39" t="s">
        <v>245</v>
      </c>
      <c r="B1029" s="40">
        <v>1879214.0</v>
      </c>
      <c r="C1029" s="40">
        <v>20.0</v>
      </c>
      <c r="D1029" s="41">
        <v>45979.49396275463</v>
      </c>
    </row>
    <row r="1030">
      <c r="A1030" s="39" t="s">
        <v>245</v>
      </c>
      <c r="B1030" s="40">
        <v>1879215.0</v>
      </c>
      <c r="C1030" s="40">
        <v>16.0</v>
      </c>
      <c r="D1030" s="41">
        <v>45973.40053237269</v>
      </c>
    </row>
    <row r="1031">
      <c r="A1031" s="39" t="s">
        <v>245</v>
      </c>
      <c r="B1031" s="40">
        <v>1892323.0</v>
      </c>
      <c r="C1031" s="40">
        <v>0.0</v>
      </c>
      <c r="D1031" s="41">
        <v>45976.71422927083</v>
      </c>
    </row>
    <row r="1032">
      <c r="A1032" s="39" t="s">
        <v>245</v>
      </c>
      <c r="B1032" s="40">
        <v>1892324.0</v>
      </c>
      <c r="C1032" s="40">
        <v>0.0</v>
      </c>
      <c r="D1032" s="41">
        <v>45976.71423167824</v>
      </c>
    </row>
    <row r="1033">
      <c r="A1033" s="39" t="s">
        <v>245</v>
      </c>
      <c r="B1033" s="40">
        <v>1892325.0</v>
      </c>
      <c r="C1033" s="40">
        <v>0.0</v>
      </c>
      <c r="D1033" s="41">
        <v>45976.7142340162</v>
      </c>
    </row>
    <row r="1034">
      <c r="A1034" s="39" t="s">
        <v>245</v>
      </c>
      <c r="B1034" s="40">
        <v>1892326.0</v>
      </c>
      <c r="C1034" s="40">
        <v>0.0</v>
      </c>
      <c r="D1034" s="41">
        <v>45976.714235810185</v>
      </c>
    </row>
    <row r="1035">
      <c r="A1035" s="39" t="s">
        <v>245</v>
      </c>
      <c r="B1035" s="40">
        <v>1901634.0</v>
      </c>
      <c r="C1035" s="40">
        <v>36.0</v>
      </c>
      <c r="D1035" s="41">
        <v>45994.297637696756</v>
      </c>
    </row>
    <row r="1036">
      <c r="A1036" s="39" t="s">
        <v>245</v>
      </c>
      <c r="B1036" s="40">
        <v>1905196.0</v>
      </c>
      <c r="C1036" s="40">
        <v>0.0</v>
      </c>
      <c r="D1036" s="41">
        <v>45997.715584687496</v>
      </c>
    </row>
    <row r="1037">
      <c r="A1037" s="39" t="s">
        <v>245</v>
      </c>
      <c r="B1037" s="40">
        <v>1905197.0</v>
      </c>
      <c r="C1037" s="40">
        <v>0.0</v>
      </c>
      <c r="D1037" s="41">
        <v>45997.71558859954</v>
      </c>
    </row>
    <row r="1038">
      <c r="A1038" s="39" t="s">
        <v>245</v>
      </c>
      <c r="B1038" s="40">
        <v>1905198.0</v>
      </c>
      <c r="C1038" s="40">
        <v>0.0</v>
      </c>
      <c r="D1038" s="41">
        <v>45997.71559270834</v>
      </c>
    </row>
    <row r="1039">
      <c r="A1039" s="39" t="s">
        <v>245</v>
      </c>
      <c r="B1039" s="40">
        <v>1905201.0</v>
      </c>
      <c r="C1039" s="40">
        <v>0.0</v>
      </c>
      <c r="D1039" s="41">
        <v>45997.71559740741</v>
      </c>
    </row>
    <row r="1040">
      <c r="A1040" s="39" t="s">
        <v>245</v>
      </c>
      <c r="B1040" s="40">
        <v>1905206.0</v>
      </c>
      <c r="C1040" s="40">
        <v>0.0</v>
      </c>
      <c r="D1040" s="41">
        <v>45997.715601793985</v>
      </c>
    </row>
    <row r="1041">
      <c r="A1041" s="39" t="s">
        <v>246</v>
      </c>
      <c r="B1041" s="40">
        <v>1871474.0</v>
      </c>
      <c r="C1041" s="40">
        <v>10.0</v>
      </c>
      <c r="D1041" s="41">
        <v>45978.58720072916</v>
      </c>
    </row>
    <row r="1042">
      <c r="A1042" s="39" t="s">
        <v>246</v>
      </c>
      <c r="B1042" s="40">
        <v>1871475.0</v>
      </c>
      <c r="C1042" s="40">
        <v>0.0</v>
      </c>
      <c r="D1042" s="41">
        <v>45968.47064875</v>
      </c>
    </row>
    <row r="1043">
      <c r="A1043" s="39" t="s">
        <v>246</v>
      </c>
      <c r="B1043" s="40">
        <v>1871476.0</v>
      </c>
      <c r="C1043" s="40">
        <v>0.0</v>
      </c>
      <c r="D1043" s="41">
        <v>45968.47065152778</v>
      </c>
    </row>
    <row r="1044">
      <c r="A1044" s="39" t="s">
        <v>246</v>
      </c>
      <c r="B1044" s="40">
        <v>1871477.0</v>
      </c>
      <c r="C1044" s="40">
        <v>0.0</v>
      </c>
      <c r="D1044" s="41">
        <v>45968.47065965278</v>
      </c>
    </row>
    <row r="1045">
      <c r="A1045" s="39" t="s">
        <v>246</v>
      </c>
      <c r="B1045" s="40">
        <v>1871478.0</v>
      </c>
      <c r="C1045" s="40">
        <v>0.0</v>
      </c>
      <c r="D1045" s="41">
        <v>45968.470662465275</v>
      </c>
    </row>
    <row r="1046">
      <c r="A1046" s="39" t="s">
        <v>246</v>
      </c>
      <c r="B1046" s="40">
        <v>1872001.0</v>
      </c>
      <c r="C1046" s="40">
        <v>0.0</v>
      </c>
      <c r="D1046" s="41">
        <v>45968.4706654051</v>
      </c>
    </row>
    <row r="1047">
      <c r="A1047" s="39" t="s">
        <v>246</v>
      </c>
      <c r="B1047" s="40">
        <v>1872002.0</v>
      </c>
      <c r="C1047" s="40">
        <v>0.0</v>
      </c>
      <c r="D1047" s="41">
        <v>45968.47066773148</v>
      </c>
    </row>
    <row r="1048">
      <c r="A1048" s="39" t="s">
        <v>246</v>
      </c>
      <c r="B1048" s="40">
        <v>1872003.0</v>
      </c>
      <c r="C1048" s="40">
        <v>0.0</v>
      </c>
      <c r="D1048" s="41">
        <v>45968.47067048612</v>
      </c>
    </row>
    <row r="1049">
      <c r="A1049" s="39" t="s">
        <v>246</v>
      </c>
      <c r="B1049" s="40">
        <v>1872011.0</v>
      </c>
      <c r="C1049" s="40">
        <v>0.0</v>
      </c>
      <c r="D1049" s="41">
        <v>45968.47067304398</v>
      </c>
    </row>
    <row r="1050">
      <c r="A1050" s="39" t="s">
        <v>246</v>
      </c>
      <c r="B1050" s="40">
        <v>1872014.0</v>
      </c>
      <c r="C1050" s="40">
        <v>0.0</v>
      </c>
      <c r="D1050" s="41">
        <v>45968.47067545139</v>
      </c>
    </row>
    <row r="1051">
      <c r="A1051" s="39" t="s">
        <v>246</v>
      </c>
      <c r="B1051" s="40">
        <v>1879211.0</v>
      </c>
      <c r="C1051" s="40">
        <v>0.0</v>
      </c>
      <c r="D1051" s="41">
        <v>45969.71757475694</v>
      </c>
    </row>
    <row r="1052">
      <c r="A1052" s="39" t="s">
        <v>246</v>
      </c>
      <c r="B1052" s="40">
        <v>1879212.0</v>
      </c>
      <c r="C1052" s="40">
        <v>0.0</v>
      </c>
      <c r="D1052" s="41">
        <v>45969.71757673611</v>
      </c>
    </row>
    <row r="1053">
      <c r="A1053" s="39" t="s">
        <v>246</v>
      </c>
      <c r="B1053" s="40">
        <v>1879213.0</v>
      </c>
      <c r="C1053" s="40">
        <v>0.0</v>
      </c>
      <c r="D1053" s="41">
        <v>45969.717578587966</v>
      </c>
    </row>
    <row r="1054">
      <c r="A1054" s="39" t="s">
        <v>246</v>
      </c>
      <c r="B1054" s="40">
        <v>1879214.0</v>
      </c>
      <c r="C1054" s="40">
        <v>0.0</v>
      </c>
      <c r="D1054" s="41">
        <v>45969.71758063657</v>
      </c>
    </row>
    <row r="1055">
      <c r="A1055" s="39" t="s">
        <v>246</v>
      </c>
      <c r="B1055" s="40">
        <v>1879215.0</v>
      </c>
      <c r="C1055" s="40">
        <v>0.0</v>
      </c>
      <c r="D1055" s="41">
        <v>45969.71758303241</v>
      </c>
    </row>
    <row r="1056">
      <c r="A1056" s="39" t="s">
        <v>246</v>
      </c>
      <c r="B1056" s="40">
        <v>1892322.0</v>
      </c>
      <c r="C1056" s="40">
        <v>0.0</v>
      </c>
      <c r="D1056" s="41">
        <v>45976.71423802083</v>
      </c>
    </row>
    <row r="1057">
      <c r="A1057" s="39" t="s">
        <v>246</v>
      </c>
      <c r="B1057" s="40">
        <v>1892323.0</v>
      </c>
      <c r="C1057" s="40">
        <v>0.0</v>
      </c>
      <c r="D1057" s="41">
        <v>45976.71423989584</v>
      </c>
    </row>
    <row r="1058">
      <c r="A1058" s="39" t="s">
        <v>246</v>
      </c>
      <c r="B1058" s="40">
        <v>1892324.0</v>
      </c>
      <c r="C1058" s="40">
        <v>0.0</v>
      </c>
      <c r="D1058" s="41">
        <v>45976.71424215278</v>
      </c>
    </row>
    <row r="1059">
      <c r="A1059" s="39" t="s">
        <v>246</v>
      </c>
      <c r="B1059" s="40">
        <v>1892325.0</v>
      </c>
      <c r="C1059" s="40">
        <v>0.0</v>
      </c>
      <c r="D1059" s="41">
        <v>45976.71424425926</v>
      </c>
    </row>
    <row r="1060">
      <c r="A1060" s="39" t="s">
        <v>246</v>
      </c>
      <c r="B1060" s="40">
        <v>1892326.0</v>
      </c>
      <c r="C1060" s="40">
        <v>0.0</v>
      </c>
      <c r="D1060" s="41">
        <v>45976.71424857639</v>
      </c>
    </row>
    <row r="1061">
      <c r="A1061" s="39" t="s">
        <v>246</v>
      </c>
      <c r="B1061" s="40">
        <v>1901634.0</v>
      </c>
      <c r="C1061" s="40">
        <v>28.0</v>
      </c>
      <c r="D1061" s="41">
        <v>45994.297641400466</v>
      </c>
    </row>
    <row r="1062">
      <c r="A1062" s="39" t="s">
        <v>246</v>
      </c>
      <c r="B1062" s="40">
        <v>1905196.0</v>
      </c>
      <c r="C1062" s="40">
        <v>0.0</v>
      </c>
      <c r="D1062" s="41">
        <v>45997.71560563658</v>
      </c>
    </row>
    <row r="1063">
      <c r="A1063" s="39" t="s">
        <v>246</v>
      </c>
      <c r="B1063" s="40">
        <v>1905197.0</v>
      </c>
      <c r="C1063" s="40">
        <v>0.0</v>
      </c>
      <c r="D1063" s="41">
        <v>45997.71560895833</v>
      </c>
    </row>
    <row r="1064">
      <c r="A1064" s="39" t="s">
        <v>246</v>
      </c>
      <c r="B1064" s="40">
        <v>1905198.0</v>
      </c>
      <c r="C1064" s="40">
        <v>0.0</v>
      </c>
      <c r="D1064" s="41">
        <v>45997.715612581014</v>
      </c>
    </row>
    <row r="1065">
      <c r="A1065" s="39" t="s">
        <v>246</v>
      </c>
      <c r="B1065" s="40">
        <v>1905201.0</v>
      </c>
      <c r="C1065" s="40">
        <v>0.0</v>
      </c>
      <c r="D1065" s="41">
        <v>45997.7156162037</v>
      </c>
    </row>
    <row r="1066">
      <c r="A1066" s="39" t="s">
        <v>246</v>
      </c>
      <c r="B1066" s="40">
        <v>1905206.0</v>
      </c>
      <c r="C1066" s="40">
        <v>0.0</v>
      </c>
      <c r="D1066" s="41">
        <v>45997.715620104165</v>
      </c>
    </row>
    <row r="1067">
      <c r="A1067" s="39" t="s">
        <v>247</v>
      </c>
      <c r="B1067" s="40">
        <v>1871474.0</v>
      </c>
      <c r="C1067" s="40">
        <v>10.0</v>
      </c>
      <c r="D1067" s="41">
        <v>45974.650475682865</v>
      </c>
    </row>
    <row r="1068">
      <c r="A1068" s="39" t="s">
        <v>247</v>
      </c>
      <c r="B1068" s="40">
        <v>1871475.0</v>
      </c>
      <c r="C1068" s="40">
        <v>0.0</v>
      </c>
      <c r="D1068" s="41">
        <v>45968.47068115741</v>
      </c>
    </row>
    <row r="1069">
      <c r="A1069" s="39" t="s">
        <v>247</v>
      </c>
      <c r="B1069" s="40">
        <v>1871476.0</v>
      </c>
      <c r="C1069" s="40">
        <v>0.0</v>
      </c>
      <c r="D1069" s="41">
        <v>45968.470683645835</v>
      </c>
    </row>
    <row r="1070">
      <c r="A1070" s="39" t="s">
        <v>247</v>
      </c>
      <c r="B1070" s="40">
        <v>1871477.0</v>
      </c>
      <c r="C1070" s="40">
        <v>0.0</v>
      </c>
      <c r="D1070" s="41">
        <v>45968.47068612269</v>
      </c>
    </row>
    <row r="1071">
      <c r="A1071" s="39" t="s">
        <v>247</v>
      </c>
      <c r="B1071" s="40">
        <v>1871478.0</v>
      </c>
      <c r="C1071" s="40">
        <v>0.0</v>
      </c>
      <c r="D1071" s="41">
        <v>45968.4706887037</v>
      </c>
    </row>
    <row r="1072">
      <c r="A1072" s="39" t="s">
        <v>247</v>
      </c>
      <c r="B1072" s="40">
        <v>1872001.0</v>
      </c>
      <c r="C1072" s="40">
        <v>0.0</v>
      </c>
      <c r="D1072" s="41">
        <v>45994.297645300925</v>
      </c>
    </row>
    <row r="1073">
      <c r="A1073" s="39" t="s">
        <v>247</v>
      </c>
      <c r="B1073" s="40">
        <v>1872002.0</v>
      </c>
      <c r="C1073" s="40">
        <v>14.0</v>
      </c>
      <c r="D1073" s="41">
        <v>45987.83747721065</v>
      </c>
    </row>
    <row r="1074">
      <c r="A1074" s="39" t="s">
        <v>247</v>
      </c>
      <c r="B1074" s="40">
        <v>1872003.0</v>
      </c>
      <c r="C1074" s="40">
        <v>17.0</v>
      </c>
      <c r="D1074" s="41">
        <v>45987.847769189815</v>
      </c>
    </row>
    <row r="1075">
      <c r="A1075" s="39" t="s">
        <v>247</v>
      </c>
      <c r="B1075" s="40">
        <v>1872011.0</v>
      </c>
      <c r="C1075" s="40">
        <v>0.0</v>
      </c>
      <c r="D1075" s="41">
        <v>45968.4707064699</v>
      </c>
    </row>
    <row r="1076">
      <c r="A1076" s="39" t="s">
        <v>247</v>
      </c>
      <c r="B1076" s="40">
        <v>1872014.0</v>
      </c>
      <c r="C1076" s="40">
        <v>0.0</v>
      </c>
      <c r="D1076" s="41">
        <v>45968.47070893519</v>
      </c>
    </row>
    <row r="1077">
      <c r="A1077" s="39" t="s">
        <v>247</v>
      </c>
      <c r="B1077" s="40">
        <v>1879211.0</v>
      </c>
      <c r="C1077" s="40">
        <v>10.0</v>
      </c>
      <c r="D1077" s="41">
        <v>45981.36870769676</v>
      </c>
    </row>
    <row r="1078">
      <c r="A1078" s="39" t="s">
        <v>247</v>
      </c>
      <c r="B1078" s="40">
        <v>1879212.0</v>
      </c>
      <c r="C1078" s="40">
        <v>13.0</v>
      </c>
      <c r="D1078" s="41">
        <v>45981.441590057875</v>
      </c>
    </row>
    <row r="1079">
      <c r="A1079" s="39" t="s">
        <v>247</v>
      </c>
      <c r="B1079" s="40">
        <v>1879213.0</v>
      </c>
      <c r="C1079" s="40">
        <v>12.0</v>
      </c>
      <c r="D1079" s="41">
        <v>45981.587457256945</v>
      </c>
    </row>
    <row r="1080">
      <c r="A1080" s="39" t="s">
        <v>247</v>
      </c>
      <c r="B1080" s="40">
        <v>1879214.0</v>
      </c>
      <c r="C1080" s="40">
        <v>11.0</v>
      </c>
      <c r="D1080" s="41">
        <v>45981.5980249537</v>
      </c>
    </row>
    <row r="1081">
      <c r="A1081" s="39" t="s">
        <v>247</v>
      </c>
      <c r="B1081" s="40">
        <v>1879215.0</v>
      </c>
      <c r="C1081" s="40">
        <v>0.0</v>
      </c>
      <c r="D1081" s="41">
        <v>45969.71760815972</v>
      </c>
    </row>
    <row r="1082">
      <c r="A1082" s="39" t="s">
        <v>247</v>
      </c>
      <c r="B1082" s="40">
        <v>1892322.0</v>
      </c>
      <c r="C1082" s="40">
        <v>9.0</v>
      </c>
      <c r="D1082" s="41">
        <v>45980.61856545139</v>
      </c>
    </row>
    <row r="1083">
      <c r="A1083" s="39" t="s">
        <v>247</v>
      </c>
      <c r="B1083" s="40">
        <v>1892323.0</v>
      </c>
      <c r="C1083" s="40">
        <v>13.0</v>
      </c>
      <c r="D1083" s="41">
        <v>45980.63943186343</v>
      </c>
    </row>
    <row r="1084">
      <c r="A1084" s="39" t="s">
        <v>247</v>
      </c>
      <c r="B1084" s="40">
        <v>1892324.0</v>
      </c>
      <c r="C1084" s="40">
        <v>4.0</v>
      </c>
      <c r="D1084" s="41">
        <v>45980.66023342592</v>
      </c>
    </row>
    <row r="1085">
      <c r="A1085" s="39" t="s">
        <v>247</v>
      </c>
      <c r="B1085" s="40">
        <v>1892325.0</v>
      </c>
      <c r="C1085" s="40">
        <v>2.0</v>
      </c>
      <c r="D1085" s="41">
        <v>45982.48331111111</v>
      </c>
    </row>
    <row r="1086">
      <c r="A1086" s="39" t="s">
        <v>247</v>
      </c>
      <c r="B1086" s="40">
        <v>1892326.0</v>
      </c>
      <c r="C1086" s="40">
        <v>2.0</v>
      </c>
      <c r="D1086" s="41">
        <v>45986.504220648145</v>
      </c>
    </row>
    <row r="1087">
      <c r="A1087" s="39" t="s">
        <v>247</v>
      </c>
      <c r="B1087" s="40">
        <v>1901634.0</v>
      </c>
      <c r="C1087" s="40">
        <v>60.0</v>
      </c>
      <c r="D1087" s="41">
        <v>45994.29764951389</v>
      </c>
    </row>
    <row r="1088">
      <c r="A1088" s="39" t="s">
        <v>247</v>
      </c>
      <c r="B1088" s="40">
        <v>1905196.0</v>
      </c>
      <c r="C1088" s="40">
        <v>0.0</v>
      </c>
      <c r="D1088" s="41">
        <v>45997.715624502314</v>
      </c>
    </row>
    <row r="1089">
      <c r="A1089" s="39" t="s">
        <v>247</v>
      </c>
      <c r="B1089" s="40">
        <v>1905197.0</v>
      </c>
      <c r="C1089" s="40">
        <v>0.0</v>
      </c>
      <c r="D1089" s="41">
        <v>45997.71562791667</v>
      </c>
    </row>
    <row r="1090">
      <c r="A1090" s="39" t="s">
        <v>247</v>
      </c>
      <c r="B1090" s="40">
        <v>1905198.0</v>
      </c>
      <c r="C1090" s="40">
        <v>0.0</v>
      </c>
      <c r="D1090" s="41">
        <v>45997.71563987268</v>
      </c>
    </row>
    <row r="1091">
      <c r="A1091" s="39" t="s">
        <v>247</v>
      </c>
      <c r="B1091" s="40">
        <v>1905201.0</v>
      </c>
      <c r="C1091" s="40">
        <v>0.0</v>
      </c>
      <c r="D1091" s="41">
        <v>45997.715643703705</v>
      </c>
    </row>
    <row r="1092">
      <c r="A1092" s="39" t="s">
        <v>247</v>
      </c>
      <c r="B1092" s="40">
        <v>1905206.0</v>
      </c>
      <c r="C1092" s="40">
        <v>0.0</v>
      </c>
      <c r="D1092" s="41">
        <v>45997.71564759259</v>
      </c>
    </row>
    <row r="1093">
      <c r="A1093" s="39" t="s">
        <v>248</v>
      </c>
      <c r="B1093" s="40">
        <v>1871474.0</v>
      </c>
      <c r="C1093" s="40">
        <v>10.0</v>
      </c>
      <c r="D1093" s="41">
        <v>45968.47071184027</v>
      </c>
    </row>
    <row r="1094">
      <c r="A1094" s="39" t="s">
        <v>248</v>
      </c>
      <c r="B1094" s="40">
        <v>1871475.0</v>
      </c>
      <c r="C1094" s="40">
        <v>0.0</v>
      </c>
      <c r="D1094" s="41">
        <v>45968.470714560186</v>
      </c>
    </row>
    <row r="1095">
      <c r="A1095" s="39" t="s">
        <v>248</v>
      </c>
      <c r="B1095" s="40">
        <v>1871477.0</v>
      </c>
      <c r="C1095" s="40">
        <v>0.0</v>
      </c>
      <c r="D1095" s="41">
        <v>45968.47072</v>
      </c>
    </row>
    <row r="1096">
      <c r="A1096" s="39" t="s">
        <v>248</v>
      </c>
      <c r="B1096" s="40">
        <v>1871478.0</v>
      </c>
      <c r="C1096" s="40">
        <v>0.0</v>
      </c>
      <c r="D1096" s="41">
        <v>45968.47072268519</v>
      </c>
    </row>
    <row r="1097">
      <c r="A1097" s="39" t="s">
        <v>248</v>
      </c>
      <c r="B1097" s="40">
        <v>1872001.0</v>
      </c>
      <c r="C1097" s="40">
        <v>0.0</v>
      </c>
      <c r="D1097" s="41">
        <v>45968.47072539352</v>
      </c>
    </row>
    <row r="1098">
      <c r="A1098" s="39" t="s">
        <v>248</v>
      </c>
      <c r="B1098" s="40">
        <v>1872002.0</v>
      </c>
      <c r="C1098" s="40">
        <v>0.0</v>
      </c>
      <c r="D1098" s="41">
        <v>45968.47072799769</v>
      </c>
    </row>
    <row r="1099">
      <c r="A1099" s="39" t="s">
        <v>248</v>
      </c>
      <c r="B1099" s="40">
        <v>1872003.0</v>
      </c>
      <c r="C1099" s="40">
        <v>0.0</v>
      </c>
      <c r="D1099" s="41">
        <v>45968.47073045139</v>
      </c>
    </row>
    <row r="1100">
      <c r="A1100" s="39" t="s">
        <v>248</v>
      </c>
      <c r="B1100" s="40">
        <v>1872011.0</v>
      </c>
      <c r="C1100" s="40">
        <v>0.0</v>
      </c>
      <c r="D1100" s="41">
        <v>45968.47073310185</v>
      </c>
    </row>
    <row r="1101">
      <c r="A1101" s="39" t="s">
        <v>248</v>
      </c>
      <c r="B1101" s="40">
        <v>1872014.0</v>
      </c>
      <c r="C1101" s="40">
        <v>0.0</v>
      </c>
      <c r="D1101" s="41">
        <v>45968.47073767361</v>
      </c>
    </row>
    <row r="1102">
      <c r="A1102" s="39" t="s">
        <v>248</v>
      </c>
      <c r="B1102" s="40">
        <v>1879211.0</v>
      </c>
      <c r="C1102" s="40">
        <v>0.0</v>
      </c>
      <c r="D1102" s="41">
        <v>45969.717616678245</v>
      </c>
    </row>
    <row r="1103">
      <c r="A1103" s="39" t="s">
        <v>248</v>
      </c>
      <c r="B1103" s="40">
        <v>1879212.0</v>
      </c>
      <c r="C1103" s="40">
        <v>0.0</v>
      </c>
      <c r="D1103" s="41">
        <v>45969.71761836806</v>
      </c>
    </row>
    <row r="1104">
      <c r="A1104" s="39" t="s">
        <v>248</v>
      </c>
      <c r="B1104" s="40">
        <v>1879213.0</v>
      </c>
      <c r="C1104" s="40">
        <v>0.0</v>
      </c>
      <c r="D1104" s="41">
        <v>45969.717620208336</v>
      </c>
    </row>
    <row r="1105">
      <c r="A1105" s="39" t="s">
        <v>248</v>
      </c>
      <c r="B1105" s="40">
        <v>1879214.0</v>
      </c>
      <c r="C1105" s="40">
        <v>0.0</v>
      </c>
      <c r="D1105" s="41">
        <v>45969.71762247685</v>
      </c>
    </row>
    <row r="1106">
      <c r="A1106" s="39" t="s">
        <v>248</v>
      </c>
      <c r="B1106" s="40">
        <v>1879215.0</v>
      </c>
      <c r="C1106" s="40">
        <v>0.0</v>
      </c>
      <c r="D1106" s="41">
        <v>45969.717625254634</v>
      </c>
    </row>
    <row r="1107">
      <c r="A1107" s="39" t="s">
        <v>248</v>
      </c>
      <c r="B1107" s="40">
        <v>1892323.0</v>
      </c>
      <c r="C1107" s="40">
        <v>0.0</v>
      </c>
      <c r="D1107" s="41">
        <v>45976.714294687496</v>
      </c>
    </row>
    <row r="1108">
      <c r="A1108" s="39" t="s">
        <v>248</v>
      </c>
      <c r="B1108" s="40">
        <v>1892324.0</v>
      </c>
      <c r="C1108" s="40">
        <v>0.0</v>
      </c>
      <c r="D1108" s="41">
        <v>45976.71430604167</v>
      </c>
    </row>
    <row r="1109">
      <c r="A1109" s="39" t="s">
        <v>248</v>
      </c>
      <c r="B1109" s="40">
        <v>1892325.0</v>
      </c>
      <c r="C1109" s="40">
        <v>0.0</v>
      </c>
      <c r="D1109" s="41">
        <v>45976.71430770833</v>
      </c>
    </row>
    <row r="1110">
      <c r="A1110" s="39" t="s">
        <v>248</v>
      </c>
      <c r="B1110" s="40">
        <v>1892326.0</v>
      </c>
      <c r="C1110" s="40">
        <v>0.0</v>
      </c>
      <c r="D1110" s="41">
        <v>45976.71430980324</v>
      </c>
    </row>
    <row r="1111">
      <c r="A1111" s="39" t="s">
        <v>248</v>
      </c>
      <c r="B1111" s="40">
        <v>1901634.0</v>
      </c>
      <c r="C1111" s="40">
        <v>5.0</v>
      </c>
      <c r="D1111" s="41">
        <v>45994.29766106482</v>
      </c>
    </row>
    <row r="1112">
      <c r="A1112" s="39" t="s">
        <v>248</v>
      </c>
      <c r="B1112" s="40">
        <v>1905196.0</v>
      </c>
      <c r="C1112" s="40">
        <v>3.0</v>
      </c>
      <c r="D1112" s="41">
        <v>46003.52135387731</v>
      </c>
    </row>
    <row r="1113">
      <c r="A1113" s="39" t="s">
        <v>248</v>
      </c>
      <c r="B1113" s="40">
        <v>1905197.0</v>
      </c>
      <c r="C1113" s="40">
        <v>0.0</v>
      </c>
      <c r="D1113" s="41">
        <v>45997.71566256945</v>
      </c>
    </row>
    <row r="1114">
      <c r="A1114" s="39" t="s">
        <v>248</v>
      </c>
      <c r="B1114" s="40">
        <v>1905198.0</v>
      </c>
      <c r="C1114" s="40">
        <v>12.0</v>
      </c>
      <c r="D1114" s="41">
        <v>46003.52135387731</v>
      </c>
    </row>
    <row r="1115">
      <c r="A1115" s="39" t="s">
        <v>248</v>
      </c>
      <c r="B1115" s="40">
        <v>1905201.0</v>
      </c>
      <c r="C1115" s="40">
        <v>0.0</v>
      </c>
      <c r="D1115" s="41">
        <v>45997.715672499995</v>
      </c>
    </row>
    <row r="1116">
      <c r="A1116" s="39" t="s">
        <v>248</v>
      </c>
      <c r="B1116" s="40">
        <v>1905206.0</v>
      </c>
      <c r="C1116" s="40">
        <v>0.0</v>
      </c>
      <c r="D1116" s="41">
        <v>45997.71567634259</v>
      </c>
    </row>
    <row r="1117">
      <c r="A1117" s="39" t="s">
        <v>248</v>
      </c>
      <c r="B1117" s="40">
        <v>1909202.0</v>
      </c>
      <c r="C1117" s="40">
        <v>0.0</v>
      </c>
      <c r="D1117" s="41">
        <v>46001.338825081024</v>
      </c>
    </row>
    <row r="1118">
      <c r="A1118" s="39" t="s">
        <v>249</v>
      </c>
      <c r="B1118" s="40">
        <v>1871474.0</v>
      </c>
      <c r="C1118" s="40">
        <v>10.0</v>
      </c>
      <c r="D1118" s="41">
        <v>45968.47074078704</v>
      </c>
    </row>
    <row r="1119">
      <c r="A1119" s="39" t="s">
        <v>249</v>
      </c>
      <c r="B1119" s="40">
        <v>1871475.0</v>
      </c>
      <c r="C1119" s="40">
        <v>0.0</v>
      </c>
      <c r="D1119" s="41">
        <v>45968.4707453125</v>
      </c>
    </row>
    <row r="1120">
      <c r="A1120" s="39" t="s">
        <v>249</v>
      </c>
      <c r="B1120" s="40">
        <v>1871477.0</v>
      </c>
      <c r="C1120" s="40">
        <v>0.0</v>
      </c>
      <c r="D1120" s="41">
        <v>45968.47075144676</v>
      </c>
    </row>
    <row r="1121">
      <c r="A1121" s="39" t="s">
        <v>249</v>
      </c>
      <c r="B1121" s="40">
        <v>1871478.0</v>
      </c>
      <c r="C1121" s="40">
        <v>0.0</v>
      </c>
      <c r="D1121" s="41">
        <v>45968.470754062495</v>
      </c>
    </row>
    <row r="1122">
      <c r="A1122" s="39" t="s">
        <v>249</v>
      </c>
      <c r="B1122" s="40">
        <v>1872001.0</v>
      </c>
      <c r="C1122" s="40">
        <v>0.0</v>
      </c>
      <c r="D1122" s="41">
        <v>45994.297667280094</v>
      </c>
    </row>
    <row r="1123">
      <c r="A1123" s="39" t="s">
        <v>249</v>
      </c>
      <c r="B1123" s="40">
        <v>1872002.0</v>
      </c>
      <c r="C1123" s="40">
        <v>0.0</v>
      </c>
      <c r="D1123" s="41">
        <v>45968.470759062504</v>
      </c>
    </row>
    <row r="1124">
      <c r="A1124" s="39" t="s">
        <v>249</v>
      </c>
      <c r="B1124" s="40">
        <v>1872003.0</v>
      </c>
      <c r="C1124" s="40">
        <v>0.0</v>
      </c>
      <c r="D1124" s="41">
        <v>45968.4707636574</v>
      </c>
    </row>
    <row r="1125">
      <c r="A1125" s="39" t="s">
        <v>249</v>
      </c>
      <c r="B1125" s="40">
        <v>1872011.0</v>
      </c>
      <c r="C1125" s="40">
        <v>0.0</v>
      </c>
      <c r="D1125" s="41">
        <v>45968.47076789352</v>
      </c>
    </row>
    <row r="1126">
      <c r="A1126" s="39" t="s">
        <v>249</v>
      </c>
      <c r="B1126" s="40">
        <v>1872014.0</v>
      </c>
      <c r="C1126" s="40">
        <v>4.0</v>
      </c>
      <c r="D1126" s="41">
        <v>45968.470770659726</v>
      </c>
    </row>
    <row r="1127">
      <c r="A1127" s="39" t="s">
        <v>249</v>
      </c>
      <c r="B1127" s="40">
        <v>1879211.0</v>
      </c>
      <c r="C1127" s="40">
        <v>0.0</v>
      </c>
      <c r="D1127" s="41">
        <v>45969.717627129634</v>
      </c>
    </row>
    <row r="1128">
      <c r="A1128" s="39" t="s">
        <v>249</v>
      </c>
      <c r="B1128" s="40">
        <v>1879212.0</v>
      </c>
      <c r="C1128" s="40">
        <v>0.0</v>
      </c>
      <c r="D1128" s="41">
        <v>45969.717629363426</v>
      </c>
    </row>
    <row r="1129">
      <c r="A1129" s="39" t="s">
        <v>249</v>
      </c>
      <c r="B1129" s="40">
        <v>1879213.0</v>
      </c>
      <c r="C1129" s="40">
        <v>0.0</v>
      </c>
      <c r="D1129" s="41">
        <v>45969.7176318287</v>
      </c>
    </row>
    <row r="1130">
      <c r="A1130" s="39" t="s">
        <v>249</v>
      </c>
      <c r="B1130" s="40">
        <v>1879214.0</v>
      </c>
      <c r="C1130" s="40">
        <v>0.0</v>
      </c>
      <c r="D1130" s="41">
        <v>45969.717635196765</v>
      </c>
    </row>
    <row r="1131">
      <c r="A1131" s="39" t="s">
        <v>249</v>
      </c>
      <c r="B1131" s="40">
        <v>1879215.0</v>
      </c>
      <c r="C1131" s="40">
        <v>6.0</v>
      </c>
      <c r="D1131" s="41">
        <v>45980.46235246528</v>
      </c>
    </row>
    <row r="1132">
      <c r="A1132" s="39" t="s">
        <v>249</v>
      </c>
      <c r="B1132" s="40">
        <v>1892322.0</v>
      </c>
      <c r="C1132" s="40">
        <v>0.0</v>
      </c>
      <c r="D1132" s="41">
        <v>45976.71431188658</v>
      </c>
    </row>
    <row r="1133">
      <c r="A1133" s="39" t="s">
        <v>249</v>
      </c>
      <c r="B1133" s="40">
        <v>1892323.0</v>
      </c>
      <c r="C1133" s="40">
        <v>0.0</v>
      </c>
      <c r="D1133" s="41">
        <v>45976.71432533565</v>
      </c>
    </row>
    <row r="1134">
      <c r="A1134" s="39" t="s">
        <v>249</v>
      </c>
      <c r="B1134" s="40">
        <v>1892324.0</v>
      </c>
      <c r="C1134" s="40">
        <v>0.0</v>
      </c>
      <c r="D1134" s="41">
        <v>45976.71432724537</v>
      </c>
    </row>
    <row r="1135">
      <c r="A1135" s="39" t="s">
        <v>249</v>
      </c>
      <c r="B1135" s="40">
        <v>1892325.0</v>
      </c>
      <c r="C1135" s="40">
        <v>0.0</v>
      </c>
      <c r="D1135" s="41">
        <v>45976.714329525465</v>
      </c>
    </row>
    <row r="1136">
      <c r="A1136" s="39" t="s">
        <v>249</v>
      </c>
      <c r="B1136" s="40">
        <v>1892326.0</v>
      </c>
      <c r="C1136" s="40">
        <v>0.0</v>
      </c>
      <c r="D1136" s="41">
        <v>45976.71433184028</v>
      </c>
    </row>
    <row r="1137">
      <c r="A1137" s="39" t="s">
        <v>249</v>
      </c>
      <c r="B1137" s="40">
        <v>1901634.0</v>
      </c>
      <c r="C1137" s="40">
        <v>37.0</v>
      </c>
      <c r="D1137" s="41">
        <v>45994.29767269676</v>
      </c>
    </row>
    <row r="1138">
      <c r="A1138" s="39" t="s">
        <v>249</v>
      </c>
      <c r="B1138" s="40">
        <v>1905196.0</v>
      </c>
      <c r="C1138" s="40">
        <v>0.0</v>
      </c>
      <c r="D1138" s="41">
        <v>45997.71569006944</v>
      </c>
    </row>
    <row r="1139">
      <c r="A1139" s="39" t="s">
        <v>249</v>
      </c>
      <c r="B1139" s="40">
        <v>1905197.0</v>
      </c>
      <c r="C1139" s="40">
        <v>0.0</v>
      </c>
      <c r="D1139" s="41">
        <v>45997.71569369213</v>
      </c>
    </row>
    <row r="1140">
      <c r="A1140" s="39" t="s">
        <v>249</v>
      </c>
      <c r="B1140" s="40">
        <v>1905198.0</v>
      </c>
      <c r="C1140" s="40">
        <v>0.0</v>
      </c>
      <c r="D1140" s="41">
        <v>45997.715697719905</v>
      </c>
    </row>
    <row r="1141">
      <c r="A1141" s="39" t="s">
        <v>249</v>
      </c>
      <c r="B1141" s="40">
        <v>1905201.0</v>
      </c>
      <c r="C1141" s="40">
        <v>0.0</v>
      </c>
      <c r="D1141" s="41">
        <v>45997.715700879635</v>
      </c>
    </row>
    <row r="1142">
      <c r="A1142" s="39" t="s">
        <v>249</v>
      </c>
      <c r="B1142" s="40">
        <v>1905206.0</v>
      </c>
      <c r="C1142" s="40">
        <v>0.0</v>
      </c>
      <c r="D1142" s="41">
        <v>45997.715704131944</v>
      </c>
    </row>
    <row r="1143">
      <c r="A1143" s="39" t="s">
        <v>249</v>
      </c>
      <c r="B1143" s="40">
        <v>1909202.0</v>
      </c>
      <c r="C1143" s="40">
        <v>8.0</v>
      </c>
      <c r="D1143" s="41">
        <v>46003.52135387731</v>
      </c>
    </row>
    <row r="1144">
      <c r="A1144" s="39" t="s">
        <v>249</v>
      </c>
      <c r="B1144" s="40">
        <v>1909203.0</v>
      </c>
      <c r="C1144" s="40">
        <v>7.0</v>
      </c>
      <c r="D1144" s="41">
        <v>46003.52135387731</v>
      </c>
    </row>
    <row r="1145">
      <c r="A1145" s="39" t="s">
        <v>250</v>
      </c>
      <c r="B1145" s="40">
        <v>1871474.0</v>
      </c>
      <c r="C1145" s="40">
        <v>10.0</v>
      </c>
      <c r="D1145" s="41">
        <v>45968.47077319444</v>
      </c>
    </row>
    <row r="1146">
      <c r="A1146" s="39" t="s">
        <v>250</v>
      </c>
      <c r="B1146" s="40">
        <v>1871475.0</v>
      </c>
      <c r="C1146" s="40">
        <v>0.0</v>
      </c>
      <c r="D1146" s="41">
        <v>45968.47077585648</v>
      </c>
    </row>
    <row r="1147">
      <c r="A1147" s="39" t="s">
        <v>250</v>
      </c>
      <c r="B1147" s="40">
        <v>1871476.0</v>
      </c>
      <c r="C1147" s="40">
        <v>0.0</v>
      </c>
      <c r="D1147" s="41">
        <v>45968.47078297454</v>
      </c>
    </row>
    <row r="1148">
      <c r="A1148" s="39" t="s">
        <v>250</v>
      </c>
      <c r="B1148" s="40">
        <v>1871477.0</v>
      </c>
      <c r="C1148" s="40">
        <v>0.0</v>
      </c>
      <c r="D1148" s="41">
        <v>45968.47078940972</v>
      </c>
    </row>
    <row r="1149">
      <c r="A1149" s="39" t="s">
        <v>250</v>
      </c>
      <c r="B1149" s="40">
        <v>1871478.0</v>
      </c>
      <c r="C1149" s="40">
        <v>0.0</v>
      </c>
      <c r="D1149" s="41">
        <v>45968.47079181713</v>
      </c>
    </row>
    <row r="1150">
      <c r="A1150" s="39" t="s">
        <v>250</v>
      </c>
      <c r="B1150" s="40">
        <v>1872001.0</v>
      </c>
      <c r="C1150" s="40">
        <v>0.0</v>
      </c>
      <c r="D1150" s="41">
        <v>45994.297733506944</v>
      </c>
    </row>
    <row r="1151">
      <c r="A1151" s="39" t="s">
        <v>250</v>
      </c>
      <c r="B1151" s="40">
        <v>1872002.0</v>
      </c>
      <c r="C1151" s="40">
        <v>11.0</v>
      </c>
      <c r="D1151" s="41">
        <v>45978.555981620375</v>
      </c>
    </row>
    <row r="1152">
      <c r="A1152" s="39" t="s">
        <v>250</v>
      </c>
      <c r="B1152" s="40">
        <v>1872003.0</v>
      </c>
      <c r="C1152" s="40">
        <v>8.0</v>
      </c>
      <c r="D1152" s="41">
        <v>45968.47080519676</v>
      </c>
    </row>
    <row r="1153">
      <c r="A1153" s="39" t="s">
        <v>250</v>
      </c>
      <c r="B1153" s="40">
        <v>1872011.0</v>
      </c>
      <c r="C1153" s="40">
        <v>9.0</v>
      </c>
      <c r="D1153" s="41">
        <v>45968.47080783565</v>
      </c>
    </row>
    <row r="1154">
      <c r="A1154" s="39" t="s">
        <v>250</v>
      </c>
      <c r="B1154" s="40">
        <v>1872014.0</v>
      </c>
      <c r="C1154" s="40">
        <v>9.0</v>
      </c>
      <c r="D1154" s="41">
        <v>45978.55598483796</v>
      </c>
    </row>
    <row r="1155">
      <c r="A1155" s="39" t="s">
        <v>250</v>
      </c>
      <c r="B1155" s="40">
        <v>1879211.0</v>
      </c>
      <c r="C1155" s="40">
        <v>0.0</v>
      </c>
      <c r="D1155" s="41">
        <v>45969.71763886574</v>
      </c>
    </row>
    <row r="1156">
      <c r="A1156" s="39" t="s">
        <v>250</v>
      </c>
      <c r="B1156" s="40">
        <v>1879212.0</v>
      </c>
      <c r="C1156" s="40">
        <v>0.0</v>
      </c>
      <c r="D1156" s="41">
        <v>45969.71764162037</v>
      </c>
    </row>
    <row r="1157">
      <c r="A1157" s="39" t="s">
        <v>250</v>
      </c>
      <c r="B1157" s="40">
        <v>1879213.0</v>
      </c>
      <c r="C1157" s="40">
        <v>0.0</v>
      </c>
      <c r="D1157" s="41">
        <v>45969.71764349537</v>
      </c>
    </row>
    <row r="1158">
      <c r="A1158" s="39" t="s">
        <v>250</v>
      </c>
      <c r="B1158" s="40">
        <v>1879214.0</v>
      </c>
      <c r="C1158" s="40">
        <v>0.0</v>
      </c>
      <c r="D1158" s="41">
        <v>45969.717645613426</v>
      </c>
    </row>
    <row r="1159">
      <c r="A1159" s="39" t="s">
        <v>250</v>
      </c>
      <c r="B1159" s="40">
        <v>1879215.0</v>
      </c>
      <c r="C1159" s="40">
        <v>11.0</v>
      </c>
      <c r="D1159" s="41">
        <v>45979.493971006945</v>
      </c>
    </row>
    <row r="1160">
      <c r="A1160" s="39" t="s">
        <v>250</v>
      </c>
      <c r="B1160" s="40">
        <v>1892323.0</v>
      </c>
      <c r="C1160" s="40">
        <v>12.0</v>
      </c>
      <c r="D1160" s="41">
        <v>45979.51479927084</v>
      </c>
    </row>
    <row r="1161">
      <c r="A1161" s="39" t="s">
        <v>250</v>
      </c>
      <c r="B1161" s="40">
        <v>1892324.0</v>
      </c>
      <c r="C1161" s="40">
        <v>4.0</v>
      </c>
      <c r="D1161" s="41">
        <v>45974.83810626157</v>
      </c>
    </row>
    <row r="1162">
      <c r="A1162" s="39" t="s">
        <v>250</v>
      </c>
      <c r="B1162" s="40">
        <v>1892325.0</v>
      </c>
      <c r="C1162" s="40">
        <v>9.0</v>
      </c>
      <c r="D1162" s="41">
        <v>45982.483325231486</v>
      </c>
    </row>
    <row r="1163">
      <c r="A1163" s="39" t="s">
        <v>250</v>
      </c>
      <c r="B1163" s="40">
        <v>1892326.0</v>
      </c>
      <c r="C1163" s="40">
        <v>7.0</v>
      </c>
      <c r="D1163" s="41">
        <v>45986.50423986111</v>
      </c>
    </row>
    <row r="1164">
      <c r="A1164" s="39" t="s">
        <v>250</v>
      </c>
      <c r="B1164" s="40">
        <v>1901634.0</v>
      </c>
      <c r="C1164" s="40">
        <v>0.0</v>
      </c>
      <c r="D1164" s="41">
        <v>45992.42267079861</v>
      </c>
    </row>
    <row r="1165">
      <c r="A1165" s="39" t="s">
        <v>250</v>
      </c>
      <c r="B1165" s="40">
        <v>1905196.0</v>
      </c>
      <c r="C1165" s="40">
        <v>12.0</v>
      </c>
      <c r="D1165" s="41">
        <v>46003.52135387731</v>
      </c>
    </row>
    <row r="1166">
      <c r="A1166" s="39" t="s">
        <v>250</v>
      </c>
      <c r="B1166" s="40">
        <v>1905197.0</v>
      </c>
      <c r="C1166" s="40">
        <v>0.0</v>
      </c>
      <c r="D1166" s="41">
        <v>45997.71571596064</v>
      </c>
    </row>
    <row r="1167">
      <c r="A1167" s="39" t="s">
        <v>250</v>
      </c>
      <c r="B1167" s="40">
        <v>1905198.0</v>
      </c>
      <c r="C1167" s="40">
        <v>4.0</v>
      </c>
      <c r="D1167" s="41">
        <v>46003.52135387731</v>
      </c>
    </row>
    <row r="1168">
      <c r="A1168" s="39" t="s">
        <v>250</v>
      </c>
      <c r="B1168" s="40">
        <v>1905201.0</v>
      </c>
      <c r="C1168" s="40">
        <v>0.0</v>
      </c>
      <c r="D1168" s="41">
        <v>45997.71572391204</v>
      </c>
    </row>
    <row r="1169">
      <c r="A1169" s="39" t="s">
        <v>250</v>
      </c>
      <c r="B1169" s="40">
        <v>1905206.0</v>
      </c>
      <c r="C1169" s="40">
        <v>0.0</v>
      </c>
      <c r="D1169" s="41">
        <v>45997.7157278588</v>
      </c>
    </row>
    <row r="1170">
      <c r="A1170" s="39" t="s">
        <v>250</v>
      </c>
      <c r="B1170" s="40">
        <v>1909202.0</v>
      </c>
      <c r="C1170" s="40">
        <v>11.0</v>
      </c>
      <c r="D1170" s="41">
        <v>46003.52135387731</v>
      </c>
    </row>
    <row r="1171">
      <c r="A1171" s="39" t="s">
        <v>250</v>
      </c>
      <c r="B1171" s="40">
        <v>1909205.0</v>
      </c>
      <c r="C1171" s="40">
        <v>9.0</v>
      </c>
      <c r="D1171" s="41">
        <v>46003.52135387731</v>
      </c>
    </row>
    <row r="1172">
      <c r="A1172" s="39" t="s">
        <v>251</v>
      </c>
      <c r="B1172" s="40">
        <v>1871474.0</v>
      </c>
      <c r="C1172" s="40">
        <v>10.0</v>
      </c>
      <c r="D1172" s="41">
        <v>45968.470816284724</v>
      </c>
    </row>
    <row r="1173">
      <c r="A1173" s="39" t="s">
        <v>251</v>
      </c>
      <c r="B1173" s="40">
        <v>1871475.0</v>
      </c>
      <c r="C1173" s="40">
        <v>15.0</v>
      </c>
      <c r="D1173" s="41">
        <v>45968.470818912036</v>
      </c>
    </row>
    <row r="1174">
      <c r="A1174" s="39" t="s">
        <v>251</v>
      </c>
      <c r="B1174" s="40">
        <v>1871477.0</v>
      </c>
      <c r="C1174" s="40">
        <v>5.0</v>
      </c>
      <c r="D1174" s="41">
        <v>45974.5257662963</v>
      </c>
    </row>
    <row r="1175">
      <c r="A1175" s="39" t="s">
        <v>251</v>
      </c>
      <c r="B1175" s="40">
        <v>1871478.0</v>
      </c>
      <c r="C1175" s="40">
        <v>20.0</v>
      </c>
      <c r="D1175" s="41">
        <v>45974.57780932871</v>
      </c>
    </row>
    <row r="1176">
      <c r="A1176" s="39" t="s">
        <v>251</v>
      </c>
      <c r="B1176" s="40">
        <v>1872001.0</v>
      </c>
      <c r="C1176" s="40">
        <v>0.0</v>
      </c>
      <c r="D1176" s="41">
        <v>45994.29774524306</v>
      </c>
    </row>
    <row r="1177">
      <c r="A1177" s="39" t="s">
        <v>251</v>
      </c>
      <c r="B1177" s="40">
        <v>1872002.0</v>
      </c>
      <c r="C1177" s="40">
        <v>13.0</v>
      </c>
      <c r="D1177" s="41">
        <v>45968.470839733796</v>
      </c>
    </row>
    <row r="1178">
      <c r="A1178" s="39" t="s">
        <v>251</v>
      </c>
      <c r="B1178" s="40">
        <v>1872003.0</v>
      </c>
      <c r="C1178" s="40">
        <v>14.0</v>
      </c>
      <c r="D1178" s="41">
        <v>45974.59869828704</v>
      </c>
    </row>
    <row r="1179">
      <c r="A1179" s="39" t="s">
        <v>251</v>
      </c>
      <c r="B1179" s="40">
        <v>1872011.0</v>
      </c>
      <c r="C1179" s="40">
        <v>12.0</v>
      </c>
      <c r="D1179" s="41">
        <v>45978.37924043981</v>
      </c>
    </row>
    <row r="1180">
      <c r="A1180" s="39" t="s">
        <v>251</v>
      </c>
      <c r="B1180" s="40">
        <v>1872014.0</v>
      </c>
      <c r="C1180" s="40">
        <v>10.0</v>
      </c>
      <c r="D1180" s="41">
        <v>45978.58720789352</v>
      </c>
    </row>
    <row r="1181">
      <c r="A1181" s="39" t="s">
        <v>251</v>
      </c>
      <c r="B1181" s="40">
        <v>1879211.0</v>
      </c>
      <c r="C1181" s="40">
        <v>10.0</v>
      </c>
      <c r="D1181" s="41">
        <v>45973.45292165509</v>
      </c>
    </row>
    <row r="1182">
      <c r="A1182" s="39" t="s">
        <v>251</v>
      </c>
      <c r="B1182" s="40">
        <v>1879212.0</v>
      </c>
      <c r="C1182" s="40">
        <v>14.0</v>
      </c>
      <c r="D1182" s="41">
        <v>45979.49398121527</v>
      </c>
    </row>
    <row r="1183">
      <c r="A1183" s="39" t="s">
        <v>251</v>
      </c>
      <c r="B1183" s="40">
        <v>1879213.0</v>
      </c>
      <c r="C1183" s="40">
        <v>9.0</v>
      </c>
      <c r="D1183" s="41">
        <v>45979.49398568287</v>
      </c>
    </row>
    <row r="1184">
      <c r="A1184" s="39" t="s">
        <v>251</v>
      </c>
      <c r="B1184" s="40">
        <v>1879215.0</v>
      </c>
      <c r="C1184" s="40">
        <v>11.0</v>
      </c>
      <c r="D1184" s="41">
        <v>45979.4939934375</v>
      </c>
    </row>
    <row r="1185">
      <c r="A1185" s="39" t="s">
        <v>251</v>
      </c>
      <c r="B1185" s="40">
        <v>1892322.0</v>
      </c>
      <c r="C1185" s="40">
        <v>0.0</v>
      </c>
      <c r="D1185" s="41">
        <v>45976.71433787037</v>
      </c>
    </row>
    <row r="1186">
      <c r="A1186" s="39" t="s">
        <v>251</v>
      </c>
      <c r="B1186" s="40">
        <v>1892323.0</v>
      </c>
      <c r="C1186" s="40">
        <v>0.0</v>
      </c>
      <c r="D1186" s="41">
        <v>45976.714361562495</v>
      </c>
    </row>
    <row r="1187">
      <c r="A1187" s="39" t="s">
        <v>251</v>
      </c>
      <c r="B1187" s="40">
        <v>1892324.0</v>
      </c>
      <c r="C1187" s="40">
        <v>0.0</v>
      </c>
      <c r="D1187" s="41">
        <v>45976.714362997685</v>
      </c>
    </row>
    <row r="1188">
      <c r="A1188" s="39" t="s">
        <v>251</v>
      </c>
      <c r="B1188" s="40">
        <v>1892325.0</v>
      </c>
      <c r="C1188" s="40">
        <v>0.0</v>
      </c>
      <c r="D1188" s="41">
        <v>45976.714367719906</v>
      </c>
    </row>
    <row r="1189">
      <c r="A1189" s="39" t="s">
        <v>251</v>
      </c>
      <c r="B1189" s="40">
        <v>1892326.0</v>
      </c>
      <c r="C1189" s="40">
        <v>0.0</v>
      </c>
      <c r="D1189" s="41">
        <v>45976.714369560184</v>
      </c>
    </row>
    <row r="1190">
      <c r="A1190" s="39" t="s">
        <v>251</v>
      </c>
      <c r="B1190" s="40">
        <v>1901634.0</v>
      </c>
      <c r="C1190" s="40">
        <v>0.0</v>
      </c>
      <c r="D1190" s="41">
        <v>45992.42269148148</v>
      </c>
    </row>
    <row r="1191">
      <c r="A1191" s="39" t="s">
        <v>251</v>
      </c>
      <c r="B1191" s="40">
        <v>1905196.0</v>
      </c>
      <c r="C1191" s="40">
        <v>9.0</v>
      </c>
      <c r="D1191" s="41">
        <v>46003.52135387731</v>
      </c>
    </row>
    <row r="1192">
      <c r="A1192" s="39" t="s">
        <v>251</v>
      </c>
      <c r="B1192" s="40">
        <v>1905197.0</v>
      </c>
      <c r="C1192" s="40">
        <v>0.0</v>
      </c>
      <c r="D1192" s="41">
        <v>45997.71574310186</v>
      </c>
    </row>
    <row r="1193">
      <c r="A1193" s="39" t="s">
        <v>251</v>
      </c>
      <c r="B1193" s="40">
        <v>1905198.0</v>
      </c>
      <c r="C1193" s="40">
        <v>0.0</v>
      </c>
      <c r="D1193" s="41">
        <v>45997.71574697917</v>
      </c>
    </row>
    <row r="1194">
      <c r="A1194" s="39" t="s">
        <v>251</v>
      </c>
      <c r="B1194" s="40">
        <v>1905201.0</v>
      </c>
      <c r="C1194" s="40">
        <v>0.0</v>
      </c>
      <c r="D1194" s="41">
        <v>45997.71575263889</v>
      </c>
    </row>
    <row r="1195">
      <c r="A1195" s="39" t="s">
        <v>251</v>
      </c>
      <c r="B1195" s="40">
        <v>1905206.0</v>
      </c>
      <c r="C1195" s="40">
        <v>0.0</v>
      </c>
      <c r="D1195" s="41">
        <v>45997.7157562963</v>
      </c>
    </row>
    <row r="1196">
      <c r="A1196" s="39" t="s">
        <v>252</v>
      </c>
      <c r="B1196" s="40">
        <v>1871474.0</v>
      </c>
      <c r="C1196" s="40">
        <v>10.0</v>
      </c>
      <c r="D1196" s="41">
        <v>45981.49371391204</v>
      </c>
    </row>
    <row r="1197">
      <c r="A1197" s="39" t="s">
        <v>252</v>
      </c>
      <c r="B1197" s="40">
        <v>1871475.0</v>
      </c>
      <c r="C1197" s="40">
        <v>0.0</v>
      </c>
      <c r="D1197" s="41">
        <v>45968.47085333333</v>
      </c>
    </row>
    <row r="1198">
      <c r="A1198" s="39" t="s">
        <v>252</v>
      </c>
      <c r="B1198" s="40">
        <v>1871477.0</v>
      </c>
      <c r="C1198" s="40">
        <v>0.0</v>
      </c>
      <c r="D1198" s="41">
        <v>45968.470858506946</v>
      </c>
    </row>
    <row r="1199">
      <c r="A1199" s="39" t="s">
        <v>252</v>
      </c>
      <c r="B1199" s="40">
        <v>1871478.0</v>
      </c>
      <c r="C1199" s="40">
        <v>0.0</v>
      </c>
      <c r="D1199" s="41">
        <v>45968.47086180556</v>
      </c>
    </row>
    <row r="1200">
      <c r="A1200" s="39" t="s">
        <v>252</v>
      </c>
      <c r="B1200" s="40">
        <v>1872001.0</v>
      </c>
      <c r="C1200" s="40">
        <v>0.0</v>
      </c>
      <c r="D1200" s="41">
        <v>45968.47086511574</v>
      </c>
    </row>
    <row r="1201">
      <c r="A1201" s="39" t="s">
        <v>252</v>
      </c>
      <c r="B1201" s="40">
        <v>1872002.0</v>
      </c>
      <c r="C1201" s="40">
        <v>0.0</v>
      </c>
      <c r="D1201" s="41">
        <v>45968.470867627315</v>
      </c>
    </row>
    <row r="1202">
      <c r="A1202" s="39" t="s">
        <v>252</v>
      </c>
      <c r="B1202" s="40">
        <v>1872003.0</v>
      </c>
      <c r="C1202" s="40">
        <v>0.0</v>
      </c>
      <c r="D1202" s="41">
        <v>45968.470870219906</v>
      </c>
    </row>
    <row r="1203">
      <c r="A1203" s="39" t="s">
        <v>252</v>
      </c>
      <c r="B1203" s="40">
        <v>1872011.0</v>
      </c>
      <c r="C1203" s="40">
        <v>0.0</v>
      </c>
      <c r="D1203" s="41">
        <v>45968.47087268518</v>
      </c>
    </row>
    <row r="1204">
      <c r="A1204" s="39" t="s">
        <v>252</v>
      </c>
      <c r="B1204" s="40">
        <v>1872014.0</v>
      </c>
      <c r="C1204" s="40">
        <v>0.0</v>
      </c>
      <c r="D1204" s="41">
        <v>45968.47087665509</v>
      </c>
    </row>
    <row r="1205">
      <c r="A1205" s="39" t="s">
        <v>252</v>
      </c>
      <c r="B1205" s="40">
        <v>1879211.0</v>
      </c>
      <c r="C1205" s="40">
        <v>0.0</v>
      </c>
      <c r="D1205" s="41">
        <v>45969.71765878472</v>
      </c>
    </row>
    <row r="1206">
      <c r="A1206" s="39" t="s">
        <v>252</v>
      </c>
      <c r="B1206" s="40">
        <v>1879212.0</v>
      </c>
      <c r="C1206" s="40">
        <v>0.0</v>
      </c>
      <c r="D1206" s="41">
        <v>45969.71766096065</v>
      </c>
    </row>
    <row r="1207">
      <c r="A1207" s="39" t="s">
        <v>252</v>
      </c>
      <c r="B1207" s="40">
        <v>1879213.0</v>
      </c>
      <c r="C1207" s="40">
        <v>0.0</v>
      </c>
      <c r="D1207" s="41">
        <v>45969.71766510417</v>
      </c>
    </row>
    <row r="1208">
      <c r="A1208" s="39" t="s">
        <v>252</v>
      </c>
      <c r="B1208" s="40">
        <v>1879214.0</v>
      </c>
      <c r="C1208" s="40">
        <v>0.0</v>
      </c>
      <c r="D1208" s="41">
        <v>45969.71767233797</v>
      </c>
    </row>
    <row r="1209">
      <c r="A1209" s="39" t="s">
        <v>252</v>
      </c>
      <c r="B1209" s="40">
        <v>1879215.0</v>
      </c>
      <c r="C1209" s="40">
        <v>0.0</v>
      </c>
      <c r="D1209" s="41">
        <v>45969.717674803236</v>
      </c>
    </row>
    <row r="1210">
      <c r="A1210" s="39" t="s">
        <v>252</v>
      </c>
      <c r="B1210" s="40">
        <v>1892322.0</v>
      </c>
      <c r="C1210" s="40">
        <v>0.0</v>
      </c>
      <c r="D1210" s="41">
        <v>45976.714386064814</v>
      </c>
    </row>
    <row r="1211">
      <c r="A1211" s="39" t="s">
        <v>252</v>
      </c>
      <c r="B1211" s="40">
        <v>1892323.0</v>
      </c>
      <c r="C1211" s="40">
        <v>0.0</v>
      </c>
      <c r="D1211" s="41">
        <v>45976.714403668986</v>
      </c>
    </row>
    <row r="1212">
      <c r="A1212" s="39" t="s">
        <v>252</v>
      </c>
      <c r="B1212" s="40">
        <v>1892324.0</v>
      </c>
      <c r="C1212" s="40">
        <v>0.0</v>
      </c>
      <c r="D1212" s="41">
        <v>45976.7144053125</v>
      </c>
    </row>
    <row r="1213">
      <c r="A1213" s="39" t="s">
        <v>252</v>
      </c>
      <c r="B1213" s="40">
        <v>1892325.0</v>
      </c>
      <c r="C1213" s="40">
        <v>0.0</v>
      </c>
      <c r="D1213" s="41">
        <v>45976.714411180554</v>
      </c>
    </row>
    <row r="1214">
      <c r="A1214" s="39" t="s">
        <v>252</v>
      </c>
      <c r="B1214" s="40">
        <v>1892326.0</v>
      </c>
      <c r="C1214" s="40">
        <v>0.0</v>
      </c>
      <c r="D1214" s="41">
        <v>45976.714412870366</v>
      </c>
    </row>
    <row r="1215">
      <c r="A1215" s="39" t="s">
        <v>252</v>
      </c>
      <c r="B1215" s="40">
        <v>1901634.0</v>
      </c>
      <c r="C1215" s="40">
        <v>11.0</v>
      </c>
      <c r="D1215" s="41">
        <v>45994.29775486111</v>
      </c>
    </row>
    <row r="1216">
      <c r="A1216" s="39" t="s">
        <v>252</v>
      </c>
      <c r="B1216" s="40">
        <v>1905196.0</v>
      </c>
      <c r="C1216" s="40">
        <v>10.0</v>
      </c>
      <c r="D1216" s="41">
        <v>46003.52135387731</v>
      </c>
    </row>
    <row r="1217">
      <c r="A1217" s="39" t="s">
        <v>252</v>
      </c>
      <c r="B1217" s="40">
        <v>1905197.0</v>
      </c>
      <c r="C1217" s="40">
        <v>0.0</v>
      </c>
      <c r="D1217" s="41">
        <v>45997.71576688657</v>
      </c>
    </row>
    <row r="1218">
      <c r="A1218" s="39" t="s">
        <v>252</v>
      </c>
      <c r="B1218" s="40">
        <v>1905198.0</v>
      </c>
      <c r="C1218" s="40">
        <v>0.0</v>
      </c>
      <c r="D1218" s="41">
        <v>45997.715783472224</v>
      </c>
    </row>
    <row r="1219">
      <c r="A1219" s="39" t="s">
        <v>252</v>
      </c>
      <c r="B1219" s="40">
        <v>1905201.0</v>
      </c>
      <c r="C1219" s="40">
        <v>0.0</v>
      </c>
      <c r="D1219" s="41">
        <v>45997.71578722222</v>
      </c>
    </row>
    <row r="1220">
      <c r="A1220" s="39" t="s">
        <v>252</v>
      </c>
      <c r="B1220" s="40">
        <v>1905206.0</v>
      </c>
      <c r="C1220" s="40">
        <v>0.0</v>
      </c>
      <c r="D1220" s="41">
        <v>45997.71579403935</v>
      </c>
    </row>
    <row r="1221">
      <c r="A1221" s="39" t="s">
        <v>252</v>
      </c>
      <c r="B1221" s="40">
        <v>1909202.0</v>
      </c>
      <c r="C1221" s="40">
        <v>8.0</v>
      </c>
      <c r="D1221" s="41">
        <v>46003.52135387731</v>
      </c>
    </row>
    <row r="1222">
      <c r="A1222" s="39" t="s">
        <v>252</v>
      </c>
      <c r="B1222" s="40">
        <v>1909203.0</v>
      </c>
      <c r="C1222" s="40">
        <v>0.0</v>
      </c>
      <c r="D1222" s="41">
        <v>46001.338864791665</v>
      </c>
    </row>
    <row r="1223">
      <c r="A1223" s="39" t="s">
        <v>253</v>
      </c>
      <c r="B1223" s="40">
        <v>1871474.0</v>
      </c>
      <c r="C1223" s="40">
        <v>10.0</v>
      </c>
      <c r="D1223" s="41">
        <v>45968.4708791088</v>
      </c>
    </row>
    <row r="1224">
      <c r="A1224" s="39" t="s">
        <v>253</v>
      </c>
      <c r="B1224" s="40">
        <v>1871475.0</v>
      </c>
      <c r="C1224" s="40">
        <v>0.0</v>
      </c>
      <c r="D1224" s="41">
        <v>45968.47088162037</v>
      </c>
    </row>
    <row r="1225">
      <c r="A1225" s="39" t="s">
        <v>253</v>
      </c>
      <c r="B1225" s="40">
        <v>1871478.0</v>
      </c>
      <c r="C1225" s="40">
        <v>20.0</v>
      </c>
      <c r="D1225" s="41">
        <v>45968.47088969908</v>
      </c>
    </row>
    <row r="1226">
      <c r="A1226" s="39" t="s">
        <v>253</v>
      </c>
      <c r="B1226" s="40">
        <v>1872001.0</v>
      </c>
      <c r="C1226" s="40">
        <v>0.0</v>
      </c>
      <c r="D1226" s="41">
        <v>45994.297764745366</v>
      </c>
    </row>
    <row r="1227">
      <c r="A1227" s="39" t="s">
        <v>253</v>
      </c>
      <c r="B1227" s="40">
        <v>1872002.0</v>
      </c>
      <c r="C1227" s="40">
        <v>11.0</v>
      </c>
      <c r="D1227" s="41">
        <v>45978.56641225694</v>
      </c>
    </row>
    <row r="1228">
      <c r="A1228" s="39" t="s">
        <v>253</v>
      </c>
      <c r="B1228" s="40">
        <v>1872003.0</v>
      </c>
      <c r="C1228" s="40">
        <v>17.0</v>
      </c>
      <c r="D1228" s="41">
        <v>45978.57677398148</v>
      </c>
    </row>
    <row r="1229">
      <c r="A1229" s="39" t="s">
        <v>253</v>
      </c>
      <c r="B1229" s="40">
        <v>1872011.0</v>
      </c>
      <c r="C1229" s="40">
        <v>9.0</v>
      </c>
      <c r="D1229" s="41">
        <v>45978.587222581016</v>
      </c>
    </row>
    <row r="1230">
      <c r="A1230" s="39" t="s">
        <v>253</v>
      </c>
      <c r="B1230" s="40">
        <v>1872014.0</v>
      </c>
      <c r="C1230" s="40">
        <v>10.0</v>
      </c>
      <c r="D1230" s="41">
        <v>45978.6289099537</v>
      </c>
    </row>
    <row r="1231">
      <c r="A1231" s="39" t="s">
        <v>253</v>
      </c>
      <c r="B1231" s="40">
        <v>1879211.0</v>
      </c>
      <c r="C1231" s="40">
        <v>10.0</v>
      </c>
      <c r="D1231" s="41">
        <v>45978.62891347222</v>
      </c>
    </row>
    <row r="1232">
      <c r="A1232" s="39" t="s">
        <v>253</v>
      </c>
      <c r="B1232" s="40">
        <v>1879212.0</v>
      </c>
      <c r="C1232" s="40">
        <v>17.0</v>
      </c>
      <c r="D1232" s="41">
        <v>45979.4940077662</v>
      </c>
    </row>
    <row r="1233">
      <c r="A1233" s="39" t="s">
        <v>253</v>
      </c>
      <c r="B1233" s="40">
        <v>1879215.0</v>
      </c>
      <c r="C1233" s="40">
        <v>14.0</v>
      </c>
      <c r="D1233" s="41">
        <v>45979.49401921296</v>
      </c>
    </row>
    <row r="1234">
      <c r="A1234" s="39" t="s">
        <v>253</v>
      </c>
      <c r="B1234" s="40">
        <v>1892322.0</v>
      </c>
      <c r="C1234" s="40">
        <v>4.0</v>
      </c>
      <c r="D1234" s="41">
        <v>45979.5043641088</v>
      </c>
    </row>
    <row r="1235">
      <c r="A1235" s="39" t="s">
        <v>253</v>
      </c>
      <c r="B1235" s="40">
        <v>1892323.0</v>
      </c>
      <c r="C1235" s="40">
        <v>12.0</v>
      </c>
      <c r="D1235" s="41">
        <v>45979.51484487268</v>
      </c>
    </row>
    <row r="1236">
      <c r="A1236" s="39" t="s">
        <v>253</v>
      </c>
      <c r="B1236" s="40">
        <v>1892324.0</v>
      </c>
      <c r="C1236" s="40">
        <v>4.0</v>
      </c>
      <c r="D1236" s="41">
        <v>45975.412229062495</v>
      </c>
    </row>
    <row r="1237">
      <c r="A1237" s="39" t="s">
        <v>253</v>
      </c>
      <c r="B1237" s="40">
        <v>1892325.0</v>
      </c>
      <c r="C1237" s="40">
        <v>4.0</v>
      </c>
      <c r="D1237" s="41">
        <v>45982.483346504625</v>
      </c>
    </row>
    <row r="1238">
      <c r="A1238" s="39" t="s">
        <v>253</v>
      </c>
      <c r="B1238" s="40">
        <v>1892326.0</v>
      </c>
      <c r="C1238" s="40">
        <v>7.0</v>
      </c>
      <c r="D1238" s="41">
        <v>45986.50426097222</v>
      </c>
    </row>
    <row r="1239">
      <c r="A1239" s="39" t="s">
        <v>253</v>
      </c>
      <c r="B1239" s="40">
        <v>1901634.0</v>
      </c>
      <c r="C1239" s="40">
        <v>6.0</v>
      </c>
      <c r="D1239" s="41">
        <v>45994.297775150466</v>
      </c>
    </row>
    <row r="1240">
      <c r="A1240" s="39" t="s">
        <v>253</v>
      </c>
      <c r="B1240" s="40">
        <v>1905196.0</v>
      </c>
      <c r="C1240" s="40">
        <v>9.0</v>
      </c>
      <c r="D1240" s="41">
        <v>46003.52135387731</v>
      </c>
    </row>
    <row r="1241">
      <c r="A1241" s="39" t="s">
        <v>253</v>
      </c>
      <c r="B1241" s="40">
        <v>1905197.0</v>
      </c>
      <c r="C1241" s="40">
        <v>10.0</v>
      </c>
      <c r="D1241" s="41">
        <v>45998.714297812505</v>
      </c>
    </row>
    <row r="1242">
      <c r="A1242" s="39" t="s">
        <v>253</v>
      </c>
      <c r="B1242" s="40">
        <v>1905198.0</v>
      </c>
      <c r="C1242" s="40">
        <v>0.0</v>
      </c>
      <c r="D1242" s="41">
        <v>45997.715819537036</v>
      </c>
    </row>
    <row r="1243">
      <c r="A1243" s="39" t="s">
        <v>253</v>
      </c>
      <c r="B1243" s="40">
        <v>1905201.0</v>
      </c>
      <c r="C1243" s="40">
        <v>0.0</v>
      </c>
      <c r="D1243" s="41">
        <v>45997.715823136576</v>
      </c>
    </row>
    <row r="1244">
      <c r="A1244" s="39" t="s">
        <v>253</v>
      </c>
      <c r="B1244" s="40">
        <v>1905206.0</v>
      </c>
      <c r="C1244" s="40">
        <v>0.0</v>
      </c>
      <c r="D1244" s="41">
        <v>45997.715827719905</v>
      </c>
    </row>
    <row r="1245">
      <c r="A1245" s="39" t="s">
        <v>253</v>
      </c>
      <c r="B1245" s="40">
        <v>1909202.0</v>
      </c>
      <c r="C1245" s="40">
        <v>9.0</v>
      </c>
      <c r="D1245" s="41">
        <v>46003.52135387731</v>
      </c>
    </row>
    <row r="1246">
      <c r="A1246" s="39" t="s">
        <v>206</v>
      </c>
      <c r="B1246" s="40">
        <v>1871476.0</v>
      </c>
      <c r="C1246" s="40">
        <v>20.0</v>
      </c>
      <c r="D1246" s="41">
        <v>46003.52670998842</v>
      </c>
    </row>
    <row r="1247">
      <c r="A1247" s="39" t="s">
        <v>206</v>
      </c>
      <c r="B1247" s="40">
        <v>1871477.0</v>
      </c>
      <c r="C1247" s="40">
        <v>20.0</v>
      </c>
      <c r="D1247" s="41">
        <v>46003.52670998842</v>
      </c>
    </row>
    <row r="1248">
      <c r="A1248" s="39" t="s">
        <v>206</v>
      </c>
      <c r="B1248" s="40">
        <v>1879213.0</v>
      </c>
      <c r="C1248" s="40">
        <v>20.0</v>
      </c>
      <c r="D1248" s="41">
        <v>46003.52670998842</v>
      </c>
    </row>
    <row r="1249">
      <c r="A1249" s="39" t="s">
        <v>206</v>
      </c>
      <c r="B1249" s="40">
        <v>1879214.0</v>
      </c>
      <c r="C1249" s="40">
        <v>20.0</v>
      </c>
      <c r="D1249" s="41">
        <v>46003.52670998842</v>
      </c>
    </row>
    <row r="1250">
      <c r="A1250" s="39" t="s">
        <v>206</v>
      </c>
      <c r="B1250" s="40">
        <v>1892322.0</v>
      </c>
      <c r="C1250" s="40">
        <v>10.0</v>
      </c>
      <c r="D1250" s="41">
        <v>46003.52670998842</v>
      </c>
    </row>
    <row r="1251">
      <c r="A1251" s="39" t="s">
        <v>206</v>
      </c>
      <c r="B1251" s="40">
        <v>1892323.0</v>
      </c>
      <c r="C1251" s="40">
        <v>20.0</v>
      </c>
      <c r="D1251" s="41">
        <v>46003.52670998842</v>
      </c>
    </row>
    <row r="1252">
      <c r="A1252" s="39" t="s">
        <v>207</v>
      </c>
      <c r="B1252" s="40">
        <v>1892322.0</v>
      </c>
      <c r="C1252" s="40">
        <v>10.0</v>
      </c>
      <c r="D1252" s="41">
        <v>46003.52670998842</v>
      </c>
    </row>
    <row r="1253">
      <c r="A1253" s="39" t="s">
        <v>209</v>
      </c>
      <c r="B1253" s="40">
        <v>1879213.0</v>
      </c>
      <c r="C1253" s="40">
        <v>20.0</v>
      </c>
      <c r="D1253" s="41">
        <v>46003.52670998842</v>
      </c>
    </row>
    <row r="1254">
      <c r="A1254" s="39" t="s">
        <v>209</v>
      </c>
      <c r="B1254" s="40">
        <v>1879214.0</v>
      </c>
      <c r="C1254" s="40">
        <v>20.0</v>
      </c>
      <c r="D1254" s="41">
        <v>46003.52670998842</v>
      </c>
    </row>
    <row r="1255">
      <c r="A1255" s="39" t="s">
        <v>209</v>
      </c>
      <c r="B1255" s="40">
        <v>1892322.0</v>
      </c>
      <c r="C1255" s="40">
        <v>10.0</v>
      </c>
      <c r="D1255" s="41">
        <v>46003.52670998842</v>
      </c>
    </row>
    <row r="1256">
      <c r="A1256" s="39" t="s">
        <v>209</v>
      </c>
      <c r="B1256" s="40">
        <v>1892323.0</v>
      </c>
      <c r="C1256" s="40">
        <v>20.0</v>
      </c>
      <c r="D1256" s="41">
        <v>46003.52670998842</v>
      </c>
    </row>
    <row r="1257">
      <c r="A1257" s="39" t="s">
        <v>210</v>
      </c>
      <c r="B1257" s="40">
        <v>1871476.0</v>
      </c>
      <c r="C1257" s="40">
        <v>20.0</v>
      </c>
      <c r="D1257" s="41">
        <v>46003.52670998842</v>
      </c>
    </row>
    <row r="1258">
      <c r="A1258" s="39" t="s">
        <v>211</v>
      </c>
      <c r="B1258" s="40">
        <v>1871476.0</v>
      </c>
      <c r="C1258" s="40">
        <v>20.0</v>
      </c>
      <c r="D1258" s="41">
        <v>46003.52670998842</v>
      </c>
    </row>
    <row r="1259">
      <c r="A1259" s="39" t="s">
        <v>211</v>
      </c>
      <c r="B1259" s="40">
        <v>1879213.0</v>
      </c>
      <c r="C1259" s="40">
        <v>20.0</v>
      </c>
      <c r="D1259" s="41">
        <v>46003.52670998842</v>
      </c>
    </row>
    <row r="1260">
      <c r="A1260" s="39" t="s">
        <v>211</v>
      </c>
      <c r="B1260" s="40">
        <v>1892322.0</v>
      </c>
      <c r="C1260" s="40">
        <v>10.0</v>
      </c>
      <c r="D1260" s="41">
        <v>46003.52670998842</v>
      </c>
    </row>
    <row r="1261">
      <c r="A1261" s="39" t="s">
        <v>216</v>
      </c>
      <c r="B1261" s="40">
        <v>1879213.0</v>
      </c>
      <c r="C1261" s="40">
        <v>20.0</v>
      </c>
      <c r="D1261" s="41">
        <v>46003.52670998842</v>
      </c>
    </row>
    <row r="1262">
      <c r="A1262" s="39" t="s">
        <v>216</v>
      </c>
      <c r="B1262" s="40">
        <v>1879214.0</v>
      </c>
      <c r="C1262" s="40">
        <v>20.0</v>
      </c>
      <c r="D1262" s="41">
        <v>46003.52670998842</v>
      </c>
    </row>
    <row r="1263">
      <c r="A1263" s="39" t="s">
        <v>216</v>
      </c>
      <c r="B1263" s="40">
        <v>1892322.0</v>
      </c>
      <c r="C1263" s="40">
        <v>10.0</v>
      </c>
      <c r="D1263" s="41">
        <v>46003.52670998842</v>
      </c>
    </row>
    <row r="1264">
      <c r="A1264" s="39" t="s">
        <v>220</v>
      </c>
      <c r="B1264" s="40">
        <v>1871476.0</v>
      </c>
      <c r="C1264" s="40">
        <v>20.0</v>
      </c>
      <c r="D1264" s="41">
        <v>46003.52670998842</v>
      </c>
    </row>
    <row r="1265">
      <c r="A1265" s="39" t="s">
        <v>221</v>
      </c>
      <c r="B1265" s="40">
        <v>1892322.0</v>
      </c>
      <c r="C1265" s="40">
        <v>10.0</v>
      </c>
      <c r="D1265" s="41">
        <v>46003.52670998842</v>
      </c>
    </row>
    <row r="1266">
      <c r="A1266" s="39" t="s">
        <v>222</v>
      </c>
      <c r="B1266" s="40">
        <v>1871476.0</v>
      </c>
      <c r="C1266" s="40">
        <v>20.0</v>
      </c>
      <c r="D1266" s="41">
        <v>46003.52670998842</v>
      </c>
    </row>
    <row r="1267">
      <c r="A1267" s="39" t="s">
        <v>224</v>
      </c>
      <c r="B1267" s="40">
        <v>1871476.0</v>
      </c>
      <c r="C1267" s="40">
        <v>20.0</v>
      </c>
      <c r="D1267" s="41">
        <v>46003.52670998842</v>
      </c>
    </row>
    <row r="1268">
      <c r="A1268" s="39" t="s">
        <v>224</v>
      </c>
      <c r="B1268" s="40">
        <v>1892322.0</v>
      </c>
      <c r="C1268" s="40">
        <v>10.0</v>
      </c>
      <c r="D1268" s="41">
        <v>46003.52670998842</v>
      </c>
    </row>
    <row r="1269">
      <c r="A1269" s="39" t="s">
        <v>226</v>
      </c>
      <c r="B1269" s="40">
        <v>1871476.0</v>
      </c>
      <c r="C1269" s="40">
        <v>20.0</v>
      </c>
      <c r="D1269" s="41">
        <v>46003.52670998842</v>
      </c>
    </row>
    <row r="1270">
      <c r="A1270" s="39" t="s">
        <v>226</v>
      </c>
      <c r="B1270" s="40">
        <v>1871477.0</v>
      </c>
      <c r="C1270" s="40">
        <v>20.0</v>
      </c>
      <c r="D1270" s="41">
        <v>46003.52670998842</v>
      </c>
    </row>
    <row r="1271">
      <c r="A1271" s="39" t="s">
        <v>228</v>
      </c>
      <c r="B1271" s="40">
        <v>1871476.0</v>
      </c>
      <c r="C1271" s="40">
        <v>20.0</v>
      </c>
      <c r="D1271" s="41">
        <v>46003.52670998842</v>
      </c>
    </row>
    <row r="1272">
      <c r="A1272" s="39" t="s">
        <v>229</v>
      </c>
      <c r="B1272" s="40">
        <v>1871476.0</v>
      </c>
      <c r="C1272" s="40">
        <v>20.0</v>
      </c>
      <c r="D1272" s="41">
        <v>46003.52670998842</v>
      </c>
    </row>
    <row r="1273">
      <c r="A1273" s="39" t="s">
        <v>230</v>
      </c>
      <c r="B1273" s="40">
        <v>1871476.0</v>
      </c>
      <c r="C1273" s="40">
        <v>20.0</v>
      </c>
      <c r="D1273" s="41">
        <v>46003.52670998842</v>
      </c>
    </row>
    <row r="1274">
      <c r="A1274" s="39" t="s">
        <v>230</v>
      </c>
      <c r="B1274" s="40">
        <v>1871477.0</v>
      </c>
      <c r="C1274" s="40">
        <v>20.0</v>
      </c>
      <c r="D1274" s="41">
        <v>46003.52670998842</v>
      </c>
    </row>
    <row r="1275">
      <c r="A1275" s="39" t="s">
        <v>231</v>
      </c>
      <c r="B1275" s="40">
        <v>1871476.0</v>
      </c>
      <c r="C1275" s="40">
        <v>20.0</v>
      </c>
      <c r="D1275" s="41">
        <v>46003.52670998842</v>
      </c>
    </row>
    <row r="1276">
      <c r="A1276" s="39" t="s">
        <v>232</v>
      </c>
      <c r="B1276" s="40">
        <v>1892322.0</v>
      </c>
      <c r="C1276" s="40">
        <v>10.0</v>
      </c>
      <c r="D1276" s="41">
        <v>46003.52670998842</v>
      </c>
    </row>
    <row r="1277">
      <c r="A1277" s="39" t="s">
        <v>238</v>
      </c>
      <c r="B1277" s="40">
        <v>1892322.0</v>
      </c>
      <c r="C1277" s="40">
        <v>10.0</v>
      </c>
      <c r="D1277" s="41">
        <v>46003.52670998842</v>
      </c>
    </row>
    <row r="1278">
      <c r="A1278" s="39" t="s">
        <v>240</v>
      </c>
      <c r="B1278" s="40">
        <v>1871476.0</v>
      </c>
      <c r="C1278" s="40">
        <v>20.0</v>
      </c>
      <c r="D1278" s="41">
        <v>46003.52670998842</v>
      </c>
    </row>
    <row r="1279">
      <c r="A1279" s="39" t="s">
        <v>240</v>
      </c>
      <c r="B1279" s="40">
        <v>1872011.0</v>
      </c>
      <c r="C1279" s="40">
        <v>20.0</v>
      </c>
      <c r="D1279" s="41">
        <v>46003.52670998842</v>
      </c>
    </row>
    <row r="1280">
      <c r="A1280" s="39" t="s">
        <v>240</v>
      </c>
      <c r="B1280" s="40">
        <v>1892322.0</v>
      </c>
      <c r="C1280" s="40">
        <v>10.0</v>
      </c>
      <c r="D1280" s="41">
        <v>46003.52670998842</v>
      </c>
    </row>
    <row r="1281">
      <c r="A1281" s="39" t="s">
        <v>245</v>
      </c>
      <c r="B1281" s="40">
        <v>1892322.0</v>
      </c>
      <c r="C1281" s="40">
        <v>10.0</v>
      </c>
      <c r="D1281" s="41">
        <v>46003.52670998842</v>
      </c>
    </row>
    <row r="1282">
      <c r="A1282" s="39" t="s">
        <v>248</v>
      </c>
      <c r="B1282" s="40">
        <v>1871476.0</v>
      </c>
      <c r="C1282" s="40">
        <v>20.0</v>
      </c>
      <c r="D1282" s="41">
        <v>46003.52670998842</v>
      </c>
    </row>
    <row r="1283">
      <c r="A1283" s="39" t="s">
        <v>248</v>
      </c>
      <c r="B1283" s="40">
        <v>1892322.0</v>
      </c>
      <c r="C1283" s="40">
        <v>10.0</v>
      </c>
      <c r="D1283" s="41">
        <v>46003.52670998842</v>
      </c>
    </row>
    <row r="1284">
      <c r="A1284" s="39" t="s">
        <v>249</v>
      </c>
      <c r="B1284" s="40">
        <v>1871476.0</v>
      </c>
      <c r="C1284" s="40">
        <v>20.0</v>
      </c>
      <c r="D1284" s="41">
        <v>46003.52670998842</v>
      </c>
    </row>
    <row r="1285">
      <c r="A1285" s="39" t="s">
        <v>250</v>
      </c>
      <c r="B1285" s="40">
        <v>1892322.0</v>
      </c>
      <c r="C1285" s="40">
        <v>10.0</v>
      </c>
      <c r="D1285" s="41">
        <v>46003.52670998842</v>
      </c>
    </row>
    <row r="1286">
      <c r="A1286" s="39" t="s">
        <v>251</v>
      </c>
      <c r="B1286" s="40">
        <v>1871476.0</v>
      </c>
      <c r="C1286" s="40">
        <v>20.0</v>
      </c>
      <c r="D1286" s="41">
        <v>46003.52670998842</v>
      </c>
    </row>
    <row r="1287">
      <c r="A1287" s="39" t="s">
        <v>251</v>
      </c>
      <c r="B1287" s="40">
        <v>1879214.0</v>
      </c>
      <c r="C1287" s="40">
        <v>20.0</v>
      </c>
      <c r="D1287" s="41">
        <v>46003.52670998842</v>
      </c>
    </row>
    <row r="1288">
      <c r="A1288" s="39" t="s">
        <v>252</v>
      </c>
      <c r="B1288" s="40">
        <v>1871476.0</v>
      </c>
      <c r="C1288" s="40">
        <v>20.0</v>
      </c>
      <c r="D1288" s="41">
        <v>46003.52670998842</v>
      </c>
    </row>
    <row r="1289">
      <c r="A1289" s="39" t="s">
        <v>253</v>
      </c>
      <c r="B1289" s="40">
        <v>1871476.0</v>
      </c>
      <c r="C1289" s="40">
        <v>20.0</v>
      </c>
      <c r="D1289" s="41">
        <v>46003.52670998842</v>
      </c>
    </row>
    <row r="1290">
      <c r="A1290" s="39" t="s">
        <v>253</v>
      </c>
      <c r="B1290" s="40">
        <v>1871477.0</v>
      </c>
      <c r="C1290" s="40">
        <v>20.0</v>
      </c>
      <c r="D1290" s="41">
        <v>46003.52670998842</v>
      </c>
    </row>
    <row r="1291">
      <c r="A1291" s="39" t="s">
        <v>253</v>
      </c>
      <c r="B1291" s="40">
        <v>1879213.0</v>
      </c>
      <c r="C1291" s="40">
        <v>20.0</v>
      </c>
      <c r="D1291" s="41">
        <v>46003.52670998842</v>
      </c>
    </row>
    <row r="1292">
      <c r="A1292" s="39" t="s">
        <v>253</v>
      </c>
      <c r="B1292" s="40">
        <v>1879214.0</v>
      </c>
      <c r="C1292" s="40">
        <v>20.0</v>
      </c>
      <c r="D1292" s="41">
        <v>46003.52670998842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202</v>
      </c>
      <c r="B1" s="39" t="s">
        <v>203</v>
      </c>
      <c r="C1" s="39" t="s">
        <v>204</v>
      </c>
      <c r="D1" s="39" t="s">
        <v>205</v>
      </c>
    </row>
    <row r="2">
      <c r="A2" s="39" t="s">
        <v>254</v>
      </c>
      <c r="B2" s="40">
        <v>1871498.0</v>
      </c>
      <c r="C2" s="40">
        <v>10.0</v>
      </c>
      <c r="D2" s="41">
        <v>45968.4831968287</v>
      </c>
    </row>
    <row r="3">
      <c r="A3" s="39" t="s">
        <v>254</v>
      </c>
      <c r="B3" s="40">
        <v>1871500.0</v>
      </c>
      <c r="C3" s="40">
        <v>5.0</v>
      </c>
      <c r="D3" s="41">
        <v>45979.43136353009</v>
      </c>
    </row>
    <row r="4">
      <c r="A4" s="39" t="s">
        <v>254</v>
      </c>
      <c r="B4" s="40">
        <v>1871501.0</v>
      </c>
      <c r="C4" s="40">
        <v>0.0</v>
      </c>
      <c r="D4" s="41">
        <v>45968.48320162037</v>
      </c>
    </row>
    <row r="5">
      <c r="A5" s="39" t="s">
        <v>254</v>
      </c>
      <c r="B5" s="40">
        <v>1871522.0</v>
      </c>
      <c r="C5" s="40">
        <v>0.0</v>
      </c>
      <c r="D5" s="41">
        <v>45968.483203923606</v>
      </c>
    </row>
    <row r="6">
      <c r="A6" s="39" t="s">
        <v>254</v>
      </c>
      <c r="B6" s="40">
        <v>1871525.0</v>
      </c>
      <c r="C6" s="40">
        <v>0.0</v>
      </c>
      <c r="D6" s="41">
        <v>45968.483206273144</v>
      </c>
    </row>
    <row r="7">
      <c r="A7" s="39" t="s">
        <v>254</v>
      </c>
      <c r="B7" s="40">
        <v>1873080.0</v>
      </c>
      <c r="C7" s="40">
        <v>10.0</v>
      </c>
      <c r="D7" s="41">
        <v>45968.48320884259</v>
      </c>
    </row>
    <row r="8">
      <c r="A8" s="39" t="s">
        <v>254</v>
      </c>
      <c r="B8" s="40">
        <v>1873081.0</v>
      </c>
      <c r="C8" s="40">
        <v>0.0</v>
      </c>
      <c r="D8" s="41">
        <v>45968.48321125</v>
      </c>
    </row>
    <row r="9">
      <c r="A9" s="39" t="s">
        <v>254</v>
      </c>
      <c r="B9" s="40">
        <v>1873082.0</v>
      </c>
      <c r="C9" s="40">
        <v>0.0</v>
      </c>
      <c r="D9" s="41">
        <v>45968.48322085648</v>
      </c>
    </row>
    <row r="10">
      <c r="A10" s="39" t="s">
        <v>254</v>
      </c>
      <c r="B10" s="40">
        <v>1873083.0</v>
      </c>
      <c r="C10" s="40">
        <v>0.0</v>
      </c>
      <c r="D10" s="41">
        <v>45968.48323729167</v>
      </c>
    </row>
    <row r="11">
      <c r="A11" s="39" t="s">
        <v>254</v>
      </c>
      <c r="B11" s="40">
        <v>1873084.0</v>
      </c>
      <c r="C11" s="40">
        <v>0.0</v>
      </c>
      <c r="D11" s="41">
        <v>45968.48323967593</v>
      </c>
    </row>
    <row r="12">
      <c r="A12" s="39" t="s">
        <v>254</v>
      </c>
      <c r="B12" s="40">
        <v>1880186.0</v>
      </c>
      <c r="C12" s="40">
        <v>0.0</v>
      </c>
      <c r="D12" s="41">
        <v>45969.720354791665</v>
      </c>
    </row>
    <row r="13">
      <c r="A13" s="39" t="s">
        <v>254</v>
      </c>
      <c r="B13" s="40">
        <v>1880188.0</v>
      </c>
      <c r="C13" s="40">
        <v>0.0</v>
      </c>
      <c r="D13" s="41">
        <v>45969.72035761574</v>
      </c>
    </row>
    <row r="14">
      <c r="A14" s="39" t="s">
        <v>254</v>
      </c>
      <c r="B14" s="40">
        <v>1880189.0</v>
      </c>
      <c r="C14" s="40">
        <v>0.0</v>
      </c>
      <c r="D14" s="41">
        <v>45969.720359803236</v>
      </c>
    </row>
    <row r="15">
      <c r="A15" s="39" t="s">
        <v>254</v>
      </c>
      <c r="B15" s="40">
        <v>1880191.0</v>
      </c>
      <c r="C15" s="40">
        <v>0.0</v>
      </c>
      <c r="D15" s="41">
        <v>45969.72036208333</v>
      </c>
    </row>
    <row r="16">
      <c r="A16" s="39" t="s">
        <v>254</v>
      </c>
      <c r="B16" s="40">
        <v>1880677.0</v>
      </c>
      <c r="C16" s="40">
        <v>0.0</v>
      </c>
      <c r="D16" s="41">
        <v>45969.72036569445</v>
      </c>
    </row>
    <row r="17">
      <c r="A17" s="39" t="s">
        <v>254</v>
      </c>
      <c r="B17" s="40">
        <v>1892424.0</v>
      </c>
      <c r="C17" s="40">
        <v>0.0</v>
      </c>
      <c r="D17" s="41">
        <v>45972.374099699075</v>
      </c>
    </row>
    <row r="18">
      <c r="A18" s="39" t="s">
        <v>254</v>
      </c>
      <c r="B18" s="40">
        <v>1892425.0</v>
      </c>
      <c r="C18" s="40">
        <v>0.0</v>
      </c>
      <c r="D18" s="41">
        <v>45976.716167604165</v>
      </c>
    </row>
    <row r="19">
      <c r="A19" s="39" t="s">
        <v>254</v>
      </c>
      <c r="B19" s="40">
        <v>1892426.0</v>
      </c>
      <c r="C19" s="40">
        <v>0.0</v>
      </c>
      <c r="D19" s="41">
        <v>45976.71616940972</v>
      </c>
    </row>
    <row r="20">
      <c r="A20" s="39" t="s">
        <v>254</v>
      </c>
      <c r="B20" s="40">
        <v>1892427.0</v>
      </c>
      <c r="C20" s="40">
        <v>0.0</v>
      </c>
      <c r="D20" s="41">
        <v>45979.61970144676</v>
      </c>
    </row>
    <row r="21">
      <c r="A21" s="39" t="s">
        <v>254</v>
      </c>
      <c r="B21" s="40">
        <v>1892428.0</v>
      </c>
      <c r="C21" s="40">
        <v>0.0</v>
      </c>
      <c r="D21" s="41">
        <v>45976.716171238426</v>
      </c>
    </row>
    <row r="22">
      <c r="A22" s="39" t="s">
        <v>254</v>
      </c>
      <c r="B22" s="40">
        <v>1902189.0</v>
      </c>
      <c r="C22" s="40">
        <v>3.0</v>
      </c>
      <c r="D22" s="41">
        <v>45994.30010115741</v>
      </c>
    </row>
    <row r="23">
      <c r="A23" s="39" t="s">
        <v>254</v>
      </c>
      <c r="B23" s="40">
        <v>1905939.0</v>
      </c>
      <c r="C23" s="40">
        <v>0.0</v>
      </c>
      <c r="D23" s="41">
        <v>45997.71873</v>
      </c>
    </row>
    <row r="24">
      <c r="A24" s="39" t="s">
        <v>254</v>
      </c>
      <c r="B24" s="40">
        <v>1905940.0</v>
      </c>
      <c r="C24" s="40">
        <v>0.0</v>
      </c>
      <c r="D24" s="41">
        <v>45997.71873408565</v>
      </c>
    </row>
    <row r="25">
      <c r="A25" s="39" t="s">
        <v>254</v>
      </c>
      <c r="B25" s="40">
        <v>1905941.0</v>
      </c>
      <c r="C25" s="40">
        <v>0.0</v>
      </c>
      <c r="D25" s="41">
        <v>45997.718737476855</v>
      </c>
    </row>
    <row r="26">
      <c r="A26" s="39" t="s">
        <v>255</v>
      </c>
      <c r="B26" s="40">
        <v>1871498.0</v>
      </c>
      <c r="C26" s="40">
        <v>10.0</v>
      </c>
      <c r="D26" s="41">
        <v>45968.48324208333</v>
      </c>
    </row>
    <row r="27">
      <c r="A27" s="39" t="s">
        <v>255</v>
      </c>
      <c r="B27" s="40">
        <v>1871500.0</v>
      </c>
      <c r="C27" s="40">
        <v>0.0</v>
      </c>
      <c r="D27" s="41">
        <v>45968.48324497685</v>
      </c>
    </row>
    <row r="28">
      <c r="A28" s="39" t="s">
        <v>255</v>
      </c>
      <c r="B28" s="40">
        <v>1871501.0</v>
      </c>
      <c r="C28" s="40">
        <v>0.0</v>
      </c>
      <c r="D28" s="41">
        <v>45968.48325498843</v>
      </c>
    </row>
    <row r="29">
      <c r="A29" s="39" t="s">
        <v>255</v>
      </c>
      <c r="B29" s="40">
        <v>1871522.0</v>
      </c>
      <c r="C29" s="40">
        <v>0.0</v>
      </c>
      <c r="D29" s="41">
        <v>45968.48325752315</v>
      </c>
    </row>
    <row r="30">
      <c r="A30" s="39" t="s">
        <v>255</v>
      </c>
      <c r="B30" s="40">
        <v>1871525.0</v>
      </c>
      <c r="C30" s="40">
        <v>0.0</v>
      </c>
      <c r="D30" s="41">
        <v>45968.48326011574</v>
      </c>
    </row>
    <row r="31">
      <c r="A31" s="39" t="s">
        <v>255</v>
      </c>
      <c r="B31" s="40">
        <v>1873080.0</v>
      </c>
      <c r="C31" s="40">
        <v>0.0</v>
      </c>
      <c r="D31" s="41">
        <v>45968.48326262731</v>
      </c>
    </row>
    <row r="32">
      <c r="A32" s="39" t="s">
        <v>255</v>
      </c>
      <c r="B32" s="40">
        <v>1873081.0</v>
      </c>
      <c r="C32" s="40">
        <v>0.0</v>
      </c>
      <c r="D32" s="41">
        <v>45968.483265138886</v>
      </c>
    </row>
    <row r="33">
      <c r="A33" s="39" t="s">
        <v>255</v>
      </c>
      <c r="B33" s="40">
        <v>1873082.0</v>
      </c>
      <c r="C33" s="40">
        <v>0.0</v>
      </c>
      <c r="D33" s="41">
        <v>45968.48326789352</v>
      </c>
    </row>
    <row r="34">
      <c r="A34" s="39" t="s">
        <v>255</v>
      </c>
      <c r="B34" s="40">
        <v>1873083.0</v>
      </c>
      <c r="C34" s="40">
        <v>0.0</v>
      </c>
      <c r="D34" s="41">
        <v>45968.48327087963</v>
      </c>
    </row>
    <row r="35">
      <c r="A35" s="39" t="s">
        <v>255</v>
      </c>
      <c r="B35" s="40">
        <v>1873084.0</v>
      </c>
      <c r="C35" s="40">
        <v>0.0</v>
      </c>
      <c r="D35" s="41">
        <v>45968.48327420139</v>
      </c>
    </row>
    <row r="36">
      <c r="A36" s="39" t="s">
        <v>255</v>
      </c>
      <c r="B36" s="40">
        <v>1880186.0</v>
      </c>
      <c r="C36" s="40">
        <v>0.0</v>
      </c>
      <c r="D36" s="41">
        <v>45969.72036773148</v>
      </c>
    </row>
    <row r="37">
      <c r="A37" s="39" t="s">
        <v>255</v>
      </c>
      <c r="B37" s="40">
        <v>1880188.0</v>
      </c>
      <c r="C37" s="40">
        <v>0.0</v>
      </c>
      <c r="D37" s="41">
        <v>45969.72037108796</v>
      </c>
    </row>
    <row r="38">
      <c r="A38" s="39" t="s">
        <v>255</v>
      </c>
      <c r="B38" s="40">
        <v>1880189.0</v>
      </c>
      <c r="C38" s="40">
        <v>0.0</v>
      </c>
      <c r="D38" s="41">
        <v>45969.72037362268</v>
      </c>
    </row>
    <row r="39">
      <c r="A39" s="39" t="s">
        <v>255</v>
      </c>
      <c r="B39" s="40">
        <v>1880191.0</v>
      </c>
      <c r="C39" s="40">
        <v>0.0</v>
      </c>
      <c r="D39" s="41">
        <v>45969.720375833334</v>
      </c>
    </row>
    <row r="40">
      <c r="A40" s="39" t="s">
        <v>255</v>
      </c>
      <c r="B40" s="40">
        <v>1880677.0</v>
      </c>
      <c r="C40" s="40">
        <v>0.0</v>
      </c>
      <c r="D40" s="41">
        <v>45969.720377997684</v>
      </c>
    </row>
    <row r="41">
      <c r="A41" s="39" t="s">
        <v>255</v>
      </c>
      <c r="B41" s="40">
        <v>1892424.0</v>
      </c>
      <c r="C41" s="40">
        <v>0.0</v>
      </c>
      <c r="D41" s="41">
        <v>45972.37410170139</v>
      </c>
    </row>
    <row r="42">
      <c r="A42" s="39" t="s">
        <v>255</v>
      </c>
      <c r="B42" s="40">
        <v>1892425.0</v>
      </c>
      <c r="C42" s="40">
        <v>0.0</v>
      </c>
      <c r="D42" s="41">
        <v>45976.71617351852</v>
      </c>
    </row>
    <row r="43">
      <c r="A43" s="39" t="s">
        <v>255</v>
      </c>
      <c r="B43" s="40">
        <v>1892426.0</v>
      </c>
      <c r="C43" s="40">
        <v>0.0</v>
      </c>
      <c r="D43" s="41">
        <v>45976.71617591435</v>
      </c>
    </row>
    <row r="44">
      <c r="A44" s="39" t="s">
        <v>255</v>
      </c>
      <c r="B44" s="40">
        <v>1892427.0</v>
      </c>
      <c r="C44" s="40">
        <v>0.0</v>
      </c>
      <c r="D44" s="41">
        <v>45979.619704467594</v>
      </c>
    </row>
    <row r="45">
      <c r="A45" s="39" t="s">
        <v>255</v>
      </c>
      <c r="B45" s="40">
        <v>1892428.0</v>
      </c>
      <c r="C45" s="40">
        <v>0.0</v>
      </c>
      <c r="D45" s="41">
        <v>45976.71617773148</v>
      </c>
    </row>
    <row r="46">
      <c r="A46" s="39" t="s">
        <v>255</v>
      </c>
      <c r="B46" s="40">
        <v>1902189.0</v>
      </c>
      <c r="C46" s="40">
        <v>0.0</v>
      </c>
      <c r="D46" s="41">
        <v>45992.42371145834</v>
      </c>
    </row>
    <row r="47">
      <c r="A47" s="39" t="s">
        <v>255</v>
      </c>
      <c r="B47" s="40">
        <v>1905937.0</v>
      </c>
      <c r="C47" s="40">
        <v>0.0</v>
      </c>
      <c r="D47" s="41">
        <v>45997.71874107639</v>
      </c>
    </row>
    <row r="48">
      <c r="A48" s="39" t="s">
        <v>255</v>
      </c>
      <c r="B48" s="40">
        <v>1905938.0</v>
      </c>
      <c r="C48" s="40">
        <v>0.0</v>
      </c>
      <c r="D48" s="41">
        <v>45997.71879547454</v>
      </c>
    </row>
    <row r="49">
      <c r="A49" s="39" t="s">
        <v>255</v>
      </c>
      <c r="B49" s="40">
        <v>1905939.0</v>
      </c>
      <c r="C49" s="40">
        <v>0.0</v>
      </c>
      <c r="D49" s="41">
        <v>45997.71880171297</v>
      </c>
    </row>
    <row r="50">
      <c r="A50" s="39" t="s">
        <v>255</v>
      </c>
      <c r="B50" s="40">
        <v>1905940.0</v>
      </c>
      <c r="C50" s="40">
        <v>0.0</v>
      </c>
      <c r="D50" s="41">
        <v>45997.71880689815</v>
      </c>
    </row>
    <row r="51">
      <c r="A51" s="39" t="s">
        <v>255</v>
      </c>
      <c r="B51" s="40">
        <v>1905941.0</v>
      </c>
      <c r="C51" s="40">
        <v>0.0</v>
      </c>
      <c r="D51" s="41">
        <v>45997.71880949074</v>
      </c>
    </row>
    <row r="52">
      <c r="A52" s="39" t="s">
        <v>256</v>
      </c>
      <c r="B52" s="40">
        <v>1871498.0</v>
      </c>
      <c r="C52" s="40">
        <v>10.0</v>
      </c>
      <c r="D52" s="41">
        <v>45968.64381335648</v>
      </c>
    </row>
    <row r="53">
      <c r="A53" s="39" t="s">
        <v>256</v>
      </c>
      <c r="B53" s="40">
        <v>1871500.0</v>
      </c>
      <c r="C53" s="40">
        <v>0.0</v>
      </c>
      <c r="D53" s="41">
        <v>45968.483280162036</v>
      </c>
    </row>
    <row r="54">
      <c r="A54" s="39" t="s">
        <v>256</v>
      </c>
      <c r="B54" s="40">
        <v>1871501.0</v>
      </c>
      <c r="C54" s="40">
        <v>0.0</v>
      </c>
      <c r="D54" s="41">
        <v>45968.48328303241</v>
      </c>
    </row>
    <row r="55">
      <c r="A55" s="39" t="s">
        <v>256</v>
      </c>
      <c r="B55" s="40">
        <v>1871522.0</v>
      </c>
      <c r="C55" s="40">
        <v>0.0</v>
      </c>
      <c r="D55" s="41">
        <v>45968.48328537037</v>
      </c>
    </row>
    <row r="56">
      <c r="A56" s="39" t="s">
        <v>256</v>
      </c>
      <c r="B56" s="40">
        <v>1871525.0</v>
      </c>
      <c r="C56" s="40">
        <v>0.0</v>
      </c>
      <c r="D56" s="41">
        <v>45968.48328825232</v>
      </c>
    </row>
    <row r="57">
      <c r="A57" s="39" t="s">
        <v>256</v>
      </c>
      <c r="B57" s="40">
        <v>1873080.0</v>
      </c>
      <c r="C57" s="40">
        <v>10.0</v>
      </c>
      <c r="D57" s="41">
        <v>45968.483294942125</v>
      </c>
    </row>
    <row r="58">
      <c r="A58" s="39" t="s">
        <v>256</v>
      </c>
      <c r="B58" s="40">
        <v>1873081.0</v>
      </c>
      <c r="C58" s="40">
        <v>0.0</v>
      </c>
      <c r="D58" s="41">
        <v>45968.483297812505</v>
      </c>
    </row>
    <row r="59">
      <c r="A59" s="39" t="s">
        <v>256</v>
      </c>
      <c r="B59" s="40">
        <v>1873082.0</v>
      </c>
      <c r="C59" s="40">
        <v>0.0</v>
      </c>
      <c r="D59" s="41">
        <v>45968.483300312495</v>
      </c>
    </row>
    <row r="60">
      <c r="A60" s="39" t="s">
        <v>256</v>
      </c>
      <c r="B60" s="40">
        <v>1873083.0</v>
      </c>
      <c r="C60" s="40">
        <v>0.0</v>
      </c>
      <c r="D60" s="41">
        <v>45968.48330305556</v>
      </c>
    </row>
    <row r="61">
      <c r="A61" s="39" t="s">
        <v>256</v>
      </c>
      <c r="B61" s="40">
        <v>1873084.0</v>
      </c>
      <c r="C61" s="40">
        <v>0.0</v>
      </c>
      <c r="D61" s="41">
        <v>45968.48331913195</v>
      </c>
    </row>
    <row r="62">
      <c r="A62" s="39" t="s">
        <v>256</v>
      </c>
      <c r="B62" s="40">
        <v>1880186.0</v>
      </c>
      <c r="C62" s="40">
        <v>0.0</v>
      </c>
      <c r="D62" s="41">
        <v>45969.72038010416</v>
      </c>
    </row>
    <row r="63">
      <c r="A63" s="39" t="s">
        <v>256</v>
      </c>
      <c r="B63" s="40">
        <v>1880188.0</v>
      </c>
      <c r="C63" s="40">
        <v>0.0</v>
      </c>
      <c r="D63" s="41">
        <v>45969.72038196759</v>
      </c>
    </row>
    <row r="64">
      <c r="A64" s="39" t="s">
        <v>256</v>
      </c>
      <c r="B64" s="40">
        <v>1880189.0</v>
      </c>
      <c r="C64" s="40">
        <v>0.0</v>
      </c>
      <c r="D64" s="41">
        <v>45969.72038417824</v>
      </c>
    </row>
    <row r="65">
      <c r="A65" s="39" t="s">
        <v>256</v>
      </c>
      <c r="B65" s="40">
        <v>1880191.0</v>
      </c>
      <c r="C65" s="40">
        <v>0.0</v>
      </c>
      <c r="D65" s="41">
        <v>45969.72038752315</v>
      </c>
    </row>
    <row r="66">
      <c r="A66" s="39" t="s">
        <v>256</v>
      </c>
      <c r="B66" s="40">
        <v>1880677.0</v>
      </c>
      <c r="C66" s="40">
        <v>0.0</v>
      </c>
      <c r="D66" s="41">
        <v>45969.720389814815</v>
      </c>
    </row>
    <row r="67">
      <c r="A67" s="39" t="s">
        <v>256</v>
      </c>
      <c r="B67" s="40">
        <v>1892424.0</v>
      </c>
      <c r="C67" s="40">
        <v>0.0</v>
      </c>
      <c r="D67" s="41">
        <v>45972.37410447917</v>
      </c>
    </row>
    <row r="68">
      <c r="A68" s="39" t="s">
        <v>256</v>
      </c>
      <c r="B68" s="40">
        <v>1892425.0</v>
      </c>
      <c r="C68" s="40">
        <v>0.0</v>
      </c>
      <c r="D68" s="41">
        <v>45976.71617980324</v>
      </c>
    </row>
    <row r="69">
      <c r="A69" s="39" t="s">
        <v>256</v>
      </c>
      <c r="B69" s="40">
        <v>1892426.0</v>
      </c>
      <c r="C69" s="40">
        <v>0.0</v>
      </c>
      <c r="D69" s="41">
        <v>45976.71618192129</v>
      </c>
    </row>
    <row r="70">
      <c r="A70" s="39" t="s">
        <v>256</v>
      </c>
      <c r="B70" s="40">
        <v>1892427.0</v>
      </c>
      <c r="C70" s="40">
        <v>0.0</v>
      </c>
      <c r="D70" s="41">
        <v>45979.6197075463</v>
      </c>
    </row>
    <row r="71">
      <c r="A71" s="39" t="s">
        <v>256</v>
      </c>
      <c r="B71" s="40">
        <v>1892428.0</v>
      </c>
      <c r="C71" s="40">
        <v>0.0</v>
      </c>
      <c r="D71" s="41">
        <v>45976.71618400463</v>
      </c>
    </row>
    <row r="72">
      <c r="A72" s="39" t="s">
        <v>256</v>
      </c>
      <c r="B72" s="40">
        <v>1902189.0</v>
      </c>
      <c r="C72" s="40">
        <v>10.0</v>
      </c>
      <c r="D72" s="41">
        <v>45994.300104062495</v>
      </c>
    </row>
    <row r="73">
      <c r="A73" s="39" t="s">
        <v>256</v>
      </c>
      <c r="B73" s="40">
        <v>1905937.0</v>
      </c>
      <c r="C73" s="40">
        <v>0.0</v>
      </c>
      <c r="D73" s="41">
        <v>45997.71881381945</v>
      </c>
    </row>
    <row r="74">
      <c r="A74" s="39" t="s">
        <v>256</v>
      </c>
      <c r="B74" s="40">
        <v>1905938.0</v>
      </c>
      <c r="C74" s="40">
        <v>0.0</v>
      </c>
      <c r="D74" s="41">
        <v>45997.71881755787</v>
      </c>
    </row>
    <row r="75">
      <c r="A75" s="39" t="s">
        <v>256</v>
      </c>
      <c r="B75" s="40">
        <v>1905939.0</v>
      </c>
      <c r="C75" s="40">
        <v>0.0</v>
      </c>
      <c r="D75" s="41">
        <v>45997.718824675925</v>
      </c>
    </row>
    <row r="76">
      <c r="A76" s="39" t="s">
        <v>256</v>
      </c>
      <c r="B76" s="40">
        <v>1905940.0</v>
      </c>
      <c r="C76" s="40">
        <v>0.0</v>
      </c>
      <c r="D76" s="41">
        <v>45997.71882849537</v>
      </c>
    </row>
    <row r="77">
      <c r="A77" s="39" t="s">
        <v>256</v>
      </c>
      <c r="B77" s="40">
        <v>1905941.0</v>
      </c>
      <c r="C77" s="40">
        <v>0.0</v>
      </c>
      <c r="D77" s="41">
        <v>45997.71883416666</v>
      </c>
    </row>
    <row r="78">
      <c r="A78" s="39" t="s">
        <v>257</v>
      </c>
      <c r="B78" s="40">
        <v>1871498.0</v>
      </c>
      <c r="C78" s="40">
        <v>10.0</v>
      </c>
      <c r="D78" s="41">
        <v>45968.581156817134</v>
      </c>
    </row>
    <row r="79">
      <c r="A79" s="39" t="s">
        <v>257</v>
      </c>
      <c r="B79" s="40">
        <v>1871500.0</v>
      </c>
      <c r="C79" s="40">
        <v>0.0</v>
      </c>
      <c r="D79" s="41">
        <v>45968.483324664354</v>
      </c>
    </row>
    <row r="80">
      <c r="A80" s="39" t="s">
        <v>257</v>
      </c>
      <c r="B80" s="40">
        <v>1871501.0</v>
      </c>
      <c r="C80" s="40">
        <v>0.0</v>
      </c>
      <c r="D80" s="41">
        <v>45968.48332694445</v>
      </c>
    </row>
    <row r="81">
      <c r="A81" s="39" t="s">
        <v>257</v>
      </c>
      <c r="B81" s="40">
        <v>1871522.0</v>
      </c>
      <c r="C81" s="40">
        <v>0.0</v>
      </c>
      <c r="D81" s="41">
        <v>45968.48332944444</v>
      </c>
    </row>
    <row r="82">
      <c r="A82" s="39" t="s">
        <v>257</v>
      </c>
      <c r="B82" s="40">
        <v>1871525.0</v>
      </c>
      <c r="C82" s="40">
        <v>0.0</v>
      </c>
      <c r="D82" s="41">
        <v>45968.48333232639</v>
      </c>
    </row>
    <row r="83">
      <c r="A83" s="39" t="s">
        <v>257</v>
      </c>
      <c r="B83" s="40">
        <v>1873080.0</v>
      </c>
      <c r="C83" s="40">
        <v>0.0</v>
      </c>
      <c r="D83" s="41">
        <v>45968.48333466436</v>
      </c>
    </row>
    <row r="84">
      <c r="A84" s="39" t="s">
        <v>257</v>
      </c>
      <c r="B84" s="40">
        <v>1873081.0</v>
      </c>
      <c r="C84" s="40">
        <v>0.0</v>
      </c>
      <c r="D84" s="41">
        <v>45968.48333724537</v>
      </c>
    </row>
    <row r="85">
      <c r="A85" s="39" t="s">
        <v>257</v>
      </c>
      <c r="B85" s="40">
        <v>1873082.0</v>
      </c>
      <c r="C85" s="40">
        <v>0.0</v>
      </c>
      <c r="D85" s="41">
        <v>45968.483374421296</v>
      </c>
    </row>
    <row r="86">
      <c r="A86" s="39" t="s">
        <v>257</v>
      </c>
      <c r="B86" s="40">
        <v>1873083.0</v>
      </c>
      <c r="C86" s="40">
        <v>0.0</v>
      </c>
      <c r="D86" s="41">
        <v>45968.48337752315</v>
      </c>
    </row>
    <row r="87">
      <c r="A87" s="39" t="s">
        <v>257</v>
      </c>
      <c r="B87" s="40">
        <v>1873084.0</v>
      </c>
      <c r="C87" s="40">
        <v>0.0</v>
      </c>
      <c r="D87" s="41">
        <v>45968.48338016204</v>
      </c>
    </row>
    <row r="88">
      <c r="A88" s="39" t="s">
        <v>257</v>
      </c>
      <c r="B88" s="40">
        <v>1880186.0</v>
      </c>
      <c r="C88" s="40">
        <v>10.0</v>
      </c>
      <c r="D88" s="41">
        <v>45972.598030451394</v>
      </c>
    </row>
    <row r="89">
      <c r="A89" s="39" t="s">
        <v>257</v>
      </c>
      <c r="B89" s="40">
        <v>1880188.0</v>
      </c>
      <c r="C89" s="40">
        <v>0.0</v>
      </c>
      <c r="D89" s="41">
        <v>45969.720393923606</v>
      </c>
    </row>
    <row r="90">
      <c r="A90" s="39" t="s">
        <v>257</v>
      </c>
      <c r="B90" s="40">
        <v>1880189.0</v>
      </c>
      <c r="C90" s="40">
        <v>0.0</v>
      </c>
      <c r="D90" s="41">
        <v>45969.72039591435</v>
      </c>
    </row>
    <row r="91">
      <c r="A91" s="39" t="s">
        <v>257</v>
      </c>
      <c r="B91" s="40">
        <v>1880191.0</v>
      </c>
      <c r="C91" s="40">
        <v>0.0</v>
      </c>
      <c r="D91" s="41">
        <v>45969.72039811342</v>
      </c>
    </row>
    <row r="92">
      <c r="A92" s="39" t="s">
        <v>257</v>
      </c>
      <c r="B92" s="40">
        <v>1880677.0</v>
      </c>
      <c r="C92" s="40">
        <v>0.0</v>
      </c>
      <c r="D92" s="41">
        <v>45969.72040045139</v>
      </c>
    </row>
    <row r="93">
      <c r="A93" s="39" t="s">
        <v>257</v>
      </c>
      <c r="B93" s="40">
        <v>1892424.0</v>
      </c>
      <c r="C93" s="40">
        <v>0.0</v>
      </c>
      <c r="D93" s="41">
        <v>45972.37410716435</v>
      </c>
    </row>
    <row r="94">
      <c r="A94" s="39" t="s">
        <v>257</v>
      </c>
      <c r="B94" s="40">
        <v>1892425.0</v>
      </c>
      <c r="C94" s="40">
        <v>0.0</v>
      </c>
      <c r="D94" s="41">
        <v>45976.716185983794</v>
      </c>
    </row>
    <row r="95">
      <c r="A95" s="39" t="s">
        <v>257</v>
      </c>
      <c r="B95" s="40">
        <v>1892426.0</v>
      </c>
      <c r="C95" s="40">
        <v>0.0</v>
      </c>
      <c r="D95" s="41">
        <v>45976.71618778935</v>
      </c>
    </row>
    <row r="96">
      <c r="A96" s="39" t="s">
        <v>257</v>
      </c>
      <c r="B96" s="40">
        <v>1892427.0</v>
      </c>
      <c r="C96" s="40">
        <v>0.0</v>
      </c>
      <c r="D96" s="41">
        <v>45979.61971106481</v>
      </c>
    </row>
    <row r="97">
      <c r="A97" s="39" t="s">
        <v>257</v>
      </c>
      <c r="B97" s="40">
        <v>1892428.0</v>
      </c>
      <c r="C97" s="40">
        <v>0.0</v>
      </c>
      <c r="D97" s="41">
        <v>45976.71618990741</v>
      </c>
    </row>
    <row r="98">
      <c r="A98" s="39" t="s">
        <v>257</v>
      </c>
      <c r="B98" s="40">
        <v>1902189.0</v>
      </c>
      <c r="C98" s="40">
        <v>8.0</v>
      </c>
      <c r="D98" s="41">
        <v>45994.30010813657</v>
      </c>
    </row>
    <row r="99">
      <c r="A99" s="39" t="s">
        <v>257</v>
      </c>
      <c r="B99" s="40">
        <v>1905938.0</v>
      </c>
      <c r="C99" s="40">
        <v>0.0</v>
      </c>
      <c r="D99" s="41">
        <v>45997.71884207176</v>
      </c>
    </row>
    <row r="100">
      <c r="A100" s="39" t="s">
        <v>257</v>
      </c>
      <c r="B100" s="40">
        <v>1905939.0</v>
      </c>
      <c r="C100" s="40">
        <v>0.0</v>
      </c>
      <c r="D100" s="41">
        <v>45997.718854606486</v>
      </c>
    </row>
    <row r="101">
      <c r="A101" s="39" t="s">
        <v>257</v>
      </c>
      <c r="B101" s="40">
        <v>1905940.0</v>
      </c>
      <c r="C101" s="40">
        <v>0.0</v>
      </c>
      <c r="D101" s="41">
        <v>45997.718859444445</v>
      </c>
    </row>
    <row r="102">
      <c r="A102" s="39" t="s">
        <v>257</v>
      </c>
      <c r="B102" s="40">
        <v>1905941.0</v>
      </c>
      <c r="C102" s="40">
        <v>0.0</v>
      </c>
      <c r="D102" s="41">
        <v>45997.718863622686</v>
      </c>
    </row>
    <row r="103">
      <c r="A103" s="39" t="s">
        <v>258</v>
      </c>
      <c r="B103" s="40">
        <v>1871498.0</v>
      </c>
      <c r="C103" s="40">
        <v>10.0</v>
      </c>
      <c r="D103" s="41">
        <v>45968.48338289352</v>
      </c>
    </row>
    <row r="104">
      <c r="A104" s="39" t="s">
        <v>258</v>
      </c>
      <c r="B104" s="40">
        <v>1871500.0</v>
      </c>
      <c r="C104" s="40">
        <v>5.0</v>
      </c>
      <c r="D104" s="41">
        <v>45968.48338856481</v>
      </c>
    </row>
    <row r="105">
      <c r="A105" s="39" t="s">
        <v>258</v>
      </c>
      <c r="B105" s="40">
        <v>1871501.0</v>
      </c>
      <c r="C105" s="40">
        <v>7.0</v>
      </c>
      <c r="D105" s="41">
        <v>45968.48339206018</v>
      </c>
    </row>
    <row r="106">
      <c r="A106" s="39" t="s">
        <v>258</v>
      </c>
      <c r="B106" s="40">
        <v>1871522.0</v>
      </c>
      <c r="C106" s="40">
        <v>4.0</v>
      </c>
      <c r="D106" s="41">
        <v>45979.61971434028</v>
      </c>
    </row>
    <row r="107">
      <c r="A107" s="39" t="s">
        <v>258</v>
      </c>
      <c r="B107" s="40">
        <v>1871525.0</v>
      </c>
      <c r="C107" s="40">
        <v>4.0</v>
      </c>
      <c r="D107" s="41">
        <v>45980.48363539352</v>
      </c>
    </row>
    <row r="108">
      <c r="A108" s="39" t="s">
        <v>258</v>
      </c>
      <c r="B108" s="40">
        <v>1873080.0</v>
      </c>
      <c r="C108" s="40">
        <v>10.0</v>
      </c>
      <c r="D108" s="41">
        <v>45968.48340646991</v>
      </c>
    </row>
    <row r="109">
      <c r="A109" s="39" t="s">
        <v>258</v>
      </c>
      <c r="B109" s="40">
        <v>1873081.0</v>
      </c>
      <c r="C109" s="40">
        <v>11.0</v>
      </c>
      <c r="D109" s="41">
        <v>45968.48340916667</v>
      </c>
    </row>
    <row r="110">
      <c r="A110" s="39" t="s">
        <v>258</v>
      </c>
      <c r="B110" s="40">
        <v>1873082.0</v>
      </c>
      <c r="C110" s="40">
        <v>10.0</v>
      </c>
      <c r="D110" s="41">
        <v>45968.48341193287</v>
      </c>
    </row>
    <row r="111">
      <c r="A111" s="39" t="s">
        <v>258</v>
      </c>
      <c r="B111" s="40">
        <v>1873083.0</v>
      </c>
      <c r="C111" s="40">
        <v>0.0</v>
      </c>
      <c r="D111" s="41">
        <v>45968.48341450232</v>
      </c>
    </row>
    <row r="112">
      <c r="A112" s="39" t="s">
        <v>258</v>
      </c>
      <c r="B112" s="40">
        <v>1873084.0</v>
      </c>
      <c r="C112" s="40">
        <v>10.0</v>
      </c>
      <c r="D112" s="41">
        <v>45968.633672372685</v>
      </c>
    </row>
    <row r="113">
      <c r="A113" s="39" t="s">
        <v>258</v>
      </c>
      <c r="B113" s="40">
        <v>1880186.0</v>
      </c>
      <c r="C113" s="40">
        <v>10.0</v>
      </c>
      <c r="D113" s="41">
        <v>45979.64001998842</v>
      </c>
    </row>
    <row r="114">
      <c r="A114" s="39" t="s">
        <v>258</v>
      </c>
      <c r="B114" s="40">
        <v>1880188.0</v>
      </c>
      <c r="C114" s="40">
        <v>0.0</v>
      </c>
      <c r="D114" s="41">
        <v>45969.72040513888</v>
      </c>
    </row>
    <row r="115">
      <c r="A115" s="39" t="s">
        <v>258</v>
      </c>
      <c r="B115" s="40">
        <v>1880189.0</v>
      </c>
      <c r="C115" s="40">
        <v>0.0</v>
      </c>
      <c r="D115" s="41">
        <v>45969.72041309028</v>
      </c>
    </row>
    <row r="116">
      <c r="A116" s="39" t="s">
        <v>258</v>
      </c>
      <c r="B116" s="40">
        <v>1880191.0</v>
      </c>
      <c r="C116" s="40">
        <v>0.0</v>
      </c>
      <c r="D116" s="41">
        <v>45969.72041527778</v>
      </c>
    </row>
    <row r="117">
      <c r="A117" s="39" t="s">
        <v>258</v>
      </c>
      <c r="B117" s="40">
        <v>1880677.0</v>
      </c>
      <c r="C117" s="40">
        <v>0.0</v>
      </c>
      <c r="D117" s="41">
        <v>45969.720417557866</v>
      </c>
    </row>
    <row r="118">
      <c r="A118" s="39" t="s">
        <v>258</v>
      </c>
      <c r="B118" s="40">
        <v>1892424.0</v>
      </c>
      <c r="C118" s="40">
        <v>10.0</v>
      </c>
      <c r="D118" s="41">
        <v>45980.48364252315</v>
      </c>
    </row>
    <row r="119">
      <c r="A119" s="39" t="s">
        <v>258</v>
      </c>
      <c r="B119" s="40">
        <v>1892425.0</v>
      </c>
      <c r="C119" s="40">
        <v>0.0</v>
      </c>
      <c r="D119" s="41">
        <v>45976.71619150463</v>
      </c>
    </row>
    <row r="120">
      <c r="A120" s="39" t="s">
        <v>258</v>
      </c>
      <c r="B120" s="40">
        <v>1892426.0</v>
      </c>
      <c r="C120" s="40">
        <v>0.0</v>
      </c>
      <c r="D120" s="41">
        <v>45976.7161937037</v>
      </c>
    </row>
    <row r="121">
      <c r="A121" s="39" t="s">
        <v>258</v>
      </c>
      <c r="B121" s="40">
        <v>1892427.0</v>
      </c>
      <c r="C121" s="40">
        <v>0.0</v>
      </c>
      <c r="D121" s="41">
        <v>45979.61971798611</v>
      </c>
    </row>
    <row r="122">
      <c r="A122" s="39" t="s">
        <v>258</v>
      </c>
      <c r="B122" s="40">
        <v>1892428.0</v>
      </c>
      <c r="C122" s="40">
        <v>0.0</v>
      </c>
      <c r="D122" s="41">
        <v>45976.71619653935</v>
      </c>
    </row>
    <row r="123">
      <c r="A123" s="39" t="s">
        <v>258</v>
      </c>
      <c r="B123" s="40">
        <v>1902189.0</v>
      </c>
      <c r="C123" s="40">
        <v>0.0</v>
      </c>
      <c r="D123" s="41">
        <v>45992.42373369213</v>
      </c>
    </row>
    <row r="124">
      <c r="A124" s="39" t="s">
        <v>258</v>
      </c>
      <c r="B124" s="40">
        <v>1905938.0</v>
      </c>
      <c r="C124" s="40">
        <v>0.0</v>
      </c>
      <c r="D124" s="41">
        <v>45997.71887202546</v>
      </c>
    </row>
    <row r="125">
      <c r="A125" s="39" t="s">
        <v>258</v>
      </c>
      <c r="B125" s="40">
        <v>1905939.0</v>
      </c>
      <c r="C125" s="40">
        <v>0.0</v>
      </c>
      <c r="D125" s="41">
        <v>45997.71887556713</v>
      </c>
    </row>
    <row r="126">
      <c r="A126" s="39" t="s">
        <v>258</v>
      </c>
      <c r="B126" s="40">
        <v>1905940.0</v>
      </c>
      <c r="C126" s="40">
        <v>0.0</v>
      </c>
      <c r="D126" s="41">
        <v>45997.71887981481</v>
      </c>
    </row>
    <row r="127">
      <c r="A127" s="39" t="s">
        <v>258</v>
      </c>
      <c r="B127" s="40">
        <v>1905941.0</v>
      </c>
      <c r="C127" s="40">
        <v>0.0</v>
      </c>
      <c r="D127" s="41">
        <v>45997.71888359953</v>
      </c>
    </row>
    <row r="128">
      <c r="A128" s="39" t="s">
        <v>259</v>
      </c>
      <c r="B128" s="40">
        <v>1871498.0</v>
      </c>
      <c r="C128" s="40">
        <v>0.0</v>
      </c>
      <c r="D128" s="41">
        <v>45968.48341987269</v>
      </c>
    </row>
    <row r="129">
      <c r="A129" s="39" t="s">
        <v>259</v>
      </c>
      <c r="B129" s="40">
        <v>1871500.0</v>
      </c>
      <c r="C129" s="40">
        <v>0.0</v>
      </c>
      <c r="D129" s="41">
        <v>45968.48342255787</v>
      </c>
    </row>
    <row r="130">
      <c r="A130" s="39" t="s">
        <v>259</v>
      </c>
      <c r="B130" s="40">
        <v>1871501.0</v>
      </c>
      <c r="C130" s="40">
        <v>0.0</v>
      </c>
      <c r="D130" s="41">
        <v>45968.483425115744</v>
      </c>
    </row>
    <row r="131">
      <c r="A131" s="39" t="s">
        <v>259</v>
      </c>
      <c r="B131" s="40">
        <v>1871522.0</v>
      </c>
      <c r="C131" s="40">
        <v>0.0</v>
      </c>
      <c r="D131" s="41">
        <v>45968.48342774306</v>
      </c>
    </row>
    <row r="132">
      <c r="A132" s="39" t="s">
        <v>259</v>
      </c>
      <c r="B132" s="40">
        <v>1871525.0</v>
      </c>
      <c r="C132" s="40">
        <v>0.0</v>
      </c>
      <c r="D132" s="41">
        <v>45968.48343133102</v>
      </c>
    </row>
    <row r="133">
      <c r="A133" s="39" t="s">
        <v>259</v>
      </c>
      <c r="B133" s="40">
        <v>1873080.0</v>
      </c>
      <c r="C133" s="40">
        <v>0.0</v>
      </c>
      <c r="D133" s="41">
        <v>45968.48343439815</v>
      </c>
    </row>
    <row r="134">
      <c r="A134" s="39" t="s">
        <v>259</v>
      </c>
      <c r="B134" s="40">
        <v>1873081.0</v>
      </c>
      <c r="C134" s="40">
        <v>0.0</v>
      </c>
      <c r="D134" s="41">
        <v>45968.48343706019</v>
      </c>
    </row>
    <row r="135">
      <c r="A135" s="39" t="s">
        <v>259</v>
      </c>
      <c r="B135" s="40">
        <v>1873082.0</v>
      </c>
      <c r="C135" s="40">
        <v>0.0</v>
      </c>
      <c r="D135" s="41">
        <v>45968.48343957176</v>
      </c>
    </row>
    <row r="136">
      <c r="A136" s="39" t="s">
        <v>259</v>
      </c>
      <c r="B136" s="40">
        <v>1873083.0</v>
      </c>
      <c r="C136" s="40">
        <v>0.0</v>
      </c>
      <c r="D136" s="41">
        <v>45968.48344277778</v>
      </c>
    </row>
    <row r="137">
      <c r="A137" s="39" t="s">
        <v>259</v>
      </c>
      <c r="B137" s="40">
        <v>1873084.0</v>
      </c>
      <c r="C137" s="40">
        <v>0.0</v>
      </c>
      <c r="D137" s="41">
        <v>45968.483445300924</v>
      </c>
    </row>
    <row r="138">
      <c r="A138" s="39" t="s">
        <v>259</v>
      </c>
      <c r="B138" s="40">
        <v>1880186.0</v>
      </c>
      <c r="C138" s="40">
        <v>0.0</v>
      </c>
      <c r="D138" s="41">
        <v>45969.72042479167</v>
      </c>
    </row>
    <row r="139">
      <c r="A139" s="39" t="s">
        <v>259</v>
      </c>
      <c r="B139" s="40">
        <v>1880188.0</v>
      </c>
      <c r="C139" s="40">
        <v>0.0</v>
      </c>
      <c r="D139" s="41">
        <v>45969.720426608794</v>
      </c>
    </row>
    <row r="140">
      <c r="A140" s="39" t="s">
        <v>259</v>
      </c>
      <c r="B140" s="40">
        <v>1880189.0</v>
      </c>
      <c r="C140" s="40">
        <v>0.0</v>
      </c>
      <c r="D140" s="41">
        <v>45969.72042898148</v>
      </c>
    </row>
    <row r="141">
      <c r="A141" s="39" t="s">
        <v>259</v>
      </c>
      <c r="B141" s="40">
        <v>1880191.0</v>
      </c>
      <c r="C141" s="40">
        <v>0.0</v>
      </c>
      <c r="D141" s="41">
        <v>45969.72043084491</v>
      </c>
    </row>
    <row r="142">
      <c r="A142" s="39" t="s">
        <v>259</v>
      </c>
      <c r="B142" s="40">
        <v>1880677.0</v>
      </c>
      <c r="C142" s="40">
        <v>0.0</v>
      </c>
      <c r="D142" s="41">
        <v>45969.72043351852</v>
      </c>
    </row>
    <row r="143">
      <c r="A143" s="39" t="s">
        <v>259</v>
      </c>
      <c r="B143" s="40">
        <v>1892424.0</v>
      </c>
      <c r="C143" s="40">
        <v>0.0</v>
      </c>
      <c r="D143" s="41">
        <v>45972.374130868055</v>
      </c>
    </row>
    <row r="144">
      <c r="A144" s="39" t="s">
        <v>259</v>
      </c>
      <c r="B144" s="40">
        <v>1892425.0</v>
      </c>
      <c r="C144" s="40">
        <v>0.0</v>
      </c>
      <c r="D144" s="41">
        <v>45976.716198368056</v>
      </c>
    </row>
    <row r="145">
      <c r="A145" s="39" t="s">
        <v>259</v>
      </c>
      <c r="B145" s="40">
        <v>1892426.0</v>
      </c>
      <c r="C145" s="40">
        <v>0.0</v>
      </c>
      <c r="D145" s="41">
        <v>45976.71620206018</v>
      </c>
    </row>
    <row r="146">
      <c r="A146" s="39" t="s">
        <v>259</v>
      </c>
      <c r="B146" s="40">
        <v>1892427.0</v>
      </c>
      <c r="C146" s="40">
        <v>0.0</v>
      </c>
      <c r="D146" s="41">
        <v>45979.61972050926</v>
      </c>
    </row>
    <row r="147">
      <c r="A147" s="39" t="s">
        <v>259</v>
      </c>
      <c r="B147" s="40">
        <v>1892428.0</v>
      </c>
      <c r="C147" s="40">
        <v>0.0</v>
      </c>
      <c r="D147" s="41">
        <v>45976.71620358796</v>
      </c>
    </row>
    <row r="148">
      <c r="A148" s="39" t="s">
        <v>259</v>
      </c>
      <c r="B148" s="40">
        <v>1902189.0</v>
      </c>
      <c r="C148" s="40">
        <v>0.0</v>
      </c>
      <c r="D148" s="41">
        <v>45992.423737523146</v>
      </c>
    </row>
    <row r="149">
      <c r="A149" s="39" t="s">
        <v>259</v>
      </c>
      <c r="B149" s="40">
        <v>1905937.0</v>
      </c>
      <c r="C149" s="40">
        <v>0.0</v>
      </c>
      <c r="D149" s="41">
        <v>45997.718888159725</v>
      </c>
    </row>
    <row r="150">
      <c r="A150" s="39" t="s">
        <v>259</v>
      </c>
      <c r="B150" s="40">
        <v>1905938.0</v>
      </c>
      <c r="C150" s="40">
        <v>0.0</v>
      </c>
      <c r="D150" s="41">
        <v>45997.71889657408</v>
      </c>
    </row>
    <row r="151">
      <c r="A151" s="39" t="s">
        <v>259</v>
      </c>
      <c r="B151" s="40">
        <v>1905939.0</v>
      </c>
      <c r="C151" s="40">
        <v>0.0</v>
      </c>
      <c r="D151" s="41">
        <v>45997.71890082176</v>
      </c>
    </row>
    <row r="152">
      <c r="A152" s="39" t="s">
        <v>259</v>
      </c>
      <c r="B152" s="40">
        <v>1905940.0</v>
      </c>
      <c r="C152" s="40">
        <v>0.0</v>
      </c>
      <c r="D152" s="41">
        <v>45997.718905648144</v>
      </c>
    </row>
    <row r="153">
      <c r="A153" s="39" t="s">
        <v>259</v>
      </c>
      <c r="B153" s="40">
        <v>1905941.0</v>
      </c>
      <c r="C153" s="40">
        <v>0.0</v>
      </c>
      <c r="D153" s="41">
        <v>45997.718908090275</v>
      </c>
    </row>
    <row r="154">
      <c r="A154" s="39" t="s">
        <v>260</v>
      </c>
      <c r="B154" s="40">
        <v>1871498.0</v>
      </c>
      <c r="C154" s="40">
        <v>10.0</v>
      </c>
      <c r="D154" s="41">
        <v>45968.48344776621</v>
      </c>
    </row>
    <row r="155">
      <c r="A155" s="39" t="s">
        <v>260</v>
      </c>
      <c r="B155" s="40">
        <v>1871500.0</v>
      </c>
      <c r="C155" s="40">
        <v>7.0</v>
      </c>
      <c r="D155" s="41">
        <v>45968.48345054398</v>
      </c>
    </row>
    <row r="156">
      <c r="A156" s="39" t="s">
        <v>260</v>
      </c>
      <c r="B156" s="40">
        <v>1871501.0</v>
      </c>
      <c r="C156" s="40">
        <v>0.0</v>
      </c>
      <c r="D156" s="41">
        <v>45968.483453333334</v>
      </c>
    </row>
    <row r="157">
      <c r="A157" s="39" t="s">
        <v>260</v>
      </c>
      <c r="B157" s="40">
        <v>1871522.0</v>
      </c>
      <c r="C157" s="40">
        <v>4.0</v>
      </c>
      <c r="D157" s="41">
        <v>45968.48345596065</v>
      </c>
    </row>
    <row r="158">
      <c r="A158" s="39" t="s">
        <v>260</v>
      </c>
      <c r="B158" s="40">
        <v>1871525.0</v>
      </c>
      <c r="C158" s="40">
        <v>4.0</v>
      </c>
      <c r="D158" s="41">
        <v>45968.48345853009</v>
      </c>
    </row>
    <row r="159">
      <c r="A159" s="39" t="s">
        <v>260</v>
      </c>
      <c r="B159" s="40">
        <v>1873080.0</v>
      </c>
      <c r="C159" s="40">
        <v>10.0</v>
      </c>
      <c r="D159" s="41">
        <v>45968.48346204861</v>
      </c>
    </row>
    <row r="160">
      <c r="A160" s="39" t="s">
        <v>260</v>
      </c>
      <c r="B160" s="40">
        <v>1873081.0</v>
      </c>
      <c r="C160" s="40">
        <v>11.0</v>
      </c>
      <c r="D160" s="41">
        <v>45968.483464907404</v>
      </c>
    </row>
    <row r="161">
      <c r="A161" s="39" t="s">
        <v>260</v>
      </c>
      <c r="B161" s="40">
        <v>1873082.0</v>
      </c>
      <c r="C161" s="40">
        <v>10.0</v>
      </c>
      <c r="D161" s="41">
        <v>45968.483467557875</v>
      </c>
    </row>
    <row r="162">
      <c r="A162" s="39" t="s">
        <v>260</v>
      </c>
      <c r="B162" s="40">
        <v>1873083.0</v>
      </c>
      <c r="C162" s="40">
        <v>0.0</v>
      </c>
      <c r="D162" s="41">
        <v>45968.48347011574</v>
      </c>
    </row>
    <row r="163">
      <c r="A163" s="39" t="s">
        <v>260</v>
      </c>
      <c r="B163" s="40">
        <v>1873084.0</v>
      </c>
      <c r="C163" s="40">
        <v>10.0</v>
      </c>
      <c r="D163" s="41">
        <v>45968.48347262731</v>
      </c>
    </row>
    <row r="164">
      <c r="A164" s="39" t="s">
        <v>260</v>
      </c>
      <c r="B164" s="40">
        <v>1880186.0</v>
      </c>
      <c r="C164" s="40">
        <v>10.0</v>
      </c>
      <c r="D164" s="41">
        <v>45968.48347515047</v>
      </c>
    </row>
    <row r="165">
      <c r="A165" s="39" t="s">
        <v>260</v>
      </c>
      <c r="B165" s="40">
        <v>1880189.0</v>
      </c>
      <c r="C165" s="40">
        <v>13.0</v>
      </c>
      <c r="D165" s="41">
        <v>45968.48348538195</v>
      </c>
    </row>
    <row r="166">
      <c r="A166" s="39" t="s">
        <v>260</v>
      </c>
      <c r="B166" s="40">
        <v>1880191.0</v>
      </c>
      <c r="C166" s="40">
        <v>18.0</v>
      </c>
      <c r="D166" s="41">
        <v>45985.47352778935</v>
      </c>
    </row>
    <row r="167">
      <c r="A167" s="39" t="s">
        <v>260</v>
      </c>
      <c r="B167" s="40">
        <v>1880677.0</v>
      </c>
      <c r="C167" s="40">
        <v>10.0</v>
      </c>
      <c r="D167" s="41">
        <v>45972.613117175926</v>
      </c>
    </row>
    <row r="168">
      <c r="A168" s="39" t="s">
        <v>260</v>
      </c>
      <c r="B168" s="40">
        <v>1892424.0</v>
      </c>
      <c r="C168" s="40">
        <v>6.0</v>
      </c>
      <c r="D168" s="41">
        <v>45972.87038533565</v>
      </c>
    </row>
    <row r="169">
      <c r="A169" s="39" t="s">
        <v>260</v>
      </c>
      <c r="B169" s="40">
        <v>1892425.0</v>
      </c>
      <c r="C169" s="40">
        <v>9.0</v>
      </c>
      <c r="D169" s="41">
        <v>45972.87038811343</v>
      </c>
    </row>
    <row r="170">
      <c r="A170" s="39" t="s">
        <v>260</v>
      </c>
      <c r="B170" s="40">
        <v>1892426.0</v>
      </c>
      <c r="C170" s="40">
        <v>7.0</v>
      </c>
      <c r="D170" s="41">
        <v>45985.473530868054</v>
      </c>
    </row>
    <row r="171">
      <c r="A171" s="39" t="s">
        <v>260</v>
      </c>
      <c r="B171" s="40">
        <v>1892427.0</v>
      </c>
      <c r="C171" s="40">
        <v>0.0</v>
      </c>
      <c r="D171" s="41">
        <v>45979.61973387732</v>
      </c>
    </row>
    <row r="172">
      <c r="A172" s="39" t="s">
        <v>260</v>
      </c>
      <c r="B172" s="40">
        <v>1892428.0</v>
      </c>
      <c r="C172" s="40">
        <v>2.0</v>
      </c>
      <c r="D172" s="41">
        <v>45972.8703953588</v>
      </c>
    </row>
    <row r="173">
      <c r="A173" s="39" t="s">
        <v>260</v>
      </c>
      <c r="B173" s="40">
        <v>1902189.0</v>
      </c>
      <c r="C173" s="40">
        <v>30.0</v>
      </c>
      <c r="D173" s="41">
        <v>45994.30012020833</v>
      </c>
    </row>
    <row r="174">
      <c r="A174" s="39" t="s">
        <v>261</v>
      </c>
      <c r="B174" s="40">
        <v>1871498.0</v>
      </c>
      <c r="C174" s="40">
        <v>10.0</v>
      </c>
      <c r="D174" s="41">
        <v>45968.62358701389</v>
      </c>
    </row>
    <row r="175">
      <c r="A175" s="39" t="s">
        <v>261</v>
      </c>
      <c r="B175" s="40">
        <v>1871500.0</v>
      </c>
      <c r="C175" s="40">
        <v>0.0</v>
      </c>
      <c r="D175" s="41">
        <v>45968.48349368056</v>
      </c>
    </row>
    <row r="176">
      <c r="A176" s="39" t="s">
        <v>261</v>
      </c>
      <c r="B176" s="40">
        <v>1871501.0</v>
      </c>
      <c r="C176" s="40">
        <v>0.0</v>
      </c>
      <c r="D176" s="41">
        <v>45968.483497546295</v>
      </c>
    </row>
    <row r="177">
      <c r="A177" s="39" t="s">
        <v>261</v>
      </c>
      <c r="B177" s="40">
        <v>1871522.0</v>
      </c>
      <c r="C177" s="40">
        <v>0.0</v>
      </c>
      <c r="D177" s="41">
        <v>45968.4835006713</v>
      </c>
    </row>
    <row r="178">
      <c r="A178" s="39" t="s">
        <v>261</v>
      </c>
      <c r="B178" s="40">
        <v>1871525.0</v>
      </c>
      <c r="C178" s="40">
        <v>0.0</v>
      </c>
      <c r="D178" s="41">
        <v>45968.483503125</v>
      </c>
    </row>
    <row r="179">
      <c r="A179" s="39" t="s">
        <v>261</v>
      </c>
      <c r="B179" s="40">
        <v>1873080.0</v>
      </c>
      <c r="C179" s="40">
        <v>10.0</v>
      </c>
      <c r="D179" s="41">
        <v>45968.48350564815</v>
      </c>
    </row>
    <row r="180">
      <c r="A180" s="39" t="s">
        <v>261</v>
      </c>
      <c r="B180" s="40">
        <v>1873081.0</v>
      </c>
      <c r="C180" s="40">
        <v>0.0</v>
      </c>
      <c r="D180" s="41">
        <v>45968.48350835648</v>
      </c>
    </row>
    <row r="181">
      <c r="A181" s="39" t="s">
        <v>261</v>
      </c>
      <c r="B181" s="40">
        <v>1873082.0</v>
      </c>
      <c r="C181" s="40">
        <v>0.0</v>
      </c>
      <c r="D181" s="41">
        <v>45968.483510949074</v>
      </c>
    </row>
    <row r="182">
      <c r="A182" s="39" t="s">
        <v>261</v>
      </c>
      <c r="B182" s="40">
        <v>1873083.0</v>
      </c>
      <c r="C182" s="40">
        <v>0.0</v>
      </c>
      <c r="D182" s="41">
        <v>45968.48351387732</v>
      </c>
    </row>
    <row r="183">
      <c r="A183" s="39" t="s">
        <v>261</v>
      </c>
      <c r="B183" s="40">
        <v>1873084.0</v>
      </c>
      <c r="C183" s="40">
        <v>0.0</v>
      </c>
      <c r="D183" s="41">
        <v>45968.48351633102</v>
      </c>
    </row>
    <row r="184">
      <c r="A184" s="39" t="s">
        <v>261</v>
      </c>
      <c r="B184" s="40">
        <v>1880186.0</v>
      </c>
      <c r="C184" s="40">
        <v>10.0</v>
      </c>
      <c r="D184" s="41">
        <v>45968.643816944445</v>
      </c>
    </row>
    <row r="185">
      <c r="A185" s="39" t="s">
        <v>261</v>
      </c>
      <c r="B185" s="40">
        <v>1880188.0</v>
      </c>
      <c r="C185" s="40">
        <v>0.0</v>
      </c>
      <c r="D185" s="41">
        <v>45969.72043969907</v>
      </c>
    </row>
    <row r="186">
      <c r="A186" s="39" t="s">
        <v>261</v>
      </c>
      <c r="B186" s="40">
        <v>1880189.0</v>
      </c>
      <c r="C186" s="40">
        <v>0.0</v>
      </c>
      <c r="D186" s="41">
        <v>45969.72044203704</v>
      </c>
    </row>
    <row r="187">
      <c r="A187" s="39" t="s">
        <v>261</v>
      </c>
      <c r="B187" s="40">
        <v>1880191.0</v>
      </c>
      <c r="C187" s="40">
        <v>0.0</v>
      </c>
      <c r="D187" s="41">
        <v>45969.72044422454</v>
      </c>
    </row>
    <row r="188">
      <c r="A188" s="39" t="s">
        <v>261</v>
      </c>
      <c r="B188" s="40">
        <v>1880677.0</v>
      </c>
      <c r="C188" s="40">
        <v>0.0</v>
      </c>
      <c r="D188" s="41">
        <v>45969.72044668981</v>
      </c>
    </row>
    <row r="189">
      <c r="A189" s="39" t="s">
        <v>261</v>
      </c>
      <c r="B189" s="40">
        <v>1892424.0</v>
      </c>
      <c r="C189" s="40">
        <v>0.0</v>
      </c>
      <c r="D189" s="41">
        <v>45972.374141631946</v>
      </c>
    </row>
    <row r="190">
      <c r="A190" s="39" t="s">
        <v>261</v>
      </c>
      <c r="B190" s="40">
        <v>1892425.0</v>
      </c>
      <c r="C190" s="40">
        <v>0.0</v>
      </c>
      <c r="D190" s="41">
        <v>45976.71620991898</v>
      </c>
    </row>
    <row r="191">
      <c r="A191" s="39" t="s">
        <v>261</v>
      </c>
      <c r="B191" s="40">
        <v>1892426.0</v>
      </c>
      <c r="C191" s="40">
        <v>0.0</v>
      </c>
      <c r="D191" s="41">
        <v>45976.71621216435</v>
      </c>
    </row>
    <row r="192">
      <c r="A192" s="39" t="s">
        <v>261</v>
      </c>
      <c r="B192" s="40">
        <v>1892427.0</v>
      </c>
      <c r="C192" s="40">
        <v>0.0</v>
      </c>
      <c r="D192" s="41">
        <v>45979.61973726852</v>
      </c>
    </row>
    <row r="193">
      <c r="A193" s="39" t="s">
        <v>261</v>
      </c>
      <c r="B193" s="40">
        <v>1892428.0</v>
      </c>
      <c r="C193" s="40">
        <v>0.0</v>
      </c>
      <c r="D193" s="41">
        <v>45976.716214722226</v>
      </c>
    </row>
    <row r="194">
      <c r="A194" s="39" t="s">
        <v>261</v>
      </c>
      <c r="B194" s="40">
        <v>1902189.0</v>
      </c>
      <c r="C194" s="40">
        <v>0.0</v>
      </c>
      <c r="D194" s="41">
        <v>45992.42375598379</v>
      </c>
    </row>
    <row r="195">
      <c r="A195" s="39" t="s">
        <v>261</v>
      </c>
      <c r="B195" s="40">
        <v>1905938.0</v>
      </c>
      <c r="C195" s="40">
        <v>0.0</v>
      </c>
      <c r="D195" s="41">
        <v>45997.718965486114</v>
      </c>
    </row>
    <row r="196">
      <c r="A196" s="39" t="s">
        <v>261</v>
      </c>
      <c r="B196" s="40">
        <v>1905939.0</v>
      </c>
      <c r="C196" s="40">
        <v>0.0</v>
      </c>
      <c r="D196" s="41">
        <v>45997.718969062495</v>
      </c>
    </row>
    <row r="197">
      <c r="A197" s="39" t="s">
        <v>261</v>
      </c>
      <c r="B197" s="40">
        <v>1905940.0</v>
      </c>
      <c r="C197" s="40">
        <v>0.0</v>
      </c>
      <c r="D197" s="41">
        <v>45997.71897356481</v>
      </c>
    </row>
    <row r="198">
      <c r="A198" s="39" t="s">
        <v>261</v>
      </c>
      <c r="B198" s="40">
        <v>1905941.0</v>
      </c>
      <c r="C198" s="40">
        <v>0.0</v>
      </c>
      <c r="D198" s="41">
        <v>45997.71897702546</v>
      </c>
    </row>
    <row r="199">
      <c r="A199" s="39" t="s">
        <v>262</v>
      </c>
      <c r="B199" s="40">
        <v>1871498.0</v>
      </c>
      <c r="C199" s="40">
        <v>10.0</v>
      </c>
      <c r="D199" s="41">
        <v>45968.48351909722</v>
      </c>
    </row>
    <row r="200">
      <c r="A200" s="39" t="s">
        <v>262</v>
      </c>
      <c r="B200" s="40">
        <v>1871500.0</v>
      </c>
      <c r="C200" s="40">
        <v>7.0</v>
      </c>
      <c r="D200" s="41">
        <v>45968.48352179398</v>
      </c>
    </row>
    <row r="201">
      <c r="A201" s="39" t="s">
        <v>262</v>
      </c>
      <c r="B201" s="40">
        <v>1871501.0</v>
      </c>
      <c r="C201" s="40">
        <v>2.0</v>
      </c>
      <c r="D201" s="41">
        <v>45975.56876672454</v>
      </c>
    </row>
    <row r="202">
      <c r="A202" s="39" t="s">
        <v>262</v>
      </c>
      <c r="B202" s="40">
        <v>1871522.0</v>
      </c>
      <c r="C202" s="40">
        <v>6.0</v>
      </c>
      <c r="D202" s="41">
        <v>45981.38030314815</v>
      </c>
    </row>
    <row r="203">
      <c r="A203" s="39" t="s">
        <v>262</v>
      </c>
      <c r="B203" s="40">
        <v>1871525.0</v>
      </c>
      <c r="C203" s="40">
        <v>10.0</v>
      </c>
      <c r="D203" s="41">
        <v>45981.483829791665</v>
      </c>
    </row>
    <row r="204">
      <c r="A204" s="39" t="s">
        <v>262</v>
      </c>
      <c r="B204" s="40">
        <v>1873080.0</v>
      </c>
      <c r="C204" s="40">
        <v>10.0</v>
      </c>
      <c r="D204" s="41">
        <v>45968.48353300926</v>
      </c>
    </row>
    <row r="205">
      <c r="A205" s="39" t="s">
        <v>262</v>
      </c>
      <c r="B205" s="40">
        <v>1873081.0</v>
      </c>
      <c r="C205" s="40">
        <v>7.0</v>
      </c>
      <c r="D205" s="41">
        <v>45968.4835356713</v>
      </c>
    </row>
    <row r="206">
      <c r="A206" s="39" t="s">
        <v>262</v>
      </c>
      <c r="B206" s="40">
        <v>1873082.0</v>
      </c>
      <c r="C206" s="40">
        <v>3.0</v>
      </c>
      <c r="D206" s="41">
        <v>45968.48353824074</v>
      </c>
    </row>
    <row r="207">
      <c r="A207" s="39" t="s">
        <v>262</v>
      </c>
      <c r="B207" s="40">
        <v>1873083.0</v>
      </c>
      <c r="C207" s="40">
        <v>0.0</v>
      </c>
      <c r="D207" s="41">
        <v>45968.48354120371</v>
      </c>
    </row>
    <row r="208">
      <c r="A208" s="39" t="s">
        <v>262</v>
      </c>
      <c r="B208" s="40">
        <v>1873084.0</v>
      </c>
      <c r="C208" s="40">
        <v>10.0</v>
      </c>
      <c r="D208" s="41">
        <v>45982.44221922454</v>
      </c>
    </row>
    <row r="209">
      <c r="A209" s="39" t="s">
        <v>262</v>
      </c>
      <c r="B209" s="40">
        <v>1880186.0</v>
      </c>
      <c r="C209" s="40">
        <v>10.0</v>
      </c>
      <c r="D209" s="41">
        <v>45973.4544033912</v>
      </c>
    </row>
    <row r="210">
      <c r="A210" s="39" t="s">
        <v>262</v>
      </c>
      <c r="B210" s="40">
        <v>1880677.0</v>
      </c>
      <c r="C210" s="40">
        <v>10.0</v>
      </c>
      <c r="D210" s="41">
        <v>45975.63087241898</v>
      </c>
    </row>
    <row r="211">
      <c r="A211" s="39" t="s">
        <v>262</v>
      </c>
      <c r="B211" s="40">
        <v>1892424.0</v>
      </c>
      <c r="C211" s="40">
        <v>0.0</v>
      </c>
      <c r="D211" s="41">
        <v>45972.37414373843</v>
      </c>
    </row>
    <row r="212">
      <c r="A212" s="39" t="s">
        <v>262</v>
      </c>
      <c r="B212" s="40">
        <v>1892425.0</v>
      </c>
      <c r="C212" s="40">
        <v>0.0</v>
      </c>
      <c r="D212" s="41">
        <v>45976.71622296296</v>
      </c>
    </row>
    <row r="213">
      <c r="A213" s="39" t="s">
        <v>262</v>
      </c>
      <c r="B213" s="40">
        <v>1892426.0</v>
      </c>
      <c r="C213" s="40">
        <v>0.0</v>
      </c>
      <c r="D213" s="41">
        <v>45976.716224965276</v>
      </c>
    </row>
    <row r="214">
      <c r="A214" s="39" t="s">
        <v>262</v>
      </c>
      <c r="B214" s="40">
        <v>1892427.0</v>
      </c>
      <c r="C214" s="40">
        <v>2.0</v>
      </c>
      <c r="D214" s="41">
        <v>45979.61975038194</v>
      </c>
    </row>
    <row r="215">
      <c r="A215" s="39" t="s">
        <v>262</v>
      </c>
      <c r="B215" s="40">
        <v>1892428.0</v>
      </c>
      <c r="C215" s="40">
        <v>4.0</v>
      </c>
      <c r="D215" s="41">
        <v>45982.42126344907</v>
      </c>
    </row>
    <row r="216">
      <c r="A216" s="39" t="s">
        <v>262</v>
      </c>
      <c r="B216" s="40">
        <v>1902189.0</v>
      </c>
      <c r="C216" s="40">
        <v>19.0</v>
      </c>
      <c r="D216" s="41">
        <v>45994.300139259256</v>
      </c>
    </row>
    <row r="217">
      <c r="A217" s="39" t="s">
        <v>262</v>
      </c>
      <c r="B217" s="40">
        <v>1905939.0</v>
      </c>
      <c r="C217" s="40">
        <v>0.0</v>
      </c>
      <c r="D217" s="41">
        <v>45997.71900190972</v>
      </c>
    </row>
    <row r="218">
      <c r="A218" s="39" t="s">
        <v>262</v>
      </c>
      <c r="B218" s="40">
        <v>1905940.0</v>
      </c>
      <c r="C218" s="40">
        <v>0.0</v>
      </c>
      <c r="D218" s="41">
        <v>45997.71900557871</v>
      </c>
    </row>
    <row r="219">
      <c r="A219" s="39" t="s">
        <v>262</v>
      </c>
      <c r="B219" s="40">
        <v>1905941.0</v>
      </c>
      <c r="C219" s="40">
        <v>0.0</v>
      </c>
      <c r="D219" s="41">
        <v>45997.7190096875</v>
      </c>
    </row>
    <row r="220">
      <c r="A220" s="39" t="s">
        <v>263</v>
      </c>
      <c r="B220" s="40">
        <v>1871498.0</v>
      </c>
      <c r="C220" s="40">
        <v>10.0</v>
      </c>
      <c r="D220" s="41">
        <v>45975.61062245371</v>
      </c>
    </row>
    <row r="221">
      <c r="A221" s="39" t="s">
        <v>263</v>
      </c>
      <c r="B221" s="40">
        <v>1871500.0</v>
      </c>
      <c r="C221" s="40">
        <v>7.0</v>
      </c>
      <c r="D221" s="41">
        <v>45975.641032858795</v>
      </c>
    </row>
    <row r="222">
      <c r="A222" s="39" t="s">
        <v>263</v>
      </c>
      <c r="B222" s="40">
        <v>1871501.0</v>
      </c>
      <c r="C222" s="40">
        <v>10.0</v>
      </c>
      <c r="D222" s="41">
        <v>45976.71623024305</v>
      </c>
    </row>
    <row r="223">
      <c r="A223" s="39" t="s">
        <v>263</v>
      </c>
      <c r="B223" s="40">
        <v>1871522.0</v>
      </c>
      <c r="C223" s="40">
        <v>2.0</v>
      </c>
      <c r="D223" s="41">
        <v>45976.71623207176</v>
      </c>
    </row>
    <row r="224">
      <c r="A224" s="39" t="s">
        <v>263</v>
      </c>
      <c r="B224" s="40">
        <v>1871525.0</v>
      </c>
      <c r="C224" s="40">
        <v>4.0</v>
      </c>
      <c r="D224" s="41">
        <v>45976.716234340274</v>
      </c>
    </row>
    <row r="225">
      <c r="A225" s="39" t="s">
        <v>263</v>
      </c>
      <c r="B225" s="40">
        <v>1873080.0</v>
      </c>
      <c r="C225" s="40">
        <v>10.0</v>
      </c>
      <c r="D225" s="41">
        <v>45968.48357277778</v>
      </c>
    </row>
    <row r="226">
      <c r="A226" s="39" t="s">
        <v>263</v>
      </c>
      <c r="B226" s="40">
        <v>1873081.0</v>
      </c>
      <c r="C226" s="40">
        <v>4.0</v>
      </c>
      <c r="D226" s="41">
        <v>45968.48357616898</v>
      </c>
    </row>
    <row r="227">
      <c r="A227" s="39" t="s">
        <v>263</v>
      </c>
      <c r="B227" s="40">
        <v>1873082.0</v>
      </c>
      <c r="C227" s="40">
        <v>2.0</v>
      </c>
      <c r="D227" s="41">
        <v>45976.71623630787</v>
      </c>
    </row>
    <row r="228">
      <c r="A228" s="39" t="s">
        <v>263</v>
      </c>
      <c r="B228" s="40">
        <v>1873083.0</v>
      </c>
      <c r="C228" s="40">
        <v>0.0</v>
      </c>
      <c r="D228" s="41">
        <v>45968.48358869213</v>
      </c>
    </row>
    <row r="229">
      <c r="A229" s="39" t="s">
        <v>263</v>
      </c>
      <c r="B229" s="40">
        <v>1873084.0</v>
      </c>
      <c r="C229" s="40">
        <v>10.0</v>
      </c>
      <c r="D229" s="41">
        <v>45976.722925671296</v>
      </c>
    </row>
    <row r="230">
      <c r="A230" s="39" t="s">
        <v>263</v>
      </c>
      <c r="B230" s="40">
        <v>1880186.0</v>
      </c>
      <c r="C230" s="40">
        <v>10.0</v>
      </c>
      <c r="D230" s="41">
        <v>45972.641607048616</v>
      </c>
    </row>
    <row r="231">
      <c r="A231" s="39" t="s">
        <v>263</v>
      </c>
      <c r="B231" s="40">
        <v>1880188.0</v>
      </c>
      <c r="C231" s="40">
        <v>13.0</v>
      </c>
      <c r="D231" s="41">
        <v>45968.64381862269</v>
      </c>
    </row>
    <row r="232">
      <c r="A232" s="39" t="s">
        <v>263</v>
      </c>
      <c r="B232" s="40">
        <v>1880189.0</v>
      </c>
      <c r="C232" s="40">
        <v>16.0</v>
      </c>
      <c r="D232" s="41">
        <v>45979.65025898148</v>
      </c>
    </row>
    <row r="233">
      <c r="A233" s="39" t="s">
        <v>263</v>
      </c>
      <c r="B233" s="40">
        <v>1880191.0</v>
      </c>
      <c r="C233" s="40">
        <v>15.0</v>
      </c>
      <c r="D233" s="41">
        <v>45985.473556736106</v>
      </c>
    </row>
    <row r="234">
      <c r="A234" s="39" t="s">
        <v>263</v>
      </c>
      <c r="B234" s="40">
        <v>1880677.0</v>
      </c>
      <c r="C234" s="40">
        <v>10.0</v>
      </c>
      <c r="D234" s="41">
        <v>45968.63367671296</v>
      </c>
    </row>
    <row r="235">
      <c r="A235" s="39" t="s">
        <v>263</v>
      </c>
      <c r="B235" s="40">
        <v>1892424.0</v>
      </c>
      <c r="C235" s="40">
        <v>8.0</v>
      </c>
      <c r="D235" s="41">
        <v>45980.296082569446</v>
      </c>
    </row>
    <row r="236">
      <c r="A236" s="39" t="s">
        <v>263</v>
      </c>
      <c r="B236" s="40">
        <v>1892425.0</v>
      </c>
      <c r="C236" s="40">
        <v>7.0</v>
      </c>
      <c r="D236" s="41">
        <v>45980.29608543981</v>
      </c>
    </row>
    <row r="237">
      <c r="A237" s="39" t="s">
        <v>263</v>
      </c>
      <c r="B237" s="40">
        <v>1892426.0</v>
      </c>
      <c r="C237" s="40">
        <v>9.0</v>
      </c>
      <c r="D237" s="41">
        <v>45985.47355984953</v>
      </c>
    </row>
    <row r="238">
      <c r="A238" s="39" t="s">
        <v>263</v>
      </c>
      <c r="B238" s="40">
        <v>1892427.0</v>
      </c>
      <c r="C238" s="40">
        <v>0.0</v>
      </c>
      <c r="D238" s="41">
        <v>45979.61975435185</v>
      </c>
    </row>
    <row r="239">
      <c r="A239" s="39" t="s">
        <v>263</v>
      </c>
      <c r="B239" s="40">
        <v>1892428.0</v>
      </c>
      <c r="C239" s="40">
        <v>0.0</v>
      </c>
      <c r="D239" s="41">
        <v>45976.716242581024</v>
      </c>
    </row>
    <row r="240">
      <c r="A240" s="39" t="s">
        <v>263</v>
      </c>
      <c r="B240" s="40">
        <v>1902189.0</v>
      </c>
      <c r="C240" s="40">
        <v>17.0</v>
      </c>
      <c r="D240" s="41">
        <v>45994.30014216436</v>
      </c>
    </row>
    <row r="241">
      <c r="A241" s="39" t="s">
        <v>263</v>
      </c>
      <c r="B241" s="40">
        <v>1905939.0</v>
      </c>
      <c r="C241" s="40">
        <v>0.0</v>
      </c>
      <c r="D241" s="41">
        <v>45997.71902351852</v>
      </c>
    </row>
    <row r="242">
      <c r="A242" s="39" t="s">
        <v>263</v>
      </c>
      <c r="B242" s="40">
        <v>1905940.0</v>
      </c>
      <c r="C242" s="40">
        <v>0.0</v>
      </c>
      <c r="D242" s="41">
        <v>45997.71903018518</v>
      </c>
    </row>
    <row r="243">
      <c r="A243" s="39" t="s">
        <v>263</v>
      </c>
      <c r="B243" s="40">
        <v>1905941.0</v>
      </c>
      <c r="C243" s="40">
        <v>0.0</v>
      </c>
      <c r="D243" s="41">
        <v>45997.71904053241</v>
      </c>
    </row>
    <row r="244">
      <c r="A244" s="39" t="s">
        <v>264</v>
      </c>
      <c r="B244" s="40">
        <v>1871498.0</v>
      </c>
      <c r="C244" s="40">
        <v>10.0</v>
      </c>
      <c r="D244" s="41">
        <v>45972.57240959491</v>
      </c>
    </row>
    <row r="245">
      <c r="A245" s="39" t="s">
        <v>264</v>
      </c>
      <c r="B245" s="40">
        <v>1871500.0</v>
      </c>
      <c r="C245" s="40">
        <v>0.0</v>
      </c>
      <c r="D245" s="41">
        <v>45968.48359679398</v>
      </c>
    </row>
    <row r="246">
      <c r="A246" s="39" t="s">
        <v>264</v>
      </c>
      <c r="B246" s="40">
        <v>1871501.0</v>
      </c>
      <c r="C246" s="40">
        <v>0.0</v>
      </c>
      <c r="D246" s="41">
        <v>45968.48360767361</v>
      </c>
    </row>
    <row r="247">
      <c r="A247" s="39" t="s">
        <v>264</v>
      </c>
      <c r="B247" s="40">
        <v>1871522.0</v>
      </c>
      <c r="C247" s="40">
        <v>0.0</v>
      </c>
      <c r="D247" s="41">
        <v>45968.48361300926</v>
      </c>
    </row>
    <row r="248">
      <c r="A248" s="39" t="s">
        <v>264</v>
      </c>
      <c r="B248" s="40">
        <v>1871525.0</v>
      </c>
      <c r="C248" s="40">
        <v>0.0</v>
      </c>
      <c r="D248" s="41">
        <v>45968.48361550926</v>
      </c>
    </row>
    <row r="249">
      <c r="A249" s="39" t="s">
        <v>264</v>
      </c>
      <c r="B249" s="40">
        <v>1873080.0</v>
      </c>
      <c r="C249" s="40">
        <v>0.0</v>
      </c>
      <c r="D249" s="41">
        <v>45968.483621377316</v>
      </c>
    </row>
    <row r="250">
      <c r="A250" s="39" t="s">
        <v>264</v>
      </c>
      <c r="B250" s="40">
        <v>1873081.0</v>
      </c>
      <c r="C250" s="40">
        <v>0.0</v>
      </c>
      <c r="D250" s="41">
        <v>45968.483628946764</v>
      </c>
    </row>
    <row r="251">
      <c r="A251" s="39" t="s">
        <v>264</v>
      </c>
      <c r="B251" s="40">
        <v>1873082.0</v>
      </c>
      <c r="C251" s="40">
        <v>0.0</v>
      </c>
      <c r="D251" s="41">
        <v>45968.48364722222</v>
      </c>
    </row>
    <row r="252">
      <c r="A252" s="39" t="s">
        <v>264</v>
      </c>
      <c r="B252" s="40">
        <v>1873083.0</v>
      </c>
      <c r="C252" s="40">
        <v>0.0</v>
      </c>
      <c r="D252" s="41">
        <v>45968.48364975695</v>
      </c>
    </row>
    <row r="253">
      <c r="A253" s="39" t="s">
        <v>264</v>
      </c>
      <c r="B253" s="40">
        <v>1873084.0</v>
      </c>
      <c r="C253" s="40">
        <v>0.0</v>
      </c>
      <c r="D253" s="41">
        <v>45968.483660625</v>
      </c>
    </row>
    <row r="254">
      <c r="A254" s="39" t="s">
        <v>264</v>
      </c>
      <c r="B254" s="40">
        <v>1880186.0</v>
      </c>
      <c r="C254" s="40">
        <v>0.0</v>
      </c>
      <c r="D254" s="41">
        <v>45969.72047858796</v>
      </c>
    </row>
    <row r="255">
      <c r="A255" s="39" t="s">
        <v>264</v>
      </c>
      <c r="B255" s="40">
        <v>1880188.0</v>
      </c>
      <c r="C255" s="40">
        <v>0.0</v>
      </c>
      <c r="D255" s="41">
        <v>45969.72048069444</v>
      </c>
    </row>
    <row r="256">
      <c r="A256" s="39" t="s">
        <v>264</v>
      </c>
      <c r="B256" s="40">
        <v>1880189.0</v>
      </c>
      <c r="C256" s="40">
        <v>0.0</v>
      </c>
      <c r="D256" s="41">
        <v>45969.72048297454</v>
      </c>
    </row>
    <row r="257">
      <c r="A257" s="39" t="s">
        <v>264</v>
      </c>
      <c r="B257" s="40">
        <v>1880191.0</v>
      </c>
      <c r="C257" s="40">
        <v>0.0</v>
      </c>
      <c r="D257" s="41">
        <v>45969.72048516203</v>
      </c>
    </row>
    <row r="258">
      <c r="A258" s="39" t="s">
        <v>264</v>
      </c>
      <c r="B258" s="40">
        <v>1880677.0</v>
      </c>
      <c r="C258" s="40">
        <v>0.0</v>
      </c>
      <c r="D258" s="41">
        <v>45969.72048798611</v>
      </c>
    </row>
    <row r="259">
      <c r="A259" s="39" t="s">
        <v>264</v>
      </c>
      <c r="B259" s="40">
        <v>1892424.0</v>
      </c>
      <c r="C259" s="40">
        <v>0.0</v>
      </c>
      <c r="D259" s="41">
        <v>45972.37414893518</v>
      </c>
    </row>
    <row r="260">
      <c r="A260" s="39" t="s">
        <v>264</v>
      </c>
      <c r="B260" s="40">
        <v>1892425.0</v>
      </c>
      <c r="C260" s="40">
        <v>0.0</v>
      </c>
      <c r="D260" s="41">
        <v>45976.716244930554</v>
      </c>
    </row>
    <row r="261">
      <c r="A261" s="39" t="s">
        <v>264</v>
      </c>
      <c r="B261" s="40">
        <v>1892426.0</v>
      </c>
      <c r="C261" s="40">
        <v>0.0</v>
      </c>
      <c r="D261" s="41">
        <v>45976.71624688657</v>
      </c>
    </row>
    <row r="262">
      <c r="A262" s="39" t="s">
        <v>264</v>
      </c>
      <c r="B262" s="40">
        <v>1892427.0</v>
      </c>
      <c r="C262" s="40">
        <v>0.0</v>
      </c>
      <c r="D262" s="41">
        <v>45979.619756851855</v>
      </c>
    </row>
    <row r="263">
      <c r="A263" s="39" t="s">
        <v>264</v>
      </c>
      <c r="B263" s="40">
        <v>1892428.0</v>
      </c>
      <c r="C263" s="40">
        <v>0.0</v>
      </c>
      <c r="D263" s="41">
        <v>45976.71624900463</v>
      </c>
    </row>
    <row r="264">
      <c r="A264" s="39" t="s">
        <v>264</v>
      </c>
      <c r="B264" s="40">
        <v>1902189.0</v>
      </c>
      <c r="C264" s="40">
        <v>0.0</v>
      </c>
      <c r="D264" s="41">
        <v>45992.42381015046</v>
      </c>
    </row>
    <row r="265">
      <c r="A265" s="39" t="s">
        <v>264</v>
      </c>
      <c r="B265" s="40">
        <v>1905937.0</v>
      </c>
      <c r="C265" s="40">
        <v>0.0</v>
      </c>
      <c r="D265" s="41">
        <v>45997.71904416667</v>
      </c>
    </row>
    <row r="266">
      <c r="A266" s="39" t="s">
        <v>264</v>
      </c>
      <c r="B266" s="40">
        <v>1905938.0</v>
      </c>
      <c r="C266" s="40">
        <v>0.0</v>
      </c>
      <c r="D266" s="41">
        <v>45997.719047743056</v>
      </c>
    </row>
    <row r="267">
      <c r="A267" s="39" t="s">
        <v>264</v>
      </c>
      <c r="B267" s="40">
        <v>1905939.0</v>
      </c>
      <c r="C267" s="40">
        <v>0.0</v>
      </c>
      <c r="D267" s="41">
        <v>45997.71905136574</v>
      </c>
    </row>
    <row r="268">
      <c r="A268" s="39" t="s">
        <v>264</v>
      </c>
      <c r="B268" s="40">
        <v>1905940.0</v>
      </c>
      <c r="C268" s="40">
        <v>0.0</v>
      </c>
      <c r="D268" s="41">
        <v>45997.71905616898</v>
      </c>
    </row>
    <row r="269">
      <c r="A269" s="39" t="s">
        <v>264</v>
      </c>
      <c r="B269" s="40">
        <v>1905941.0</v>
      </c>
      <c r="C269" s="40">
        <v>0.0</v>
      </c>
      <c r="D269" s="41">
        <v>45997.71905994213</v>
      </c>
    </row>
    <row r="270">
      <c r="A270" s="39" t="s">
        <v>265</v>
      </c>
      <c r="B270" s="40">
        <v>1871498.0</v>
      </c>
      <c r="C270" s="40">
        <v>10.0</v>
      </c>
      <c r="D270" s="41">
        <v>45968.48366331018</v>
      </c>
    </row>
    <row r="271">
      <c r="A271" s="39" t="s">
        <v>265</v>
      </c>
      <c r="B271" s="40">
        <v>1871500.0</v>
      </c>
      <c r="C271" s="40">
        <v>0.0</v>
      </c>
      <c r="D271" s="41">
        <v>45968.48366621528</v>
      </c>
    </row>
    <row r="272">
      <c r="A272" s="39" t="s">
        <v>265</v>
      </c>
      <c r="B272" s="40">
        <v>1871501.0</v>
      </c>
      <c r="C272" s="40">
        <v>0.0</v>
      </c>
      <c r="D272" s="41">
        <v>45968.48366873842</v>
      </c>
    </row>
    <row r="273">
      <c r="A273" s="39" t="s">
        <v>265</v>
      </c>
      <c r="B273" s="40">
        <v>1871522.0</v>
      </c>
      <c r="C273" s="40">
        <v>0.0</v>
      </c>
      <c r="D273" s="41">
        <v>45968.48367113426</v>
      </c>
    </row>
    <row r="274">
      <c r="A274" s="39" t="s">
        <v>265</v>
      </c>
      <c r="B274" s="40">
        <v>1871525.0</v>
      </c>
      <c r="C274" s="40">
        <v>0.0</v>
      </c>
      <c r="D274" s="41">
        <v>45968.483673483795</v>
      </c>
    </row>
    <row r="275">
      <c r="A275" s="39" t="s">
        <v>265</v>
      </c>
      <c r="B275" s="40">
        <v>1873080.0</v>
      </c>
      <c r="C275" s="40">
        <v>10.0</v>
      </c>
      <c r="D275" s="41">
        <v>45968.48367583333</v>
      </c>
    </row>
    <row r="276">
      <c r="A276" s="39" t="s">
        <v>265</v>
      </c>
      <c r="B276" s="40">
        <v>1873081.0</v>
      </c>
      <c r="C276" s="40">
        <v>0.0</v>
      </c>
      <c r="D276" s="41">
        <v>45968.48367829861</v>
      </c>
    </row>
    <row r="277">
      <c r="A277" s="39" t="s">
        <v>265</v>
      </c>
      <c r="B277" s="40">
        <v>1873082.0</v>
      </c>
      <c r="C277" s="40">
        <v>4.0</v>
      </c>
      <c r="D277" s="41">
        <v>45968.48368215278</v>
      </c>
    </row>
    <row r="278">
      <c r="A278" s="39" t="s">
        <v>265</v>
      </c>
      <c r="B278" s="40">
        <v>1873083.0</v>
      </c>
      <c r="C278" s="40">
        <v>0.0</v>
      </c>
      <c r="D278" s="41">
        <v>45968.48368532407</v>
      </c>
    </row>
    <row r="279">
      <c r="A279" s="39" t="s">
        <v>265</v>
      </c>
      <c r="B279" s="40">
        <v>1873084.0</v>
      </c>
      <c r="C279" s="40">
        <v>0.0</v>
      </c>
      <c r="D279" s="41">
        <v>45968.4836877662</v>
      </c>
    </row>
    <row r="280">
      <c r="A280" s="39" t="s">
        <v>265</v>
      </c>
      <c r="B280" s="40">
        <v>1880186.0</v>
      </c>
      <c r="C280" s="40">
        <v>0.0</v>
      </c>
      <c r="D280" s="41">
        <v>45969.72049061343</v>
      </c>
    </row>
    <row r="281">
      <c r="A281" s="39" t="s">
        <v>265</v>
      </c>
      <c r="B281" s="40">
        <v>1880188.0</v>
      </c>
      <c r="C281" s="40">
        <v>0.0</v>
      </c>
      <c r="D281" s="41">
        <v>45969.720493009256</v>
      </c>
    </row>
    <row r="282">
      <c r="A282" s="39" t="s">
        <v>265</v>
      </c>
      <c r="B282" s="40">
        <v>1880189.0</v>
      </c>
      <c r="C282" s="40">
        <v>0.0</v>
      </c>
      <c r="D282" s="41">
        <v>45969.72049651621</v>
      </c>
    </row>
    <row r="283">
      <c r="A283" s="39" t="s">
        <v>265</v>
      </c>
      <c r="B283" s="40">
        <v>1880191.0</v>
      </c>
      <c r="C283" s="40">
        <v>0.0</v>
      </c>
      <c r="D283" s="41">
        <v>45969.720498553244</v>
      </c>
    </row>
    <row r="284">
      <c r="A284" s="39" t="s">
        <v>265</v>
      </c>
      <c r="B284" s="40">
        <v>1880677.0</v>
      </c>
      <c r="C284" s="40">
        <v>0.0</v>
      </c>
      <c r="D284" s="41">
        <v>45969.720500752315</v>
      </c>
    </row>
    <row r="285">
      <c r="A285" s="39" t="s">
        <v>265</v>
      </c>
      <c r="B285" s="40">
        <v>1892424.0</v>
      </c>
      <c r="C285" s="40">
        <v>0.0</v>
      </c>
      <c r="D285" s="41">
        <v>45972.374151296295</v>
      </c>
    </row>
    <row r="286">
      <c r="A286" s="39" t="s">
        <v>265</v>
      </c>
      <c r="B286" s="40">
        <v>1892425.0</v>
      </c>
      <c r="C286" s="40">
        <v>0.0</v>
      </c>
      <c r="D286" s="41">
        <v>45976.71625136574</v>
      </c>
    </row>
    <row r="287">
      <c r="A287" s="39" t="s">
        <v>265</v>
      </c>
      <c r="B287" s="40">
        <v>1892426.0</v>
      </c>
      <c r="C287" s="40">
        <v>0.0</v>
      </c>
      <c r="D287" s="41">
        <v>45976.71625331018</v>
      </c>
    </row>
    <row r="288">
      <c r="A288" s="39" t="s">
        <v>265</v>
      </c>
      <c r="B288" s="40">
        <v>1892427.0</v>
      </c>
      <c r="C288" s="40">
        <v>0.0</v>
      </c>
      <c r="D288" s="41">
        <v>45979.61976055556</v>
      </c>
    </row>
    <row r="289">
      <c r="A289" s="39" t="s">
        <v>265</v>
      </c>
      <c r="B289" s="40">
        <v>1892428.0</v>
      </c>
      <c r="C289" s="40">
        <v>0.0</v>
      </c>
      <c r="D289" s="41">
        <v>45976.71625489583</v>
      </c>
    </row>
    <row r="290">
      <c r="A290" s="39" t="s">
        <v>265</v>
      </c>
      <c r="B290" s="40">
        <v>1902189.0</v>
      </c>
      <c r="C290" s="40">
        <v>33.0</v>
      </c>
      <c r="D290" s="41">
        <v>45994.300145347224</v>
      </c>
    </row>
    <row r="291">
      <c r="A291" s="39" t="s">
        <v>265</v>
      </c>
      <c r="B291" s="40">
        <v>1905938.0</v>
      </c>
      <c r="C291" s="40">
        <v>0.0</v>
      </c>
      <c r="D291" s="41">
        <v>45997.71907068287</v>
      </c>
    </row>
    <row r="292">
      <c r="A292" s="39" t="s">
        <v>265</v>
      </c>
      <c r="B292" s="40">
        <v>1905939.0</v>
      </c>
      <c r="C292" s="40">
        <v>0.0</v>
      </c>
      <c r="D292" s="41">
        <v>45997.71907533565</v>
      </c>
    </row>
    <row r="293">
      <c r="A293" s="39" t="s">
        <v>265</v>
      </c>
      <c r="B293" s="40">
        <v>1905940.0</v>
      </c>
      <c r="C293" s="40">
        <v>0.0</v>
      </c>
      <c r="D293" s="41">
        <v>45997.719080104165</v>
      </c>
    </row>
    <row r="294">
      <c r="A294" s="39" t="s">
        <v>265</v>
      </c>
      <c r="B294" s="40">
        <v>1905941.0</v>
      </c>
      <c r="C294" s="40">
        <v>0.0</v>
      </c>
      <c r="D294" s="41">
        <v>45997.71908700232</v>
      </c>
    </row>
    <row r="295">
      <c r="A295" s="39" t="s">
        <v>266</v>
      </c>
      <c r="B295" s="40">
        <v>1871498.0</v>
      </c>
      <c r="C295" s="40">
        <v>10.0</v>
      </c>
      <c r="D295" s="41">
        <v>45974.620693634264</v>
      </c>
    </row>
    <row r="296">
      <c r="A296" s="39" t="s">
        <v>266</v>
      </c>
      <c r="B296" s="40">
        <v>1871500.0</v>
      </c>
      <c r="C296" s="40">
        <v>4.0</v>
      </c>
      <c r="D296" s="41">
        <v>45974.63051096065</v>
      </c>
    </row>
    <row r="297">
      <c r="A297" s="39" t="s">
        <v>266</v>
      </c>
      <c r="B297" s="40">
        <v>1871501.0</v>
      </c>
      <c r="C297" s="40">
        <v>8.0</v>
      </c>
      <c r="D297" s="41">
        <v>45974.64112784722</v>
      </c>
    </row>
    <row r="298">
      <c r="A298" s="39" t="s">
        <v>266</v>
      </c>
      <c r="B298" s="40">
        <v>1871522.0</v>
      </c>
      <c r="C298" s="40">
        <v>0.0</v>
      </c>
      <c r="D298" s="41">
        <v>45968.48372037037</v>
      </c>
    </row>
    <row r="299">
      <c r="A299" s="39" t="s">
        <v>266</v>
      </c>
      <c r="B299" s="40">
        <v>1871525.0</v>
      </c>
      <c r="C299" s="40">
        <v>7.0</v>
      </c>
      <c r="D299" s="41">
        <v>45979.837793796294</v>
      </c>
    </row>
    <row r="300">
      <c r="A300" s="39" t="s">
        <v>266</v>
      </c>
      <c r="B300" s="40">
        <v>1873080.0</v>
      </c>
      <c r="C300" s="40">
        <v>10.0</v>
      </c>
      <c r="D300" s="41">
        <v>45968.48372538194</v>
      </c>
    </row>
    <row r="301">
      <c r="A301" s="39" t="s">
        <v>266</v>
      </c>
      <c r="B301" s="40">
        <v>1873081.0</v>
      </c>
      <c r="C301" s="40">
        <v>11.0</v>
      </c>
      <c r="D301" s="41">
        <v>45968.483727893516</v>
      </c>
    </row>
    <row r="302">
      <c r="A302" s="39" t="s">
        <v>266</v>
      </c>
      <c r="B302" s="40">
        <v>1873082.0</v>
      </c>
      <c r="C302" s="40">
        <v>8.0</v>
      </c>
      <c r="D302" s="41">
        <v>45979.83779664352</v>
      </c>
    </row>
    <row r="303">
      <c r="A303" s="39" t="s">
        <v>266</v>
      </c>
      <c r="B303" s="40">
        <v>1873083.0</v>
      </c>
      <c r="C303" s="40">
        <v>0.0</v>
      </c>
      <c r="D303" s="41">
        <v>45968.48373258102</v>
      </c>
    </row>
    <row r="304">
      <c r="A304" s="39" t="s">
        <v>266</v>
      </c>
      <c r="B304" s="40">
        <v>1873084.0</v>
      </c>
      <c r="C304" s="40">
        <v>10.0</v>
      </c>
      <c r="D304" s="41">
        <v>45980.29608777778</v>
      </c>
    </row>
    <row r="305">
      <c r="A305" s="39" t="s">
        <v>266</v>
      </c>
      <c r="B305" s="40">
        <v>1880186.0</v>
      </c>
      <c r="C305" s="40">
        <v>10.0</v>
      </c>
      <c r="D305" s="41">
        <v>45980.83789818287</v>
      </c>
    </row>
    <row r="306">
      <c r="A306" s="39" t="s">
        <v>266</v>
      </c>
      <c r="B306" s="40">
        <v>1880191.0</v>
      </c>
      <c r="C306" s="40">
        <v>0.0</v>
      </c>
      <c r="D306" s="41">
        <v>45969.720511770836</v>
      </c>
    </row>
    <row r="307">
      <c r="A307" s="39" t="s">
        <v>266</v>
      </c>
      <c r="B307" s="40">
        <v>1880677.0</v>
      </c>
      <c r="C307" s="40">
        <v>10.0</v>
      </c>
      <c r="D307" s="41">
        <v>45980.86928482639</v>
      </c>
    </row>
    <row r="308">
      <c r="A308" s="39" t="s">
        <v>266</v>
      </c>
      <c r="B308" s="40">
        <v>1892424.0</v>
      </c>
      <c r="C308" s="40">
        <v>0.0</v>
      </c>
      <c r="D308" s="41">
        <v>45972.37415553241</v>
      </c>
    </row>
    <row r="309">
      <c r="A309" s="39" t="s">
        <v>266</v>
      </c>
      <c r="B309" s="40">
        <v>1892425.0</v>
      </c>
      <c r="C309" s="40">
        <v>0.0</v>
      </c>
      <c r="D309" s="41">
        <v>45976.7162571875</v>
      </c>
    </row>
    <row r="310">
      <c r="A310" s="39" t="s">
        <v>266</v>
      </c>
      <c r="B310" s="40">
        <v>1892426.0</v>
      </c>
      <c r="C310" s="40">
        <v>0.0</v>
      </c>
      <c r="D310" s="41">
        <v>45976.71626190972</v>
      </c>
    </row>
    <row r="311">
      <c r="A311" s="39" t="s">
        <v>266</v>
      </c>
      <c r="B311" s="40">
        <v>1892427.0</v>
      </c>
      <c r="C311" s="40">
        <v>0.0</v>
      </c>
      <c r="D311" s="41">
        <v>45979.619763877316</v>
      </c>
    </row>
    <row r="312">
      <c r="A312" s="39" t="s">
        <v>266</v>
      </c>
      <c r="B312" s="40">
        <v>1892428.0</v>
      </c>
      <c r="C312" s="40">
        <v>0.0</v>
      </c>
      <c r="D312" s="41">
        <v>45976.716265787036</v>
      </c>
    </row>
    <row r="313">
      <c r="A313" s="39" t="s">
        <v>266</v>
      </c>
      <c r="B313" s="40">
        <v>1902189.0</v>
      </c>
      <c r="C313" s="40">
        <v>0.0</v>
      </c>
      <c r="D313" s="41">
        <v>45992.42382859954</v>
      </c>
    </row>
    <row r="314">
      <c r="A314" s="39" t="s">
        <v>266</v>
      </c>
      <c r="B314" s="40">
        <v>1905937.0</v>
      </c>
      <c r="C314" s="40">
        <v>0.0</v>
      </c>
      <c r="D314" s="41">
        <v>45997.719107349534</v>
      </c>
    </row>
    <row r="315">
      <c r="A315" s="39" t="s">
        <v>266</v>
      </c>
      <c r="B315" s="40">
        <v>1905939.0</v>
      </c>
      <c r="C315" s="40">
        <v>0.0</v>
      </c>
      <c r="D315" s="41">
        <v>45997.71911489584</v>
      </c>
    </row>
    <row r="316">
      <c r="A316" s="39" t="s">
        <v>266</v>
      </c>
      <c r="B316" s="40">
        <v>1905940.0</v>
      </c>
      <c r="C316" s="40">
        <v>0.0</v>
      </c>
      <c r="D316" s="41">
        <v>45997.71911835649</v>
      </c>
    </row>
    <row r="317">
      <c r="A317" s="39" t="s">
        <v>266</v>
      </c>
      <c r="B317" s="40">
        <v>1905941.0</v>
      </c>
      <c r="C317" s="40">
        <v>0.0</v>
      </c>
      <c r="D317" s="41">
        <v>45997.7191228588</v>
      </c>
    </row>
    <row r="318">
      <c r="A318" s="39" t="s">
        <v>267</v>
      </c>
      <c r="B318" s="40">
        <v>1871498.0</v>
      </c>
      <c r="C318" s="40">
        <v>0.0</v>
      </c>
      <c r="D318" s="41">
        <v>45968.48374027778</v>
      </c>
    </row>
    <row r="319">
      <c r="A319" s="39" t="s">
        <v>267</v>
      </c>
      <c r="B319" s="40">
        <v>1871500.0</v>
      </c>
      <c r="C319" s="40">
        <v>0.0</v>
      </c>
      <c r="D319" s="41">
        <v>45968.48374268519</v>
      </c>
    </row>
    <row r="320">
      <c r="A320" s="39" t="s">
        <v>267</v>
      </c>
      <c r="B320" s="40">
        <v>1871501.0</v>
      </c>
      <c r="C320" s="40">
        <v>0.0</v>
      </c>
      <c r="D320" s="41">
        <v>45968.48374502315</v>
      </c>
    </row>
    <row r="321">
      <c r="A321" s="39" t="s">
        <v>267</v>
      </c>
      <c r="B321" s="40">
        <v>1871522.0</v>
      </c>
      <c r="C321" s="40">
        <v>0.0</v>
      </c>
      <c r="D321" s="41">
        <v>45968.48375262732</v>
      </c>
    </row>
    <row r="322">
      <c r="A322" s="39" t="s">
        <v>267</v>
      </c>
      <c r="B322" s="40">
        <v>1871525.0</v>
      </c>
      <c r="C322" s="40">
        <v>0.0</v>
      </c>
      <c r="D322" s="41">
        <v>45968.48375526621</v>
      </c>
    </row>
    <row r="323">
      <c r="A323" s="39" t="s">
        <v>267</v>
      </c>
      <c r="B323" s="40">
        <v>1873080.0</v>
      </c>
      <c r="C323" s="40">
        <v>0.0</v>
      </c>
      <c r="D323" s="41">
        <v>45968.483757615744</v>
      </c>
    </row>
    <row r="324">
      <c r="A324" s="39" t="s">
        <v>267</v>
      </c>
      <c r="B324" s="40">
        <v>1873081.0</v>
      </c>
      <c r="C324" s="40">
        <v>0.0</v>
      </c>
      <c r="D324" s="41">
        <v>45968.48376001157</v>
      </c>
    </row>
    <row r="325">
      <c r="A325" s="39" t="s">
        <v>267</v>
      </c>
      <c r="B325" s="40">
        <v>1873082.0</v>
      </c>
      <c r="C325" s="40">
        <v>0.0</v>
      </c>
      <c r="D325" s="41">
        <v>45968.483765173616</v>
      </c>
    </row>
    <row r="326">
      <c r="A326" s="39" t="s">
        <v>267</v>
      </c>
      <c r="B326" s="40">
        <v>1873083.0</v>
      </c>
      <c r="C326" s="40">
        <v>0.0</v>
      </c>
      <c r="D326" s="41">
        <v>45968.48376821759</v>
      </c>
    </row>
    <row r="327">
      <c r="A327" s="39" t="s">
        <v>267</v>
      </c>
      <c r="B327" s="40">
        <v>1873084.0</v>
      </c>
      <c r="C327" s="40">
        <v>0.0</v>
      </c>
      <c r="D327" s="41">
        <v>45968.48377064815</v>
      </c>
    </row>
    <row r="328">
      <c r="A328" s="39" t="s">
        <v>267</v>
      </c>
      <c r="B328" s="40">
        <v>1880186.0</v>
      </c>
      <c r="C328" s="40">
        <v>0.0</v>
      </c>
      <c r="D328" s="41">
        <v>45969.72052059028</v>
      </c>
    </row>
    <row r="329">
      <c r="A329" s="39" t="s">
        <v>267</v>
      </c>
      <c r="B329" s="40">
        <v>1880188.0</v>
      </c>
      <c r="C329" s="40">
        <v>0.0</v>
      </c>
      <c r="D329" s="41">
        <v>45969.72052304399</v>
      </c>
    </row>
    <row r="330">
      <c r="A330" s="39" t="s">
        <v>267</v>
      </c>
      <c r="B330" s="40">
        <v>1880189.0</v>
      </c>
      <c r="C330" s="40">
        <v>0.0</v>
      </c>
      <c r="D330" s="41">
        <v>45969.72052523148</v>
      </c>
    </row>
    <row r="331">
      <c r="A331" s="39" t="s">
        <v>267</v>
      </c>
      <c r="B331" s="40">
        <v>1880191.0</v>
      </c>
      <c r="C331" s="40">
        <v>0.0</v>
      </c>
      <c r="D331" s="41">
        <v>45969.72052756944</v>
      </c>
    </row>
    <row r="332">
      <c r="A332" s="39" t="s">
        <v>267</v>
      </c>
      <c r="B332" s="40">
        <v>1880677.0</v>
      </c>
      <c r="C332" s="40">
        <v>0.0</v>
      </c>
      <c r="D332" s="41">
        <v>45969.72052983796</v>
      </c>
    </row>
    <row r="333">
      <c r="A333" s="39" t="s">
        <v>267</v>
      </c>
      <c r="B333" s="40">
        <v>1892424.0</v>
      </c>
      <c r="C333" s="40">
        <v>0.0</v>
      </c>
      <c r="D333" s="41">
        <v>45972.37415856481</v>
      </c>
    </row>
    <row r="334">
      <c r="A334" s="39" t="s">
        <v>267</v>
      </c>
      <c r="B334" s="40">
        <v>1892425.0</v>
      </c>
      <c r="C334" s="40">
        <v>0.0</v>
      </c>
      <c r="D334" s="41">
        <v>45976.71626771991</v>
      </c>
    </row>
    <row r="335">
      <c r="A335" s="39" t="s">
        <v>267</v>
      </c>
      <c r="B335" s="40">
        <v>1892426.0</v>
      </c>
      <c r="C335" s="40">
        <v>0.0</v>
      </c>
      <c r="D335" s="41">
        <v>45976.71626966435</v>
      </c>
    </row>
    <row r="336">
      <c r="A336" s="39" t="s">
        <v>267</v>
      </c>
      <c r="B336" s="40">
        <v>1892427.0</v>
      </c>
      <c r="C336" s="40">
        <v>0.0</v>
      </c>
      <c r="D336" s="41">
        <v>45979.61976734953</v>
      </c>
    </row>
    <row r="337">
      <c r="A337" s="39" t="s">
        <v>267</v>
      </c>
      <c r="B337" s="40">
        <v>1892428.0</v>
      </c>
      <c r="C337" s="40">
        <v>0.0</v>
      </c>
      <c r="D337" s="41">
        <v>45976.71627689815</v>
      </c>
    </row>
    <row r="338">
      <c r="A338" s="39" t="s">
        <v>267</v>
      </c>
      <c r="B338" s="40">
        <v>1902189.0</v>
      </c>
      <c r="C338" s="40">
        <v>0.0</v>
      </c>
      <c r="D338" s="41">
        <v>45992.4238328125</v>
      </c>
    </row>
    <row r="339">
      <c r="A339" s="39" t="s">
        <v>267</v>
      </c>
      <c r="B339" s="40">
        <v>1905937.0</v>
      </c>
      <c r="C339" s="40">
        <v>0.0</v>
      </c>
      <c r="D339" s="41">
        <v>45997.719201562504</v>
      </c>
    </row>
    <row r="340">
      <c r="A340" s="39" t="s">
        <v>267</v>
      </c>
      <c r="B340" s="40">
        <v>1905938.0</v>
      </c>
      <c r="C340" s="40">
        <v>0.0</v>
      </c>
      <c r="D340" s="41">
        <v>45997.71920572917</v>
      </c>
    </row>
    <row r="341">
      <c r="A341" s="39" t="s">
        <v>267</v>
      </c>
      <c r="B341" s="40">
        <v>1905939.0</v>
      </c>
      <c r="C341" s="40">
        <v>0.0</v>
      </c>
      <c r="D341" s="41">
        <v>45997.719210324074</v>
      </c>
    </row>
    <row r="342">
      <c r="A342" s="39" t="s">
        <v>267</v>
      </c>
      <c r="B342" s="40">
        <v>1905940.0</v>
      </c>
      <c r="C342" s="40">
        <v>0.0</v>
      </c>
      <c r="D342" s="41">
        <v>45997.719213958335</v>
      </c>
    </row>
    <row r="343">
      <c r="A343" s="39" t="s">
        <v>267</v>
      </c>
      <c r="B343" s="40">
        <v>1905941.0</v>
      </c>
      <c r="C343" s="40">
        <v>0.0</v>
      </c>
      <c r="D343" s="41">
        <v>45997.719218645834</v>
      </c>
    </row>
    <row r="344">
      <c r="A344" s="39" t="s">
        <v>268</v>
      </c>
      <c r="B344" s="40">
        <v>1871498.0</v>
      </c>
      <c r="C344" s="40">
        <v>10.0</v>
      </c>
      <c r="D344" s="41">
        <v>45968.483773009255</v>
      </c>
    </row>
    <row r="345">
      <c r="A345" s="39" t="s">
        <v>268</v>
      </c>
      <c r="B345" s="40">
        <v>1871500.0</v>
      </c>
      <c r="C345" s="40">
        <v>0.0</v>
      </c>
      <c r="D345" s="41">
        <v>45968.48377543982</v>
      </c>
    </row>
    <row r="346">
      <c r="A346" s="39" t="s">
        <v>268</v>
      </c>
      <c r="B346" s="40">
        <v>1871501.0</v>
      </c>
      <c r="C346" s="40">
        <v>0.0</v>
      </c>
      <c r="D346" s="41">
        <v>45968.48378368055</v>
      </c>
    </row>
    <row r="347">
      <c r="A347" s="39" t="s">
        <v>268</v>
      </c>
      <c r="B347" s="40">
        <v>1871522.0</v>
      </c>
      <c r="C347" s="40">
        <v>0.0</v>
      </c>
      <c r="D347" s="41">
        <v>45968.48379086806</v>
      </c>
    </row>
    <row r="348">
      <c r="A348" s="39" t="s">
        <v>268</v>
      </c>
      <c r="B348" s="40">
        <v>1871525.0</v>
      </c>
      <c r="C348" s="40">
        <v>0.0</v>
      </c>
      <c r="D348" s="41">
        <v>45968.48379342593</v>
      </c>
    </row>
    <row r="349">
      <c r="A349" s="39" t="s">
        <v>268</v>
      </c>
      <c r="B349" s="40">
        <v>1873080.0</v>
      </c>
      <c r="C349" s="40">
        <v>10.0</v>
      </c>
      <c r="D349" s="41">
        <v>45968.483796030094</v>
      </c>
    </row>
    <row r="350">
      <c r="A350" s="39" t="s">
        <v>268</v>
      </c>
      <c r="B350" s="40">
        <v>1873081.0</v>
      </c>
      <c r="C350" s="40">
        <v>0.0</v>
      </c>
      <c r="D350" s="41">
        <v>45968.48380144676</v>
      </c>
    </row>
    <row r="351">
      <c r="A351" s="39" t="s">
        <v>268</v>
      </c>
      <c r="B351" s="40">
        <v>1873082.0</v>
      </c>
      <c r="C351" s="40">
        <v>0.0</v>
      </c>
      <c r="D351" s="41">
        <v>45968.48380696759</v>
      </c>
    </row>
    <row r="352">
      <c r="A352" s="39" t="s">
        <v>268</v>
      </c>
      <c r="B352" s="40">
        <v>1873083.0</v>
      </c>
      <c r="C352" s="40">
        <v>0.0</v>
      </c>
      <c r="D352" s="41">
        <v>45968.48380983796</v>
      </c>
    </row>
    <row r="353">
      <c r="A353" s="39" t="s">
        <v>268</v>
      </c>
      <c r="B353" s="40">
        <v>1873084.0</v>
      </c>
      <c r="C353" s="40">
        <v>0.0</v>
      </c>
      <c r="D353" s="41">
        <v>45968.48381240741</v>
      </c>
    </row>
    <row r="354">
      <c r="A354" s="39" t="s">
        <v>268</v>
      </c>
      <c r="B354" s="40">
        <v>1880186.0</v>
      </c>
      <c r="C354" s="40">
        <v>0.0</v>
      </c>
      <c r="D354" s="41">
        <v>45969.7205321875</v>
      </c>
    </row>
    <row r="355">
      <c r="A355" s="39" t="s">
        <v>268</v>
      </c>
      <c r="B355" s="40">
        <v>1880188.0</v>
      </c>
      <c r="C355" s="40">
        <v>0.0</v>
      </c>
      <c r="D355" s="41">
        <v>45969.720539305556</v>
      </c>
    </row>
    <row r="356">
      <c r="A356" s="39" t="s">
        <v>268</v>
      </c>
      <c r="B356" s="40">
        <v>1880189.0</v>
      </c>
      <c r="C356" s="40">
        <v>0.0</v>
      </c>
      <c r="D356" s="41">
        <v>45969.72054190972</v>
      </c>
    </row>
    <row r="357">
      <c r="A357" s="39" t="s">
        <v>268</v>
      </c>
      <c r="B357" s="40">
        <v>1880191.0</v>
      </c>
      <c r="C357" s="40">
        <v>0.0</v>
      </c>
      <c r="D357" s="41">
        <v>45969.72055604166</v>
      </c>
    </row>
    <row r="358">
      <c r="A358" s="39" t="s">
        <v>268</v>
      </c>
      <c r="B358" s="40">
        <v>1880677.0</v>
      </c>
      <c r="C358" s="40">
        <v>0.0</v>
      </c>
      <c r="D358" s="41">
        <v>45969.72055790509</v>
      </c>
    </row>
    <row r="359">
      <c r="A359" s="39" t="s">
        <v>268</v>
      </c>
      <c r="B359" s="40">
        <v>1892424.0</v>
      </c>
      <c r="C359" s="40">
        <v>0.0</v>
      </c>
      <c r="D359" s="41">
        <v>45972.374160520834</v>
      </c>
    </row>
    <row r="360">
      <c r="A360" s="39" t="s">
        <v>268</v>
      </c>
      <c r="B360" s="40">
        <v>1892425.0</v>
      </c>
      <c r="C360" s="40">
        <v>0.0</v>
      </c>
      <c r="D360" s="41">
        <v>45976.71627824074</v>
      </c>
    </row>
    <row r="361">
      <c r="A361" s="39" t="s">
        <v>268</v>
      </c>
      <c r="B361" s="40">
        <v>1892426.0</v>
      </c>
      <c r="C361" s="40">
        <v>0.0</v>
      </c>
      <c r="D361" s="41">
        <v>45976.71627979167</v>
      </c>
    </row>
    <row r="362">
      <c r="A362" s="39" t="s">
        <v>268</v>
      </c>
      <c r="B362" s="40">
        <v>1892427.0</v>
      </c>
      <c r="C362" s="40">
        <v>0.0</v>
      </c>
      <c r="D362" s="41">
        <v>45979.61977024305</v>
      </c>
    </row>
    <row r="363">
      <c r="A363" s="39" t="s">
        <v>268</v>
      </c>
      <c r="B363" s="40">
        <v>1892428.0</v>
      </c>
      <c r="C363" s="40">
        <v>0.0</v>
      </c>
      <c r="D363" s="41">
        <v>45976.716281932866</v>
      </c>
    </row>
    <row r="364">
      <c r="A364" s="39" t="s">
        <v>268</v>
      </c>
      <c r="B364" s="40">
        <v>1902189.0</v>
      </c>
      <c r="C364" s="40">
        <v>0.0</v>
      </c>
      <c r="D364" s="41">
        <v>45992.42383636574</v>
      </c>
    </row>
    <row r="365">
      <c r="A365" s="39" t="s">
        <v>268</v>
      </c>
      <c r="B365" s="40">
        <v>1905938.0</v>
      </c>
      <c r="C365" s="40">
        <v>0.0</v>
      </c>
      <c r="D365" s="41">
        <v>45997.719232800926</v>
      </c>
    </row>
    <row r="366">
      <c r="A366" s="39" t="s">
        <v>268</v>
      </c>
      <c r="B366" s="40">
        <v>1905939.0</v>
      </c>
      <c r="C366" s="40">
        <v>0.0</v>
      </c>
      <c r="D366" s="41">
        <v>45997.71923635417</v>
      </c>
    </row>
    <row r="367">
      <c r="A367" s="39" t="s">
        <v>268</v>
      </c>
      <c r="B367" s="40">
        <v>1905940.0</v>
      </c>
      <c r="C367" s="40">
        <v>0.0</v>
      </c>
      <c r="D367" s="41">
        <v>45997.71923967593</v>
      </c>
    </row>
    <row r="368">
      <c r="A368" s="39" t="s">
        <v>268</v>
      </c>
      <c r="B368" s="40">
        <v>1905941.0</v>
      </c>
      <c r="C368" s="40">
        <v>0.0</v>
      </c>
      <c r="D368" s="41">
        <v>45997.719243472224</v>
      </c>
    </row>
    <row r="369">
      <c r="A369" s="39" t="s">
        <v>269</v>
      </c>
      <c r="B369" s="40">
        <v>1871498.0</v>
      </c>
      <c r="C369" s="40">
        <v>0.0</v>
      </c>
      <c r="D369" s="41">
        <v>45968.48381534722</v>
      </c>
    </row>
    <row r="370">
      <c r="A370" s="39" t="s">
        <v>269</v>
      </c>
      <c r="B370" s="40">
        <v>1871500.0</v>
      </c>
      <c r="C370" s="40">
        <v>0.0</v>
      </c>
      <c r="D370" s="41">
        <v>45968.48381769676</v>
      </c>
    </row>
    <row r="371">
      <c r="A371" s="39" t="s">
        <v>269</v>
      </c>
      <c r="B371" s="40">
        <v>1871501.0</v>
      </c>
      <c r="C371" s="40">
        <v>0.0</v>
      </c>
      <c r="D371" s="41">
        <v>45968.48382003472</v>
      </c>
    </row>
    <row r="372">
      <c r="A372" s="39" t="s">
        <v>269</v>
      </c>
      <c r="B372" s="40">
        <v>1871522.0</v>
      </c>
      <c r="C372" s="40">
        <v>0.0</v>
      </c>
      <c r="D372" s="41">
        <v>45968.483822685186</v>
      </c>
    </row>
    <row r="373">
      <c r="A373" s="39" t="s">
        <v>269</v>
      </c>
      <c r="B373" s="40">
        <v>1871525.0</v>
      </c>
      <c r="C373" s="40">
        <v>0.0</v>
      </c>
      <c r="D373" s="41">
        <v>45968.48382519676</v>
      </c>
    </row>
    <row r="374">
      <c r="A374" s="39" t="s">
        <v>269</v>
      </c>
      <c r="B374" s="40">
        <v>1873080.0</v>
      </c>
      <c r="C374" s="40">
        <v>10.0</v>
      </c>
      <c r="D374" s="41">
        <v>45972.57241163195</v>
      </c>
    </row>
    <row r="375">
      <c r="A375" s="39" t="s">
        <v>269</v>
      </c>
      <c r="B375" s="40">
        <v>1873081.0</v>
      </c>
      <c r="C375" s="40">
        <v>0.0</v>
      </c>
      <c r="D375" s="41">
        <v>45968.48383006944</v>
      </c>
    </row>
    <row r="376">
      <c r="A376" s="39" t="s">
        <v>269</v>
      </c>
      <c r="B376" s="40">
        <v>1873082.0</v>
      </c>
      <c r="C376" s="40">
        <v>0.0</v>
      </c>
      <c r="D376" s="41">
        <v>45968.483832673606</v>
      </c>
    </row>
    <row r="377">
      <c r="A377" s="39" t="s">
        <v>269</v>
      </c>
      <c r="B377" s="40">
        <v>1873083.0</v>
      </c>
      <c r="C377" s="40">
        <v>0.0</v>
      </c>
      <c r="D377" s="41">
        <v>45968.48383503473</v>
      </c>
    </row>
    <row r="378">
      <c r="A378" s="39" t="s">
        <v>269</v>
      </c>
      <c r="B378" s="40">
        <v>1873084.0</v>
      </c>
      <c r="C378" s="40">
        <v>0.0</v>
      </c>
      <c r="D378" s="41">
        <v>45968.48383758102</v>
      </c>
    </row>
    <row r="379">
      <c r="A379" s="39" t="s">
        <v>269</v>
      </c>
      <c r="B379" s="40">
        <v>1880186.0</v>
      </c>
      <c r="C379" s="40">
        <v>0.0</v>
      </c>
      <c r="D379" s="41">
        <v>45969.72055966435</v>
      </c>
    </row>
    <row r="380">
      <c r="A380" s="39" t="s">
        <v>269</v>
      </c>
      <c r="B380" s="40">
        <v>1880188.0</v>
      </c>
      <c r="C380" s="40">
        <v>0.0</v>
      </c>
      <c r="D380" s="41">
        <v>45969.72056729167</v>
      </c>
    </row>
    <row r="381">
      <c r="A381" s="39" t="s">
        <v>269</v>
      </c>
      <c r="B381" s="40">
        <v>1880189.0</v>
      </c>
      <c r="C381" s="40">
        <v>0.0</v>
      </c>
      <c r="D381" s="41">
        <v>45969.7205694213</v>
      </c>
    </row>
    <row r="382">
      <c r="A382" s="39" t="s">
        <v>269</v>
      </c>
      <c r="B382" s="40">
        <v>1880191.0</v>
      </c>
      <c r="C382" s="40">
        <v>0.0</v>
      </c>
      <c r="D382" s="41">
        <v>45969.72057121528</v>
      </c>
    </row>
    <row r="383">
      <c r="A383" s="39" t="s">
        <v>269</v>
      </c>
      <c r="B383" s="40">
        <v>1880677.0</v>
      </c>
      <c r="C383" s="40">
        <v>0.0</v>
      </c>
      <c r="D383" s="41">
        <v>45969.72057322916</v>
      </c>
    </row>
    <row r="384">
      <c r="A384" s="39" t="s">
        <v>269</v>
      </c>
      <c r="B384" s="40">
        <v>1892424.0</v>
      </c>
      <c r="C384" s="40">
        <v>10.0</v>
      </c>
      <c r="D384" s="41">
        <v>45974.454147638884</v>
      </c>
    </row>
    <row r="385">
      <c r="A385" s="39" t="s">
        <v>269</v>
      </c>
      <c r="B385" s="40">
        <v>1892425.0</v>
      </c>
      <c r="C385" s="40">
        <v>0.0</v>
      </c>
      <c r="D385" s="41">
        <v>45976.71628446759</v>
      </c>
    </row>
    <row r="386">
      <c r="A386" s="39" t="s">
        <v>269</v>
      </c>
      <c r="B386" s="40">
        <v>1892426.0</v>
      </c>
      <c r="C386" s="40">
        <v>0.0</v>
      </c>
      <c r="D386" s="41">
        <v>45976.71628625</v>
      </c>
    </row>
    <row r="387">
      <c r="A387" s="39" t="s">
        <v>269</v>
      </c>
      <c r="B387" s="40">
        <v>1892427.0</v>
      </c>
      <c r="C387" s="40">
        <v>0.0</v>
      </c>
      <c r="D387" s="41">
        <v>45979.61978469907</v>
      </c>
    </row>
    <row r="388">
      <c r="A388" s="39" t="s">
        <v>269</v>
      </c>
      <c r="B388" s="40">
        <v>1892428.0</v>
      </c>
      <c r="C388" s="40">
        <v>4.0</v>
      </c>
      <c r="D388" s="41">
        <v>45974.45415056713</v>
      </c>
    </row>
    <row r="389">
      <c r="A389" s="39" t="s">
        <v>269</v>
      </c>
      <c r="B389" s="40">
        <v>1902189.0</v>
      </c>
      <c r="C389" s="40">
        <v>0.0</v>
      </c>
      <c r="D389" s="41">
        <v>45992.42384072917</v>
      </c>
    </row>
    <row r="390">
      <c r="A390" s="39" t="s">
        <v>269</v>
      </c>
      <c r="B390" s="40">
        <v>1905937.0</v>
      </c>
      <c r="C390" s="40">
        <v>0.0</v>
      </c>
      <c r="D390" s="41">
        <v>45997.71924747685</v>
      </c>
    </row>
    <row r="391">
      <c r="A391" s="39" t="s">
        <v>269</v>
      </c>
      <c r="B391" s="40">
        <v>1905938.0</v>
      </c>
      <c r="C391" s="40">
        <v>0.0</v>
      </c>
      <c r="D391" s="41">
        <v>45997.719250740745</v>
      </c>
    </row>
    <row r="392">
      <c r="A392" s="39" t="s">
        <v>269</v>
      </c>
      <c r="B392" s="40">
        <v>1905939.0</v>
      </c>
      <c r="C392" s="40">
        <v>0.0</v>
      </c>
      <c r="D392" s="41">
        <v>45997.71925525463</v>
      </c>
    </row>
    <row r="393">
      <c r="A393" s="39" t="s">
        <v>269</v>
      </c>
      <c r="B393" s="40">
        <v>1905940.0</v>
      </c>
      <c r="C393" s="40">
        <v>0.0</v>
      </c>
      <c r="D393" s="41">
        <v>45997.71925872685</v>
      </c>
    </row>
    <row r="394">
      <c r="A394" s="39" t="s">
        <v>269</v>
      </c>
      <c r="B394" s="40">
        <v>1905941.0</v>
      </c>
      <c r="C394" s="40">
        <v>0.0</v>
      </c>
      <c r="D394" s="41">
        <v>45997.71926347222</v>
      </c>
    </row>
    <row r="395">
      <c r="A395" s="39" t="s">
        <v>270</v>
      </c>
      <c r="B395" s="40">
        <v>1871498.0</v>
      </c>
      <c r="C395" s="40">
        <v>10.0</v>
      </c>
      <c r="D395" s="41">
        <v>45968.5617341551</v>
      </c>
    </row>
    <row r="396">
      <c r="A396" s="39" t="s">
        <v>270</v>
      </c>
      <c r="B396" s="40">
        <v>1871500.0</v>
      </c>
      <c r="C396" s="40">
        <v>4.0</v>
      </c>
      <c r="D396" s="41">
        <v>45968.58116364584</v>
      </c>
    </row>
    <row r="397">
      <c r="A397" s="39" t="s">
        <v>270</v>
      </c>
      <c r="B397" s="40">
        <v>1871501.0</v>
      </c>
      <c r="C397" s="40">
        <v>3.0</v>
      </c>
      <c r="D397" s="41">
        <v>45979.58788761574</v>
      </c>
    </row>
    <row r="398">
      <c r="A398" s="39" t="s">
        <v>270</v>
      </c>
      <c r="B398" s="40">
        <v>1871522.0</v>
      </c>
      <c r="C398" s="40">
        <v>0.0</v>
      </c>
      <c r="D398" s="41">
        <v>45968.48384851852</v>
      </c>
    </row>
    <row r="399">
      <c r="A399" s="39" t="s">
        <v>270</v>
      </c>
      <c r="B399" s="40">
        <v>1871525.0</v>
      </c>
      <c r="C399" s="40">
        <v>0.0</v>
      </c>
      <c r="D399" s="41">
        <v>45968.483850902776</v>
      </c>
    </row>
    <row r="400">
      <c r="A400" s="39" t="s">
        <v>270</v>
      </c>
      <c r="B400" s="40">
        <v>1873080.0</v>
      </c>
      <c r="C400" s="40">
        <v>10.0</v>
      </c>
      <c r="D400" s="41">
        <v>45968.48385337963</v>
      </c>
    </row>
    <row r="401">
      <c r="A401" s="39" t="s">
        <v>270</v>
      </c>
      <c r="B401" s="40">
        <v>1873081.0</v>
      </c>
      <c r="C401" s="40">
        <v>3.0</v>
      </c>
      <c r="D401" s="41">
        <v>45968.48385574074</v>
      </c>
    </row>
    <row r="402">
      <c r="A402" s="39" t="s">
        <v>270</v>
      </c>
      <c r="B402" s="40">
        <v>1873082.0</v>
      </c>
      <c r="C402" s="40">
        <v>7.0</v>
      </c>
      <c r="D402" s="41">
        <v>45968.48385827546</v>
      </c>
    </row>
    <row r="403">
      <c r="A403" s="39" t="s">
        <v>270</v>
      </c>
      <c r="B403" s="40">
        <v>1873083.0</v>
      </c>
      <c r="C403" s="40">
        <v>0.0</v>
      </c>
      <c r="D403" s="41">
        <v>45968.48386068287</v>
      </c>
    </row>
    <row r="404">
      <c r="A404" s="39" t="s">
        <v>270</v>
      </c>
      <c r="B404" s="40">
        <v>1873084.0</v>
      </c>
      <c r="C404" s="40">
        <v>0.0</v>
      </c>
      <c r="D404" s="41">
        <v>45968.483863194444</v>
      </c>
    </row>
    <row r="405">
      <c r="A405" s="39" t="s">
        <v>270</v>
      </c>
      <c r="B405" s="40">
        <v>1880186.0</v>
      </c>
      <c r="C405" s="40">
        <v>10.0</v>
      </c>
      <c r="D405" s="41">
        <v>45972.572414166665</v>
      </c>
    </row>
    <row r="406">
      <c r="A406" s="39" t="s">
        <v>270</v>
      </c>
      <c r="B406" s="40">
        <v>1880188.0</v>
      </c>
      <c r="C406" s="40">
        <v>10.0</v>
      </c>
      <c r="D406" s="41">
        <v>45972.57241638889</v>
      </c>
    </row>
    <row r="407">
      <c r="A407" s="39" t="s">
        <v>270</v>
      </c>
      <c r="B407" s="40">
        <v>1880189.0</v>
      </c>
      <c r="C407" s="40">
        <v>9.0</v>
      </c>
      <c r="D407" s="41">
        <v>45972.57241876157</v>
      </c>
    </row>
    <row r="408">
      <c r="A408" s="39" t="s">
        <v>270</v>
      </c>
      <c r="B408" s="40">
        <v>1880191.0</v>
      </c>
      <c r="C408" s="40">
        <v>4.0</v>
      </c>
      <c r="D408" s="41">
        <v>45985.47356967593</v>
      </c>
    </row>
    <row r="409">
      <c r="A409" s="39" t="s">
        <v>270</v>
      </c>
      <c r="B409" s="40">
        <v>1880677.0</v>
      </c>
      <c r="C409" s="40">
        <v>10.0</v>
      </c>
      <c r="D409" s="41">
        <v>45972.57243961806</v>
      </c>
    </row>
    <row r="410">
      <c r="A410" s="39" t="s">
        <v>270</v>
      </c>
      <c r="B410" s="40">
        <v>1892424.0</v>
      </c>
      <c r="C410" s="40">
        <v>4.0</v>
      </c>
      <c r="D410" s="41">
        <v>45972.86051585648</v>
      </c>
    </row>
    <row r="411">
      <c r="A411" s="39" t="s">
        <v>270</v>
      </c>
      <c r="B411" s="40">
        <v>1892425.0</v>
      </c>
      <c r="C411" s="40">
        <v>0.0</v>
      </c>
      <c r="D411" s="41">
        <v>45972.87039777778</v>
      </c>
    </row>
    <row r="412">
      <c r="A412" s="39" t="s">
        <v>270</v>
      </c>
      <c r="B412" s="40">
        <v>1892426.0</v>
      </c>
      <c r="C412" s="40">
        <v>3.0</v>
      </c>
      <c r="D412" s="41">
        <v>45985.473572546296</v>
      </c>
    </row>
    <row r="413">
      <c r="A413" s="39" t="s">
        <v>270</v>
      </c>
      <c r="B413" s="40">
        <v>1892427.0</v>
      </c>
      <c r="C413" s="40">
        <v>3.0</v>
      </c>
      <c r="D413" s="41">
        <v>45979.61979134259</v>
      </c>
    </row>
    <row r="414">
      <c r="A414" s="39" t="s">
        <v>270</v>
      </c>
      <c r="B414" s="40">
        <v>1892428.0</v>
      </c>
      <c r="C414" s="40">
        <v>0.0</v>
      </c>
      <c r="D414" s="41">
        <v>45975.57859966435</v>
      </c>
    </row>
    <row r="415">
      <c r="A415" s="39" t="s">
        <v>270</v>
      </c>
      <c r="B415" s="40">
        <v>1902189.0</v>
      </c>
      <c r="C415" s="40">
        <v>0.0</v>
      </c>
      <c r="D415" s="41">
        <v>45992.423844791665</v>
      </c>
    </row>
    <row r="416">
      <c r="A416" s="39" t="s">
        <v>270</v>
      </c>
      <c r="B416" s="40">
        <v>1905939.0</v>
      </c>
      <c r="C416" s="40">
        <v>0.0</v>
      </c>
      <c r="D416" s="41">
        <v>45997.719276805554</v>
      </c>
    </row>
    <row r="417">
      <c r="A417" s="39" t="s">
        <v>270</v>
      </c>
      <c r="B417" s="40">
        <v>1905940.0</v>
      </c>
      <c r="C417" s="40">
        <v>0.0</v>
      </c>
      <c r="D417" s="41">
        <v>45997.719286273146</v>
      </c>
    </row>
    <row r="418">
      <c r="A418" s="39" t="s">
        <v>270</v>
      </c>
      <c r="B418" s="40">
        <v>1905941.0</v>
      </c>
      <c r="C418" s="40">
        <v>0.0</v>
      </c>
      <c r="D418" s="41">
        <v>45997.71929070602</v>
      </c>
    </row>
    <row r="419">
      <c r="A419" s="39" t="s">
        <v>271</v>
      </c>
      <c r="B419" s="40">
        <v>1871498.0</v>
      </c>
      <c r="C419" s="40">
        <v>10.0</v>
      </c>
      <c r="D419" s="41">
        <v>45968.48386638889</v>
      </c>
    </row>
    <row r="420">
      <c r="A420" s="39" t="s">
        <v>271</v>
      </c>
      <c r="B420" s="40">
        <v>1871500.0</v>
      </c>
      <c r="C420" s="40">
        <v>2.0</v>
      </c>
      <c r="D420" s="41">
        <v>45975.63089136574</v>
      </c>
    </row>
    <row r="421">
      <c r="A421" s="39" t="s">
        <v>271</v>
      </c>
      <c r="B421" s="40">
        <v>1871501.0</v>
      </c>
      <c r="C421" s="40">
        <v>2.0</v>
      </c>
      <c r="D421" s="41">
        <v>45982.42129517361</v>
      </c>
    </row>
    <row r="422">
      <c r="A422" s="39" t="s">
        <v>271</v>
      </c>
      <c r="B422" s="40">
        <v>1871522.0</v>
      </c>
      <c r="C422" s="40">
        <v>4.0</v>
      </c>
      <c r="D422" s="41">
        <v>45982.43163910879</v>
      </c>
    </row>
    <row r="423">
      <c r="A423" s="39" t="s">
        <v>271</v>
      </c>
      <c r="B423" s="40">
        <v>1871525.0</v>
      </c>
      <c r="C423" s="40">
        <v>0.0</v>
      </c>
      <c r="D423" s="41">
        <v>45968.48387671296</v>
      </c>
    </row>
    <row r="424">
      <c r="A424" s="39" t="s">
        <v>271</v>
      </c>
      <c r="B424" s="40">
        <v>1873080.0</v>
      </c>
      <c r="C424" s="40">
        <v>10.0</v>
      </c>
      <c r="D424" s="41">
        <v>45968.48387930555</v>
      </c>
    </row>
    <row r="425">
      <c r="A425" s="39" t="s">
        <v>271</v>
      </c>
      <c r="B425" s="40">
        <v>1873081.0</v>
      </c>
      <c r="C425" s="40">
        <v>0.0</v>
      </c>
      <c r="D425" s="41">
        <v>45968.48388194444</v>
      </c>
    </row>
    <row r="426">
      <c r="A426" s="39" t="s">
        <v>271</v>
      </c>
      <c r="B426" s="40">
        <v>1873082.0</v>
      </c>
      <c r="C426" s="40">
        <v>0.0</v>
      </c>
      <c r="D426" s="41">
        <v>45968.48388421297</v>
      </c>
    </row>
    <row r="427">
      <c r="A427" s="39" t="s">
        <v>271</v>
      </c>
      <c r="B427" s="40">
        <v>1873083.0</v>
      </c>
      <c r="C427" s="40">
        <v>0.0</v>
      </c>
      <c r="D427" s="41">
        <v>45968.48388714121</v>
      </c>
    </row>
    <row r="428">
      <c r="A428" s="39" t="s">
        <v>271</v>
      </c>
      <c r="B428" s="40">
        <v>1873084.0</v>
      </c>
      <c r="C428" s="40">
        <v>0.0</v>
      </c>
      <c r="D428" s="41">
        <v>45968.48389002315</v>
      </c>
    </row>
    <row r="429">
      <c r="A429" s="39" t="s">
        <v>271</v>
      </c>
      <c r="B429" s="40">
        <v>1880186.0</v>
      </c>
      <c r="C429" s="40">
        <v>10.0</v>
      </c>
      <c r="D429" s="41">
        <v>45968.4838924537</v>
      </c>
    </row>
    <row r="430">
      <c r="A430" s="39" t="s">
        <v>271</v>
      </c>
      <c r="B430" s="40">
        <v>1880188.0</v>
      </c>
      <c r="C430" s="40">
        <v>6.0</v>
      </c>
      <c r="D430" s="41">
        <v>45968.4838952662</v>
      </c>
    </row>
    <row r="431">
      <c r="A431" s="39" t="s">
        <v>271</v>
      </c>
      <c r="B431" s="40">
        <v>1880189.0</v>
      </c>
      <c r="C431" s="40">
        <v>6.0</v>
      </c>
      <c r="D431" s="41">
        <v>45973.401738182874</v>
      </c>
    </row>
    <row r="432">
      <c r="A432" s="39" t="s">
        <v>271</v>
      </c>
      <c r="B432" s="40">
        <v>1880191.0</v>
      </c>
      <c r="C432" s="40">
        <v>0.0</v>
      </c>
      <c r="D432" s="41">
        <v>45969.720611909725</v>
      </c>
    </row>
    <row r="433">
      <c r="A433" s="39" t="s">
        <v>271</v>
      </c>
      <c r="B433" s="40">
        <v>1880677.0</v>
      </c>
      <c r="C433" s="40">
        <v>0.0</v>
      </c>
      <c r="D433" s="41">
        <v>45969.720615266204</v>
      </c>
    </row>
    <row r="434">
      <c r="A434" s="39" t="s">
        <v>271</v>
      </c>
      <c r="B434" s="40">
        <v>1892424.0</v>
      </c>
      <c r="C434" s="40">
        <v>0.0</v>
      </c>
      <c r="D434" s="41">
        <v>45972.374170034724</v>
      </c>
    </row>
    <row r="435">
      <c r="A435" s="39" t="s">
        <v>271</v>
      </c>
      <c r="B435" s="40">
        <v>1892425.0</v>
      </c>
      <c r="C435" s="40">
        <v>0.0</v>
      </c>
      <c r="D435" s="41">
        <v>45976.71629196759</v>
      </c>
    </row>
    <row r="436">
      <c r="A436" s="39" t="s">
        <v>271</v>
      </c>
      <c r="B436" s="40">
        <v>1892426.0</v>
      </c>
      <c r="C436" s="40">
        <v>0.0</v>
      </c>
      <c r="D436" s="41">
        <v>45976.71630020833</v>
      </c>
    </row>
    <row r="437">
      <c r="A437" s="39" t="s">
        <v>271</v>
      </c>
      <c r="B437" s="40">
        <v>1892427.0</v>
      </c>
      <c r="C437" s="40">
        <v>0.0</v>
      </c>
      <c r="D437" s="41">
        <v>45979.61979537037</v>
      </c>
    </row>
    <row r="438">
      <c r="A438" s="39" t="s">
        <v>271</v>
      </c>
      <c r="B438" s="40">
        <v>1892428.0</v>
      </c>
      <c r="C438" s="40">
        <v>0.0</v>
      </c>
      <c r="D438" s="41">
        <v>45976.71630155093</v>
      </c>
    </row>
    <row r="439">
      <c r="A439" s="39" t="s">
        <v>271</v>
      </c>
      <c r="B439" s="40">
        <v>1902189.0</v>
      </c>
      <c r="C439" s="40">
        <v>0.0</v>
      </c>
      <c r="D439" s="41">
        <v>45992.42385572917</v>
      </c>
    </row>
    <row r="440">
      <c r="A440" s="39" t="s">
        <v>272</v>
      </c>
      <c r="B440" s="40">
        <v>1871498.0</v>
      </c>
      <c r="C440" s="40">
        <v>10.0</v>
      </c>
      <c r="D440" s="41">
        <v>45968.483897708335</v>
      </c>
    </row>
    <row r="441">
      <c r="A441" s="39" t="s">
        <v>272</v>
      </c>
      <c r="B441" s="40">
        <v>1871500.0</v>
      </c>
      <c r="C441" s="40">
        <v>2.0</v>
      </c>
      <c r="D441" s="41">
        <v>45968.48390018519</v>
      </c>
    </row>
    <row r="442">
      <c r="A442" s="39" t="s">
        <v>272</v>
      </c>
      <c r="B442" s="40">
        <v>1871501.0</v>
      </c>
      <c r="C442" s="40">
        <v>2.0</v>
      </c>
      <c r="D442" s="41">
        <v>45968.48390269676</v>
      </c>
    </row>
    <row r="443">
      <c r="A443" s="39" t="s">
        <v>272</v>
      </c>
      <c r="B443" s="40">
        <v>1871522.0</v>
      </c>
      <c r="C443" s="40">
        <v>4.0</v>
      </c>
      <c r="D443" s="41">
        <v>45968.48390525463</v>
      </c>
    </row>
    <row r="444">
      <c r="A444" s="39" t="s">
        <v>272</v>
      </c>
      <c r="B444" s="40">
        <v>1871525.0</v>
      </c>
      <c r="C444" s="40">
        <v>4.0</v>
      </c>
      <c r="D444" s="41">
        <v>45968.48390777777</v>
      </c>
    </row>
    <row r="445">
      <c r="A445" s="39" t="s">
        <v>272</v>
      </c>
      <c r="B445" s="40">
        <v>1873080.0</v>
      </c>
      <c r="C445" s="40">
        <v>10.0</v>
      </c>
      <c r="D445" s="41">
        <v>45979.44188996528</v>
      </c>
    </row>
    <row r="446">
      <c r="A446" s="39" t="s">
        <v>272</v>
      </c>
      <c r="B446" s="40">
        <v>1873081.0</v>
      </c>
      <c r="C446" s="40">
        <v>0.0</v>
      </c>
      <c r="D446" s="41">
        <v>45968.48392131944</v>
      </c>
    </row>
    <row r="447">
      <c r="A447" s="39" t="s">
        <v>272</v>
      </c>
      <c r="B447" s="40">
        <v>1873082.0</v>
      </c>
      <c r="C447" s="40">
        <v>0.0</v>
      </c>
      <c r="D447" s="41">
        <v>45968.48392886574</v>
      </c>
    </row>
    <row r="448">
      <c r="A448" s="39" t="s">
        <v>272</v>
      </c>
      <c r="B448" s="40">
        <v>1873083.0</v>
      </c>
      <c r="C448" s="40">
        <v>0.0</v>
      </c>
      <c r="D448" s="41">
        <v>45968.48393123843</v>
      </c>
    </row>
    <row r="449">
      <c r="A449" s="39" t="s">
        <v>272</v>
      </c>
      <c r="B449" s="40">
        <v>1873084.0</v>
      </c>
      <c r="C449" s="40">
        <v>0.0</v>
      </c>
      <c r="D449" s="41">
        <v>45968.483934143514</v>
      </c>
    </row>
    <row r="450">
      <c r="A450" s="39" t="s">
        <v>272</v>
      </c>
      <c r="B450" s="40">
        <v>1880186.0</v>
      </c>
      <c r="C450" s="40">
        <v>10.0</v>
      </c>
      <c r="D450" s="41">
        <v>45968.48393690972</v>
      </c>
    </row>
    <row r="451">
      <c r="A451" s="39" t="s">
        <v>272</v>
      </c>
      <c r="B451" s="40">
        <v>1880188.0</v>
      </c>
      <c r="C451" s="40">
        <v>0.0</v>
      </c>
      <c r="D451" s="41">
        <v>45969.72061902778</v>
      </c>
    </row>
    <row r="452">
      <c r="A452" s="39" t="s">
        <v>272</v>
      </c>
      <c r="B452" s="40">
        <v>1880189.0</v>
      </c>
      <c r="C452" s="40">
        <v>0.0</v>
      </c>
      <c r="D452" s="41">
        <v>45969.72062247685</v>
      </c>
    </row>
    <row r="453">
      <c r="A453" s="39" t="s">
        <v>272</v>
      </c>
      <c r="B453" s="40">
        <v>1880191.0</v>
      </c>
      <c r="C453" s="40">
        <v>0.0</v>
      </c>
      <c r="D453" s="41">
        <v>45969.72062715278</v>
      </c>
    </row>
    <row r="454">
      <c r="A454" s="39" t="s">
        <v>272</v>
      </c>
      <c r="B454" s="40">
        <v>1880677.0</v>
      </c>
      <c r="C454" s="40">
        <v>0.0</v>
      </c>
      <c r="D454" s="41">
        <v>45969.72062945602</v>
      </c>
    </row>
    <row r="455">
      <c r="A455" s="39" t="s">
        <v>272</v>
      </c>
      <c r="B455" s="40">
        <v>1892424.0</v>
      </c>
      <c r="C455" s="40">
        <v>8.0</v>
      </c>
      <c r="D455" s="41">
        <v>45979.400156724536</v>
      </c>
    </row>
    <row r="456">
      <c r="A456" s="39" t="s">
        <v>272</v>
      </c>
      <c r="B456" s="40">
        <v>1892425.0</v>
      </c>
      <c r="C456" s="40">
        <v>0.0</v>
      </c>
      <c r="D456" s="41">
        <v>45976.7163031713</v>
      </c>
    </row>
    <row r="457">
      <c r="A457" s="39" t="s">
        <v>272</v>
      </c>
      <c r="B457" s="40">
        <v>1892426.0</v>
      </c>
      <c r="C457" s="40">
        <v>0.0</v>
      </c>
      <c r="D457" s="41">
        <v>45976.71630552084</v>
      </c>
    </row>
    <row r="458">
      <c r="A458" s="39" t="s">
        <v>272</v>
      </c>
      <c r="B458" s="40">
        <v>1892427.0</v>
      </c>
      <c r="C458" s="40">
        <v>0.0</v>
      </c>
      <c r="D458" s="41">
        <v>45979.61979967593</v>
      </c>
    </row>
    <row r="459">
      <c r="A459" s="39" t="s">
        <v>272</v>
      </c>
      <c r="B459" s="40">
        <v>1892428.0</v>
      </c>
      <c r="C459" s="40">
        <v>0.0</v>
      </c>
      <c r="D459" s="41">
        <v>45976.71630724537</v>
      </c>
    </row>
    <row r="460">
      <c r="A460" s="39" t="s">
        <v>272</v>
      </c>
      <c r="B460" s="40">
        <v>1902189.0</v>
      </c>
      <c r="C460" s="40">
        <v>20.0</v>
      </c>
      <c r="D460" s="41">
        <v>45994.30016</v>
      </c>
    </row>
    <row r="461">
      <c r="A461" s="39" t="s">
        <v>272</v>
      </c>
      <c r="B461" s="40">
        <v>1905939.0</v>
      </c>
      <c r="C461" s="40">
        <v>0.0</v>
      </c>
      <c r="D461" s="41">
        <v>45997.71932638889</v>
      </c>
    </row>
    <row r="462">
      <c r="A462" s="39" t="s">
        <v>272</v>
      </c>
      <c r="B462" s="40">
        <v>1905941.0</v>
      </c>
      <c r="C462" s="40">
        <v>0.0</v>
      </c>
      <c r="D462" s="41">
        <v>45997.719337083334</v>
      </c>
    </row>
    <row r="463">
      <c r="A463" s="39" t="s">
        <v>273</v>
      </c>
      <c r="B463" s="40">
        <v>1871498.0</v>
      </c>
      <c r="C463" s="40">
        <v>10.0</v>
      </c>
      <c r="D463" s="41">
        <v>45968.48394060185</v>
      </c>
    </row>
    <row r="464">
      <c r="A464" s="39" t="s">
        <v>273</v>
      </c>
      <c r="B464" s="40">
        <v>1871500.0</v>
      </c>
      <c r="C464" s="40">
        <v>4.0</v>
      </c>
      <c r="D464" s="41">
        <v>45968.48394414352</v>
      </c>
    </row>
    <row r="465">
      <c r="A465" s="39" t="s">
        <v>273</v>
      </c>
      <c r="B465" s="40">
        <v>1871501.0</v>
      </c>
      <c r="C465" s="40">
        <v>9.0</v>
      </c>
      <c r="D465" s="41">
        <v>45975.424044722226</v>
      </c>
    </row>
    <row r="466">
      <c r="A466" s="39" t="s">
        <v>273</v>
      </c>
      <c r="B466" s="40">
        <v>1871522.0</v>
      </c>
      <c r="C466" s="40">
        <v>6.0</v>
      </c>
      <c r="D466" s="41">
        <v>45975.83895337963</v>
      </c>
    </row>
    <row r="467">
      <c r="A467" s="39" t="s">
        <v>273</v>
      </c>
      <c r="B467" s="40">
        <v>1871525.0</v>
      </c>
      <c r="C467" s="40">
        <v>7.0</v>
      </c>
      <c r="D467" s="41">
        <v>45975.83895857639</v>
      </c>
    </row>
    <row r="468">
      <c r="A468" s="39" t="s">
        <v>273</v>
      </c>
      <c r="B468" s="40">
        <v>1873080.0</v>
      </c>
      <c r="C468" s="40">
        <v>10.0</v>
      </c>
      <c r="D468" s="41">
        <v>45968.483959398145</v>
      </c>
    </row>
    <row r="469">
      <c r="A469" s="39" t="s">
        <v>273</v>
      </c>
      <c r="B469" s="40">
        <v>1873081.0</v>
      </c>
      <c r="C469" s="40">
        <v>13.0</v>
      </c>
      <c r="D469" s="41">
        <v>45970.71550005787</v>
      </c>
    </row>
    <row r="470">
      <c r="A470" s="39" t="s">
        <v>273</v>
      </c>
      <c r="B470" s="40">
        <v>1873082.0</v>
      </c>
      <c r="C470" s="40">
        <v>8.0</v>
      </c>
      <c r="D470" s="41">
        <v>45968.48396429398</v>
      </c>
    </row>
    <row r="471">
      <c r="A471" s="39" t="s">
        <v>273</v>
      </c>
      <c r="B471" s="40">
        <v>1873083.0</v>
      </c>
      <c r="C471" s="40">
        <v>0.0</v>
      </c>
      <c r="D471" s="41">
        <v>45968.48396802083</v>
      </c>
    </row>
    <row r="472">
      <c r="A472" s="39" t="s">
        <v>273</v>
      </c>
      <c r="B472" s="40">
        <v>1873084.0</v>
      </c>
      <c r="C472" s="40">
        <v>10.0</v>
      </c>
      <c r="D472" s="41">
        <v>45968.48397114583</v>
      </c>
    </row>
    <row r="473">
      <c r="A473" s="39" t="s">
        <v>273</v>
      </c>
      <c r="B473" s="40">
        <v>1880186.0</v>
      </c>
      <c r="C473" s="40">
        <v>10.0</v>
      </c>
      <c r="D473" s="41">
        <v>45968.48397366898</v>
      </c>
    </row>
    <row r="474">
      <c r="A474" s="39" t="s">
        <v>273</v>
      </c>
      <c r="B474" s="40">
        <v>1880188.0</v>
      </c>
      <c r="C474" s="40">
        <v>13.0</v>
      </c>
      <c r="D474" s="41">
        <v>45968.48397631945</v>
      </c>
    </row>
    <row r="475">
      <c r="A475" s="39" t="s">
        <v>273</v>
      </c>
      <c r="B475" s="40">
        <v>1880189.0</v>
      </c>
      <c r="C475" s="40">
        <v>20.0</v>
      </c>
      <c r="D475" s="41">
        <v>45977.71258064815</v>
      </c>
    </row>
    <row r="476">
      <c r="A476" s="39" t="s">
        <v>273</v>
      </c>
      <c r="B476" s="40">
        <v>1880191.0</v>
      </c>
      <c r="C476" s="40">
        <v>11.0</v>
      </c>
      <c r="D476" s="41">
        <v>45985.473575509255</v>
      </c>
    </row>
    <row r="477">
      <c r="A477" s="39" t="s">
        <v>273</v>
      </c>
      <c r="B477" s="40">
        <v>1880677.0</v>
      </c>
      <c r="C477" s="40">
        <v>10.0</v>
      </c>
      <c r="D477" s="41">
        <v>45977.71258471065</v>
      </c>
    </row>
    <row r="478">
      <c r="A478" s="39" t="s">
        <v>273</v>
      </c>
      <c r="B478" s="40">
        <v>1892424.0</v>
      </c>
      <c r="C478" s="40">
        <v>10.0</v>
      </c>
      <c r="D478" s="41">
        <v>45979.42122267361</v>
      </c>
    </row>
    <row r="479">
      <c r="A479" s="39" t="s">
        <v>273</v>
      </c>
      <c r="B479" s="40">
        <v>1892425.0</v>
      </c>
      <c r="C479" s="40">
        <v>0.0</v>
      </c>
      <c r="D479" s="41">
        <v>45976.71630925926</v>
      </c>
    </row>
    <row r="480">
      <c r="A480" s="39" t="s">
        <v>273</v>
      </c>
      <c r="B480" s="40">
        <v>1892426.0</v>
      </c>
      <c r="C480" s="40">
        <v>0.0</v>
      </c>
      <c r="D480" s="41">
        <v>45976.71631189815</v>
      </c>
    </row>
    <row r="481">
      <c r="A481" s="39" t="s">
        <v>273</v>
      </c>
      <c r="B481" s="40">
        <v>1892427.0</v>
      </c>
      <c r="C481" s="40">
        <v>0.0</v>
      </c>
      <c r="D481" s="41">
        <v>45979.619802974536</v>
      </c>
    </row>
    <row r="482">
      <c r="A482" s="39" t="s">
        <v>273</v>
      </c>
      <c r="B482" s="40">
        <v>1892428.0</v>
      </c>
      <c r="C482" s="40">
        <v>0.0</v>
      </c>
      <c r="D482" s="41">
        <v>45976.71631354166</v>
      </c>
    </row>
    <row r="483">
      <c r="A483" s="39" t="s">
        <v>273</v>
      </c>
      <c r="B483" s="40">
        <v>1902189.0</v>
      </c>
      <c r="C483" s="40">
        <v>23.0</v>
      </c>
      <c r="D483" s="41">
        <v>45994.300163865744</v>
      </c>
    </row>
    <row r="484">
      <c r="A484" s="39" t="s">
        <v>273</v>
      </c>
      <c r="B484" s="40">
        <v>1905939.0</v>
      </c>
      <c r="C484" s="40">
        <v>0.0</v>
      </c>
      <c r="D484" s="41">
        <v>45997.719352280095</v>
      </c>
    </row>
    <row r="485">
      <c r="A485" s="39" t="s">
        <v>274</v>
      </c>
      <c r="B485" s="40">
        <v>1871498.0</v>
      </c>
      <c r="C485" s="40">
        <v>10.0</v>
      </c>
      <c r="D485" s="41">
        <v>45968.48397940972</v>
      </c>
    </row>
    <row r="486">
      <c r="A486" s="39" t="s">
        <v>274</v>
      </c>
      <c r="B486" s="40">
        <v>1871500.0</v>
      </c>
      <c r="C486" s="40">
        <v>0.0</v>
      </c>
      <c r="D486" s="41">
        <v>45968.483982881946</v>
      </c>
    </row>
    <row r="487">
      <c r="A487" s="39" t="s">
        <v>274</v>
      </c>
      <c r="B487" s="40">
        <v>1871501.0</v>
      </c>
      <c r="C487" s="40">
        <v>0.0</v>
      </c>
      <c r="D487" s="41">
        <v>45968.48398563657</v>
      </c>
    </row>
    <row r="488">
      <c r="A488" s="39" t="s">
        <v>274</v>
      </c>
      <c r="B488" s="40">
        <v>1871522.0</v>
      </c>
      <c r="C488" s="40">
        <v>0.0</v>
      </c>
      <c r="D488" s="41">
        <v>45968.4839884838</v>
      </c>
    </row>
    <row r="489">
      <c r="A489" s="39" t="s">
        <v>274</v>
      </c>
      <c r="B489" s="40">
        <v>1871525.0</v>
      </c>
      <c r="C489" s="40">
        <v>0.0</v>
      </c>
      <c r="D489" s="41">
        <v>45968.483990810186</v>
      </c>
    </row>
    <row r="490">
      <c r="A490" s="39" t="s">
        <v>274</v>
      </c>
      <c r="B490" s="40">
        <v>1873080.0</v>
      </c>
      <c r="C490" s="40">
        <v>0.0</v>
      </c>
      <c r="D490" s="41">
        <v>45968.483993773145</v>
      </c>
    </row>
    <row r="491">
      <c r="A491" s="39" t="s">
        <v>274</v>
      </c>
      <c r="B491" s="40">
        <v>1873081.0</v>
      </c>
      <c r="C491" s="40">
        <v>0.0</v>
      </c>
      <c r="D491" s="41">
        <v>45968.4839961574</v>
      </c>
    </row>
    <row r="492">
      <c r="A492" s="39" t="s">
        <v>274</v>
      </c>
      <c r="B492" s="40">
        <v>1873082.0</v>
      </c>
      <c r="C492" s="40">
        <v>0.0</v>
      </c>
      <c r="D492" s="41">
        <v>45968.483998634256</v>
      </c>
    </row>
    <row r="493">
      <c r="A493" s="39" t="s">
        <v>274</v>
      </c>
      <c r="B493" s="40">
        <v>1873083.0</v>
      </c>
      <c r="C493" s="40">
        <v>0.0</v>
      </c>
      <c r="D493" s="41">
        <v>45968.48400190972</v>
      </c>
    </row>
    <row r="494">
      <c r="A494" s="39" t="s">
        <v>274</v>
      </c>
      <c r="B494" s="40">
        <v>1873084.0</v>
      </c>
      <c r="C494" s="40">
        <v>0.0</v>
      </c>
      <c r="D494" s="41">
        <v>45968.48400481482</v>
      </c>
    </row>
    <row r="495">
      <c r="A495" s="39" t="s">
        <v>274</v>
      </c>
      <c r="B495" s="40">
        <v>1880186.0</v>
      </c>
      <c r="C495" s="40">
        <v>0.0</v>
      </c>
      <c r="D495" s="41">
        <v>45969.720638750005</v>
      </c>
    </row>
    <row r="496">
      <c r="A496" s="39" t="s">
        <v>274</v>
      </c>
      <c r="B496" s="40">
        <v>1880188.0</v>
      </c>
      <c r="C496" s="40">
        <v>0.0</v>
      </c>
      <c r="D496" s="41">
        <v>45969.7206421875</v>
      </c>
    </row>
    <row r="497">
      <c r="A497" s="39" t="s">
        <v>274</v>
      </c>
      <c r="B497" s="40">
        <v>1880189.0</v>
      </c>
      <c r="C497" s="40">
        <v>0.0</v>
      </c>
      <c r="D497" s="41">
        <v>45969.72064449074</v>
      </c>
    </row>
    <row r="498">
      <c r="A498" s="39" t="s">
        <v>274</v>
      </c>
      <c r="B498" s="40">
        <v>1880191.0</v>
      </c>
      <c r="C498" s="40">
        <v>0.0</v>
      </c>
      <c r="D498" s="41">
        <v>45969.72064613426</v>
      </c>
    </row>
    <row r="499">
      <c r="A499" s="39" t="s">
        <v>274</v>
      </c>
      <c r="B499" s="40">
        <v>1880677.0</v>
      </c>
      <c r="C499" s="40">
        <v>0.0</v>
      </c>
      <c r="D499" s="41">
        <v>45969.72064828704</v>
      </c>
    </row>
    <row r="500">
      <c r="A500" s="39" t="s">
        <v>274</v>
      </c>
      <c r="B500" s="40">
        <v>1892424.0</v>
      </c>
      <c r="C500" s="40">
        <v>0.0</v>
      </c>
      <c r="D500" s="41">
        <v>45972.37417789352</v>
      </c>
    </row>
    <row r="501">
      <c r="A501" s="39" t="s">
        <v>274</v>
      </c>
      <c r="B501" s="40">
        <v>1892425.0</v>
      </c>
      <c r="C501" s="40">
        <v>0.0</v>
      </c>
      <c r="D501" s="41">
        <v>45976.71632068287</v>
      </c>
    </row>
    <row r="502">
      <c r="A502" s="39" t="s">
        <v>274</v>
      </c>
      <c r="B502" s="40">
        <v>1892426.0</v>
      </c>
      <c r="C502" s="40">
        <v>0.0</v>
      </c>
      <c r="D502" s="41">
        <v>45976.71632939814</v>
      </c>
    </row>
    <row r="503">
      <c r="A503" s="39" t="s">
        <v>274</v>
      </c>
      <c r="B503" s="40">
        <v>1892427.0</v>
      </c>
      <c r="C503" s="40">
        <v>0.0</v>
      </c>
      <c r="D503" s="41">
        <v>45979.61980724537</v>
      </c>
    </row>
    <row r="504">
      <c r="A504" s="39" t="s">
        <v>274</v>
      </c>
      <c r="B504" s="40">
        <v>1892428.0</v>
      </c>
      <c r="C504" s="40">
        <v>0.0</v>
      </c>
      <c r="D504" s="41">
        <v>45976.71633775463</v>
      </c>
    </row>
    <row r="505">
      <c r="A505" s="39" t="s">
        <v>274</v>
      </c>
      <c r="B505" s="40">
        <v>1902189.0</v>
      </c>
      <c r="C505" s="40">
        <v>0.0</v>
      </c>
      <c r="D505" s="41">
        <v>45992.42386736111</v>
      </c>
    </row>
    <row r="506">
      <c r="A506" s="39" t="s">
        <v>274</v>
      </c>
      <c r="B506" s="40">
        <v>1905937.0</v>
      </c>
      <c r="C506" s="40">
        <v>0.0</v>
      </c>
      <c r="D506" s="41">
        <v>45997.71943099537</v>
      </c>
    </row>
    <row r="507">
      <c r="A507" s="39" t="s">
        <v>274</v>
      </c>
      <c r="B507" s="40">
        <v>1905938.0</v>
      </c>
      <c r="C507" s="40">
        <v>0.0</v>
      </c>
      <c r="D507" s="41">
        <v>45997.71943612269</v>
      </c>
    </row>
    <row r="508">
      <c r="A508" s="39" t="s">
        <v>274</v>
      </c>
      <c r="B508" s="40">
        <v>1905939.0</v>
      </c>
      <c r="C508" s="40">
        <v>0.0</v>
      </c>
      <c r="D508" s="41">
        <v>45997.71943888889</v>
      </c>
    </row>
    <row r="509">
      <c r="A509" s="39" t="s">
        <v>274</v>
      </c>
      <c r="B509" s="40">
        <v>1905940.0</v>
      </c>
      <c r="C509" s="40">
        <v>0.0</v>
      </c>
      <c r="D509" s="41">
        <v>45997.71944234954</v>
      </c>
    </row>
    <row r="510">
      <c r="A510" s="39" t="s">
        <v>274</v>
      </c>
      <c r="B510" s="40">
        <v>1905941.0</v>
      </c>
      <c r="C510" s="40">
        <v>0.0</v>
      </c>
      <c r="D510" s="41">
        <v>45997.71945853009</v>
      </c>
    </row>
    <row r="511">
      <c r="A511" s="39" t="s">
        <v>275</v>
      </c>
      <c r="B511" s="40">
        <v>1871498.0</v>
      </c>
      <c r="C511" s="40">
        <v>10.0</v>
      </c>
      <c r="D511" s="41">
        <v>45979.57761688657</v>
      </c>
    </row>
    <row r="512">
      <c r="A512" s="39" t="s">
        <v>275</v>
      </c>
      <c r="B512" s="40">
        <v>1871500.0</v>
      </c>
      <c r="C512" s="40">
        <v>5.0</v>
      </c>
      <c r="D512" s="41">
        <v>45979.598666342594</v>
      </c>
    </row>
    <row r="513">
      <c r="A513" s="39" t="s">
        <v>275</v>
      </c>
      <c r="B513" s="40">
        <v>1871501.0</v>
      </c>
      <c r="C513" s="40">
        <v>0.0</v>
      </c>
      <c r="D513" s="41">
        <v>45968.4840121875</v>
      </c>
    </row>
    <row r="514">
      <c r="A514" s="39" t="s">
        <v>275</v>
      </c>
      <c r="B514" s="40">
        <v>1871522.0</v>
      </c>
      <c r="C514" s="40">
        <v>0.0</v>
      </c>
      <c r="D514" s="41">
        <v>45968.484018414354</v>
      </c>
    </row>
    <row r="515">
      <c r="A515" s="39" t="s">
        <v>275</v>
      </c>
      <c r="B515" s="40">
        <v>1871525.0</v>
      </c>
      <c r="C515" s="40">
        <v>0.0</v>
      </c>
      <c r="D515" s="41">
        <v>45968.48402091435</v>
      </c>
    </row>
    <row r="516">
      <c r="A516" s="39" t="s">
        <v>275</v>
      </c>
      <c r="B516" s="40">
        <v>1873080.0</v>
      </c>
      <c r="C516" s="40">
        <v>10.0</v>
      </c>
      <c r="D516" s="41">
        <v>45968.48402726852</v>
      </c>
    </row>
    <row r="517">
      <c r="A517" s="39" t="s">
        <v>275</v>
      </c>
      <c r="B517" s="40">
        <v>1873081.0</v>
      </c>
      <c r="C517" s="40">
        <v>4.0</v>
      </c>
      <c r="D517" s="41">
        <v>45968.48403144676</v>
      </c>
    </row>
    <row r="518">
      <c r="A518" s="39" t="s">
        <v>275</v>
      </c>
      <c r="B518" s="40">
        <v>1873082.0</v>
      </c>
      <c r="C518" s="40">
        <v>0.0</v>
      </c>
      <c r="D518" s="41">
        <v>45968.48403400463</v>
      </c>
    </row>
    <row r="519">
      <c r="A519" s="39" t="s">
        <v>275</v>
      </c>
      <c r="B519" s="40">
        <v>1873083.0</v>
      </c>
      <c r="C519" s="40">
        <v>0.0</v>
      </c>
      <c r="D519" s="41">
        <v>45968.484036712965</v>
      </c>
    </row>
    <row r="520">
      <c r="A520" s="39" t="s">
        <v>275</v>
      </c>
      <c r="B520" s="40">
        <v>1873084.0</v>
      </c>
      <c r="C520" s="40">
        <v>0.0</v>
      </c>
      <c r="D520" s="41">
        <v>45968.484039930554</v>
      </c>
    </row>
    <row r="521">
      <c r="A521" s="39" t="s">
        <v>275</v>
      </c>
      <c r="B521" s="40">
        <v>1880186.0</v>
      </c>
      <c r="C521" s="40">
        <v>10.0</v>
      </c>
      <c r="D521" s="41">
        <v>45972.60284298611</v>
      </c>
    </row>
    <row r="522">
      <c r="A522" s="39" t="s">
        <v>275</v>
      </c>
      <c r="B522" s="40">
        <v>1880188.0</v>
      </c>
      <c r="C522" s="40">
        <v>0.0</v>
      </c>
      <c r="D522" s="41">
        <v>45969.72065376157</v>
      </c>
    </row>
    <row r="523">
      <c r="A523" s="39" t="s">
        <v>275</v>
      </c>
      <c r="B523" s="40">
        <v>1880189.0</v>
      </c>
      <c r="C523" s="40">
        <v>0.0</v>
      </c>
      <c r="D523" s="41">
        <v>45969.72065682871</v>
      </c>
    </row>
    <row r="524">
      <c r="A524" s="39" t="s">
        <v>275</v>
      </c>
      <c r="B524" s="40">
        <v>1880191.0</v>
      </c>
      <c r="C524" s="40">
        <v>0.0</v>
      </c>
      <c r="D524" s="41">
        <v>45969.720671076386</v>
      </c>
    </row>
    <row r="525">
      <c r="A525" s="39" t="s">
        <v>275</v>
      </c>
      <c r="B525" s="40">
        <v>1880677.0</v>
      </c>
      <c r="C525" s="40">
        <v>0.0</v>
      </c>
      <c r="D525" s="41">
        <v>45969.720673449076</v>
      </c>
    </row>
    <row r="526">
      <c r="A526" s="39" t="s">
        <v>275</v>
      </c>
      <c r="B526" s="40">
        <v>1892424.0</v>
      </c>
      <c r="C526" s="40">
        <v>4.0</v>
      </c>
      <c r="D526" s="41">
        <v>46001.50677393518</v>
      </c>
    </row>
    <row r="527">
      <c r="A527" s="39" t="s">
        <v>275</v>
      </c>
      <c r="B527" s="40">
        <v>1892425.0</v>
      </c>
      <c r="C527" s="40">
        <v>0.0</v>
      </c>
      <c r="D527" s="41">
        <v>45976.71633925926</v>
      </c>
    </row>
    <row r="528">
      <c r="A528" s="39" t="s">
        <v>275</v>
      </c>
      <c r="B528" s="40">
        <v>1892426.0</v>
      </c>
      <c r="C528" s="40">
        <v>0.0</v>
      </c>
      <c r="D528" s="41">
        <v>45976.71635725694</v>
      </c>
    </row>
    <row r="529">
      <c r="A529" s="39" t="s">
        <v>275</v>
      </c>
      <c r="B529" s="40">
        <v>1892427.0</v>
      </c>
      <c r="C529" s="40">
        <v>0.0</v>
      </c>
      <c r="D529" s="41">
        <v>45979.61981015046</v>
      </c>
    </row>
    <row r="530">
      <c r="A530" s="39" t="s">
        <v>275</v>
      </c>
      <c r="B530" s="40">
        <v>1892428.0</v>
      </c>
      <c r="C530" s="40">
        <v>0.0</v>
      </c>
      <c r="D530" s="41">
        <v>45976.71635973379</v>
      </c>
    </row>
    <row r="531">
      <c r="A531" s="39" t="s">
        <v>275</v>
      </c>
      <c r="B531" s="40">
        <v>1902189.0</v>
      </c>
      <c r="C531" s="40">
        <v>0.0</v>
      </c>
      <c r="D531" s="41">
        <v>45992.42387665509</v>
      </c>
    </row>
    <row r="532">
      <c r="A532" s="39" t="s">
        <v>275</v>
      </c>
      <c r="B532" s="40">
        <v>1905937.0</v>
      </c>
      <c r="C532" s="40">
        <v>0.0</v>
      </c>
      <c r="D532" s="41">
        <v>45997.719461967594</v>
      </c>
    </row>
    <row r="533">
      <c r="A533" s="39" t="s">
        <v>275</v>
      </c>
      <c r="B533" s="40">
        <v>1905938.0</v>
      </c>
      <c r="C533" s="40">
        <v>0.0</v>
      </c>
      <c r="D533" s="41">
        <v>45997.719467187504</v>
      </c>
    </row>
    <row r="534">
      <c r="A534" s="39" t="s">
        <v>275</v>
      </c>
      <c r="B534" s="40">
        <v>1905939.0</v>
      </c>
      <c r="C534" s="40">
        <v>0.0</v>
      </c>
      <c r="D534" s="41">
        <v>45997.71947239584</v>
      </c>
    </row>
    <row r="535">
      <c r="A535" s="39" t="s">
        <v>275</v>
      </c>
      <c r="B535" s="40">
        <v>1905940.0</v>
      </c>
      <c r="C535" s="40">
        <v>0.0</v>
      </c>
      <c r="D535" s="41">
        <v>45997.71947513889</v>
      </c>
    </row>
    <row r="536">
      <c r="A536" s="39" t="s">
        <v>275</v>
      </c>
      <c r="B536" s="40">
        <v>1905941.0</v>
      </c>
      <c r="C536" s="40">
        <v>0.0</v>
      </c>
      <c r="D536" s="41">
        <v>45997.719478784726</v>
      </c>
    </row>
    <row r="537">
      <c r="A537" s="39" t="s">
        <v>276</v>
      </c>
      <c r="B537" s="40">
        <v>1871498.0</v>
      </c>
      <c r="C537" s="40">
        <v>10.0</v>
      </c>
      <c r="D537" s="41">
        <v>45968.58116512731</v>
      </c>
    </row>
    <row r="538">
      <c r="A538" s="39" t="s">
        <v>276</v>
      </c>
      <c r="B538" s="40">
        <v>1871500.0</v>
      </c>
      <c r="C538" s="40">
        <v>5.0</v>
      </c>
      <c r="D538" s="41">
        <v>45979.577620474534</v>
      </c>
    </row>
    <row r="539">
      <c r="A539" s="39" t="s">
        <v>276</v>
      </c>
      <c r="B539" s="40">
        <v>1871501.0</v>
      </c>
      <c r="C539" s="40">
        <v>2.0</v>
      </c>
      <c r="D539" s="41">
        <v>45982.29616695602</v>
      </c>
    </row>
    <row r="540">
      <c r="A540" s="39" t="s">
        <v>276</v>
      </c>
      <c r="B540" s="40">
        <v>1871522.0</v>
      </c>
      <c r="C540" s="40">
        <v>6.0</v>
      </c>
      <c r="D540" s="41">
        <v>45982.29616953703</v>
      </c>
    </row>
    <row r="541">
      <c r="A541" s="39" t="s">
        <v>276</v>
      </c>
      <c r="B541" s="40">
        <v>1871525.0</v>
      </c>
      <c r="C541" s="40">
        <v>10.0</v>
      </c>
      <c r="D541" s="41">
        <v>45982.29617230324</v>
      </c>
    </row>
    <row r="542">
      <c r="A542" s="39" t="s">
        <v>276</v>
      </c>
      <c r="B542" s="40">
        <v>1873080.0</v>
      </c>
      <c r="C542" s="40">
        <v>10.0</v>
      </c>
      <c r="D542" s="41">
        <v>45968.48405621528</v>
      </c>
    </row>
    <row r="543">
      <c r="A543" s="39" t="s">
        <v>276</v>
      </c>
      <c r="B543" s="40">
        <v>1873081.0</v>
      </c>
      <c r="C543" s="40">
        <v>11.0</v>
      </c>
      <c r="D543" s="41">
        <v>45968.48405866898</v>
      </c>
    </row>
    <row r="544">
      <c r="A544" s="39" t="s">
        <v>276</v>
      </c>
      <c r="B544" s="40">
        <v>1873082.0</v>
      </c>
      <c r="C544" s="40">
        <v>5.0</v>
      </c>
      <c r="D544" s="41">
        <v>45968.48406204861</v>
      </c>
    </row>
    <row r="545">
      <c r="A545" s="39" t="s">
        <v>276</v>
      </c>
      <c r="B545" s="40">
        <v>1873083.0</v>
      </c>
      <c r="C545" s="40">
        <v>0.0</v>
      </c>
      <c r="D545" s="41">
        <v>45968.48406462963</v>
      </c>
    </row>
    <row r="546">
      <c r="A546" s="39" t="s">
        <v>276</v>
      </c>
      <c r="B546" s="40">
        <v>1873084.0</v>
      </c>
      <c r="C546" s="40">
        <v>0.0</v>
      </c>
      <c r="D546" s="41">
        <v>45968.48406729166</v>
      </c>
    </row>
    <row r="547">
      <c r="A547" s="39" t="s">
        <v>276</v>
      </c>
      <c r="B547" s="40">
        <v>1880186.0</v>
      </c>
      <c r="C547" s="40">
        <v>0.0</v>
      </c>
      <c r="D547" s="41">
        <v>45969.72067546296</v>
      </c>
    </row>
    <row r="548">
      <c r="A548" s="39" t="s">
        <v>276</v>
      </c>
      <c r="B548" s="40">
        <v>1880188.0</v>
      </c>
      <c r="C548" s="40">
        <v>0.0</v>
      </c>
      <c r="D548" s="41">
        <v>45969.72067927083</v>
      </c>
    </row>
    <row r="549">
      <c r="A549" s="39" t="s">
        <v>276</v>
      </c>
      <c r="B549" s="40">
        <v>1880189.0</v>
      </c>
      <c r="C549" s="40">
        <v>0.0</v>
      </c>
      <c r="D549" s="41">
        <v>45969.72068334491</v>
      </c>
    </row>
    <row r="550">
      <c r="A550" s="39" t="s">
        <v>276</v>
      </c>
      <c r="B550" s="40">
        <v>1880191.0</v>
      </c>
      <c r="C550" s="40">
        <v>0.0</v>
      </c>
      <c r="D550" s="41">
        <v>45969.72068539352</v>
      </c>
    </row>
    <row r="551">
      <c r="A551" s="39" t="s">
        <v>276</v>
      </c>
      <c r="B551" s="40">
        <v>1880677.0</v>
      </c>
      <c r="C551" s="40">
        <v>0.0</v>
      </c>
      <c r="D551" s="41">
        <v>45969.72068731481</v>
      </c>
    </row>
    <row r="552">
      <c r="A552" s="39" t="s">
        <v>276</v>
      </c>
      <c r="B552" s="40">
        <v>1892424.0</v>
      </c>
      <c r="C552" s="40">
        <v>0.0</v>
      </c>
      <c r="D552" s="41">
        <v>45972.3741906713</v>
      </c>
    </row>
    <row r="553">
      <c r="A553" s="39" t="s">
        <v>276</v>
      </c>
      <c r="B553" s="40">
        <v>1892425.0</v>
      </c>
      <c r="C553" s="40">
        <v>0.0</v>
      </c>
      <c r="D553" s="41">
        <v>45976.71636186342</v>
      </c>
    </row>
    <row r="554">
      <c r="A554" s="39" t="s">
        <v>276</v>
      </c>
      <c r="B554" s="40">
        <v>1892426.0</v>
      </c>
      <c r="C554" s="40">
        <v>0.0</v>
      </c>
      <c r="D554" s="41">
        <v>45976.71636377314</v>
      </c>
    </row>
    <row r="555">
      <c r="A555" s="39" t="s">
        <v>276</v>
      </c>
      <c r="B555" s="40">
        <v>1892427.0</v>
      </c>
      <c r="C555" s="40">
        <v>0.0</v>
      </c>
      <c r="D555" s="41">
        <v>45979.6198140625</v>
      </c>
    </row>
    <row r="556">
      <c r="A556" s="39" t="s">
        <v>276</v>
      </c>
      <c r="B556" s="40">
        <v>1892428.0</v>
      </c>
      <c r="C556" s="40">
        <v>0.0</v>
      </c>
      <c r="D556" s="41">
        <v>45976.716365625005</v>
      </c>
    </row>
    <row r="557">
      <c r="A557" s="39" t="s">
        <v>276</v>
      </c>
      <c r="B557" s="40">
        <v>1902189.0</v>
      </c>
      <c r="C557" s="40">
        <v>0.0</v>
      </c>
      <c r="D557" s="41">
        <v>45992.42387982639</v>
      </c>
    </row>
    <row r="558">
      <c r="A558" s="39" t="s">
        <v>276</v>
      </c>
      <c r="B558" s="40">
        <v>1905938.0</v>
      </c>
      <c r="C558" s="40">
        <v>0.0</v>
      </c>
      <c r="D558" s="41">
        <v>45997.71948648148</v>
      </c>
    </row>
    <row r="559">
      <c r="A559" s="39" t="s">
        <v>276</v>
      </c>
      <c r="B559" s="40">
        <v>1905939.0</v>
      </c>
      <c r="C559" s="40">
        <v>0.0</v>
      </c>
      <c r="D559" s="41">
        <v>45997.719491701384</v>
      </c>
    </row>
    <row r="560">
      <c r="A560" s="39" t="s">
        <v>276</v>
      </c>
      <c r="B560" s="40">
        <v>1905940.0</v>
      </c>
      <c r="C560" s="40">
        <v>0.0</v>
      </c>
      <c r="D560" s="41">
        <v>45997.71949565972</v>
      </c>
    </row>
    <row r="561">
      <c r="A561" s="39" t="s">
        <v>276</v>
      </c>
      <c r="B561" s="40">
        <v>1905941.0</v>
      </c>
      <c r="C561" s="40">
        <v>0.0</v>
      </c>
      <c r="D561" s="41">
        <v>45997.71949969907</v>
      </c>
    </row>
    <row r="562">
      <c r="A562" s="39" t="s">
        <v>277</v>
      </c>
      <c r="B562" s="40">
        <v>1871498.0</v>
      </c>
      <c r="C562" s="40">
        <v>10.0</v>
      </c>
      <c r="D562" s="41">
        <v>45979.58789859954</v>
      </c>
    </row>
    <row r="563">
      <c r="A563" s="39" t="s">
        <v>277</v>
      </c>
      <c r="B563" s="40">
        <v>1871500.0</v>
      </c>
      <c r="C563" s="40">
        <v>7.0</v>
      </c>
      <c r="D563" s="41">
        <v>45968.484082905095</v>
      </c>
    </row>
    <row r="564">
      <c r="A564" s="39" t="s">
        <v>277</v>
      </c>
      <c r="B564" s="40">
        <v>1871501.0</v>
      </c>
      <c r="C564" s="40">
        <v>0.0</v>
      </c>
      <c r="D564" s="41">
        <v>45968.484088136574</v>
      </c>
    </row>
    <row r="565">
      <c r="A565" s="39" t="s">
        <v>277</v>
      </c>
      <c r="B565" s="40">
        <v>1871522.0</v>
      </c>
      <c r="C565" s="40">
        <v>0.0</v>
      </c>
      <c r="D565" s="41">
        <v>45968.484090555554</v>
      </c>
    </row>
    <row r="566">
      <c r="A566" s="39" t="s">
        <v>277</v>
      </c>
      <c r="B566" s="40">
        <v>1871525.0</v>
      </c>
      <c r="C566" s="40">
        <v>0.0</v>
      </c>
      <c r="D566" s="41">
        <v>45968.484097569446</v>
      </c>
    </row>
    <row r="567">
      <c r="A567" s="39" t="s">
        <v>277</v>
      </c>
      <c r="B567" s="40">
        <v>1873080.0</v>
      </c>
      <c r="C567" s="40">
        <v>10.0</v>
      </c>
      <c r="D567" s="41">
        <v>45968.484100312504</v>
      </c>
    </row>
    <row r="568">
      <c r="A568" s="39" t="s">
        <v>277</v>
      </c>
      <c r="B568" s="40">
        <v>1873081.0</v>
      </c>
      <c r="C568" s="40">
        <v>13.0</v>
      </c>
      <c r="D568" s="41">
        <v>45968.484109826386</v>
      </c>
    </row>
    <row r="569">
      <c r="A569" s="39" t="s">
        <v>277</v>
      </c>
      <c r="B569" s="40">
        <v>1873082.0</v>
      </c>
      <c r="C569" s="40">
        <v>0.0</v>
      </c>
      <c r="D569" s="41">
        <v>45968.48411240741</v>
      </c>
    </row>
    <row r="570">
      <c r="A570" s="39" t="s">
        <v>277</v>
      </c>
      <c r="B570" s="40">
        <v>1873083.0</v>
      </c>
      <c r="C570" s="40">
        <v>0.0</v>
      </c>
      <c r="D570" s="41">
        <v>45968.484115127314</v>
      </c>
    </row>
    <row r="571">
      <c r="A571" s="39" t="s">
        <v>277</v>
      </c>
      <c r="B571" s="40">
        <v>1873084.0</v>
      </c>
      <c r="C571" s="40">
        <v>0.0</v>
      </c>
      <c r="D571" s="41">
        <v>45968.48411800926</v>
      </c>
    </row>
    <row r="572">
      <c r="A572" s="39" t="s">
        <v>277</v>
      </c>
      <c r="B572" s="40">
        <v>1880186.0</v>
      </c>
      <c r="C572" s="40">
        <v>0.0</v>
      </c>
      <c r="D572" s="41">
        <v>45969.72068960648</v>
      </c>
    </row>
    <row r="573">
      <c r="A573" s="39" t="s">
        <v>277</v>
      </c>
      <c r="B573" s="40">
        <v>1880188.0</v>
      </c>
      <c r="C573" s="40">
        <v>0.0</v>
      </c>
      <c r="D573" s="41">
        <v>45969.72069144676</v>
      </c>
    </row>
    <row r="574">
      <c r="A574" s="39" t="s">
        <v>277</v>
      </c>
      <c r="B574" s="40">
        <v>1880189.0</v>
      </c>
      <c r="C574" s="40">
        <v>0.0</v>
      </c>
      <c r="D574" s="41">
        <v>45969.72070038195</v>
      </c>
    </row>
    <row r="575">
      <c r="A575" s="39" t="s">
        <v>277</v>
      </c>
      <c r="B575" s="40">
        <v>1880191.0</v>
      </c>
      <c r="C575" s="40">
        <v>0.0</v>
      </c>
      <c r="D575" s="41">
        <v>45969.72070232639</v>
      </c>
    </row>
    <row r="576">
      <c r="A576" s="39" t="s">
        <v>277</v>
      </c>
      <c r="B576" s="40">
        <v>1880677.0</v>
      </c>
      <c r="C576" s="40">
        <v>0.0</v>
      </c>
      <c r="D576" s="41">
        <v>45969.72071045139</v>
      </c>
    </row>
    <row r="577">
      <c r="A577" s="39" t="s">
        <v>277</v>
      </c>
      <c r="B577" s="40">
        <v>1892424.0</v>
      </c>
      <c r="C577" s="40">
        <v>0.0</v>
      </c>
      <c r="D577" s="41">
        <v>45972.374204120366</v>
      </c>
    </row>
    <row r="578">
      <c r="A578" s="39" t="s">
        <v>277</v>
      </c>
      <c r="B578" s="40">
        <v>1892425.0</v>
      </c>
      <c r="C578" s="40">
        <v>0.0</v>
      </c>
      <c r="D578" s="41">
        <v>45976.71636741898</v>
      </c>
    </row>
    <row r="579">
      <c r="A579" s="39" t="s">
        <v>277</v>
      </c>
      <c r="B579" s="40">
        <v>1892426.0</v>
      </c>
      <c r="C579" s="40">
        <v>0.0</v>
      </c>
      <c r="D579" s="41">
        <v>45976.71636903935</v>
      </c>
    </row>
    <row r="580">
      <c r="A580" s="39" t="s">
        <v>277</v>
      </c>
      <c r="B580" s="40">
        <v>1892427.0</v>
      </c>
      <c r="C580" s="40">
        <v>0.0</v>
      </c>
      <c r="D580" s="41">
        <v>45979.61981695602</v>
      </c>
    </row>
    <row r="581">
      <c r="A581" s="39" t="s">
        <v>277</v>
      </c>
      <c r="B581" s="40">
        <v>1892428.0</v>
      </c>
      <c r="C581" s="40">
        <v>0.0</v>
      </c>
      <c r="D581" s="41">
        <v>45976.71637138889</v>
      </c>
    </row>
    <row r="582">
      <c r="A582" s="39" t="s">
        <v>277</v>
      </c>
      <c r="B582" s="40">
        <v>1902189.0</v>
      </c>
      <c r="C582" s="40">
        <v>16.0</v>
      </c>
      <c r="D582" s="41">
        <v>45994.30016724537</v>
      </c>
    </row>
    <row r="583">
      <c r="A583" s="39" t="s">
        <v>277</v>
      </c>
      <c r="B583" s="40">
        <v>1905938.0</v>
      </c>
      <c r="C583" s="40">
        <v>0.0</v>
      </c>
      <c r="D583" s="41">
        <v>45997.71950681713</v>
      </c>
    </row>
    <row r="584">
      <c r="A584" s="39" t="s">
        <v>277</v>
      </c>
      <c r="B584" s="40">
        <v>1905939.0</v>
      </c>
      <c r="C584" s="40">
        <v>0.0</v>
      </c>
      <c r="D584" s="41">
        <v>45997.71951167824</v>
      </c>
    </row>
    <row r="585">
      <c r="A585" s="39" t="s">
        <v>277</v>
      </c>
      <c r="B585" s="40">
        <v>1905940.0</v>
      </c>
      <c r="C585" s="40">
        <v>0.0</v>
      </c>
      <c r="D585" s="41">
        <v>45997.719516620375</v>
      </c>
    </row>
    <row r="586">
      <c r="A586" s="39" t="s">
        <v>277</v>
      </c>
      <c r="B586" s="40">
        <v>1905941.0</v>
      </c>
      <c r="C586" s="40">
        <v>0.0</v>
      </c>
      <c r="D586" s="41">
        <v>45997.71952042824</v>
      </c>
    </row>
    <row r="587">
      <c r="A587" s="39" t="s">
        <v>278</v>
      </c>
      <c r="B587" s="40">
        <v>1871498.0</v>
      </c>
      <c r="C587" s="40">
        <v>10.0</v>
      </c>
      <c r="D587" s="41">
        <v>45968.484120625</v>
      </c>
    </row>
    <row r="588">
      <c r="A588" s="39" t="s">
        <v>278</v>
      </c>
      <c r="B588" s="40">
        <v>1871500.0</v>
      </c>
      <c r="C588" s="40">
        <v>8.0</v>
      </c>
      <c r="D588" s="41">
        <v>45968.48412547454</v>
      </c>
    </row>
    <row r="589">
      <c r="A589" s="39" t="s">
        <v>278</v>
      </c>
      <c r="B589" s="40">
        <v>1871501.0</v>
      </c>
      <c r="C589" s="40">
        <v>2.0</v>
      </c>
      <c r="D589" s="41">
        <v>45968.48413282407</v>
      </c>
    </row>
    <row r="590">
      <c r="A590" s="39" t="s">
        <v>278</v>
      </c>
      <c r="B590" s="40">
        <v>1871522.0</v>
      </c>
      <c r="C590" s="40">
        <v>2.0</v>
      </c>
      <c r="D590" s="41">
        <v>45968.48413546296</v>
      </c>
    </row>
    <row r="591">
      <c r="A591" s="39" t="s">
        <v>278</v>
      </c>
      <c r="B591" s="40">
        <v>1871525.0</v>
      </c>
      <c r="C591" s="40">
        <v>0.0</v>
      </c>
      <c r="D591" s="41">
        <v>45968.48413795139</v>
      </c>
    </row>
    <row r="592">
      <c r="A592" s="39" t="s">
        <v>278</v>
      </c>
      <c r="B592" s="40">
        <v>1873080.0</v>
      </c>
      <c r="C592" s="40">
        <v>10.0</v>
      </c>
      <c r="D592" s="41">
        <v>45968.48414050926</v>
      </c>
    </row>
    <row r="593">
      <c r="A593" s="39" t="s">
        <v>278</v>
      </c>
      <c r="B593" s="40">
        <v>1873081.0</v>
      </c>
      <c r="C593" s="40">
        <v>8.0</v>
      </c>
      <c r="D593" s="41">
        <v>45968.643820428246</v>
      </c>
    </row>
    <row r="594">
      <c r="A594" s="39" t="s">
        <v>278</v>
      </c>
      <c r="B594" s="40">
        <v>1873082.0</v>
      </c>
      <c r="C594" s="40">
        <v>0.0</v>
      </c>
      <c r="D594" s="41">
        <v>45968.48414576389</v>
      </c>
    </row>
    <row r="595">
      <c r="A595" s="39" t="s">
        <v>278</v>
      </c>
      <c r="B595" s="40">
        <v>1873083.0</v>
      </c>
      <c r="C595" s="40">
        <v>0.0</v>
      </c>
      <c r="D595" s="41">
        <v>45968.48415105324</v>
      </c>
    </row>
    <row r="596">
      <c r="A596" s="39" t="s">
        <v>278</v>
      </c>
      <c r="B596" s="40">
        <v>1873084.0</v>
      </c>
      <c r="C596" s="40">
        <v>0.0</v>
      </c>
      <c r="D596" s="41">
        <v>45968.48417070602</v>
      </c>
    </row>
    <row r="597">
      <c r="A597" s="39" t="s">
        <v>278</v>
      </c>
      <c r="B597" s="40">
        <v>1880186.0</v>
      </c>
      <c r="C597" s="40">
        <v>10.0</v>
      </c>
      <c r="D597" s="41">
        <v>45968.48417364583</v>
      </c>
    </row>
    <row r="598">
      <c r="A598" s="39" t="s">
        <v>278</v>
      </c>
      <c r="B598" s="40">
        <v>1880188.0</v>
      </c>
      <c r="C598" s="40">
        <v>11.0</v>
      </c>
      <c r="D598" s="41">
        <v>45968.48417673611</v>
      </c>
    </row>
    <row r="599">
      <c r="A599" s="39" t="s">
        <v>278</v>
      </c>
      <c r="B599" s="40">
        <v>1880189.0</v>
      </c>
      <c r="C599" s="40">
        <v>16.0</v>
      </c>
      <c r="D599" s="41">
        <v>45968.60226270833</v>
      </c>
    </row>
    <row r="600">
      <c r="A600" s="39" t="s">
        <v>278</v>
      </c>
      <c r="B600" s="40">
        <v>1880677.0</v>
      </c>
      <c r="C600" s="40">
        <v>10.0</v>
      </c>
      <c r="D600" s="41">
        <v>45968.6336816088</v>
      </c>
    </row>
    <row r="601">
      <c r="A601" s="39" t="s">
        <v>278</v>
      </c>
      <c r="B601" s="40">
        <v>1892424.0</v>
      </c>
      <c r="C601" s="40">
        <v>6.0</v>
      </c>
      <c r="D601" s="41">
        <v>45975.61063321759</v>
      </c>
    </row>
    <row r="602">
      <c r="A602" s="39" t="s">
        <v>278</v>
      </c>
      <c r="B602" s="40">
        <v>1892425.0</v>
      </c>
      <c r="C602" s="40">
        <v>2.0</v>
      </c>
      <c r="D602" s="41">
        <v>45975.61064034722</v>
      </c>
    </row>
    <row r="603">
      <c r="A603" s="39" t="s">
        <v>278</v>
      </c>
      <c r="B603" s="40">
        <v>1892426.0</v>
      </c>
      <c r="C603" s="40">
        <v>5.0</v>
      </c>
      <c r="D603" s="41">
        <v>45985.473582499995</v>
      </c>
    </row>
    <row r="604">
      <c r="A604" s="39" t="s">
        <v>278</v>
      </c>
      <c r="B604" s="40">
        <v>1892427.0</v>
      </c>
      <c r="C604" s="40">
        <v>2.0</v>
      </c>
      <c r="D604" s="41">
        <v>45979.61982475694</v>
      </c>
    </row>
    <row r="605">
      <c r="A605" s="39" t="s">
        <v>278</v>
      </c>
      <c r="B605" s="40">
        <v>1892428.0</v>
      </c>
      <c r="C605" s="40">
        <v>2.0</v>
      </c>
      <c r="D605" s="41">
        <v>45975.62066523149</v>
      </c>
    </row>
    <row r="606">
      <c r="A606" s="39" t="s">
        <v>278</v>
      </c>
      <c r="B606" s="40">
        <v>1902189.0</v>
      </c>
      <c r="C606" s="40">
        <v>0.0</v>
      </c>
      <c r="D606" s="41">
        <v>45992.423890694445</v>
      </c>
    </row>
    <row r="607">
      <c r="A607" s="39" t="s">
        <v>278</v>
      </c>
      <c r="B607" s="40">
        <v>1905937.0</v>
      </c>
      <c r="C607" s="40">
        <v>0.0</v>
      </c>
      <c r="D607" s="41">
        <v>45997.71952755787</v>
      </c>
    </row>
    <row r="608">
      <c r="A608" s="39" t="s">
        <v>278</v>
      </c>
      <c r="B608" s="40">
        <v>1905938.0</v>
      </c>
      <c r="C608" s="40">
        <v>0.0</v>
      </c>
      <c r="D608" s="41">
        <v>45997.71953106481</v>
      </c>
    </row>
    <row r="609">
      <c r="A609" s="39" t="s">
        <v>278</v>
      </c>
      <c r="B609" s="40">
        <v>1905939.0</v>
      </c>
      <c r="C609" s="40">
        <v>0.0</v>
      </c>
      <c r="D609" s="41">
        <v>45997.719534375</v>
      </c>
    </row>
    <row r="610">
      <c r="A610" s="39" t="s">
        <v>278</v>
      </c>
      <c r="B610" s="40">
        <v>1905940.0</v>
      </c>
      <c r="C610" s="40">
        <v>0.0</v>
      </c>
      <c r="D610" s="41">
        <v>45997.71954071759</v>
      </c>
    </row>
    <row r="611">
      <c r="A611" s="39" t="s">
        <v>278</v>
      </c>
      <c r="B611" s="40">
        <v>1905941.0</v>
      </c>
      <c r="C611" s="40">
        <v>0.0</v>
      </c>
      <c r="D611" s="41">
        <v>45997.719543761574</v>
      </c>
    </row>
    <row r="612">
      <c r="A612" s="39" t="s">
        <v>279</v>
      </c>
      <c r="B612" s="40">
        <v>1871498.0</v>
      </c>
      <c r="C612" s="40">
        <v>10.0</v>
      </c>
      <c r="D612" s="41">
        <v>45968.48417922454</v>
      </c>
    </row>
    <row r="613">
      <c r="A613" s="39" t="s">
        <v>279</v>
      </c>
      <c r="B613" s="40">
        <v>1871500.0</v>
      </c>
      <c r="C613" s="40">
        <v>0.0</v>
      </c>
      <c r="D613" s="41">
        <v>45968.48418164352</v>
      </c>
    </row>
    <row r="614">
      <c r="A614" s="39" t="s">
        <v>279</v>
      </c>
      <c r="B614" s="40">
        <v>1871501.0</v>
      </c>
      <c r="C614" s="40">
        <v>0.0</v>
      </c>
      <c r="D614" s="41">
        <v>45968.48419846065</v>
      </c>
    </row>
    <row r="615">
      <c r="A615" s="39" t="s">
        <v>279</v>
      </c>
      <c r="B615" s="40">
        <v>1871522.0</v>
      </c>
      <c r="C615" s="40">
        <v>0.0</v>
      </c>
      <c r="D615" s="41">
        <v>45968.48420096065</v>
      </c>
    </row>
    <row r="616">
      <c r="A616" s="39" t="s">
        <v>279</v>
      </c>
      <c r="B616" s="40">
        <v>1871525.0</v>
      </c>
      <c r="C616" s="40">
        <v>0.0</v>
      </c>
      <c r="D616" s="41">
        <v>45968.48420416667</v>
      </c>
    </row>
    <row r="617">
      <c r="A617" s="39" t="s">
        <v>279</v>
      </c>
      <c r="B617" s="40">
        <v>1873080.0</v>
      </c>
      <c r="C617" s="40">
        <v>0.0</v>
      </c>
      <c r="D617" s="41">
        <v>45968.48420697916</v>
      </c>
    </row>
    <row r="618">
      <c r="A618" s="39" t="s">
        <v>279</v>
      </c>
      <c r="B618" s="40">
        <v>1873081.0</v>
      </c>
      <c r="C618" s="40">
        <v>0.0</v>
      </c>
      <c r="D618" s="41">
        <v>45968.484214027776</v>
      </c>
    </row>
    <row r="619">
      <c r="A619" s="39" t="s">
        <v>279</v>
      </c>
      <c r="B619" s="40">
        <v>1873082.0</v>
      </c>
      <c r="C619" s="40">
        <v>0.0</v>
      </c>
      <c r="D619" s="41">
        <v>45968.48421672454</v>
      </c>
    </row>
    <row r="620">
      <c r="A620" s="39" t="s">
        <v>279</v>
      </c>
      <c r="B620" s="40">
        <v>1873083.0</v>
      </c>
      <c r="C620" s="40">
        <v>0.0</v>
      </c>
      <c r="D620" s="41">
        <v>45968.484219618054</v>
      </c>
    </row>
    <row r="621">
      <c r="A621" s="39" t="s">
        <v>279</v>
      </c>
      <c r="B621" s="40">
        <v>1873084.0</v>
      </c>
      <c r="C621" s="40">
        <v>0.0</v>
      </c>
      <c r="D621" s="41">
        <v>45968.48422216435</v>
      </c>
    </row>
    <row r="622">
      <c r="A622" s="39" t="s">
        <v>279</v>
      </c>
      <c r="B622" s="40">
        <v>1880186.0</v>
      </c>
      <c r="C622" s="40">
        <v>10.0</v>
      </c>
      <c r="D622" s="41">
        <v>45972.42618016204</v>
      </c>
    </row>
    <row r="623">
      <c r="A623" s="39" t="s">
        <v>279</v>
      </c>
      <c r="B623" s="40">
        <v>1880188.0</v>
      </c>
      <c r="C623" s="40">
        <v>0.0</v>
      </c>
      <c r="D623" s="41">
        <v>45969.720717187505</v>
      </c>
    </row>
    <row r="624">
      <c r="A624" s="39" t="s">
        <v>279</v>
      </c>
      <c r="B624" s="40">
        <v>1880189.0</v>
      </c>
      <c r="C624" s="40">
        <v>0.0</v>
      </c>
      <c r="D624" s="41">
        <v>45969.72071971065</v>
      </c>
    </row>
    <row r="625">
      <c r="A625" s="39" t="s">
        <v>279</v>
      </c>
      <c r="B625" s="40">
        <v>1880191.0</v>
      </c>
      <c r="C625" s="40">
        <v>0.0</v>
      </c>
      <c r="D625" s="41">
        <v>45969.720721481484</v>
      </c>
    </row>
    <row r="626">
      <c r="A626" s="39" t="s">
        <v>279</v>
      </c>
      <c r="B626" s="40">
        <v>1880677.0</v>
      </c>
      <c r="C626" s="40">
        <v>0.0</v>
      </c>
      <c r="D626" s="41">
        <v>45969.72072319445</v>
      </c>
    </row>
    <row r="627">
      <c r="A627" s="39" t="s">
        <v>279</v>
      </c>
      <c r="B627" s="40">
        <v>1892424.0</v>
      </c>
      <c r="C627" s="40">
        <v>4.0</v>
      </c>
      <c r="D627" s="41">
        <v>45972.86053391204</v>
      </c>
    </row>
    <row r="628">
      <c r="A628" s="39" t="s">
        <v>279</v>
      </c>
      <c r="B628" s="40">
        <v>1892425.0</v>
      </c>
      <c r="C628" s="40">
        <v>0.0</v>
      </c>
      <c r="D628" s="41">
        <v>45976.716376111115</v>
      </c>
    </row>
    <row r="629">
      <c r="A629" s="39" t="s">
        <v>279</v>
      </c>
      <c r="B629" s="40">
        <v>1892426.0</v>
      </c>
      <c r="C629" s="40">
        <v>0.0</v>
      </c>
      <c r="D629" s="41">
        <v>45976.71637822917</v>
      </c>
    </row>
    <row r="630">
      <c r="A630" s="39" t="s">
        <v>279</v>
      </c>
      <c r="B630" s="40">
        <v>1892427.0</v>
      </c>
      <c r="C630" s="40">
        <v>0.0</v>
      </c>
      <c r="D630" s="41">
        <v>45979.619828518524</v>
      </c>
    </row>
    <row r="631">
      <c r="A631" s="39" t="s">
        <v>279</v>
      </c>
      <c r="B631" s="40">
        <v>1892428.0</v>
      </c>
      <c r="C631" s="40">
        <v>0.0</v>
      </c>
      <c r="D631" s="41">
        <v>45976.71638021991</v>
      </c>
    </row>
    <row r="632">
      <c r="A632" s="39" t="s">
        <v>279</v>
      </c>
      <c r="B632" s="40">
        <v>1902189.0</v>
      </c>
      <c r="C632" s="40">
        <v>0.0</v>
      </c>
      <c r="D632" s="41">
        <v>45992.423895775464</v>
      </c>
    </row>
    <row r="633">
      <c r="A633" s="39" t="s">
        <v>279</v>
      </c>
      <c r="B633" s="40">
        <v>1905937.0</v>
      </c>
      <c r="C633" s="40">
        <v>0.0</v>
      </c>
      <c r="D633" s="41">
        <v>45997.719546458335</v>
      </c>
    </row>
    <row r="634">
      <c r="A634" s="39" t="s">
        <v>279</v>
      </c>
      <c r="B634" s="40">
        <v>1905938.0</v>
      </c>
      <c r="C634" s="40">
        <v>0.0</v>
      </c>
      <c r="D634" s="41">
        <v>45997.719551064816</v>
      </c>
    </row>
    <row r="635">
      <c r="A635" s="39" t="s">
        <v>279</v>
      </c>
      <c r="B635" s="40">
        <v>1905939.0</v>
      </c>
      <c r="C635" s="40">
        <v>0.0</v>
      </c>
      <c r="D635" s="41">
        <v>45997.71955472222</v>
      </c>
    </row>
    <row r="636">
      <c r="A636" s="39" t="s">
        <v>279</v>
      </c>
      <c r="B636" s="40">
        <v>1905940.0</v>
      </c>
      <c r="C636" s="40">
        <v>0.0</v>
      </c>
      <c r="D636" s="41">
        <v>45997.71955900463</v>
      </c>
    </row>
    <row r="637">
      <c r="A637" s="39" t="s">
        <v>279</v>
      </c>
      <c r="B637" s="40">
        <v>1905941.0</v>
      </c>
      <c r="C637" s="40">
        <v>0.0</v>
      </c>
      <c r="D637" s="41">
        <v>45997.7195627662</v>
      </c>
    </row>
    <row r="638">
      <c r="A638" s="39" t="s">
        <v>280</v>
      </c>
      <c r="B638" s="40">
        <v>1871498.0</v>
      </c>
      <c r="C638" s="40">
        <v>0.0</v>
      </c>
      <c r="D638" s="41">
        <v>45968.48422465278</v>
      </c>
    </row>
    <row r="639">
      <c r="A639" s="39" t="s">
        <v>280</v>
      </c>
      <c r="B639" s="40">
        <v>1871500.0</v>
      </c>
      <c r="C639" s="40">
        <v>0.0</v>
      </c>
      <c r="D639" s="41">
        <v>45968.48422960648</v>
      </c>
    </row>
    <row r="640">
      <c r="A640" s="39" t="s">
        <v>280</v>
      </c>
      <c r="B640" s="40">
        <v>1871501.0</v>
      </c>
      <c r="C640" s="40">
        <v>0.0</v>
      </c>
      <c r="D640" s="41">
        <v>45968.48423310185</v>
      </c>
    </row>
    <row r="641">
      <c r="A641" s="39" t="s">
        <v>280</v>
      </c>
      <c r="B641" s="40">
        <v>1871522.0</v>
      </c>
      <c r="C641" s="40">
        <v>0.0</v>
      </c>
      <c r="D641" s="41">
        <v>45968.48424751157</v>
      </c>
    </row>
    <row r="642">
      <c r="A642" s="39" t="s">
        <v>280</v>
      </c>
      <c r="B642" s="40">
        <v>1871525.0</v>
      </c>
      <c r="C642" s="40">
        <v>0.0</v>
      </c>
      <c r="D642" s="41">
        <v>45968.48424991898</v>
      </c>
    </row>
    <row r="643">
      <c r="A643" s="39" t="s">
        <v>280</v>
      </c>
      <c r="B643" s="40">
        <v>1873080.0</v>
      </c>
      <c r="C643" s="40">
        <v>10.0</v>
      </c>
      <c r="D643" s="41">
        <v>45968.48425234953</v>
      </c>
    </row>
    <row r="644">
      <c r="A644" s="39" t="s">
        <v>280</v>
      </c>
      <c r="B644" s="40">
        <v>1873081.0</v>
      </c>
      <c r="C644" s="40">
        <v>0.0</v>
      </c>
      <c r="D644" s="41">
        <v>45968.48425523148</v>
      </c>
    </row>
    <row r="645">
      <c r="A645" s="39" t="s">
        <v>280</v>
      </c>
      <c r="B645" s="40">
        <v>1873082.0</v>
      </c>
      <c r="C645" s="40">
        <v>0.0</v>
      </c>
      <c r="D645" s="41">
        <v>45968.484257812495</v>
      </c>
    </row>
    <row r="646">
      <c r="A646" s="39" t="s">
        <v>280</v>
      </c>
      <c r="B646" s="40">
        <v>1873083.0</v>
      </c>
      <c r="C646" s="40">
        <v>0.0</v>
      </c>
      <c r="D646" s="41">
        <v>45968.48426037037</v>
      </c>
    </row>
    <row r="647">
      <c r="A647" s="39" t="s">
        <v>280</v>
      </c>
      <c r="B647" s="40">
        <v>1873084.0</v>
      </c>
      <c r="C647" s="40">
        <v>0.0</v>
      </c>
      <c r="D647" s="41">
        <v>45968.4842627662</v>
      </c>
    </row>
    <row r="648">
      <c r="A648" s="39" t="s">
        <v>280</v>
      </c>
      <c r="B648" s="40">
        <v>1880186.0</v>
      </c>
      <c r="C648" s="40">
        <v>0.0</v>
      </c>
      <c r="D648" s="41">
        <v>45969.720725023144</v>
      </c>
    </row>
    <row r="649">
      <c r="A649" s="39" t="s">
        <v>280</v>
      </c>
      <c r="B649" s="40">
        <v>1880188.0</v>
      </c>
      <c r="C649" s="40">
        <v>0.0</v>
      </c>
      <c r="D649" s="41">
        <v>45969.7207309375</v>
      </c>
    </row>
    <row r="650">
      <c r="A650" s="39" t="s">
        <v>280</v>
      </c>
      <c r="B650" s="40">
        <v>1880189.0</v>
      </c>
      <c r="C650" s="40">
        <v>0.0</v>
      </c>
      <c r="D650" s="41">
        <v>45969.72073299768</v>
      </c>
    </row>
    <row r="651">
      <c r="A651" s="39" t="s">
        <v>280</v>
      </c>
      <c r="B651" s="40">
        <v>1880191.0</v>
      </c>
      <c r="C651" s="40">
        <v>0.0</v>
      </c>
      <c r="D651" s="41">
        <v>45969.72073486111</v>
      </c>
    </row>
    <row r="652">
      <c r="A652" s="39" t="s">
        <v>280</v>
      </c>
      <c r="B652" s="40">
        <v>1880677.0</v>
      </c>
      <c r="C652" s="40">
        <v>0.0</v>
      </c>
      <c r="D652" s="41">
        <v>45969.720736585645</v>
      </c>
    </row>
    <row r="653">
      <c r="A653" s="39" t="s">
        <v>280</v>
      </c>
      <c r="B653" s="40">
        <v>1892424.0</v>
      </c>
      <c r="C653" s="40">
        <v>0.0</v>
      </c>
      <c r="D653" s="41">
        <v>45972.37422158565</v>
      </c>
    </row>
    <row r="654">
      <c r="A654" s="39" t="s">
        <v>280</v>
      </c>
      <c r="B654" s="40">
        <v>1892425.0</v>
      </c>
      <c r="C654" s="40">
        <v>0.0</v>
      </c>
      <c r="D654" s="41">
        <v>45976.71638240741</v>
      </c>
    </row>
    <row r="655">
      <c r="A655" s="39" t="s">
        <v>280</v>
      </c>
      <c r="B655" s="40">
        <v>1892426.0</v>
      </c>
      <c r="C655" s="40">
        <v>0.0</v>
      </c>
      <c r="D655" s="41">
        <v>45976.716384722225</v>
      </c>
    </row>
    <row r="656">
      <c r="A656" s="39" t="s">
        <v>280</v>
      </c>
      <c r="B656" s="40">
        <v>1892427.0</v>
      </c>
      <c r="C656" s="40">
        <v>0.0</v>
      </c>
      <c r="D656" s="41">
        <v>45979.61983137732</v>
      </c>
    </row>
    <row r="657">
      <c r="A657" s="39" t="s">
        <v>280</v>
      </c>
      <c r="B657" s="40">
        <v>1892428.0</v>
      </c>
      <c r="C657" s="40">
        <v>0.0</v>
      </c>
      <c r="D657" s="41">
        <v>45976.71638633102</v>
      </c>
    </row>
    <row r="658">
      <c r="A658" s="39" t="s">
        <v>280</v>
      </c>
      <c r="B658" s="40">
        <v>1902189.0</v>
      </c>
      <c r="C658" s="40">
        <v>10.0</v>
      </c>
      <c r="D658" s="41">
        <v>45994.300175833334</v>
      </c>
    </row>
    <row r="659">
      <c r="A659" s="39" t="s">
        <v>280</v>
      </c>
      <c r="B659" s="40">
        <v>1905937.0</v>
      </c>
      <c r="C659" s="40">
        <v>0.0</v>
      </c>
      <c r="D659" s="41">
        <v>45997.71956972222</v>
      </c>
    </row>
    <row r="660">
      <c r="A660" s="39" t="s">
        <v>280</v>
      </c>
      <c r="B660" s="40">
        <v>1905938.0</v>
      </c>
      <c r="C660" s="40">
        <v>0.0</v>
      </c>
      <c r="D660" s="41">
        <v>45997.719579745375</v>
      </c>
    </row>
    <row r="661">
      <c r="A661" s="39" t="s">
        <v>280</v>
      </c>
      <c r="B661" s="40">
        <v>1905939.0</v>
      </c>
      <c r="C661" s="40">
        <v>0.0</v>
      </c>
      <c r="D661" s="41">
        <v>45997.719583784725</v>
      </c>
    </row>
    <row r="662">
      <c r="A662" s="39" t="s">
        <v>280</v>
      </c>
      <c r="B662" s="40">
        <v>1905940.0</v>
      </c>
      <c r="C662" s="40">
        <v>0.0</v>
      </c>
      <c r="D662" s="41">
        <v>45997.71958827546</v>
      </c>
    </row>
    <row r="663">
      <c r="A663" s="39" t="s">
        <v>280</v>
      </c>
      <c r="B663" s="40">
        <v>1905941.0</v>
      </c>
      <c r="C663" s="40">
        <v>0.0</v>
      </c>
      <c r="D663" s="41">
        <v>45997.71959415509</v>
      </c>
    </row>
    <row r="664">
      <c r="A664" s="39" t="s">
        <v>281</v>
      </c>
      <c r="B664" s="40">
        <v>1871498.0</v>
      </c>
      <c r="C664" s="40">
        <v>0.0</v>
      </c>
      <c r="D664" s="41">
        <v>45968.48426549768</v>
      </c>
    </row>
    <row r="665">
      <c r="A665" s="39" t="s">
        <v>281</v>
      </c>
      <c r="B665" s="40">
        <v>1871500.0</v>
      </c>
      <c r="C665" s="40">
        <v>0.0</v>
      </c>
      <c r="D665" s="41">
        <v>45968.48426798611</v>
      </c>
    </row>
    <row r="666">
      <c r="A666" s="39" t="s">
        <v>281</v>
      </c>
      <c r="B666" s="40">
        <v>1871501.0</v>
      </c>
      <c r="C666" s="40">
        <v>0.0</v>
      </c>
      <c r="D666" s="41">
        <v>45968.484271099536</v>
      </c>
    </row>
    <row r="667">
      <c r="A667" s="39" t="s">
        <v>281</v>
      </c>
      <c r="B667" s="40">
        <v>1871522.0</v>
      </c>
      <c r="C667" s="40">
        <v>0.0</v>
      </c>
      <c r="D667" s="41">
        <v>45968.48427372685</v>
      </c>
    </row>
    <row r="668">
      <c r="A668" s="39" t="s">
        <v>281</v>
      </c>
      <c r="B668" s="40">
        <v>1871525.0</v>
      </c>
      <c r="C668" s="40">
        <v>0.0</v>
      </c>
      <c r="D668" s="41">
        <v>45968.48427894676</v>
      </c>
    </row>
    <row r="669">
      <c r="A669" s="39" t="s">
        <v>281</v>
      </c>
      <c r="B669" s="40">
        <v>1873080.0</v>
      </c>
      <c r="C669" s="40">
        <v>0.0</v>
      </c>
      <c r="D669" s="41">
        <v>45968.4842872338</v>
      </c>
    </row>
    <row r="670">
      <c r="A670" s="39" t="s">
        <v>281</v>
      </c>
      <c r="B670" s="40">
        <v>1873081.0</v>
      </c>
      <c r="C670" s="40">
        <v>0.0</v>
      </c>
      <c r="D670" s="41">
        <v>45968.484291307876</v>
      </c>
    </row>
    <row r="671">
      <c r="A671" s="39" t="s">
        <v>281</v>
      </c>
      <c r="B671" s="40">
        <v>1873082.0</v>
      </c>
      <c r="C671" s="40">
        <v>0.0</v>
      </c>
      <c r="D671" s="41">
        <v>45968.48429381945</v>
      </c>
    </row>
    <row r="672">
      <c r="A672" s="39" t="s">
        <v>281</v>
      </c>
      <c r="B672" s="40">
        <v>1873083.0</v>
      </c>
      <c r="C672" s="40">
        <v>0.0</v>
      </c>
      <c r="D672" s="41">
        <v>45968.48429630787</v>
      </c>
    </row>
    <row r="673">
      <c r="A673" s="39" t="s">
        <v>281</v>
      </c>
      <c r="B673" s="40">
        <v>1873084.0</v>
      </c>
      <c r="C673" s="40">
        <v>0.0</v>
      </c>
      <c r="D673" s="41">
        <v>45968.48429896991</v>
      </c>
    </row>
    <row r="674">
      <c r="A674" s="39" t="s">
        <v>281</v>
      </c>
      <c r="B674" s="40">
        <v>1880186.0</v>
      </c>
      <c r="C674" s="40">
        <v>0.0</v>
      </c>
      <c r="D674" s="41">
        <v>45969.72073868055</v>
      </c>
    </row>
    <row r="675">
      <c r="A675" s="39" t="s">
        <v>281</v>
      </c>
      <c r="B675" s="40">
        <v>1880188.0</v>
      </c>
      <c r="C675" s="40">
        <v>0.0</v>
      </c>
      <c r="D675" s="41">
        <v>45969.72074040509</v>
      </c>
    </row>
    <row r="676">
      <c r="A676" s="39" t="s">
        <v>281</v>
      </c>
      <c r="B676" s="40">
        <v>1880189.0</v>
      </c>
      <c r="C676" s="40">
        <v>0.0</v>
      </c>
      <c r="D676" s="41">
        <v>45969.72074263889</v>
      </c>
    </row>
    <row r="677">
      <c r="A677" s="39" t="s">
        <v>281</v>
      </c>
      <c r="B677" s="40">
        <v>1880191.0</v>
      </c>
      <c r="C677" s="40">
        <v>0.0</v>
      </c>
      <c r="D677" s="41">
        <v>45969.72074495371</v>
      </c>
    </row>
    <row r="678">
      <c r="A678" s="39" t="s">
        <v>281</v>
      </c>
      <c r="B678" s="40">
        <v>1880677.0</v>
      </c>
      <c r="C678" s="40">
        <v>0.0</v>
      </c>
      <c r="D678" s="41">
        <v>45969.720747569445</v>
      </c>
    </row>
    <row r="679">
      <c r="A679" s="39" t="s">
        <v>281</v>
      </c>
      <c r="B679" s="40">
        <v>1892424.0</v>
      </c>
      <c r="C679" s="40">
        <v>0.0</v>
      </c>
      <c r="D679" s="41">
        <v>45972.37422347222</v>
      </c>
    </row>
    <row r="680">
      <c r="A680" s="39" t="s">
        <v>281</v>
      </c>
      <c r="B680" s="40">
        <v>1892425.0</v>
      </c>
      <c r="C680" s="40">
        <v>0.0</v>
      </c>
      <c r="D680" s="41">
        <v>45976.7163883912</v>
      </c>
    </row>
    <row r="681">
      <c r="A681" s="39" t="s">
        <v>281</v>
      </c>
      <c r="B681" s="40">
        <v>1892426.0</v>
      </c>
      <c r="C681" s="40">
        <v>0.0</v>
      </c>
      <c r="D681" s="41">
        <v>45976.71639071759</v>
      </c>
    </row>
    <row r="682">
      <c r="A682" s="39" t="s">
        <v>281</v>
      </c>
      <c r="B682" s="40">
        <v>1892427.0</v>
      </c>
      <c r="C682" s="40">
        <v>0.0</v>
      </c>
      <c r="D682" s="41">
        <v>45979.619835879625</v>
      </c>
    </row>
    <row r="683">
      <c r="A683" s="39" t="s">
        <v>281</v>
      </c>
      <c r="B683" s="40">
        <v>1892428.0</v>
      </c>
      <c r="C683" s="40">
        <v>0.0</v>
      </c>
      <c r="D683" s="41">
        <v>45976.71639260417</v>
      </c>
    </row>
    <row r="684">
      <c r="A684" s="39" t="s">
        <v>281</v>
      </c>
      <c r="B684" s="40">
        <v>1902189.0</v>
      </c>
      <c r="C684" s="40">
        <v>0.0</v>
      </c>
      <c r="D684" s="41">
        <v>45992.42390688657</v>
      </c>
    </row>
    <row r="685">
      <c r="A685" s="39" t="s">
        <v>281</v>
      </c>
      <c r="B685" s="40">
        <v>1905937.0</v>
      </c>
      <c r="C685" s="40">
        <v>0.0</v>
      </c>
      <c r="D685" s="41">
        <v>45997.71959724537</v>
      </c>
    </row>
    <row r="686">
      <c r="A686" s="39" t="s">
        <v>281</v>
      </c>
      <c r="B686" s="40">
        <v>1905938.0</v>
      </c>
      <c r="C686" s="40">
        <v>0.0</v>
      </c>
      <c r="D686" s="41">
        <v>45997.71960107639</v>
      </c>
    </row>
    <row r="687">
      <c r="A687" s="39" t="s">
        <v>281</v>
      </c>
      <c r="B687" s="40">
        <v>1905939.0</v>
      </c>
      <c r="C687" s="40">
        <v>0.0</v>
      </c>
      <c r="D687" s="41">
        <v>45997.719605543985</v>
      </c>
    </row>
    <row r="688">
      <c r="A688" s="39" t="s">
        <v>281</v>
      </c>
      <c r="B688" s="40">
        <v>1905940.0</v>
      </c>
      <c r="C688" s="40">
        <v>0.0</v>
      </c>
      <c r="D688" s="41">
        <v>45997.71961534722</v>
      </c>
    </row>
    <row r="689">
      <c r="A689" s="39" t="s">
        <v>281</v>
      </c>
      <c r="B689" s="40">
        <v>1905941.0</v>
      </c>
      <c r="C689" s="40">
        <v>0.0</v>
      </c>
      <c r="D689" s="41">
        <v>45997.71961987269</v>
      </c>
    </row>
    <row r="690">
      <c r="A690" s="39" t="s">
        <v>282</v>
      </c>
      <c r="B690" s="40">
        <v>1871498.0</v>
      </c>
      <c r="C690" s="40">
        <v>0.0</v>
      </c>
      <c r="D690" s="41">
        <v>45968.48430181713</v>
      </c>
    </row>
    <row r="691">
      <c r="A691" s="39" t="s">
        <v>282</v>
      </c>
      <c r="B691" s="40">
        <v>1871500.0</v>
      </c>
      <c r="C691" s="40">
        <v>0.0</v>
      </c>
      <c r="D691" s="41">
        <v>45968.48430474537</v>
      </c>
    </row>
    <row r="692">
      <c r="A692" s="39" t="s">
        <v>282</v>
      </c>
      <c r="B692" s="40">
        <v>1871501.0</v>
      </c>
      <c r="C692" s="40">
        <v>0.0</v>
      </c>
      <c r="D692" s="41">
        <v>45968.48430736111</v>
      </c>
    </row>
    <row r="693">
      <c r="A693" s="39" t="s">
        <v>282</v>
      </c>
      <c r="B693" s="40">
        <v>1871522.0</v>
      </c>
      <c r="C693" s="40">
        <v>0.0</v>
      </c>
      <c r="D693" s="41">
        <v>45968.484309872685</v>
      </c>
    </row>
    <row r="694">
      <c r="A694" s="39" t="s">
        <v>282</v>
      </c>
      <c r="B694" s="40">
        <v>1871525.0</v>
      </c>
      <c r="C694" s="40">
        <v>0.0</v>
      </c>
      <c r="D694" s="41">
        <v>45968.48431234954</v>
      </c>
    </row>
    <row r="695">
      <c r="A695" s="39" t="s">
        <v>282</v>
      </c>
      <c r="B695" s="40">
        <v>1873080.0</v>
      </c>
      <c r="C695" s="40">
        <v>0.0</v>
      </c>
      <c r="D695" s="41">
        <v>45968.48431875</v>
      </c>
    </row>
    <row r="696">
      <c r="A696" s="39" t="s">
        <v>282</v>
      </c>
      <c r="B696" s="40">
        <v>1873081.0</v>
      </c>
      <c r="C696" s="40">
        <v>0.0</v>
      </c>
      <c r="D696" s="41">
        <v>45968.48432130787</v>
      </c>
    </row>
    <row r="697">
      <c r="A697" s="39" t="s">
        <v>282</v>
      </c>
      <c r="B697" s="40">
        <v>1873082.0</v>
      </c>
      <c r="C697" s="40">
        <v>0.0</v>
      </c>
      <c r="D697" s="41">
        <v>45968.48432391204</v>
      </c>
    </row>
    <row r="698">
      <c r="A698" s="39" t="s">
        <v>282</v>
      </c>
      <c r="B698" s="40">
        <v>1873083.0</v>
      </c>
      <c r="C698" s="40">
        <v>0.0</v>
      </c>
      <c r="D698" s="41">
        <v>45968.484326377315</v>
      </c>
    </row>
    <row r="699">
      <c r="A699" s="39" t="s">
        <v>282</v>
      </c>
      <c r="B699" s="40">
        <v>1873084.0</v>
      </c>
      <c r="C699" s="40">
        <v>0.0</v>
      </c>
      <c r="D699" s="41">
        <v>45968.48432891203</v>
      </c>
    </row>
    <row r="700">
      <c r="A700" s="39" t="s">
        <v>282</v>
      </c>
      <c r="B700" s="40">
        <v>1880186.0</v>
      </c>
      <c r="C700" s="40">
        <v>0.0</v>
      </c>
      <c r="D700" s="41">
        <v>45969.72075015046</v>
      </c>
    </row>
    <row r="701">
      <c r="A701" s="39" t="s">
        <v>282</v>
      </c>
      <c r="B701" s="40">
        <v>1880188.0</v>
      </c>
      <c r="C701" s="40">
        <v>0.0</v>
      </c>
      <c r="D701" s="41">
        <v>45969.720752141206</v>
      </c>
    </row>
    <row r="702">
      <c r="A702" s="39" t="s">
        <v>282</v>
      </c>
      <c r="B702" s="40">
        <v>1880189.0</v>
      </c>
      <c r="C702" s="40">
        <v>0.0</v>
      </c>
      <c r="D702" s="41">
        <v>45969.72075439815</v>
      </c>
    </row>
    <row r="703">
      <c r="A703" s="39" t="s">
        <v>282</v>
      </c>
      <c r="B703" s="40">
        <v>1880191.0</v>
      </c>
      <c r="C703" s="40">
        <v>0.0</v>
      </c>
      <c r="D703" s="41">
        <v>45969.72075703704</v>
      </c>
    </row>
    <row r="704">
      <c r="A704" s="39" t="s">
        <v>282</v>
      </c>
      <c r="B704" s="40">
        <v>1880677.0</v>
      </c>
      <c r="C704" s="40">
        <v>0.0</v>
      </c>
      <c r="D704" s="41">
        <v>45969.72075903935</v>
      </c>
    </row>
    <row r="705">
      <c r="A705" s="39" t="s">
        <v>282</v>
      </c>
      <c r="B705" s="40">
        <v>1892424.0</v>
      </c>
      <c r="C705" s="40">
        <v>0.0</v>
      </c>
      <c r="D705" s="41">
        <v>45972.374226238426</v>
      </c>
    </row>
    <row r="706">
      <c r="A706" s="39" t="s">
        <v>282</v>
      </c>
      <c r="B706" s="40">
        <v>1892425.0</v>
      </c>
      <c r="C706" s="40">
        <v>0.0</v>
      </c>
      <c r="D706" s="41">
        <v>45976.71639519676</v>
      </c>
    </row>
    <row r="707">
      <c r="A707" s="39" t="s">
        <v>282</v>
      </c>
      <c r="B707" s="40">
        <v>1892426.0</v>
      </c>
      <c r="C707" s="40">
        <v>0.0</v>
      </c>
      <c r="D707" s="41">
        <v>45976.716397233795</v>
      </c>
    </row>
    <row r="708">
      <c r="A708" s="39" t="s">
        <v>282</v>
      </c>
      <c r="B708" s="40">
        <v>1892427.0</v>
      </c>
      <c r="C708" s="40">
        <v>0.0</v>
      </c>
      <c r="D708" s="41">
        <v>45979.61983971065</v>
      </c>
    </row>
    <row r="709">
      <c r="A709" s="39" t="s">
        <v>282</v>
      </c>
      <c r="B709" s="40">
        <v>1892428.0</v>
      </c>
      <c r="C709" s="40">
        <v>0.0</v>
      </c>
      <c r="D709" s="41">
        <v>45976.71639912037</v>
      </c>
    </row>
    <row r="710">
      <c r="A710" s="39" t="s">
        <v>282</v>
      </c>
      <c r="B710" s="40">
        <v>1902189.0</v>
      </c>
      <c r="C710" s="40">
        <v>0.0</v>
      </c>
      <c r="D710" s="41">
        <v>45992.423909942125</v>
      </c>
    </row>
    <row r="711">
      <c r="A711" s="39" t="s">
        <v>282</v>
      </c>
      <c r="B711" s="40">
        <v>1905937.0</v>
      </c>
      <c r="C711" s="40">
        <v>0.0</v>
      </c>
      <c r="D711" s="41">
        <v>45997.71962391204</v>
      </c>
    </row>
    <row r="712">
      <c r="A712" s="39" t="s">
        <v>282</v>
      </c>
      <c r="B712" s="40">
        <v>1905938.0</v>
      </c>
      <c r="C712" s="40">
        <v>0.0</v>
      </c>
      <c r="D712" s="41">
        <v>45997.71962866899</v>
      </c>
    </row>
    <row r="713">
      <c r="A713" s="39" t="s">
        <v>282</v>
      </c>
      <c r="B713" s="40">
        <v>1905939.0</v>
      </c>
      <c r="C713" s="40">
        <v>0.0</v>
      </c>
      <c r="D713" s="41">
        <v>45997.71963313657</v>
      </c>
    </row>
    <row r="714">
      <c r="A714" s="39" t="s">
        <v>282</v>
      </c>
      <c r="B714" s="40">
        <v>1905940.0</v>
      </c>
      <c r="C714" s="40">
        <v>0.0</v>
      </c>
      <c r="D714" s="41">
        <v>45997.719637268514</v>
      </c>
    </row>
    <row r="715">
      <c r="A715" s="39" t="s">
        <v>282</v>
      </c>
      <c r="B715" s="40">
        <v>1905941.0</v>
      </c>
      <c r="C715" s="40">
        <v>0.0</v>
      </c>
      <c r="D715" s="41">
        <v>45997.719641435186</v>
      </c>
    </row>
    <row r="716">
      <c r="A716" s="39" t="s">
        <v>283</v>
      </c>
      <c r="B716" s="40">
        <v>1871498.0</v>
      </c>
      <c r="C716" s="40">
        <v>10.0</v>
      </c>
      <c r="D716" s="41">
        <v>45968.484331643514</v>
      </c>
    </row>
    <row r="717">
      <c r="A717" s="39" t="s">
        <v>283</v>
      </c>
      <c r="B717" s="40">
        <v>1871500.0</v>
      </c>
      <c r="C717" s="40">
        <v>2.0</v>
      </c>
      <c r="D717" s="41">
        <v>45975.43305280093</v>
      </c>
    </row>
    <row r="718">
      <c r="A718" s="39" t="s">
        <v>283</v>
      </c>
      <c r="B718" s="40">
        <v>1871501.0</v>
      </c>
      <c r="C718" s="40">
        <v>2.0</v>
      </c>
      <c r="D718" s="41">
        <v>45981.72330922454</v>
      </c>
    </row>
    <row r="719">
      <c r="A719" s="39" t="s">
        <v>283</v>
      </c>
      <c r="B719" s="40">
        <v>1871522.0</v>
      </c>
      <c r="C719" s="40">
        <v>6.0</v>
      </c>
      <c r="D719" s="41">
        <v>45984.71282880787</v>
      </c>
    </row>
    <row r="720">
      <c r="A720" s="39" t="s">
        <v>283</v>
      </c>
      <c r="B720" s="40">
        <v>1871525.0</v>
      </c>
      <c r="C720" s="40">
        <v>10.0</v>
      </c>
      <c r="D720" s="41">
        <v>45985.837974050926</v>
      </c>
    </row>
    <row r="721">
      <c r="A721" s="39" t="s">
        <v>283</v>
      </c>
      <c r="B721" s="40">
        <v>1873080.0</v>
      </c>
      <c r="C721" s="40">
        <v>10.0</v>
      </c>
      <c r="D721" s="41">
        <v>45985.837977118055</v>
      </c>
    </row>
    <row r="722">
      <c r="A722" s="39" t="s">
        <v>283</v>
      </c>
      <c r="B722" s="40">
        <v>1873081.0</v>
      </c>
      <c r="C722" s="40">
        <v>6.0</v>
      </c>
      <c r="D722" s="41">
        <v>45987.72341236111</v>
      </c>
    </row>
    <row r="723">
      <c r="A723" s="39" t="s">
        <v>283</v>
      </c>
      <c r="B723" s="40">
        <v>1873082.0</v>
      </c>
      <c r="C723" s="40">
        <v>2.0</v>
      </c>
      <c r="D723" s="41">
        <v>45987.83797018518</v>
      </c>
    </row>
    <row r="724">
      <c r="A724" s="39" t="s">
        <v>283</v>
      </c>
      <c r="B724" s="40">
        <v>1873083.0</v>
      </c>
      <c r="C724" s="40">
        <v>0.0</v>
      </c>
      <c r="D724" s="41">
        <v>45968.48435611111</v>
      </c>
    </row>
    <row r="725">
      <c r="A725" s="39" t="s">
        <v>283</v>
      </c>
      <c r="B725" s="40">
        <v>1873084.0</v>
      </c>
      <c r="C725" s="40">
        <v>0.0</v>
      </c>
      <c r="D725" s="41">
        <v>45968.484360462964</v>
      </c>
    </row>
    <row r="726">
      <c r="A726" s="39" t="s">
        <v>283</v>
      </c>
      <c r="B726" s="40">
        <v>1880186.0</v>
      </c>
      <c r="C726" s="40">
        <v>0.0</v>
      </c>
      <c r="D726" s="41">
        <v>45969.720763668985</v>
      </c>
    </row>
    <row r="727">
      <c r="A727" s="39" t="s">
        <v>283</v>
      </c>
      <c r="B727" s="40">
        <v>1880188.0</v>
      </c>
      <c r="C727" s="40">
        <v>0.0</v>
      </c>
      <c r="D727" s="41">
        <v>45969.720765439815</v>
      </c>
    </row>
    <row r="728">
      <c r="A728" s="39" t="s">
        <v>283</v>
      </c>
      <c r="B728" s="40">
        <v>1880189.0</v>
      </c>
      <c r="C728" s="40">
        <v>0.0</v>
      </c>
      <c r="D728" s="41">
        <v>45969.72076791667</v>
      </c>
    </row>
    <row r="729">
      <c r="A729" s="39" t="s">
        <v>283</v>
      </c>
      <c r="B729" s="40">
        <v>1880191.0</v>
      </c>
      <c r="C729" s="40">
        <v>0.0</v>
      </c>
      <c r="D729" s="41">
        <v>45969.72077063657</v>
      </c>
    </row>
    <row r="730">
      <c r="A730" s="39" t="s">
        <v>283</v>
      </c>
      <c r="B730" s="40">
        <v>1880677.0</v>
      </c>
      <c r="C730" s="40">
        <v>0.0</v>
      </c>
      <c r="D730" s="41">
        <v>45969.72077292824</v>
      </c>
    </row>
    <row r="731">
      <c r="A731" s="39" t="s">
        <v>283</v>
      </c>
      <c r="B731" s="40">
        <v>1892424.0</v>
      </c>
      <c r="C731" s="40">
        <v>0.0</v>
      </c>
      <c r="D731" s="41">
        <v>45972.860536504624</v>
      </c>
    </row>
    <row r="732">
      <c r="A732" s="39" t="s">
        <v>283</v>
      </c>
      <c r="B732" s="40">
        <v>1892425.0</v>
      </c>
      <c r="C732" s="40">
        <v>0.0</v>
      </c>
      <c r="D732" s="41">
        <v>45976.7164022338</v>
      </c>
    </row>
    <row r="733">
      <c r="A733" s="39" t="s">
        <v>283</v>
      </c>
      <c r="B733" s="40">
        <v>1892426.0</v>
      </c>
      <c r="C733" s="40">
        <v>0.0</v>
      </c>
      <c r="D733" s="41">
        <v>45976.71641149306</v>
      </c>
    </row>
    <row r="734">
      <c r="A734" s="39" t="s">
        <v>283</v>
      </c>
      <c r="B734" s="40">
        <v>1892427.0</v>
      </c>
      <c r="C734" s="40">
        <v>0.0</v>
      </c>
      <c r="D734" s="41">
        <v>45979.61984327546</v>
      </c>
    </row>
    <row r="735">
      <c r="A735" s="39" t="s">
        <v>283</v>
      </c>
      <c r="B735" s="40">
        <v>1892428.0</v>
      </c>
      <c r="C735" s="40">
        <v>0.0</v>
      </c>
      <c r="D735" s="41">
        <v>45976.71641606481</v>
      </c>
    </row>
    <row r="736">
      <c r="A736" s="39" t="s">
        <v>283</v>
      </c>
      <c r="B736" s="40">
        <v>1902189.0</v>
      </c>
      <c r="C736" s="40">
        <v>30.0</v>
      </c>
      <c r="D736" s="41">
        <v>45994.300179259255</v>
      </c>
    </row>
    <row r="737">
      <c r="A737" s="39" t="s">
        <v>283</v>
      </c>
      <c r="B737" s="40">
        <v>1905938.0</v>
      </c>
      <c r="C737" s="40">
        <v>0.0</v>
      </c>
      <c r="D737" s="41">
        <v>45997.719655671295</v>
      </c>
    </row>
    <row r="738">
      <c r="A738" s="39" t="s">
        <v>283</v>
      </c>
      <c r="B738" s="40">
        <v>1905939.0</v>
      </c>
      <c r="C738" s="40">
        <v>0.0</v>
      </c>
      <c r="D738" s="41">
        <v>45997.71965961806</v>
      </c>
    </row>
    <row r="739">
      <c r="A739" s="39" t="s">
        <v>283</v>
      </c>
      <c r="B739" s="40">
        <v>1905940.0</v>
      </c>
      <c r="C739" s="40">
        <v>0.0</v>
      </c>
      <c r="D739" s="41">
        <v>45997.71966326389</v>
      </c>
    </row>
    <row r="740">
      <c r="A740" s="39" t="s">
        <v>283</v>
      </c>
      <c r="B740" s="40">
        <v>1905941.0</v>
      </c>
      <c r="C740" s="40">
        <v>0.0</v>
      </c>
      <c r="D740" s="41">
        <v>45997.71966777778</v>
      </c>
    </row>
    <row r="741">
      <c r="A741" s="39" t="s">
        <v>284</v>
      </c>
      <c r="B741" s="40">
        <v>1871498.0</v>
      </c>
      <c r="C741" s="40">
        <v>10.0</v>
      </c>
      <c r="D741" s="41">
        <v>45968.48436304399</v>
      </c>
    </row>
    <row r="742">
      <c r="A742" s="39" t="s">
        <v>284</v>
      </c>
      <c r="B742" s="40">
        <v>1871500.0</v>
      </c>
      <c r="C742" s="40">
        <v>4.0</v>
      </c>
      <c r="D742" s="41">
        <v>45968.484365428245</v>
      </c>
    </row>
    <row r="743">
      <c r="A743" s="39" t="s">
        <v>284</v>
      </c>
      <c r="B743" s="40">
        <v>1871501.0</v>
      </c>
      <c r="C743" s="40">
        <v>2.0</v>
      </c>
      <c r="D743" s="41">
        <v>45968.48436798611</v>
      </c>
    </row>
    <row r="744">
      <c r="A744" s="39" t="s">
        <v>284</v>
      </c>
      <c r="B744" s="40">
        <v>1871522.0</v>
      </c>
      <c r="C744" s="40">
        <v>4.0</v>
      </c>
      <c r="D744" s="41">
        <v>45968.48437039352</v>
      </c>
    </row>
    <row r="745">
      <c r="A745" s="39" t="s">
        <v>284</v>
      </c>
      <c r="B745" s="40">
        <v>1871525.0</v>
      </c>
      <c r="C745" s="40">
        <v>4.0</v>
      </c>
      <c r="D745" s="41">
        <v>45968.484375381944</v>
      </c>
    </row>
    <row r="746">
      <c r="A746" s="39" t="s">
        <v>284</v>
      </c>
      <c r="B746" s="40">
        <v>1873080.0</v>
      </c>
      <c r="C746" s="40">
        <v>10.0</v>
      </c>
      <c r="D746" s="41">
        <v>45968.48437810186</v>
      </c>
    </row>
    <row r="747">
      <c r="A747" s="39" t="s">
        <v>284</v>
      </c>
      <c r="B747" s="40">
        <v>1873081.0</v>
      </c>
      <c r="C747" s="40">
        <v>4.0</v>
      </c>
      <c r="D747" s="41">
        <v>45968.484380497684</v>
      </c>
    </row>
    <row r="748">
      <c r="A748" s="39" t="s">
        <v>284</v>
      </c>
      <c r="B748" s="40">
        <v>1873082.0</v>
      </c>
      <c r="C748" s="40">
        <v>6.0</v>
      </c>
      <c r="D748" s="41">
        <v>45968.484385324075</v>
      </c>
    </row>
    <row r="749">
      <c r="A749" s="39" t="s">
        <v>284</v>
      </c>
      <c r="B749" s="40">
        <v>1873083.0</v>
      </c>
      <c r="C749" s="40">
        <v>0.0</v>
      </c>
      <c r="D749" s="41">
        <v>45968.48438829861</v>
      </c>
    </row>
    <row r="750">
      <c r="A750" s="39" t="s">
        <v>284</v>
      </c>
      <c r="B750" s="40">
        <v>1873084.0</v>
      </c>
      <c r="C750" s="40">
        <v>10.0</v>
      </c>
      <c r="D750" s="41">
        <v>45968.48439079861</v>
      </c>
    </row>
    <row r="751">
      <c r="A751" s="39" t="s">
        <v>284</v>
      </c>
      <c r="B751" s="40">
        <v>1880186.0</v>
      </c>
      <c r="C751" s="40">
        <v>10.0</v>
      </c>
      <c r="D751" s="41">
        <v>45968.484393900464</v>
      </c>
    </row>
    <row r="752">
      <c r="A752" s="39" t="s">
        <v>284</v>
      </c>
      <c r="B752" s="40">
        <v>1880188.0</v>
      </c>
      <c r="C752" s="40">
        <v>17.0</v>
      </c>
      <c r="D752" s="41">
        <v>45968.48439673611</v>
      </c>
    </row>
    <row r="753">
      <c r="A753" s="39" t="s">
        <v>284</v>
      </c>
      <c r="B753" s="40">
        <v>1880189.0</v>
      </c>
      <c r="C753" s="40">
        <v>19.0</v>
      </c>
      <c r="D753" s="41">
        <v>45968.484415486106</v>
      </c>
    </row>
    <row r="754">
      <c r="A754" s="39" t="s">
        <v>284</v>
      </c>
      <c r="B754" s="40">
        <v>1880677.0</v>
      </c>
      <c r="C754" s="40">
        <v>10.0</v>
      </c>
      <c r="D754" s="41">
        <v>45968.64382670139</v>
      </c>
    </row>
    <row r="755">
      <c r="A755" s="39" t="s">
        <v>284</v>
      </c>
      <c r="B755" s="40">
        <v>1892424.0</v>
      </c>
      <c r="C755" s="40">
        <v>10.0</v>
      </c>
      <c r="D755" s="41">
        <v>45972.64162195602</v>
      </c>
    </row>
    <row r="756">
      <c r="A756" s="39" t="s">
        <v>284</v>
      </c>
      <c r="B756" s="40">
        <v>1892425.0</v>
      </c>
      <c r="C756" s="40">
        <v>7.0</v>
      </c>
      <c r="D756" s="41">
        <v>45972.87041487268</v>
      </c>
    </row>
    <row r="757">
      <c r="A757" s="39" t="s">
        <v>284</v>
      </c>
      <c r="B757" s="40">
        <v>1892426.0</v>
      </c>
      <c r="C757" s="40">
        <v>9.0</v>
      </c>
      <c r="D757" s="41">
        <v>45985.47358866898</v>
      </c>
    </row>
    <row r="758">
      <c r="A758" s="39" t="s">
        <v>284</v>
      </c>
      <c r="B758" s="40">
        <v>1892427.0</v>
      </c>
      <c r="C758" s="40">
        <v>0.0</v>
      </c>
      <c r="D758" s="41">
        <v>45979.61985008101</v>
      </c>
    </row>
    <row r="759">
      <c r="A759" s="39" t="s">
        <v>284</v>
      </c>
      <c r="B759" s="40">
        <v>1892428.0</v>
      </c>
      <c r="C759" s="40">
        <v>0.0</v>
      </c>
      <c r="D759" s="41">
        <v>45976.71642372685</v>
      </c>
    </row>
    <row r="760">
      <c r="A760" s="39" t="s">
        <v>284</v>
      </c>
      <c r="B760" s="40">
        <v>1902189.0</v>
      </c>
      <c r="C760" s="40">
        <v>38.0</v>
      </c>
      <c r="D760" s="41">
        <v>45994.30018636574</v>
      </c>
    </row>
    <row r="761">
      <c r="A761" s="39" t="s">
        <v>284</v>
      </c>
      <c r="B761" s="40">
        <v>1905938.0</v>
      </c>
      <c r="C761" s="40">
        <v>0.0</v>
      </c>
      <c r="D761" s="41">
        <v>45997.7196784838</v>
      </c>
    </row>
    <row r="762">
      <c r="A762" s="39" t="s">
        <v>284</v>
      </c>
      <c r="B762" s="40">
        <v>1905939.0</v>
      </c>
      <c r="C762" s="40">
        <v>0.0</v>
      </c>
      <c r="D762" s="41">
        <v>45997.71968224537</v>
      </c>
    </row>
    <row r="763">
      <c r="A763" s="39" t="s">
        <v>284</v>
      </c>
      <c r="B763" s="40">
        <v>1905940.0</v>
      </c>
      <c r="C763" s="40">
        <v>0.0</v>
      </c>
      <c r="D763" s="41">
        <v>45997.71968603009</v>
      </c>
    </row>
    <row r="764">
      <c r="A764" s="39" t="s">
        <v>284</v>
      </c>
      <c r="B764" s="40">
        <v>1905941.0</v>
      </c>
      <c r="C764" s="40">
        <v>0.0</v>
      </c>
      <c r="D764" s="41">
        <v>45997.719690937505</v>
      </c>
    </row>
    <row r="765">
      <c r="A765" s="39" t="s">
        <v>285</v>
      </c>
      <c r="B765" s="40">
        <v>1871498.0</v>
      </c>
      <c r="C765" s="40">
        <v>10.0</v>
      </c>
      <c r="D765" s="41">
        <v>45968.484420810186</v>
      </c>
    </row>
    <row r="766">
      <c r="A766" s="39" t="s">
        <v>285</v>
      </c>
      <c r="B766" s="40">
        <v>1871500.0</v>
      </c>
      <c r="C766" s="40">
        <v>2.0</v>
      </c>
      <c r="D766" s="41">
        <v>45968.48442335648</v>
      </c>
    </row>
    <row r="767">
      <c r="A767" s="39" t="s">
        <v>285</v>
      </c>
      <c r="B767" s="40">
        <v>1871501.0</v>
      </c>
      <c r="C767" s="40">
        <v>11.0</v>
      </c>
      <c r="D767" s="41">
        <v>45979.29625208333</v>
      </c>
    </row>
    <row r="768">
      <c r="A768" s="39" t="s">
        <v>285</v>
      </c>
      <c r="B768" s="40">
        <v>1871522.0</v>
      </c>
      <c r="C768" s="40">
        <v>6.0</v>
      </c>
      <c r="D768" s="41">
        <v>45980.29609574074</v>
      </c>
    </row>
    <row r="769">
      <c r="A769" s="39" t="s">
        <v>285</v>
      </c>
      <c r="B769" s="40">
        <v>1871525.0</v>
      </c>
      <c r="C769" s="40">
        <v>0.0</v>
      </c>
      <c r="D769" s="41">
        <v>45968.48443548611</v>
      </c>
    </row>
    <row r="770">
      <c r="A770" s="39" t="s">
        <v>285</v>
      </c>
      <c r="B770" s="40">
        <v>1873080.0</v>
      </c>
      <c r="C770" s="40">
        <v>10.0</v>
      </c>
      <c r="D770" s="41">
        <v>45968.48444221065</v>
      </c>
    </row>
    <row r="771">
      <c r="A771" s="39" t="s">
        <v>285</v>
      </c>
      <c r="B771" s="40">
        <v>1873081.0</v>
      </c>
      <c r="C771" s="40">
        <v>11.0</v>
      </c>
      <c r="D771" s="41">
        <v>45968.48444457176</v>
      </c>
    </row>
    <row r="772">
      <c r="A772" s="39" t="s">
        <v>285</v>
      </c>
      <c r="B772" s="40">
        <v>1873082.0</v>
      </c>
      <c r="C772" s="40">
        <v>7.0</v>
      </c>
      <c r="D772" s="41">
        <v>45968.4844470949</v>
      </c>
    </row>
    <row r="773">
      <c r="A773" s="39" t="s">
        <v>285</v>
      </c>
      <c r="B773" s="40">
        <v>1873083.0</v>
      </c>
      <c r="C773" s="40">
        <v>0.0</v>
      </c>
      <c r="D773" s="41">
        <v>45968.484449814816</v>
      </c>
    </row>
    <row r="774">
      <c r="A774" s="39" t="s">
        <v>285</v>
      </c>
      <c r="B774" s="40">
        <v>1873084.0</v>
      </c>
      <c r="C774" s="40">
        <v>10.0</v>
      </c>
      <c r="D774" s="41">
        <v>45982.37978855324</v>
      </c>
    </row>
    <row r="775">
      <c r="A775" s="39" t="s">
        <v>285</v>
      </c>
      <c r="B775" s="40">
        <v>1880186.0</v>
      </c>
      <c r="C775" s="40">
        <v>10.0</v>
      </c>
      <c r="D775" s="41">
        <v>45968.484454652775</v>
      </c>
    </row>
    <row r="776">
      <c r="A776" s="39" t="s">
        <v>285</v>
      </c>
      <c r="B776" s="40">
        <v>1880188.0</v>
      </c>
      <c r="C776" s="40">
        <v>14.0</v>
      </c>
      <c r="D776" s="41">
        <v>45975.43305982639</v>
      </c>
    </row>
    <row r="777">
      <c r="A777" s="39" t="s">
        <v>285</v>
      </c>
      <c r="B777" s="40">
        <v>1880189.0</v>
      </c>
      <c r="C777" s="40">
        <v>0.0</v>
      </c>
      <c r="D777" s="41">
        <v>45969.72077881944</v>
      </c>
    </row>
    <row r="778">
      <c r="A778" s="39" t="s">
        <v>285</v>
      </c>
      <c r="B778" s="40">
        <v>1880191.0</v>
      </c>
      <c r="C778" s="40">
        <v>0.0</v>
      </c>
      <c r="D778" s="41">
        <v>45969.72078052083</v>
      </c>
    </row>
    <row r="779">
      <c r="A779" s="39" t="s">
        <v>285</v>
      </c>
      <c r="B779" s="40">
        <v>1880677.0</v>
      </c>
      <c r="C779" s="40">
        <v>0.0</v>
      </c>
      <c r="D779" s="41">
        <v>45969.72078365741</v>
      </c>
    </row>
    <row r="780">
      <c r="A780" s="39" t="s">
        <v>285</v>
      </c>
      <c r="B780" s="40">
        <v>1892424.0</v>
      </c>
      <c r="C780" s="40">
        <v>0.0</v>
      </c>
      <c r="D780" s="41">
        <v>45972.860558622684</v>
      </c>
    </row>
    <row r="781">
      <c r="A781" s="39" t="s">
        <v>285</v>
      </c>
      <c r="B781" s="40">
        <v>1892425.0</v>
      </c>
      <c r="C781" s="40">
        <v>0.0</v>
      </c>
      <c r="D781" s="41">
        <v>45976.716425694445</v>
      </c>
    </row>
    <row r="782">
      <c r="A782" s="39" t="s">
        <v>285</v>
      </c>
      <c r="B782" s="40">
        <v>1892426.0</v>
      </c>
      <c r="C782" s="40">
        <v>0.0</v>
      </c>
      <c r="D782" s="41">
        <v>45976.716428472224</v>
      </c>
    </row>
    <row r="783">
      <c r="A783" s="39" t="s">
        <v>285</v>
      </c>
      <c r="B783" s="40">
        <v>1892427.0</v>
      </c>
      <c r="C783" s="40">
        <v>0.0</v>
      </c>
      <c r="D783" s="41">
        <v>45979.61985329862</v>
      </c>
    </row>
    <row r="784">
      <c r="A784" s="39" t="s">
        <v>285</v>
      </c>
      <c r="B784" s="40">
        <v>1892428.0</v>
      </c>
      <c r="C784" s="40">
        <v>0.0</v>
      </c>
      <c r="D784" s="41">
        <v>45976.71643043982</v>
      </c>
    </row>
    <row r="785">
      <c r="A785" s="39" t="s">
        <v>285</v>
      </c>
      <c r="B785" s="40">
        <v>1902189.0</v>
      </c>
      <c r="C785" s="40">
        <v>0.0</v>
      </c>
      <c r="D785" s="41">
        <v>45992.42392341435</v>
      </c>
    </row>
    <row r="786">
      <c r="A786" s="39" t="s">
        <v>285</v>
      </c>
      <c r="B786" s="40">
        <v>1905938.0</v>
      </c>
      <c r="C786" s="40">
        <v>0.0</v>
      </c>
      <c r="D786" s="41">
        <v>45997.719698773144</v>
      </c>
    </row>
    <row r="787">
      <c r="A787" s="39" t="s">
        <v>285</v>
      </c>
      <c r="B787" s="40">
        <v>1905939.0</v>
      </c>
      <c r="C787" s="40">
        <v>0.0</v>
      </c>
      <c r="D787" s="41">
        <v>45997.71970971065</v>
      </c>
    </row>
    <row r="788">
      <c r="A788" s="39" t="s">
        <v>285</v>
      </c>
      <c r="B788" s="40">
        <v>1905940.0</v>
      </c>
      <c r="C788" s="40">
        <v>0.0</v>
      </c>
      <c r="D788" s="41">
        <v>45997.7197153125</v>
      </c>
    </row>
    <row r="789">
      <c r="A789" s="39" t="s">
        <v>285</v>
      </c>
      <c r="B789" s="40">
        <v>1905941.0</v>
      </c>
      <c r="C789" s="40">
        <v>0.0</v>
      </c>
      <c r="D789" s="41">
        <v>45997.719718865745</v>
      </c>
    </row>
    <row r="790">
      <c r="A790" s="39" t="s">
        <v>286</v>
      </c>
      <c r="B790" s="40">
        <v>1871498.0</v>
      </c>
      <c r="C790" s="40">
        <v>10.0</v>
      </c>
      <c r="D790" s="41">
        <v>45968.484463796296</v>
      </c>
    </row>
    <row r="791">
      <c r="A791" s="39" t="s">
        <v>286</v>
      </c>
      <c r="B791" s="40">
        <v>1871500.0</v>
      </c>
      <c r="C791" s="40">
        <v>2.0</v>
      </c>
      <c r="D791" s="41">
        <v>45968.48446619213</v>
      </c>
    </row>
    <row r="792">
      <c r="A792" s="39" t="s">
        <v>286</v>
      </c>
      <c r="B792" s="40">
        <v>1871501.0</v>
      </c>
      <c r="C792" s="40">
        <v>10.0</v>
      </c>
      <c r="D792" s="41">
        <v>45968.48447065972</v>
      </c>
    </row>
    <row r="793">
      <c r="A793" s="39" t="s">
        <v>286</v>
      </c>
      <c r="B793" s="40">
        <v>1871522.0</v>
      </c>
      <c r="C793" s="40">
        <v>6.0</v>
      </c>
      <c r="D793" s="41">
        <v>45978.63979530093</v>
      </c>
    </row>
    <row r="794">
      <c r="A794" s="39" t="s">
        <v>286</v>
      </c>
      <c r="B794" s="40">
        <v>1871525.0</v>
      </c>
      <c r="C794" s="40">
        <v>4.0</v>
      </c>
      <c r="D794" s="41">
        <v>45968.48447582176</v>
      </c>
    </row>
    <row r="795">
      <c r="A795" s="39" t="s">
        <v>286</v>
      </c>
      <c r="B795" s="40">
        <v>1873080.0</v>
      </c>
      <c r="C795" s="40">
        <v>10.0</v>
      </c>
      <c r="D795" s="41">
        <v>45968.48448010416</v>
      </c>
    </row>
    <row r="796">
      <c r="A796" s="39" t="s">
        <v>286</v>
      </c>
      <c r="B796" s="40">
        <v>1873081.0</v>
      </c>
      <c r="C796" s="40">
        <v>6.0</v>
      </c>
      <c r="D796" s="41">
        <v>45982.43165050926</v>
      </c>
    </row>
    <row r="797">
      <c r="A797" s="39" t="s">
        <v>286</v>
      </c>
      <c r="B797" s="40">
        <v>1873082.0</v>
      </c>
      <c r="C797" s="40">
        <v>5.0</v>
      </c>
      <c r="D797" s="41">
        <v>45982.4733031713</v>
      </c>
    </row>
    <row r="798">
      <c r="A798" s="39" t="s">
        <v>286</v>
      </c>
      <c r="B798" s="40">
        <v>1873083.0</v>
      </c>
      <c r="C798" s="40">
        <v>0.0</v>
      </c>
      <c r="D798" s="41">
        <v>45968.484497893514</v>
      </c>
    </row>
    <row r="799">
      <c r="A799" s="39" t="s">
        <v>286</v>
      </c>
      <c r="B799" s="40">
        <v>1873084.0</v>
      </c>
      <c r="C799" s="40">
        <v>0.0</v>
      </c>
      <c r="D799" s="41">
        <v>45968.48450046296</v>
      </c>
    </row>
    <row r="800">
      <c r="A800" s="39" t="s">
        <v>286</v>
      </c>
      <c r="B800" s="40">
        <v>1880186.0</v>
      </c>
      <c r="C800" s="40">
        <v>10.0</v>
      </c>
      <c r="D800" s="41">
        <v>45968.48450290509</v>
      </c>
    </row>
    <row r="801">
      <c r="A801" s="39" t="s">
        <v>286</v>
      </c>
      <c r="B801" s="40">
        <v>1880188.0</v>
      </c>
      <c r="C801" s="40">
        <v>18.0</v>
      </c>
      <c r="D801" s="41">
        <v>45972.64163586806</v>
      </c>
    </row>
    <row r="802">
      <c r="A802" s="39" t="s">
        <v>286</v>
      </c>
      <c r="B802" s="40">
        <v>1880191.0</v>
      </c>
      <c r="C802" s="40">
        <v>0.0</v>
      </c>
      <c r="D802" s="41">
        <v>45969.72078971065</v>
      </c>
    </row>
    <row r="803">
      <c r="A803" s="39" t="s">
        <v>286</v>
      </c>
      <c r="B803" s="40">
        <v>1880677.0</v>
      </c>
      <c r="C803" s="40">
        <v>0.0</v>
      </c>
      <c r="D803" s="41">
        <v>45969.72079146991</v>
      </c>
    </row>
    <row r="804">
      <c r="A804" s="39" t="s">
        <v>286</v>
      </c>
      <c r="B804" s="40">
        <v>1892424.0</v>
      </c>
      <c r="C804" s="40">
        <v>0.0</v>
      </c>
      <c r="D804" s="41">
        <v>45972.86056703704</v>
      </c>
    </row>
    <row r="805">
      <c r="A805" s="39" t="s">
        <v>286</v>
      </c>
      <c r="B805" s="40">
        <v>1892425.0</v>
      </c>
      <c r="C805" s="40">
        <v>0.0</v>
      </c>
      <c r="D805" s="41">
        <v>45976.71643483796</v>
      </c>
    </row>
    <row r="806">
      <c r="A806" s="39" t="s">
        <v>286</v>
      </c>
      <c r="B806" s="40">
        <v>1892426.0</v>
      </c>
      <c r="C806" s="40">
        <v>0.0</v>
      </c>
      <c r="D806" s="41">
        <v>45976.71643706018</v>
      </c>
    </row>
    <row r="807">
      <c r="A807" s="39" t="s">
        <v>286</v>
      </c>
      <c r="B807" s="40">
        <v>1892427.0</v>
      </c>
      <c r="C807" s="40">
        <v>0.0</v>
      </c>
      <c r="D807" s="41">
        <v>45979.61986310185</v>
      </c>
    </row>
    <row r="808">
      <c r="A808" s="39" t="s">
        <v>286</v>
      </c>
      <c r="B808" s="40">
        <v>1892428.0</v>
      </c>
      <c r="C808" s="40">
        <v>0.0</v>
      </c>
      <c r="D808" s="41">
        <v>45976.716453587964</v>
      </c>
    </row>
    <row r="809">
      <c r="A809" s="39" t="s">
        <v>286</v>
      </c>
      <c r="B809" s="40">
        <v>1902189.0</v>
      </c>
      <c r="C809" s="40">
        <v>0.0</v>
      </c>
      <c r="D809" s="41">
        <v>45992.42393142361</v>
      </c>
    </row>
    <row r="810">
      <c r="A810" s="39" t="s">
        <v>287</v>
      </c>
      <c r="B810" s="40">
        <v>1871498.0</v>
      </c>
      <c r="C810" s="40">
        <v>10.0</v>
      </c>
      <c r="D810" s="41">
        <v>45968.571642916664</v>
      </c>
    </row>
    <row r="811">
      <c r="A811" s="39" t="s">
        <v>287</v>
      </c>
      <c r="B811" s="40">
        <v>1871500.0</v>
      </c>
      <c r="C811" s="40">
        <v>10.0</v>
      </c>
      <c r="D811" s="41">
        <v>45968.57164545139</v>
      </c>
    </row>
    <row r="812">
      <c r="A812" s="39" t="s">
        <v>287</v>
      </c>
      <c r="B812" s="40">
        <v>1871501.0</v>
      </c>
      <c r="C812" s="40">
        <v>13.0</v>
      </c>
      <c r="D812" s="41">
        <v>45968.57166291667</v>
      </c>
    </row>
    <row r="813">
      <c r="A813" s="39" t="s">
        <v>287</v>
      </c>
      <c r="B813" s="40">
        <v>1871522.0</v>
      </c>
      <c r="C813" s="40">
        <v>6.0</v>
      </c>
      <c r="D813" s="41">
        <v>45968.58117185185</v>
      </c>
    </row>
    <row r="814">
      <c r="A814" s="39" t="s">
        <v>287</v>
      </c>
      <c r="B814" s="40">
        <v>1871525.0</v>
      </c>
      <c r="C814" s="40">
        <v>10.0</v>
      </c>
      <c r="D814" s="41">
        <v>45968.58117608796</v>
      </c>
    </row>
    <row r="815">
      <c r="A815" s="39" t="s">
        <v>287</v>
      </c>
      <c r="B815" s="40">
        <v>1873080.0</v>
      </c>
      <c r="C815" s="40">
        <v>10.0</v>
      </c>
      <c r="D815" s="41">
        <v>45968.48453554398</v>
      </c>
    </row>
    <row r="816">
      <c r="A816" s="39" t="s">
        <v>287</v>
      </c>
      <c r="B816" s="40">
        <v>1873081.0</v>
      </c>
      <c r="C816" s="40">
        <v>13.0</v>
      </c>
      <c r="D816" s="41">
        <v>45968.48453796296</v>
      </c>
    </row>
    <row r="817">
      <c r="A817" s="39" t="s">
        <v>287</v>
      </c>
      <c r="B817" s="40">
        <v>1873082.0</v>
      </c>
      <c r="C817" s="40">
        <v>0.0</v>
      </c>
      <c r="D817" s="41">
        <v>45968.484540474536</v>
      </c>
    </row>
    <row r="818">
      <c r="A818" s="39" t="s">
        <v>287</v>
      </c>
      <c r="B818" s="40">
        <v>1873083.0</v>
      </c>
      <c r="C818" s="40">
        <v>0.0</v>
      </c>
      <c r="D818" s="41">
        <v>45968.48454289352</v>
      </c>
    </row>
    <row r="819">
      <c r="A819" s="39" t="s">
        <v>287</v>
      </c>
      <c r="B819" s="40">
        <v>1873084.0</v>
      </c>
      <c r="C819" s="40">
        <v>0.0</v>
      </c>
      <c r="D819" s="41">
        <v>45968.484545300926</v>
      </c>
    </row>
    <row r="820">
      <c r="A820" s="39" t="s">
        <v>287</v>
      </c>
      <c r="B820" s="40">
        <v>1880186.0</v>
      </c>
      <c r="C820" s="40">
        <v>10.0</v>
      </c>
      <c r="D820" s="41">
        <v>45968.48454803241</v>
      </c>
    </row>
    <row r="821">
      <c r="A821" s="39" t="s">
        <v>287</v>
      </c>
      <c r="B821" s="40">
        <v>1880188.0</v>
      </c>
      <c r="C821" s="40">
        <v>20.0</v>
      </c>
      <c r="D821" s="41">
        <v>45968.48455068287</v>
      </c>
    </row>
    <row r="822">
      <c r="A822" s="39" t="s">
        <v>287</v>
      </c>
      <c r="B822" s="40">
        <v>1880189.0</v>
      </c>
      <c r="C822" s="40">
        <v>0.0</v>
      </c>
      <c r="D822" s="41">
        <v>45969.720794016204</v>
      </c>
    </row>
    <row r="823">
      <c r="A823" s="39" t="s">
        <v>287</v>
      </c>
      <c r="B823" s="40">
        <v>1880191.0</v>
      </c>
      <c r="C823" s="40">
        <v>0.0</v>
      </c>
      <c r="D823" s="41">
        <v>45969.72080480324</v>
      </c>
    </row>
    <row r="824">
      <c r="A824" s="39" t="s">
        <v>287</v>
      </c>
      <c r="B824" s="40">
        <v>1880677.0</v>
      </c>
      <c r="C824" s="40">
        <v>0.0</v>
      </c>
      <c r="D824" s="41">
        <v>45969.72080659722</v>
      </c>
    </row>
    <row r="825">
      <c r="A825" s="39" t="s">
        <v>287</v>
      </c>
      <c r="B825" s="40">
        <v>1892424.0</v>
      </c>
      <c r="C825" s="40">
        <v>6.0</v>
      </c>
      <c r="D825" s="41">
        <v>45975.58926446759</v>
      </c>
    </row>
    <row r="826">
      <c r="A826" s="39" t="s">
        <v>287</v>
      </c>
      <c r="B826" s="40">
        <v>1892425.0</v>
      </c>
      <c r="C826" s="40">
        <v>0.0</v>
      </c>
      <c r="D826" s="41">
        <v>45976.71645689815</v>
      </c>
    </row>
    <row r="827">
      <c r="A827" s="39" t="s">
        <v>287</v>
      </c>
      <c r="B827" s="40">
        <v>1892426.0</v>
      </c>
      <c r="C827" s="40">
        <v>0.0</v>
      </c>
      <c r="D827" s="41">
        <v>45976.71647135417</v>
      </c>
    </row>
    <row r="828">
      <c r="A828" s="39" t="s">
        <v>287</v>
      </c>
      <c r="B828" s="40">
        <v>1892427.0</v>
      </c>
      <c r="C828" s="40">
        <v>0.0</v>
      </c>
      <c r="D828" s="41">
        <v>45979.61986612268</v>
      </c>
    </row>
    <row r="829">
      <c r="A829" s="39" t="s">
        <v>287</v>
      </c>
      <c r="B829" s="40">
        <v>1892428.0</v>
      </c>
      <c r="C829" s="40">
        <v>0.0</v>
      </c>
      <c r="D829" s="41">
        <v>45976.71647295139</v>
      </c>
    </row>
    <row r="830">
      <c r="A830" s="39" t="s">
        <v>287</v>
      </c>
      <c r="B830" s="40">
        <v>1902189.0</v>
      </c>
      <c r="C830" s="40">
        <v>15.0</v>
      </c>
      <c r="D830" s="41">
        <v>45994.30019325232</v>
      </c>
    </row>
    <row r="831">
      <c r="A831" s="39" t="s">
        <v>287</v>
      </c>
      <c r="B831" s="40">
        <v>1905937.0</v>
      </c>
      <c r="C831" s="40">
        <v>0.0</v>
      </c>
      <c r="D831" s="41">
        <v>45997.71975239583</v>
      </c>
    </row>
    <row r="832">
      <c r="A832" s="39" t="s">
        <v>287</v>
      </c>
      <c r="B832" s="40">
        <v>1905938.0</v>
      </c>
      <c r="C832" s="40">
        <v>0.0</v>
      </c>
      <c r="D832" s="41">
        <v>45997.7197562963</v>
      </c>
    </row>
    <row r="833">
      <c r="A833" s="39" t="s">
        <v>287</v>
      </c>
      <c r="B833" s="40">
        <v>1905939.0</v>
      </c>
      <c r="C833" s="40">
        <v>0.0</v>
      </c>
      <c r="D833" s="41">
        <v>45997.71976046296</v>
      </c>
    </row>
    <row r="834">
      <c r="A834" s="39" t="s">
        <v>287</v>
      </c>
      <c r="B834" s="40">
        <v>1905940.0</v>
      </c>
      <c r="C834" s="40">
        <v>0.0</v>
      </c>
      <c r="D834" s="41">
        <v>45997.71976432871</v>
      </c>
    </row>
    <row r="835">
      <c r="A835" s="39" t="s">
        <v>287</v>
      </c>
      <c r="B835" s="40">
        <v>1905941.0</v>
      </c>
      <c r="C835" s="40">
        <v>0.0</v>
      </c>
      <c r="D835" s="41">
        <v>45997.71976787037</v>
      </c>
    </row>
    <row r="836">
      <c r="A836" s="39" t="s">
        <v>288</v>
      </c>
      <c r="B836" s="40">
        <v>1871498.0</v>
      </c>
      <c r="C836" s="40">
        <v>10.0</v>
      </c>
      <c r="D836" s="41">
        <v>45968.48455329861</v>
      </c>
    </row>
    <row r="837">
      <c r="A837" s="39" t="s">
        <v>288</v>
      </c>
      <c r="B837" s="40">
        <v>1871500.0</v>
      </c>
      <c r="C837" s="40">
        <v>10.0</v>
      </c>
      <c r="D837" s="41">
        <v>45968.484556192125</v>
      </c>
    </row>
    <row r="838">
      <c r="A838" s="39" t="s">
        <v>288</v>
      </c>
      <c r="B838" s="40">
        <v>1871501.0</v>
      </c>
      <c r="C838" s="40">
        <v>11.0</v>
      </c>
      <c r="D838" s="41">
        <v>45968.484559143515</v>
      </c>
    </row>
    <row r="839">
      <c r="A839" s="39" t="s">
        <v>288</v>
      </c>
      <c r="B839" s="40">
        <v>1871522.0</v>
      </c>
      <c r="C839" s="40">
        <v>6.0</v>
      </c>
      <c r="D839" s="41">
        <v>45968.484561875</v>
      </c>
    </row>
    <row r="840">
      <c r="A840" s="39" t="s">
        <v>288</v>
      </c>
      <c r="B840" s="40">
        <v>1871525.0</v>
      </c>
      <c r="C840" s="40">
        <v>10.0</v>
      </c>
      <c r="D840" s="41">
        <v>45968.484564363425</v>
      </c>
    </row>
    <row r="841">
      <c r="A841" s="39" t="s">
        <v>288</v>
      </c>
      <c r="B841" s="40">
        <v>1873080.0</v>
      </c>
      <c r="C841" s="40">
        <v>10.0</v>
      </c>
      <c r="D841" s="41">
        <v>45968.48456680556</v>
      </c>
    </row>
    <row r="842">
      <c r="A842" s="39" t="s">
        <v>288</v>
      </c>
      <c r="B842" s="40">
        <v>1873081.0</v>
      </c>
      <c r="C842" s="40">
        <v>13.0</v>
      </c>
      <c r="D842" s="41">
        <v>45968.48457003472</v>
      </c>
    </row>
    <row r="843">
      <c r="A843" s="39" t="s">
        <v>288</v>
      </c>
      <c r="B843" s="40">
        <v>1873082.0</v>
      </c>
      <c r="C843" s="40">
        <v>8.0</v>
      </c>
      <c r="D843" s="41">
        <v>45968.48457325231</v>
      </c>
    </row>
    <row r="844">
      <c r="A844" s="39" t="s">
        <v>288</v>
      </c>
      <c r="B844" s="40">
        <v>1873083.0</v>
      </c>
      <c r="C844" s="40">
        <v>0.0</v>
      </c>
      <c r="D844" s="41">
        <v>45968.48457590278</v>
      </c>
    </row>
    <row r="845">
      <c r="A845" s="39" t="s">
        <v>288</v>
      </c>
      <c r="B845" s="40">
        <v>1873084.0</v>
      </c>
      <c r="C845" s="40">
        <v>10.0</v>
      </c>
      <c r="D845" s="41">
        <v>45968.48457835648</v>
      </c>
    </row>
    <row r="846">
      <c r="A846" s="39" t="s">
        <v>288</v>
      </c>
      <c r="B846" s="40">
        <v>1880186.0</v>
      </c>
      <c r="C846" s="40">
        <v>10.0</v>
      </c>
      <c r="D846" s="41">
        <v>45968.484580868055</v>
      </c>
    </row>
    <row r="847">
      <c r="A847" s="39" t="s">
        <v>288</v>
      </c>
      <c r="B847" s="40">
        <v>1880677.0</v>
      </c>
      <c r="C847" s="40">
        <v>10.0</v>
      </c>
      <c r="D847" s="41">
        <v>45968.63369325231</v>
      </c>
    </row>
    <row r="848">
      <c r="A848" s="39" t="s">
        <v>288</v>
      </c>
      <c r="B848" s="40">
        <v>1892424.0</v>
      </c>
      <c r="C848" s="40">
        <v>10.0</v>
      </c>
      <c r="D848" s="41">
        <v>45972.64166814815</v>
      </c>
    </row>
    <row r="849">
      <c r="A849" s="39" t="s">
        <v>288</v>
      </c>
      <c r="B849" s="40">
        <v>1892425.0</v>
      </c>
      <c r="C849" s="40">
        <v>9.0</v>
      </c>
      <c r="D849" s="41">
        <v>45975.42408943287</v>
      </c>
    </row>
    <row r="850">
      <c r="A850" s="39" t="s">
        <v>288</v>
      </c>
      <c r="B850" s="40">
        <v>1892426.0</v>
      </c>
      <c r="C850" s="40">
        <v>9.0</v>
      </c>
      <c r="D850" s="41">
        <v>45985.47362135416</v>
      </c>
    </row>
    <row r="851">
      <c r="A851" s="39" t="s">
        <v>288</v>
      </c>
      <c r="B851" s="40">
        <v>1892427.0</v>
      </c>
      <c r="C851" s="40">
        <v>5.0</v>
      </c>
      <c r="D851" s="41">
        <v>45979.61987971065</v>
      </c>
    </row>
    <row r="852">
      <c r="A852" s="39" t="s">
        <v>288</v>
      </c>
      <c r="B852" s="40">
        <v>1892428.0</v>
      </c>
      <c r="C852" s="40">
        <v>2.0</v>
      </c>
      <c r="D852" s="41">
        <v>45975.44459197916</v>
      </c>
    </row>
    <row r="853">
      <c r="A853" s="39" t="s">
        <v>288</v>
      </c>
      <c r="B853" s="40">
        <v>1902189.0</v>
      </c>
      <c r="C853" s="40">
        <v>17.0</v>
      </c>
      <c r="D853" s="41">
        <v>45994.30023927083</v>
      </c>
    </row>
    <row r="854">
      <c r="A854" s="39" t="s">
        <v>289</v>
      </c>
      <c r="B854" s="40">
        <v>1871498.0</v>
      </c>
      <c r="C854" s="40">
        <v>10.0</v>
      </c>
      <c r="D854" s="41">
        <v>45968.48461363426</v>
      </c>
    </row>
    <row r="855">
      <c r="A855" s="39" t="s">
        <v>289</v>
      </c>
      <c r="B855" s="40">
        <v>1871500.0</v>
      </c>
      <c r="C855" s="40">
        <v>0.0</v>
      </c>
      <c r="D855" s="41">
        <v>45968.48461641204</v>
      </c>
    </row>
    <row r="856">
      <c r="A856" s="39" t="s">
        <v>289</v>
      </c>
      <c r="B856" s="40">
        <v>1871501.0</v>
      </c>
      <c r="C856" s="40">
        <v>0.0</v>
      </c>
      <c r="D856" s="41">
        <v>45968.484619236115</v>
      </c>
    </row>
    <row r="857">
      <c r="A857" s="39" t="s">
        <v>289</v>
      </c>
      <c r="B857" s="40">
        <v>1871522.0</v>
      </c>
      <c r="C857" s="40">
        <v>0.0</v>
      </c>
      <c r="D857" s="41">
        <v>45968.484621689815</v>
      </c>
    </row>
    <row r="858">
      <c r="A858" s="39" t="s">
        <v>289</v>
      </c>
      <c r="B858" s="40">
        <v>1871525.0</v>
      </c>
      <c r="C858" s="40">
        <v>0.0</v>
      </c>
      <c r="D858" s="41">
        <v>45968.48462427083</v>
      </c>
    </row>
    <row r="859">
      <c r="A859" s="39" t="s">
        <v>289</v>
      </c>
      <c r="B859" s="40">
        <v>1873080.0</v>
      </c>
      <c r="C859" s="40">
        <v>0.0</v>
      </c>
      <c r="D859" s="41">
        <v>45968.484626840276</v>
      </c>
    </row>
    <row r="860">
      <c r="A860" s="39" t="s">
        <v>289</v>
      </c>
      <c r="B860" s="40">
        <v>1873081.0</v>
      </c>
      <c r="C860" s="40">
        <v>0.0</v>
      </c>
      <c r="D860" s="41">
        <v>45968.48462913194</v>
      </c>
    </row>
    <row r="861">
      <c r="A861" s="39" t="s">
        <v>289</v>
      </c>
      <c r="B861" s="40">
        <v>1873082.0</v>
      </c>
      <c r="C861" s="40">
        <v>0.0</v>
      </c>
      <c r="D861" s="41">
        <v>45968.4846315625</v>
      </c>
    </row>
    <row r="862">
      <c r="A862" s="39" t="s">
        <v>289</v>
      </c>
      <c r="B862" s="40">
        <v>1873083.0</v>
      </c>
      <c r="C862" s="40">
        <v>0.0</v>
      </c>
      <c r="D862" s="41">
        <v>45968.48463424768</v>
      </c>
    </row>
    <row r="863">
      <c r="A863" s="39" t="s">
        <v>289</v>
      </c>
      <c r="B863" s="40">
        <v>1873084.0</v>
      </c>
      <c r="C863" s="40">
        <v>0.0</v>
      </c>
      <c r="D863" s="41">
        <v>45968.48463693287</v>
      </c>
    </row>
    <row r="864">
      <c r="A864" s="39" t="s">
        <v>289</v>
      </c>
      <c r="B864" s="40">
        <v>1880186.0</v>
      </c>
      <c r="C864" s="40">
        <v>0.0</v>
      </c>
      <c r="D864" s="41">
        <v>45969.72081921296</v>
      </c>
    </row>
    <row r="865">
      <c r="A865" s="39" t="s">
        <v>289</v>
      </c>
      <c r="B865" s="40">
        <v>1880188.0</v>
      </c>
      <c r="C865" s="40">
        <v>0.0</v>
      </c>
      <c r="D865" s="41">
        <v>45969.720822627314</v>
      </c>
    </row>
    <row r="866">
      <c r="A866" s="39" t="s">
        <v>289</v>
      </c>
      <c r="B866" s="40">
        <v>1880189.0</v>
      </c>
      <c r="C866" s="40">
        <v>0.0</v>
      </c>
      <c r="D866" s="41">
        <v>45969.72082462963</v>
      </c>
    </row>
    <row r="867">
      <c r="A867" s="39" t="s">
        <v>289</v>
      </c>
      <c r="B867" s="40">
        <v>1880191.0</v>
      </c>
      <c r="C867" s="40">
        <v>0.0</v>
      </c>
      <c r="D867" s="41">
        <v>45969.72082638889</v>
      </c>
    </row>
    <row r="868">
      <c r="A868" s="39" t="s">
        <v>289</v>
      </c>
      <c r="B868" s="40">
        <v>1880677.0</v>
      </c>
      <c r="C868" s="40">
        <v>0.0</v>
      </c>
      <c r="D868" s="41">
        <v>45969.72082814814</v>
      </c>
    </row>
    <row r="869">
      <c r="A869" s="39" t="s">
        <v>289</v>
      </c>
      <c r="B869" s="40">
        <v>1892424.0</v>
      </c>
      <c r="C869" s="40">
        <v>0.0</v>
      </c>
      <c r="D869" s="41">
        <v>45972.86059340277</v>
      </c>
    </row>
    <row r="870">
      <c r="A870" s="39" t="s">
        <v>289</v>
      </c>
      <c r="B870" s="40">
        <v>1892425.0</v>
      </c>
      <c r="C870" s="40">
        <v>0.0</v>
      </c>
      <c r="D870" s="41">
        <v>45976.71648732639</v>
      </c>
    </row>
    <row r="871">
      <c r="A871" s="39" t="s">
        <v>289</v>
      </c>
      <c r="B871" s="40">
        <v>1892426.0</v>
      </c>
      <c r="C871" s="40">
        <v>0.0</v>
      </c>
      <c r="D871" s="41">
        <v>45976.71648913194</v>
      </c>
    </row>
    <row r="872">
      <c r="A872" s="39" t="s">
        <v>289</v>
      </c>
      <c r="B872" s="40">
        <v>1892427.0</v>
      </c>
      <c r="C872" s="40">
        <v>0.0</v>
      </c>
      <c r="D872" s="41">
        <v>45979.619883125</v>
      </c>
    </row>
    <row r="873">
      <c r="A873" s="39" t="s">
        <v>289</v>
      </c>
      <c r="B873" s="40">
        <v>1892428.0</v>
      </c>
      <c r="C873" s="40">
        <v>0.0</v>
      </c>
      <c r="D873" s="41">
        <v>45976.71649140047</v>
      </c>
    </row>
    <row r="874">
      <c r="A874" s="39" t="s">
        <v>289</v>
      </c>
      <c r="B874" s="40">
        <v>1902189.0</v>
      </c>
      <c r="C874" s="40">
        <v>0.0</v>
      </c>
      <c r="D874" s="41">
        <v>45992.423954791666</v>
      </c>
    </row>
    <row r="875">
      <c r="A875" s="39" t="s">
        <v>289</v>
      </c>
      <c r="B875" s="40">
        <v>1905937.0</v>
      </c>
      <c r="C875" s="40">
        <v>0.0</v>
      </c>
      <c r="D875" s="41">
        <v>45997.719811284725</v>
      </c>
    </row>
    <row r="876">
      <c r="A876" s="39" t="s">
        <v>289</v>
      </c>
      <c r="B876" s="40">
        <v>1905938.0</v>
      </c>
      <c r="C876" s="40">
        <v>0.0</v>
      </c>
      <c r="D876" s="41">
        <v>45997.71981466435</v>
      </c>
    </row>
    <row r="877">
      <c r="A877" s="39" t="s">
        <v>289</v>
      </c>
      <c r="B877" s="40">
        <v>1905939.0</v>
      </c>
      <c r="C877" s="40">
        <v>0.0</v>
      </c>
      <c r="D877" s="41">
        <v>45997.71981972222</v>
      </c>
    </row>
    <row r="878">
      <c r="A878" s="39" t="s">
        <v>289</v>
      </c>
      <c r="B878" s="40">
        <v>1905940.0</v>
      </c>
      <c r="C878" s="40">
        <v>0.0</v>
      </c>
      <c r="D878" s="41">
        <v>45997.719826678236</v>
      </c>
    </row>
    <row r="879">
      <c r="A879" s="39" t="s">
        <v>289</v>
      </c>
      <c r="B879" s="40">
        <v>1905941.0</v>
      </c>
      <c r="C879" s="40">
        <v>0.0</v>
      </c>
      <c r="D879" s="41">
        <v>45997.719830462964</v>
      </c>
    </row>
    <row r="880">
      <c r="A880" s="39" t="s">
        <v>290</v>
      </c>
      <c r="B880" s="40">
        <v>1871498.0</v>
      </c>
      <c r="C880" s="40">
        <v>0.0</v>
      </c>
      <c r="D880" s="41">
        <v>45968.48463928241</v>
      </c>
    </row>
    <row r="881">
      <c r="A881" s="39" t="s">
        <v>290</v>
      </c>
      <c r="B881" s="40">
        <v>1871500.0</v>
      </c>
      <c r="C881" s="40">
        <v>0.0</v>
      </c>
      <c r="D881" s="41">
        <v>45968.48464232639</v>
      </c>
    </row>
    <row r="882">
      <c r="A882" s="39" t="s">
        <v>290</v>
      </c>
      <c r="B882" s="40">
        <v>1871501.0</v>
      </c>
      <c r="C882" s="40">
        <v>0.0</v>
      </c>
      <c r="D882" s="41">
        <v>45968.484644861106</v>
      </c>
    </row>
    <row r="883">
      <c r="A883" s="39" t="s">
        <v>290</v>
      </c>
      <c r="B883" s="40">
        <v>1871522.0</v>
      </c>
      <c r="C883" s="40">
        <v>0.0</v>
      </c>
      <c r="D883" s="41">
        <v>45968.48464738426</v>
      </c>
    </row>
    <row r="884">
      <c r="A884" s="39" t="s">
        <v>290</v>
      </c>
      <c r="B884" s="40">
        <v>1871525.0</v>
      </c>
      <c r="C884" s="40">
        <v>0.0</v>
      </c>
      <c r="D884" s="41">
        <v>45968.48464993056</v>
      </c>
    </row>
    <row r="885">
      <c r="A885" s="39" t="s">
        <v>290</v>
      </c>
      <c r="B885" s="40">
        <v>1873080.0</v>
      </c>
      <c r="C885" s="40">
        <v>10.0</v>
      </c>
      <c r="D885" s="41">
        <v>45968.48465222222</v>
      </c>
    </row>
    <row r="886">
      <c r="A886" s="39" t="s">
        <v>290</v>
      </c>
      <c r="B886" s="40">
        <v>1873081.0</v>
      </c>
      <c r="C886" s="40">
        <v>0.0</v>
      </c>
      <c r="D886" s="41">
        <v>45968.4846544676</v>
      </c>
    </row>
    <row r="887">
      <c r="A887" s="39" t="s">
        <v>290</v>
      </c>
      <c r="B887" s="40">
        <v>1873082.0</v>
      </c>
      <c r="C887" s="40">
        <v>0.0</v>
      </c>
      <c r="D887" s="41">
        <v>45968.48465690972</v>
      </c>
    </row>
    <row r="888">
      <c r="A888" s="39" t="s">
        <v>290</v>
      </c>
      <c r="B888" s="40">
        <v>1873083.0</v>
      </c>
      <c r="C888" s="40">
        <v>0.0</v>
      </c>
      <c r="D888" s="41">
        <v>45968.484659340276</v>
      </c>
    </row>
    <row r="889">
      <c r="A889" s="39" t="s">
        <v>290</v>
      </c>
      <c r="B889" s="40">
        <v>1873084.0</v>
      </c>
      <c r="C889" s="40">
        <v>0.0</v>
      </c>
      <c r="D889" s="41">
        <v>45968.484661932875</v>
      </c>
    </row>
    <row r="890">
      <c r="A890" s="39" t="s">
        <v>290</v>
      </c>
      <c r="B890" s="40">
        <v>1880186.0</v>
      </c>
      <c r="C890" s="40">
        <v>10.0</v>
      </c>
      <c r="D890" s="41">
        <v>45968.484666261575</v>
      </c>
    </row>
    <row r="891">
      <c r="A891" s="39" t="s">
        <v>290</v>
      </c>
      <c r="B891" s="40">
        <v>1880188.0</v>
      </c>
      <c r="C891" s="40">
        <v>7.0</v>
      </c>
      <c r="D891" s="41">
        <v>45968.484668634264</v>
      </c>
    </row>
    <row r="892">
      <c r="A892" s="39" t="s">
        <v>290</v>
      </c>
      <c r="B892" s="40">
        <v>1880189.0</v>
      </c>
      <c r="C892" s="40">
        <v>0.0</v>
      </c>
      <c r="D892" s="41">
        <v>45969.72083657407</v>
      </c>
    </row>
    <row r="893">
      <c r="A893" s="39" t="s">
        <v>290</v>
      </c>
      <c r="B893" s="40">
        <v>1880191.0</v>
      </c>
      <c r="C893" s="40">
        <v>0.0</v>
      </c>
      <c r="D893" s="41">
        <v>45969.720842361116</v>
      </c>
    </row>
    <row r="894">
      <c r="A894" s="39" t="s">
        <v>290</v>
      </c>
      <c r="B894" s="40">
        <v>1880677.0</v>
      </c>
      <c r="C894" s="40">
        <v>0.0</v>
      </c>
      <c r="D894" s="41">
        <v>45969.7208447338</v>
      </c>
    </row>
    <row r="895">
      <c r="A895" s="39" t="s">
        <v>290</v>
      </c>
      <c r="B895" s="40">
        <v>1892424.0</v>
      </c>
      <c r="C895" s="40">
        <v>0.0</v>
      </c>
      <c r="D895" s="41">
        <v>45972.8606003125</v>
      </c>
    </row>
    <row r="896">
      <c r="A896" s="39" t="s">
        <v>290</v>
      </c>
      <c r="B896" s="40">
        <v>1892425.0</v>
      </c>
      <c r="C896" s="40">
        <v>0.0</v>
      </c>
      <c r="D896" s="41">
        <v>45976.71652126157</v>
      </c>
    </row>
    <row r="897">
      <c r="A897" s="39" t="s">
        <v>290</v>
      </c>
      <c r="B897" s="40">
        <v>1892426.0</v>
      </c>
      <c r="C897" s="40">
        <v>0.0</v>
      </c>
      <c r="D897" s="41">
        <v>45976.7165315162</v>
      </c>
    </row>
    <row r="898">
      <c r="A898" s="39" t="s">
        <v>290</v>
      </c>
      <c r="B898" s="40">
        <v>1892427.0</v>
      </c>
      <c r="C898" s="40">
        <v>0.0</v>
      </c>
      <c r="D898" s="41">
        <v>45979.619889305555</v>
      </c>
    </row>
    <row r="899">
      <c r="A899" s="39" t="s">
        <v>290</v>
      </c>
      <c r="B899" s="40">
        <v>1892428.0</v>
      </c>
      <c r="C899" s="40">
        <v>0.0</v>
      </c>
      <c r="D899" s="41">
        <v>45976.71653348379</v>
      </c>
    </row>
    <row r="900">
      <c r="A900" s="39" t="s">
        <v>290</v>
      </c>
      <c r="B900" s="40">
        <v>1902189.0</v>
      </c>
      <c r="C900" s="40">
        <v>0.0</v>
      </c>
      <c r="D900" s="41">
        <v>45992.423962071756</v>
      </c>
    </row>
    <row r="901">
      <c r="A901" s="39" t="s">
        <v>290</v>
      </c>
      <c r="B901" s="40">
        <v>1905937.0</v>
      </c>
      <c r="C901" s="40">
        <v>0.0</v>
      </c>
      <c r="D901" s="41">
        <v>45997.71985443287</v>
      </c>
    </row>
    <row r="902">
      <c r="A902" s="39" t="s">
        <v>290</v>
      </c>
      <c r="B902" s="40">
        <v>1905938.0</v>
      </c>
      <c r="C902" s="40">
        <v>0.0</v>
      </c>
      <c r="D902" s="41">
        <v>45997.7198568287</v>
      </c>
    </row>
    <row r="903">
      <c r="A903" s="39" t="s">
        <v>290</v>
      </c>
      <c r="B903" s="40">
        <v>1905939.0</v>
      </c>
      <c r="C903" s="40">
        <v>0.0</v>
      </c>
      <c r="D903" s="41">
        <v>45997.71986563657</v>
      </c>
    </row>
    <row r="904">
      <c r="A904" s="39" t="s">
        <v>290</v>
      </c>
      <c r="B904" s="40">
        <v>1905940.0</v>
      </c>
      <c r="C904" s="40">
        <v>0.0</v>
      </c>
      <c r="D904" s="41">
        <v>45997.71986887731</v>
      </c>
    </row>
    <row r="905">
      <c r="A905" s="39" t="s">
        <v>290</v>
      </c>
      <c r="B905" s="40">
        <v>1905941.0</v>
      </c>
      <c r="C905" s="40">
        <v>0.0</v>
      </c>
      <c r="D905" s="41">
        <v>45997.71987623842</v>
      </c>
    </row>
    <row r="906">
      <c r="A906" s="39" t="s">
        <v>290</v>
      </c>
      <c r="B906" s="40">
        <v>1871498.0</v>
      </c>
      <c r="C906" s="40">
        <v>0.0</v>
      </c>
      <c r="D906" s="41">
        <v>45968.48463928241</v>
      </c>
    </row>
    <row r="907">
      <c r="A907" s="39" t="s">
        <v>290</v>
      </c>
      <c r="B907" s="40">
        <v>1871500.0</v>
      </c>
      <c r="C907" s="40">
        <v>0.0</v>
      </c>
      <c r="D907" s="41">
        <v>45968.48464232639</v>
      </c>
    </row>
    <row r="908">
      <c r="A908" s="39" t="s">
        <v>290</v>
      </c>
      <c r="B908" s="40">
        <v>1871501.0</v>
      </c>
      <c r="C908" s="40">
        <v>0.0</v>
      </c>
      <c r="D908" s="41">
        <v>45968.484644861106</v>
      </c>
    </row>
    <row r="909">
      <c r="A909" s="39" t="s">
        <v>290</v>
      </c>
      <c r="B909" s="40">
        <v>1871522.0</v>
      </c>
      <c r="C909" s="40">
        <v>0.0</v>
      </c>
      <c r="D909" s="41">
        <v>45968.48464738426</v>
      </c>
    </row>
    <row r="910">
      <c r="A910" s="39" t="s">
        <v>290</v>
      </c>
      <c r="B910" s="40">
        <v>1871525.0</v>
      </c>
      <c r="C910" s="40">
        <v>0.0</v>
      </c>
      <c r="D910" s="41">
        <v>45968.48464993056</v>
      </c>
    </row>
    <row r="911">
      <c r="A911" s="39" t="s">
        <v>290</v>
      </c>
      <c r="B911" s="40">
        <v>1873080.0</v>
      </c>
      <c r="C911" s="40">
        <v>10.0</v>
      </c>
      <c r="D911" s="41">
        <v>45968.48465222222</v>
      </c>
    </row>
    <row r="912">
      <c r="A912" s="39" t="s">
        <v>290</v>
      </c>
      <c r="B912" s="40">
        <v>1873081.0</v>
      </c>
      <c r="C912" s="40">
        <v>0.0</v>
      </c>
      <c r="D912" s="41">
        <v>45968.4846544676</v>
      </c>
    </row>
    <row r="913">
      <c r="A913" s="39" t="s">
        <v>290</v>
      </c>
      <c r="B913" s="40">
        <v>1873082.0</v>
      </c>
      <c r="C913" s="40">
        <v>0.0</v>
      </c>
      <c r="D913" s="41">
        <v>45968.48465690972</v>
      </c>
    </row>
    <row r="914">
      <c r="A914" s="39" t="s">
        <v>290</v>
      </c>
      <c r="B914" s="40">
        <v>1873083.0</v>
      </c>
      <c r="C914" s="40">
        <v>0.0</v>
      </c>
      <c r="D914" s="41">
        <v>45968.484659340276</v>
      </c>
    </row>
    <row r="915">
      <c r="A915" s="39" t="s">
        <v>290</v>
      </c>
      <c r="B915" s="40">
        <v>1873084.0</v>
      </c>
      <c r="C915" s="40">
        <v>0.0</v>
      </c>
      <c r="D915" s="41">
        <v>45968.484661932875</v>
      </c>
    </row>
    <row r="916">
      <c r="A916" s="39" t="s">
        <v>290</v>
      </c>
      <c r="B916" s="40">
        <v>1880186.0</v>
      </c>
      <c r="C916" s="40">
        <v>10.0</v>
      </c>
      <c r="D916" s="41">
        <v>45968.484666261575</v>
      </c>
    </row>
    <row r="917">
      <c r="A917" s="39" t="s">
        <v>290</v>
      </c>
      <c r="B917" s="40">
        <v>1880188.0</v>
      </c>
      <c r="C917" s="40">
        <v>7.0</v>
      </c>
      <c r="D917" s="41">
        <v>45968.484668634264</v>
      </c>
    </row>
    <row r="918">
      <c r="A918" s="39" t="s">
        <v>290</v>
      </c>
      <c r="B918" s="40">
        <v>1880189.0</v>
      </c>
      <c r="C918" s="40">
        <v>0.0</v>
      </c>
      <c r="D918" s="41">
        <v>45969.72083657407</v>
      </c>
    </row>
    <row r="919">
      <c r="A919" s="39" t="s">
        <v>290</v>
      </c>
      <c r="B919" s="40">
        <v>1880191.0</v>
      </c>
      <c r="C919" s="40">
        <v>0.0</v>
      </c>
      <c r="D919" s="41">
        <v>45969.720842361116</v>
      </c>
    </row>
    <row r="920">
      <c r="A920" s="39" t="s">
        <v>290</v>
      </c>
      <c r="B920" s="40">
        <v>1880677.0</v>
      </c>
      <c r="C920" s="40">
        <v>0.0</v>
      </c>
      <c r="D920" s="41">
        <v>45969.7208447338</v>
      </c>
    </row>
    <row r="921">
      <c r="A921" s="39" t="s">
        <v>290</v>
      </c>
      <c r="B921" s="40">
        <v>1892424.0</v>
      </c>
      <c r="C921" s="40">
        <v>0.0</v>
      </c>
      <c r="D921" s="41">
        <v>45972.8606003125</v>
      </c>
    </row>
    <row r="922">
      <c r="A922" s="39" t="s">
        <v>290</v>
      </c>
      <c r="B922" s="40">
        <v>1892425.0</v>
      </c>
      <c r="C922" s="40">
        <v>0.0</v>
      </c>
      <c r="D922" s="41">
        <v>45976.71652126157</v>
      </c>
    </row>
    <row r="923">
      <c r="A923" s="39" t="s">
        <v>290</v>
      </c>
      <c r="B923" s="40">
        <v>1892426.0</v>
      </c>
      <c r="C923" s="40">
        <v>0.0</v>
      </c>
      <c r="D923" s="41">
        <v>45976.7165315162</v>
      </c>
    </row>
    <row r="924">
      <c r="A924" s="39" t="s">
        <v>290</v>
      </c>
      <c r="B924" s="40">
        <v>1892427.0</v>
      </c>
      <c r="C924" s="40">
        <v>0.0</v>
      </c>
      <c r="D924" s="41">
        <v>45979.619889305555</v>
      </c>
    </row>
    <row r="925">
      <c r="A925" s="39" t="s">
        <v>290</v>
      </c>
      <c r="B925" s="40">
        <v>1892428.0</v>
      </c>
      <c r="C925" s="40">
        <v>0.0</v>
      </c>
      <c r="D925" s="41">
        <v>45976.71653348379</v>
      </c>
    </row>
    <row r="926">
      <c r="A926" s="39" t="s">
        <v>290</v>
      </c>
      <c r="B926" s="40">
        <v>1902189.0</v>
      </c>
      <c r="C926" s="40">
        <v>0.0</v>
      </c>
      <c r="D926" s="41">
        <v>45992.423962071756</v>
      </c>
    </row>
    <row r="927">
      <c r="A927" s="39" t="s">
        <v>290</v>
      </c>
      <c r="B927" s="40">
        <v>1905937.0</v>
      </c>
      <c r="C927" s="40">
        <v>0.0</v>
      </c>
      <c r="D927" s="41">
        <v>45997.71985443287</v>
      </c>
    </row>
    <row r="928">
      <c r="A928" s="39" t="s">
        <v>290</v>
      </c>
      <c r="B928" s="40">
        <v>1905938.0</v>
      </c>
      <c r="C928" s="40">
        <v>0.0</v>
      </c>
      <c r="D928" s="41">
        <v>45997.7198568287</v>
      </c>
    </row>
    <row r="929">
      <c r="A929" s="39" t="s">
        <v>290</v>
      </c>
      <c r="B929" s="40">
        <v>1905939.0</v>
      </c>
      <c r="C929" s="40">
        <v>0.0</v>
      </c>
      <c r="D929" s="41">
        <v>45997.71986563657</v>
      </c>
    </row>
    <row r="930">
      <c r="A930" s="39" t="s">
        <v>290</v>
      </c>
      <c r="B930" s="40">
        <v>1905940.0</v>
      </c>
      <c r="C930" s="40">
        <v>0.0</v>
      </c>
      <c r="D930" s="41">
        <v>45997.71986887731</v>
      </c>
    </row>
    <row r="931">
      <c r="A931" s="39" t="s">
        <v>290</v>
      </c>
      <c r="B931" s="40">
        <v>1905941.0</v>
      </c>
      <c r="C931" s="40">
        <v>0.0</v>
      </c>
      <c r="D931" s="41">
        <v>45997.71987623842</v>
      </c>
    </row>
    <row r="932">
      <c r="A932" s="39" t="s">
        <v>291</v>
      </c>
      <c r="B932" s="40">
        <v>1871498.0</v>
      </c>
      <c r="C932" s="40">
        <v>10.0</v>
      </c>
      <c r="D932" s="41">
        <v>45968.48470888889</v>
      </c>
    </row>
    <row r="933">
      <c r="A933" s="39" t="s">
        <v>291</v>
      </c>
      <c r="B933" s="40">
        <v>1871500.0</v>
      </c>
      <c r="C933" s="40">
        <v>5.0</v>
      </c>
      <c r="D933" s="41">
        <v>45968.58118284722</v>
      </c>
    </row>
    <row r="934">
      <c r="A934" s="39" t="s">
        <v>291</v>
      </c>
      <c r="B934" s="40">
        <v>1871501.0</v>
      </c>
      <c r="C934" s="40">
        <v>5.0</v>
      </c>
      <c r="D934" s="41">
        <v>45979.55682377315</v>
      </c>
    </row>
    <row r="935">
      <c r="A935" s="39" t="s">
        <v>291</v>
      </c>
      <c r="B935" s="40">
        <v>1871522.0</v>
      </c>
      <c r="C935" s="40">
        <v>0.0</v>
      </c>
      <c r="D935" s="41">
        <v>45968.48471638889</v>
      </c>
    </row>
    <row r="936">
      <c r="A936" s="39" t="s">
        <v>291</v>
      </c>
      <c r="B936" s="40">
        <v>1871525.0</v>
      </c>
      <c r="C936" s="40">
        <v>10.0</v>
      </c>
      <c r="D936" s="41">
        <v>45968.48471885417</v>
      </c>
    </row>
    <row r="937">
      <c r="A937" s="39" t="s">
        <v>291</v>
      </c>
      <c r="B937" s="40">
        <v>1873080.0</v>
      </c>
      <c r="C937" s="40">
        <v>10.0</v>
      </c>
      <c r="D937" s="41">
        <v>45968.4847213426</v>
      </c>
    </row>
    <row r="938">
      <c r="A938" s="39" t="s">
        <v>291</v>
      </c>
      <c r="B938" s="40">
        <v>1873081.0</v>
      </c>
      <c r="C938" s="40">
        <v>0.0</v>
      </c>
      <c r="D938" s="41">
        <v>45968.484723877315</v>
      </c>
    </row>
    <row r="939">
      <c r="A939" s="39" t="s">
        <v>291</v>
      </c>
      <c r="B939" s="40">
        <v>1873082.0</v>
      </c>
      <c r="C939" s="40">
        <v>10.0</v>
      </c>
      <c r="D939" s="41">
        <v>45968.4847262963</v>
      </c>
    </row>
    <row r="940">
      <c r="A940" s="39" t="s">
        <v>291</v>
      </c>
      <c r="B940" s="40">
        <v>1873083.0</v>
      </c>
      <c r="C940" s="40">
        <v>0.0</v>
      </c>
      <c r="D940" s="41">
        <v>45968.48472876157</v>
      </c>
    </row>
    <row r="941">
      <c r="A941" s="39" t="s">
        <v>291</v>
      </c>
      <c r="B941" s="40">
        <v>1873084.0</v>
      </c>
      <c r="C941" s="40">
        <v>0.0</v>
      </c>
      <c r="D941" s="41">
        <v>45968.484731041666</v>
      </c>
    </row>
    <row r="942">
      <c r="A942" s="39" t="s">
        <v>291</v>
      </c>
      <c r="B942" s="40">
        <v>1880186.0</v>
      </c>
      <c r="C942" s="40">
        <v>0.0</v>
      </c>
      <c r="D942" s="41">
        <v>45969.72084700232</v>
      </c>
    </row>
    <row r="943">
      <c r="A943" s="39" t="s">
        <v>291</v>
      </c>
      <c r="B943" s="40">
        <v>1880188.0</v>
      </c>
      <c r="C943" s="40">
        <v>0.0</v>
      </c>
      <c r="D943" s="41">
        <v>45969.72084895833</v>
      </c>
    </row>
    <row r="944">
      <c r="A944" s="39" t="s">
        <v>291</v>
      </c>
      <c r="B944" s="40">
        <v>1880189.0</v>
      </c>
      <c r="C944" s="40">
        <v>0.0</v>
      </c>
      <c r="D944" s="41">
        <v>45969.720851631944</v>
      </c>
    </row>
    <row r="945">
      <c r="A945" s="39" t="s">
        <v>291</v>
      </c>
      <c r="B945" s="40">
        <v>1880191.0</v>
      </c>
      <c r="C945" s="40">
        <v>0.0</v>
      </c>
      <c r="D945" s="41">
        <v>45969.72085370371</v>
      </c>
    </row>
    <row r="946">
      <c r="A946" s="39" t="s">
        <v>291</v>
      </c>
      <c r="B946" s="40">
        <v>1880677.0</v>
      </c>
      <c r="C946" s="40">
        <v>0.0</v>
      </c>
      <c r="D946" s="41">
        <v>45969.72085621528</v>
      </c>
    </row>
    <row r="947">
      <c r="A947" s="39" t="s">
        <v>291</v>
      </c>
      <c r="B947" s="40">
        <v>1892424.0</v>
      </c>
      <c r="C947" s="40">
        <v>8.0</v>
      </c>
      <c r="D947" s="41">
        <v>45972.86060435185</v>
      </c>
    </row>
    <row r="948">
      <c r="A948" s="39" t="s">
        <v>291</v>
      </c>
      <c r="B948" s="40">
        <v>1892425.0</v>
      </c>
      <c r="C948" s="40">
        <v>0.0</v>
      </c>
      <c r="D948" s="41">
        <v>45976.716535196756</v>
      </c>
    </row>
    <row r="949">
      <c r="A949" s="39" t="s">
        <v>291</v>
      </c>
      <c r="B949" s="40">
        <v>1892426.0</v>
      </c>
      <c r="C949" s="40">
        <v>0.0</v>
      </c>
      <c r="D949" s="41">
        <v>45976.71653734954</v>
      </c>
    </row>
    <row r="950">
      <c r="A950" s="39" t="s">
        <v>291</v>
      </c>
      <c r="B950" s="40">
        <v>1892427.0</v>
      </c>
      <c r="C950" s="40">
        <v>0.0</v>
      </c>
      <c r="D950" s="41">
        <v>45979.61989295139</v>
      </c>
    </row>
    <row r="951">
      <c r="A951" s="39" t="s">
        <v>291</v>
      </c>
      <c r="B951" s="40">
        <v>1892428.0</v>
      </c>
      <c r="C951" s="40">
        <v>0.0</v>
      </c>
      <c r="D951" s="41">
        <v>45976.71653953704</v>
      </c>
    </row>
    <row r="952">
      <c r="A952" s="39" t="s">
        <v>291</v>
      </c>
      <c r="B952" s="40">
        <v>1902189.0</v>
      </c>
      <c r="C952" s="40">
        <v>21.0</v>
      </c>
      <c r="D952" s="41">
        <v>45994.30024328704</v>
      </c>
    </row>
    <row r="953">
      <c r="A953" s="39" t="s">
        <v>291</v>
      </c>
      <c r="B953" s="40">
        <v>1905938.0</v>
      </c>
      <c r="C953" s="40">
        <v>0.0</v>
      </c>
      <c r="D953" s="41">
        <v>45997.71988322916</v>
      </c>
    </row>
    <row r="954">
      <c r="A954" s="39" t="s">
        <v>291</v>
      </c>
      <c r="B954" s="40">
        <v>1905939.0</v>
      </c>
      <c r="C954" s="40">
        <v>0.0</v>
      </c>
      <c r="D954" s="41">
        <v>45997.719886782405</v>
      </c>
    </row>
    <row r="955">
      <c r="A955" s="39" t="s">
        <v>291</v>
      </c>
      <c r="B955" s="40">
        <v>1905940.0</v>
      </c>
      <c r="C955" s="40">
        <v>0.0</v>
      </c>
      <c r="D955" s="41">
        <v>45997.719890625</v>
      </c>
    </row>
    <row r="956">
      <c r="A956" s="39" t="s">
        <v>291</v>
      </c>
      <c r="B956" s="40">
        <v>1905941.0</v>
      </c>
      <c r="C956" s="40">
        <v>0.0</v>
      </c>
      <c r="D956" s="41">
        <v>45997.71994167824</v>
      </c>
    </row>
    <row r="957">
      <c r="A957" s="39" t="s">
        <v>292</v>
      </c>
      <c r="B957" s="40">
        <v>1871498.0</v>
      </c>
      <c r="C957" s="40">
        <v>10.0</v>
      </c>
      <c r="D957" s="41">
        <v>45968.57167318287</v>
      </c>
    </row>
    <row r="958">
      <c r="A958" s="39" t="s">
        <v>292</v>
      </c>
      <c r="B958" s="40">
        <v>1871500.0</v>
      </c>
      <c r="C958" s="40">
        <v>10.0</v>
      </c>
      <c r="D958" s="41">
        <v>45968.58118417824</v>
      </c>
    </row>
    <row r="959">
      <c r="A959" s="39" t="s">
        <v>292</v>
      </c>
      <c r="B959" s="40">
        <v>1871501.0</v>
      </c>
      <c r="C959" s="40">
        <v>2.0</v>
      </c>
      <c r="D959" s="41">
        <v>45968.59238640046</v>
      </c>
    </row>
    <row r="960">
      <c r="A960" s="39" t="s">
        <v>292</v>
      </c>
      <c r="B960" s="40">
        <v>1871522.0</v>
      </c>
      <c r="C960" s="40">
        <v>0.0</v>
      </c>
      <c r="D960" s="41">
        <v>45968.48508614583</v>
      </c>
    </row>
    <row r="961">
      <c r="A961" s="39" t="s">
        <v>292</v>
      </c>
      <c r="B961" s="40">
        <v>1871525.0</v>
      </c>
      <c r="C961" s="40">
        <v>0.0</v>
      </c>
      <c r="D961" s="41">
        <v>45968.48508871528</v>
      </c>
    </row>
    <row r="962">
      <c r="A962" s="39" t="s">
        <v>292</v>
      </c>
      <c r="B962" s="40">
        <v>1873080.0</v>
      </c>
      <c r="C962" s="40">
        <v>10.0</v>
      </c>
      <c r="D962" s="41">
        <v>45968.48509107639</v>
      </c>
    </row>
    <row r="963">
      <c r="A963" s="39" t="s">
        <v>292</v>
      </c>
      <c r="B963" s="40">
        <v>1873081.0</v>
      </c>
      <c r="C963" s="40">
        <v>7.0</v>
      </c>
      <c r="D963" s="41">
        <v>45968.485094675925</v>
      </c>
    </row>
    <row r="964">
      <c r="A964" s="39" t="s">
        <v>292</v>
      </c>
      <c r="B964" s="40">
        <v>1873082.0</v>
      </c>
      <c r="C964" s="40">
        <v>0.0</v>
      </c>
      <c r="D964" s="41">
        <v>45968.48509725694</v>
      </c>
    </row>
    <row r="965">
      <c r="A965" s="39" t="s">
        <v>292</v>
      </c>
      <c r="B965" s="40">
        <v>1873083.0</v>
      </c>
      <c r="C965" s="40">
        <v>0.0</v>
      </c>
      <c r="D965" s="41">
        <v>45968.48510034722</v>
      </c>
    </row>
    <row r="966">
      <c r="A966" s="39" t="s">
        <v>292</v>
      </c>
      <c r="B966" s="40">
        <v>1873084.0</v>
      </c>
      <c r="C966" s="40">
        <v>0.0</v>
      </c>
      <c r="D966" s="41">
        <v>45968.48510392361</v>
      </c>
    </row>
    <row r="967">
      <c r="A967" s="39" t="s">
        <v>292</v>
      </c>
      <c r="B967" s="40">
        <v>1880186.0</v>
      </c>
      <c r="C967" s="40">
        <v>0.0</v>
      </c>
      <c r="D967" s="41">
        <v>45969.72085815972</v>
      </c>
    </row>
    <row r="968">
      <c r="A968" s="39" t="s">
        <v>292</v>
      </c>
      <c r="B968" s="40">
        <v>1880188.0</v>
      </c>
      <c r="C968" s="40">
        <v>0.0</v>
      </c>
      <c r="D968" s="41">
        <v>45969.720860243055</v>
      </c>
    </row>
    <row r="969">
      <c r="A969" s="39" t="s">
        <v>292</v>
      </c>
      <c r="B969" s="40">
        <v>1880189.0</v>
      </c>
      <c r="C969" s="40">
        <v>0.0</v>
      </c>
      <c r="D969" s="41">
        <v>45969.720863043985</v>
      </c>
    </row>
    <row r="970">
      <c r="A970" s="39" t="s">
        <v>292</v>
      </c>
      <c r="B970" s="40">
        <v>1880191.0</v>
      </c>
      <c r="C970" s="40">
        <v>0.0</v>
      </c>
      <c r="D970" s="41">
        <v>45969.72086556713</v>
      </c>
    </row>
    <row r="971">
      <c r="A971" s="39" t="s">
        <v>292</v>
      </c>
      <c r="B971" s="40">
        <v>1880677.0</v>
      </c>
      <c r="C971" s="40">
        <v>0.0</v>
      </c>
      <c r="D971" s="41">
        <v>45969.7208684375</v>
      </c>
    </row>
    <row r="972">
      <c r="A972" s="39" t="s">
        <v>292</v>
      </c>
      <c r="B972" s="40">
        <v>1892424.0</v>
      </c>
      <c r="C972" s="40">
        <v>0.0</v>
      </c>
      <c r="D972" s="41">
        <v>45972.860607083334</v>
      </c>
    </row>
    <row r="973">
      <c r="A973" s="39" t="s">
        <v>292</v>
      </c>
      <c r="B973" s="40">
        <v>1892425.0</v>
      </c>
      <c r="C973" s="40">
        <v>0.0</v>
      </c>
      <c r="D973" s="41">
        <v>45976.71654195602</v>
      </c>
    </row>
    <row r="974">
      <c r="A974" s="39" t="s">
        <v>292</v>
      </c>
      <c r="B974" s="40">
        <v>1892426.0</v>
      </c>
      <c r="C974" s="40">
        <v>0.0</v>
      </c>
      <c r="D974" s="41">
        <v>45976.7165441088</v>
      </c>
    </row>
    <row r="975">
      <c r="A975" s="39" t="s">
        <v>292</v>
      </c>
      <c r="B975" s="40">
        <v>1892427.0</v>
      </c>
      <c r="C975" s="40">
        <v>0.0</v>
      </c>
      <c r="D975" s="41">
        <v>45979.61989545139</v>
      </c>
    </row>
    <row r="976">
      <c r="A976" s="39" t="s">
        <v>292</v>
      </c>
      <c r="B976" s="40">
        <v>1892428.0</v>
      </c>
      <c r="C976" s="40">
        <v>0.0</v>
      </c>
      <c r="D976" s="41">
        <v>45976.716545972224</v>
      </c>
    </row>
    <row r="977">
      <c r="A977" s="39" t="s">
        <v>292</v>
      </c>
      <c r="B977" s="40">
        <v>1902189.0</v>
      </c>
      <c r="C977" s="40">
        <v>20.0</v>
      </c>
      <c r="D977" s="41">
        <v>45994.30024693287</v>
      </c>
    </row>
    <row r="978">
      <c r="A978" s="39" t="s">
        <v>292</v>
      </c>
      <c r="B978" s="40">
        <v>1905939.0</v>
      </c>
      <c r="C978" s="40">
        <v>0.0</v>
      </c>
      <c r="D978" s="41">
        <v>45997.719953657404</v>
      </c>
    </row>
    <row r="979">
      <c r="A979" s="39" t="s">
        <v>292</v>
      </c>
      <c r="B979" s="40">
        <v>1905940.0</v>
      </c>
      <c r="C979" s="40">
        <v>0.0</v>
      </c>
      <c r="D979" s="41">
        <v>45997.71995721065</v>
      </c>
    </row>
    <row r="980">
      <c r="A980" s="39" t="s">
        <v>292</v>
      </c>
      <c r="B980" s="40">
        <v>1905941.0</v>
      </c>
      <c r="C980" s="40">
        <v>0.0</v>
      </c>
      <c r="D980" s="41">
        <v>45997.71996440973</v>
      </c>
    </row>
    <row r="981">
      <c r="A981" s="39" t="s">
        <v>293</v>
      </c>
      <c r="B981" s="40">
        <v>1871498.0</v>
      </c>
      <c r="C981" s="40">
        <v>10.0</v>
      </c>
      <c r="D981" s="41">
        <v>45979.619901122685</v>
      </c>
    </row>
    <row r="982">
      <c r="A982" s="39" t="s">
        <v>293</v>
      </c>
      <c r="B982" s="40">
        <v>1871500.0</v>
      </c>
      <c r="C982" s="40">
        <v>0.0</v>
      </c>
      <c r="D982" s="41">
        <v>45968.48511010417</v>
      </c>
    </row>
    <row r="983">
      <c r="A983" s="39" t="s">
        <v>293</v>
      </c>
      <c r="B983" s="40">
        <v>1871501.0</v>
      </c>
      <c r="C983" s="40">
        <v>6.0</v>
      </c>
      <c r="D983" s="41">
        <v>45982.483744930556</v>
      </c>
    </row>
    <row r="984">
      <c r="A984" s="39" t="s">
        <v>293</v>
      </c>
      <c r="B984" s="40">
        <v>1871522.0</v>
      </c>
      <c r="C984" s="40">
        <v>4.0</v>
      </c>
      <c r="D984" s="41">
        <v>45982.56701728009</v>
      </c>
    </row>
    <row r="985">
      <c r="A985" s="39" t="s">
        <v>293</v>
      </c>
      <c r="B985" s="40">
        <v>1871525.0</v>
      </c>
      <c r="C985" s="40">
        <v>3.0</v>
      </c>
      <c r="D985" s="41">
        <v>45982.57766056713</v>
      </c>
    </row>
    <row r="986">
      <c r="A986" s="39" t="s">
        <v>293</v>
      </c>
      <c r="B986" s="40">
        <v>1873081.0</v>
      </c>
      <c r="C986" s="40">
        <v>2.0</v>
      </c>
      <c r="D986" s="41">
        <v>45982.577669363425</v>
      </c>
    </row>
    <row r="987">
      <c r="A987" s="39" t="s">
        <v>293</v>
      </c>
      <c r="B987" s="40">
        <v>1873083.0</v>
      </c>
      <c r="C987" s="40">
        <v>0.0</v>
      </c>
      <c r="D987" s="41">
        <v>45968.48513800926</v>
      </c>
    </row>
    <row r="988">
      <c r="A988" s="39" t="s">
        <v>293</v>
      </c>
      <c r="B988" s="40">
        <v>1873084.0</v>
      </c>
      <c r="C988" s="40">
        <v>10.0</v>
      </c>
      <c r="D988" s="41">
        <v>45982.57767200231</v>
      </c>
    </row>
    <row r="989">
      <c r="A989" s="39" t="s">
        <v>293</v>
      </c>
      <c r="B989" s="40">
        <v>1880186.0</v>
      </c>
      <c r="C989" s="40">
        <v>10.0</v>
      </c>
      <c r="D989" s="41">
        <v>45979.650285428244</v>
      </c>
    </row>
    <row r="990">
      <c r="A990" s="39" t="s">
        <v>293</v>
      </c>
      <c r="B990" s="40">
        <v>1880188.0</v>
      </c>
      <c r="C990" s="40">
        <v>0.0</v>
      </c>
      <c r="D990" s="41">
        <v>45969.72087498843</v>
      </c>
    </row>
    <row r="991">
      <c r="A991" s="39" t="s">
        <v>293</v>
      </c>
      <c r="B991" s="40">
        <v>1880189.0</v>
      </c>
      <c r="C991" s="40">
        <v>0.0</v>
      </c>
      <c r="D991" s="41">
        <v>45969.72087719907</v>
      </c>
    </row>
    <row r="992">
      <c r="A992" s="39" t="s">
        <v>293</v>
      </c>
      <c r="B992" s="40">
        <v>1880191.0</v>
      </c>
      <c r="C992" s="40">
        <v>0.0</v>
      </c>
      <c r="D992" s="41">
        <v>45969.72088178241</v>
      </c>
    </row>
    <row r="993">
      <c r="A993" s="39" t="s">
        <v>293</v>
      </c>
      <c r="B993" s="40">
        <v>1880677.0</v>
      </c>
      <c r="C993" s="40">
        <v>0.0</v>
      </c>
      <c r="D993" s="41">
        <v>45969.720883912036</v>
      </c>
    </row>
    <row r="994">
      <c r="A994" s="39" t="s">
        <v>293</v>
      </c>
      <c r="B994" s="40">
        <v>1892424.0</v>
      </c>
      <c r="C994" s="40">
        <v>0.0</v>
      </c>
      <c r="D994" s="41">
        <v>45972.86061021991</v>
      </c>
    </row>
    <row r="995">
      <c r="A995" s="39" t="s">
        <v>293</v>
      </c>
      <c r="B995" s="40">
        <v>1892425.0</v>
      </c>
      <c r="C995" s="40">
        <v>0.0</v>
      </c>
      <c r="D995" s="41">
        <v>45976.71654767361</v>
      </c>
    </row>
    <row r="996">
      <c r="A996" s="39" t="s">
        <v>293</v>
      </c>
      <c r="B996" s="40">
        <v>1892426.0</v>
      </c>
      <c r="C996" s="40">
        <v>0.0</v>
      </c>
      <c r="D996" s="41">
        <v>45976.71655016203</v>
      </c>
    </row>
    <row r="997">
      <c r="A997" s="39" t="s">
        <v>293</v>
      </c>
      <c r="B997" s="40">
        <v>1892427.0</v>
      </c>
      <c r="C997" s="40">
        <v>0.0</v>
      </c>
      <c r="D997" s="41">
        <v>45979.61990385417</v>
      </c>
    </row>
    <row r="998">
      <c r="A998" s="39" t="s">
        <v>293</v>
      </c>
      <c r="B998" s="40">
        <v>1892428.0</v>
      </c>
      <c r="C998" s="40">
        <v>0.0</v>
      </c>
      <c r="D998" s="41">
        <v>45976.71656075232</v>
      </c>
    </row>
    <row r="999">
      <c r="A999" s="39" t="s">
        <v>293</v>
      </c>
      <c r="B999" s="40">
        <v>1902189.0</v>
      </c>
      <c r="C999" s="40">
        <v>13.0</v>
      </c>
      <c r="D999" s="41">
        <v>45994.30025111111</v>
      </c>
    </row>
    <row r="1000">
      <c r="A1000" s="39" t="s">
        <v>293</v>
      </c>
      <c r="B1000" s="40">
        <v>1905938.0</v>
      </c>
      <c r="C1000" s="40">
        <v>0.0</v>
      </c>
      <c r="D1000" s="41">
        <v>45997.71997130787</v>
      </c>
    </row>
    <row r="1001">
      <c r="A1001" s="39" t="s">
        <v>293</v>
      </c>
      <c r="B1001" s="40">
        <v>1905939.0</v>
      </c>
      <c r="C1001" s="40">
        <v>0.0</v>
      </c>
      <c r="D1001" s="41">
        <v>45997.719975115746</v>
      </c>
    </row>
    <row r="1002">
      <c r="A1002" s="39" t="s">
        <v>293</v>
      </c>
      <c r="B1002" s="40">
        <v>1905940.0</v>
      </c>
      <c r="C1002" s="40">
        <v>0.0</v>
      </c>
      <c r="D1002" s="41">
        <v>45997.71997936342</v>
      </c>
    </row>
    <row r="1003">
      <c r="A1003" s="39" t="s">
        <v>293</v>
      </c>
      <c r="B1003" s="40">
        <v>1905941.0</v>
      </c>
      <c r="C1003" s="40">
        <v>0.0</v>
      </c>
      <c r="D1003" s="41">
        <v>45997.71998283565</v>
      </c>
    </row>
    <row r="1004">
      <c r="A1004" s="39" t="s">
        <v>294</v>
      </c>
      <c r="B1004" s="40">
        <v>1871498.0</v>
      </c>
      <c r="C1004" s="40">
        <v>10.0</v>
      </c>
      <c r="D1004" s="41">
        <v>45968.4851437037</v>
      </c>
    </row>
    <row r="1005">
      <c r="A1005" s="39" t="s">
        <v>294</v>
      </c>
      <c r="B1005" s="40">
        <v>1871500.0</v>
      </c>
      <c r="C1005" s="40">
        <v>0.0</v>
      </c>
      <c r="D1005" s="41">
        <v>45968.48514671296</v>
      </c>
    </row>
    <row r="1006">
      <c r="A1006" s="39" t="s">
        <v>294</v>
      </c>
      <c r="B1006" s="40">
        <v>1871501.0</v>
      </c>
      <c r="C1006" s="40">
        <v>0.0</v>
      </c>
      <c r="D1006" s="41">
        <v>45968.485149375</v>
      </c>
    </row>
    <row r="1007">
      <c r="A1007" s="39" t="s">
        <v>294</v>
      </c>
      <c r="B1007" s="40">
        <v>1871522.0</v>
      </c>
      <c r="C1007" s="40">
        <v>0.0</v>
      </c>
      <c r="D1007" s="41">
        <v>45968.48515224537</v>
      </c>
    </row>
    <row r="1008">
      <c r="A1008" s="39" t="s">
        <v>294</v>
      </c>
      <c r="B1008" s="40">
        <v>1871525.0</v>
      </c>
      <c r="C1008" s="40">
        <v>0.0</v>
      </c>
      <c r="D1008" s="41">
        <v>45968.48515716435</v>
      </c>
    </row>
    <row r="1009">
      <c r="A1009" s="39" t="s">
        <v>294</v>
      </c>
      <c r="B1009" s="40">
        <v>1873080.0</v>
      </c>
      <c r="C1009" s="40">
        <v>0.0</v>
      </c>
      <c r="D1009" s="41">
        <v>45968.485160185184</v>
      </c>
    </row>
    <row r="1010">
      <c r="A1010" s="39" t="s">
        <v>294</v>
      </c>
      <c r="B1010" s="40">
        <v>1873081.0</v>
      </c>
      <c r="C1010" s="40">
        <v>0.0</v>
      </c>
      <c r="D1010" s="41">
        <v>45968.48516548611</v>
      </c>
    </row>
    <row r="1011">
      <c r="A1011" s="39" t="s">
        <v>294</v>
      </c>
      <c r="B1011" s="40">
        <v>1873082.0</v>
      </c>
      <c r="C1011" s="40">
        <v>0.0</v>
      </c>
      <c r="D1011" s="41">
        <v>45968.48516894676</v>
      </c>
    </row>
    <row r="1012">
      <c r="A1012" s="39" t="s">
        <v>294</v>
      </c>
      <c r="B1012" s="40">
        <v>1873083.0</v>
      </c>
      <c r="C1012" s="40">
        <v>0.0</v>
      </c>
      <c r="D1012" s="41">
        <v>45968.48517267361</v>
      </c>
    </row>
    <row r="1013">
      <c r="A1013" s="39" t="s">
        <v>294</v>
      </c>
      <c r="B1013" s="40">
        <v>1873084.0</v>
      </c>
      <c r="C1013" s="40">
        <v>0.0</v>
      </c>
      <c r="D1013" s="41">
        <v>45968.48517587963</v>
      </c>
    </row>
    <row r="1014">
      <c r="A1014" s="39" t="s">
        <v>294</v>
      </c>
      <c r="B1014" s="40">
        <v>1880186.0</v>
      </c>
      <c r="C1014" s="40">
        <v>10.0</v>
      </c>
      <c r="D1014" s="41">
        <v>45972.426198194444</v>
      </c>
    </row>
    <row r="1015">
      <c r="A1015" s="39" t="s">
        <v>294</v>
      </c>
      <c r="B1015" s="40">
        <v>1880188.0</v>
      </c>
      <c r="C1015" s="40">
        <v>0.0</v>
      </c>
      <c r="D1015" s="41">
        <v>45969.72088923611</v>
      </c>
    </row>
    <row r="1016">
      <c r="A1016" s="39" t="s">
        <v>294</v>
      </c>
      <c r="B1016" s="40">
        <v>1880189.0</v>
      </c>
      <c r="C1016" s="40">
        <v>0.0</v>
      </c>
      <c r="D1016" s="41">
        <v>45969.72089130787</v>
      </c>
    </row>
    <row r="1017">
      <c r="A1017" s="39" t="s">
        <v>294</v>
      </c>
      <c r="B1017" s="40">
        <v>1880191.0</v>
      </c>
      <c r="C1017" s="40">
        <v>0.0</v>
      </c>
      <c r="D1017" s="41">
        <v>45969.72089326389</v>
      </c>
    </row>
    <row r="1018">
      <c r="A1018" s="39" t="s">
        <v>294</v>
      </c>
      <c r="B1018" s="40">
        <v>1880677.0</v>
      </c>
      <c r="C1018" s="40">
        <v>0.0</v>
      </c>
      <c r="D1018" s="41">
        <v>45969.72090298611</v>
      </c>
    </row>
    <row r="1019">
      <c r="A1019" s="39" t="s">
        <v>294</v>
      </c>
      <c r="B1019" s="40">
        <v>1892424.0</v>
      </c>
      <c r="C1019" s="40">
        <v>0.0</v>
      </c>
      <c r="D1019" s="41">
        <v>45972.86061413195</v>
      </c>
    </row>
    <row r="1020">
      <c r="A1020" s="39" t="s">
        <v>294</v>
      </c>
      <c r="B1020" s="40">
        <v>1892425.0</v>
      </c>
      <c r="C1020" s="40">
        <v>0.0</v>
      </c>
      <c r="D1020" s="41">
        <v>45976.71656240741</v>
      </c>
    </row>
    <row r="1021">
      <c r="A1021" s="39" t="s">
        <v>294</v>
      </c>
      <c r="B1021" s="40">
        <v>1892426.0</v>
      </c>
      <c r="C1021" s="40">
        <v>0.0</v>
      </c>
      <c r="D1021" s="41">
        <v>45976.716564270835</v>
      </c>
    </row>
    <row r="1022">
      <c r="A1022" s="39" t="s">
        <v>294</v>
      </c>
      <c r="B1022" s="40">
        <v>1892427.0</v>
      </c>
      <c r="C1022" s="40">
        <v>0.0</v>
      </c>
      <c r="D1022" s="41">
        <v>45979.61990907407</v>
      </c>
    </row>
    <row r="1023">
      <c r="A1023" s="39" t="s">
        <v>294</v>
      </c>
      <c r="B1023" s="40">
        <v>1892428.0</v>
      </c>
      <c r="C1023" s="40">
        <v>0.0</v>
      </c>
      <c r="D1023" s="41">
        <v>45976.716566041665</v>
      </c>
    </row>
    <row r="1024">
      <c r="A1024" s="39" t="s">
        <v>294</v>
      </c>
      <c r="B1024" s="40">
        <v>1902189.0</v>
      </c>
      <c r="C1024" s="40">
        <v>0.0</v>
      </c>
      <c r="D1024" s="41">
        <v>45992.42397603009</v>
      </c>
    </row>
    <row r="1025">
      <c r="A1025" s="39" t="s">
        <v>294</v>
      </c>
      <c r="B1025" s="40">
        <v>1905938.0</v>
      </c>
      <c r="C1025" s="40">
        <v>0.0</v>
      </c>
      <c r="D1025" s="41">
        <v>45997.71999074074</v>
      </c>
    </row>
    <row r="1026">
      <c r="A1026" s="39" t="s">
        <v>294</v>
      </c>
      <c r="B1026" s="40">
        <v>1905939.0</v>
      </c>
      <c r="C1026" s="40">
        <v>0.0</v>
      </c>
      <c r="D1026" s="41">
        <v>45997.71999787037</v>
      </c>
    </row>
    <row r="1027">
      <c r="A1027" s="39" t="s">
        <v>294</v>
      </c>
      <c r="B1027" s="40">
        <v>1905940.0</v>
      </c>
      <c r="C1027" s="40">
        <v>0.0</v>
      </c>
      <c r="D1027" s="41">
        <v>45997.720001678244</v>
      </c>
    </row>
    <row r="1028">
      <c r="A1028" s="39" t="s">
        <v>294</v>
      </c>
      <c r="B1028" s="40">
        <v>1905941.0</v>
      </c>
      <c r="C1028" s="40">
        <v>0.0</v>
      </c>
      <c r="D1028" s="41">
        <v>45997.72000577547</v>
      </c>
    </row>
    <row r="1029">
      <c r="A1029" s="39" t="s">
        <v>295</v>
      </c>
      <c r="B1029" s="40">
        <v>1871498.0</v>
      </c>
      <c r="C1029" s="40">
        <v>10.0</v>
      </c>
      <c r="D1029" s="41">
        <v>45968.485179166666</v>
      </c>
    </row>
    <row r="1030">
      <c r="A1030" s="39" t="s">
        <v>295</v>
      </c>
      <c r="B1030" s="40">
        <v>1871500.0</v>
      </c>
      <c r="C1030" s="40">
        <v>4.0</v>
      </c>
      <c r="D1030" s="41">
        <v>45968.48518177083</v>
      </c>
    </row>
    <row r="1031">
      <c r="A1031" s="39" t="s">
        <v>295</v>
      </c>
      <c r="B1031" s="40">
        <v>1871501.0</v>
      </c>
      <c r="C1031" s="40">
        <v>3.0</v>
      </c>
      <c r="D1031" s="41">
        <v>45972.57247201389</v>
      </c>
    </row>
    <row r="1032">
      <c r="A1032" s="39" t="s">
        <v>295</v>
      </c>
      <c r="B1032" s="40">
        <v>1871522.0</v>
      </c>
      <c r="C1032" s="40">
        <v>4.0</v>
      </c>
      <c r="D1032" s="41">
        <v>45973.45446123843</v>
      </c>
    </row>
    <row r="1033">
      <c r="A1033" s="39" t="s">
        <v>295</v>
      </c>
      <c r="B1033" s="40">
        <v>1871525.0</v>
      </c>
      <c r="C1033" s="40">
        <v>0.0</v>
      </c>
      <c r="D1033" s="41">
        <v>45968.4851928125</v>
      </c>
    </row>
    <row r="1034">
      <c r="A1034" s="39" t="s">
        <v>295</v>
      </c>
      <c r="B1034" s="40">
        <v>1873080.0</v>
      </c>
      <c r="C1034" s="40">
        <v>10.0</v>
      </c>
      <c r="D1034" s="41">
        <v>45968.485195393514</v>
      </c>
    </row>
    <row r="1035">
      <c r="A1035" s="39" t="s">
        <v>295</v>
      </c>
      <c r="B1035" s="40">
        <v>1873081.0</v>
      </c>
      <c r="C1035" s="40">
        <v>2.0</v>
      </c>
      <c r="D1035" s="41">
        <v>45973.485317071754</v>
      </c>
    </row>
    <row r="1036">
      <c r="A1036" s="39" t="s">
        <v>295</v>
      </c>
      <c r="B1036" s="40">
        <v>1873082.0</v>
      </c>
      <c r="C1036" s="40">
        <v>2.0</v>
      </c>
      <c r="D1036" s="41">
        <v>45973.496030636576</v>
      </c>
    </row>
    <row r="1037">
      <c r="A1037" s="39" t="s">
        <v>295</v>
      </c>
      <c r="B1037" s="40">
        <v>1873083.0</v>
      </c>
      <c r="C1037" s="40">
        <v>0.0</v>
      </c>
      <c r="D1037" s="41">
        <v>45968.4852034375</v>
      </c>
    </row>
    <row r="1038">
      <c r="A1038" s="39" t="s">
        <v>295</v>
      </c>
      <c r="B1038" s="40">
        <v>1873084.0</v>
      </c>
      <c r="C1038" s="40">
        <v>10.0</v>
      </c>
      <c r="D1038" s="41">
        <v>45981.56717744213</v>
      </c>
    </row>
    <row r="1039">
      <c r="A1039" s="39" t="s">
        <v>295</v>
      </c>
      <c r="B1039" s="40">
        <v>1880186.0</v>
      </c>
      <c r="C1039" s="40">
        <v>0.0</v>
      </c>
      <c r="D1039" s="41">
        <v>45969.72090501158</v>
      </c>
    </row>
    <row r="1040">
      <c r="A1040" s="39" t="s">
        <v>295</v>
      </c>
      <c r="B1040" s="40">
        <v>1880188.0</v>
      </c>
      <c r="C1040" s="40">
        <v>6.0</v>
      </c>
      <c r="D1040" s="41">
        <v>45974.38170246528</v>
      </c>
    </row>
    <row r="1041">
      <c r="A1041" s="39" t="s">
        <v>295</v>
      </c>
      <c r="B1041" s="40">
        <v>1880189.0</v>
      </c>
      <c r="C1041" s="40">
        <v>0.0</v>
      </c>
      <c r="D1041" s="41">
        <v>45969.72090849537</v>
      </c>
    </row>
    <row r="1042">
      <c r="A1042" s="39" t="s">
        <v>295</v>
      </c>
      <c r="B1042" s="40">
        <v>1880191.0</v>
      </c>
      <c r="C1042" s="40">
        <v>0.0</v>
      </c>
      <c r="D1042" s="41">
        <v>45969.720917928236</v>
      </c>
    </row>
    <row r="1043">
      <c r="A1043" s="39" t="s">
        <v>295</v>
      </c>
      <c r="B1043" s="40">
        <v>1880677.0</v>
      </c>
      <c r="C1043" s="40">
        <v>0.0</v>
      </c>
      <c r="D1043" s="41">
        <v>45969.720919942134</v>
      </c>
    </row>
    <row r="1044">
      <c r="A1044" s="39" t="s">
        <v>295</v>
      </c>
      <c r="B1044" s="40">
        <v>1892424.0</v>
      </c>
      <c r="C1044" s="40">
        <v>2.0</v>
      </c>
      <c r="D1044" s="41">
        <v>45972.86061741898</v>
      </c>
    </row>
    <row r="1045">
      <c r="A1045" s="39" t="s">
        <v>295</v>
      </c>
      <c r="B1045" s="40">
        <v>1892425.0</v>
      </c>
      <c r="C1045" s="40">
        <v>0.0</v>
      </c>
      <c r="D1045" s="41">
        <v>45976.716579513886</v>
      </c>
    </row>
    <row r="1046">
      <c r="A1046" s="39" t="s">
        <v>295</v>
      </c>
      <c r="B1046" s="40">
        <v>1892426.0</v>
      </c>
      <c r="C1046" s="40">
        <v>0.0</v>
      </c>
      <c r="D1046" s="41">
        <v>45976.71658165509</v>
      </c>
    </row>
    <row r="1047">
      <c r="A1047" s="39" t="s">
        <v>295</v>
      </c>
      <c r="B1047" s="40">
        <v>1892427.0</v>
      </c>
      <c r="C1047" s="40">
        <v>0.0</v>
      </c>
      <c r="D1047" s="41">
        <v>45979.61991140046</v>
      </c>
    </row>
    <row r="1048">
      <c r="A1048" s="39" t="s">
        <v>295</v>
      </c>
      <c r="B1048" s="40">
        <v>1892428.0</v>
      </c>
      <c r="C1048" s="40">
        <v>0.0</v>
      </c>
      <c r="D1048" s="41">
        <v>45976.716583553236</v>
      </c>
    </row>
    <row r="1049">
      <c r="A1049" s="39" t="s">
        <v>295</v>
      </c>
      <c r="B1049" s="40">
        <v>1902189.0</v>
      </c>
      <c r="C1049" s="40">
        <v>0.0</v>
      </c>
      <c r="D1049" s="41">
        <v>45992.42397950232</v>
      </c>
    </row>
    <row r="1050">
      <c r="A1050" s="39" t="s">
        <v>295</v>
      </c>
      <c r="B1050" s="40">
        <v>1905941.0</v>
      </c>
      <c r="C1050" s="40">
        <v>0.0</v>
      </c>
      <c r="D1050" s="41">
        <v>45997.720027187504</v>
      </c>
    </row>
    <row r="1051">
      <c r="A1051" s="39" t="s">
        <v>296</v>
      </c>
      <c r="B1051" s="40">
        <v>1871498.0</v>
      </c>
      <c r="C1051" s="40">
        <v>10.0</v>
      </c>
      <c r="D1051" s="41">
        <v>45968.48521896991</v>
      </c>
    </row>
    <row r="1052">
      <c r="A1052" s="39" t="s">
        <v>296</v>
      </c>
      <c r="B1052" s="40">
        <v>1871500.0</v>
      </c>
      <c r="C1052" s="40">
        <v>2.0</v>
      </c>
      <c r="D1052" s="41">
        <v>45968.59238861111</v>
      </c>
    </row>
    <row r="1053">
      <c r="A1053" s="39" t="s">
        <v>296</v>
      </c>
      <c r="B1053" s="40">
        <v>1871501.0</v>
      </c>
      <c r="C1053" s="40">
        <v>5.0</v>
      </c>
      <c r="D1053" s="41">
        <v>45975.58927541667</v>
      </c>
    </row>
    <row r="1054">
      <c r="A1054" s="39" t="s">
        <v>296</v>
      </c>
      <c r="B1054" s="40">
        <v>1871522.0</v>
      </c>
      <c r="C1054" s="40">
        <v>0.0</v>
      </c>
      <c r="D1054" s="41">
        <v>45968.48523160879</v>
      </c>
    </row>
    <row r="1055">
      <c r="A1055" s="39" t="s">
        <v>296</v>
      </c>
      <c r="B1055" s="40">
        <v>1871525.0</v>
      </c>
      <c r="C1055" s="40">
        <v>0.0</v>
      </c>
      <c r="D1055" s="41">
        <v>45968.48523445602</v>
      </c>
    </row>
    <row r="1056">
      <c r="A1056" s="39" t="s">
        <v>296</v>
      </c>
      <c r="B1056" s="40">
        <v>1873080.0</v>
      </c>
      <c r="C1056" s="40">
        <v>10.0</v>
      </c>
      <c r="D1056" s="41">
        <v>45968.48523689815</v>
      </c>
    </row>
    <row r="1057">
      <c r="A1057" s="39" t="s">
        <v>296</v>
      </c>
      <c r="B1057" s="40">
        <v>1873081.0</v>
      </c>
      <c r="C1057" s="40">
        <v>6.0</v>
      </c>
      <c r="D1057" s="41">
        <v>45968.485239444446</v>
      </c>
    </row>
    <row r="1058">
      <c r="A1058" s="39" t="s">
        <v>296</v>
      </c>
      <c r="B1058" s="40">
        <v>1873082.0</v>
      </c>
      <c r="C1058" s="40">
        <v>5.0</v>
      </c>
      <c r="D1058" s="41">
        <v>45968.48524241898</v>
      </c>
    </row>
    <row r="1059">
      <c r="A1059" s="39" t="s">
        <v>296</v>
      </c>
      <c r="B1059" s="40">
        <v>1873083.0</v>
      </c>
      <c r="C1059" s="40">
        <v>0.0</v>
      </c>
      <c r="D1059" s="41">
        <v>45968.48526332176</v>
      </c>
    </row>
    <row r="1060">
      <c r="A1060" s="39" t="s">
        <v>296</v>
      </c>
      <c r="B1060" s="40">
        <v>1873084.0</v>
      </c>
      <c r="C1060" s="40">
        <v>0.0</v>
      </c>
      <c r="D1060" s="41">
        <v>45968.48526590278</v>
      </c>
    </row>
    <row r="1061">
      <c r="A1061" s="39" t="s">
        <v>296</v>
      </c>
      <c r="B1061" s="40">
        <v>1880186.0</v>
      </c>
      <c r="C1061" s="40">
        <v>10.0</v>
      </c>
      <c r="D1061" s="41">
        <v>45972.59808818287</v>
      </c>
    </row>
    <row r="1062">
      <c r="A1062" s="39" t="s">
        <v>296</v>
      </c>
      <c r="B1062" s="40">
        <v>1880188.0</v>
      </c>
      <c r="C1062" s="40">
        <v>0.0</v>
      </c>
      <c r="D1062" s="41">
        <v>45969.72092395833</v>
      </c>
    </row>
    <row r="1063">
      <c r="A1063" s="39" t="s">
        <v>296</v>
      </c>
      <c r="B1063" s="40">
        <v>1880189.0</v>
      </c>
      <c r="C1063" s="40">
        <v>0.0</v>
      </c>
      <c r="D1063" s="41">
        <v>45969.72092681713</v>
      </c>
    </row>
    <row r="1064">
      <c r="A1064" s="39" t="s">
        <v>296</v>
      </c>
      <c r="B1064" s="40">
        <v>1880191.0</v>
      </c>
      <c r="C1064" s="40">
        <v>0.0</v>
      </c>
      <c r="D1064" s="41">
        <v>45969.72092865741</v>
      </c>
    </row>
    <row r="1065">
      <c r="A1065" s="39" t="s">
        <v>296</v>
      </c>
      <c r="B1065" s="40">
        <v>1880677.0</v>
      </c>
      <c r="C1065" s="40">
        <v>0.0</v>
      </c>
      <c r="D1065" s="41">
        <v>45969.72093054398</v>
      </c>
    </row>
    <row r="1066">
      <c r="A1066" s="39" t="s">
        <v>296</v>
      </c>
      <c r="B1066" s="40">
        <v>1892424.0</v>
      </c>
      <c r="C1066" s="40">
        <v>0.0</v>
      </c>
      <c r="D1066" s="41">
        <v>45972.860630462965</v>
      </c>
    </row>
    <row r="1067">
      <c r="A1067" s="39" t="s">
        <v>296</v>
      </c>
      <c r="B1067" s="40">
        <v>1892425.0</v>
      </c>
      <c r="C1067" s="40">
        <v>0.0</v>
      </c>
      <c r="D1067" s="41">
        <v>45976.716585381946</v>
      </c>
    </row>
    <row r="1068">
      <c r="A1068" s="39" t="s">
        <v>296</v>
      </c>
      <c r="B1068" s="40">
        <v>1892426.0</v>
      </c>
      <c r="C1068" s="40">
        <v>0.0</v>
      </c>
      <c r="D1068" s="41">
        <v>45976.716588125</v>
      </c>
    </row>
    <row r="1069">
      <c r="A1069" s="39" t="s">
        <v>296</v>
      </c>
      <c r="B1069" s="40">
        <v>1892427.0</v>
      </c>
      <c r="C1069" s="40">
        <v>0.0</v>
      </c>
      <c r="D1069" s="41">
        <v>45979.619914537034</v>
      </c>
    </row>
    <row r="1070">
      <c r="A1070" s="39" t="s">
        <v>296</v>
      </c>
      <c r="B1070" s="40">
        <v>1892428.0</v>
      </c>
      <c r="C1070" s="40">
        <v>0.0</v>
      </c>
      <c r="D1070" s="41">
        <v>45976.71658988426</v>
      </c>
    </row>
    <row r="1071">
      <c r="A1071" s="39" t="s">
        <v>296</v>
      </c>
      <c r="B1071" s="40">
        <v>1902189.0</v>
      </c>
      <c r="C1071" s="40">
        <v>17.0</v>
      </c>
      <c r="D1071" s="41">
        <v>45994.300254745365</v>
      </c>
    </row>
    <row r="1072">
      <c r="A1072" s="39" t="s">
        <v>296</v>
      </c>
      <c r="B1072" s="40">
        <v>1905938.0</v>
      </c>
      <c r="C1072" s="40">
        <v>0.0</v>
      </c>
      <c r="D1072" s="41">
        <v>45997.72003604167</v>
      </c>
    </row>
    <row r="1073">
      <c r="A1073" s="39" t="s">
        <v>296</v>
      </c>
      <c r="B1073" s="40">
        <v>1905939.0</v>
      </c>
      <c r="C1073" s="40">
        <v>0.0</v>
      </c>
      <c r="D1073" s="41">
        <v>45997.72003994213</v>
      </c>
    </row>
    <row r="1074">
      <c r="A1074" s="39" t="s">
        <v>296</v>
      </c>
      <c r="B1074" s="40">
        <v>1905940.0</v>
      </c>
      <c r="C1074" s="40">
        <v>0.0</v>
      </c>
      <c r="D1074" s="41">
        <v>45997.72004431713</v>
      </c>
    </row>
    <row r="1075">
      <c r="A1075" s="39" t="s">
        <v>296</v>
      </c>
      <c r="B1075" s="40">
        <v>1905941.0</v>
      </c>
      <c r="C1075" s="40">
        <v>0.0</v>
      </c>
      <c r="D1075" s="41">
        <v>45997.72004871527</v>
      </c>
    </row>
    <row r="1076">
      <c r="A1076" s="39" t="s">
        <v>297</v>
      </c>
      <c r="B1076" s="40">
        <v>1871498.0</v>
      </c>
      <c r="C1076" s="40">
        <v>10.0</v>
      </c>
      <c r="D1076" s="41">
        <v>45968.485268449076</v>
      </c>
    </row>
    <row r="1077">
      <c r="A1077" s="39" t="s">
        <v>297</v>
      </c>
      <c r="B1077" s="40">
        <v>1871500.0</v>
      </c>
      <c r="C1077" s="40">
        <v>7.0</v>
      </c>
      <c r="D1077" s="41">
        <v>45968.48527173611</v>
      </c>
    </row>
    <row r="1078">
      <c r="A1078" s="39" t="s">
        <v>297</v>
      </c>
      <c r="B1078" s="40">
        <v>1871501.0</v>
      </c>
      <c r="C1078" s="40">
        <v>10.0</v>
      </c>
      <c r="D1078" s="41">
        <v>45968.48527415509</v>
      </c>
    </row>
    <row r="1079">
      <c r="A1079" s="39" t="s">
        <v>297</v>
      </c>
      <c r="B1079" s="40">
        <v>1871522.0</v>
      </c>
      <c r="C1079" s="40">
        <v>4.0</v>
      </c>
      <c r="D1079" s="41">
        <v>45968.485277395834</v>
      </c>
    </row>
    <row r="1080">
      <c r="A1080" s="39" t="s">
        <v>297</v>
      </c>
      <c r="B1080" s="40">
        <v>1871525.0</v>
      </c>
      <c r="C1080" s="40">
        <v>10.0</v>
      </c>
      <c r="D1080" s="41">
        <v>45975.43308541666</v>
      </c>
    </row>
    <row r="1081">
      <c r="A1081" s="39" t="s">
        <v>297</v>
      </c>
      <c r="B1081" s="40">
        <v>1873080.0</v>
      </c>
      <c r="C1081" s="40">
        <v>10.0</v>
      </c>
      <c r="D1081" s="41">
        <v>45968.485284814815</v>
      </c>
    </row>
    <row r="1082">
      <c r="A1082" s="39" t="s">
        <v>297</v>
      </c>
      <c r="B1082" s="40">
        <v>1873081.0</v>
      </c>
      <c r="C1082" s="40">
        <v>4.0</v>
      </c>
      <c r="D1082" s="41">
        <v>45968.48529054398</v>
      </c>
    </row>
    <row r="1083">
      <c r="A1083" s="39" t="s">
        <v>297</v>
      </c>
      <c r="B1083" s="40">
        <v>1873082.0</v>
      </c>
      <c r="C1083" s="40">
        <v>10.0</v>
      </c>
      <c r="D1083" s="41">
        <v>45968.485293125</v>
      </c>
    </row>
    <row r="1084">
      <c r="A1084" s="39" t="s">
        <v>297</v>
      </c>
      <c r="B1084" s="40">
        <v>1873083.0</v>
      </c>
      <c r="C1084" s="40">
        <v>0.0</v>
      </c>
      <c r="D1084" s="41">
        <v>45968.48529650463</v>
      </c>
    </row>
    <row r="1085">
      <c r="A1085" s="39" t="s">
        <v>297</v>
      </c>
      <c r="B1085" s="40">
        <v>1873084.0</v>
      </c>
      <c r="C1085" s="40">
        <v>0.0</v>
      </c>
      <c r="D1085" s="41">
        <v>45968.48529938658</v>
      </c>
    </row>
    <row r="1086">
      <c r="A1086" s="39" t="s">
        <v>297</v>
      </c>
      <c r="B1086" s="40">
        <v>1880186.0</v>
      </c>
      <c r="C1086" s="40">
        <v>10.0</v>
      </c>
      <c r="D1086" s="41">
        <v>45968.48530180556</v>
      </c>
    </row>
    <row r="1087">
      <c r="A1087" s="39" t="s">
        <v>297</v>
      </c>
      <c r="B1087" s="40">
        <v>1880188.0</v>
      </c>
      <c r="C1087" s="40">
        <v>17.0</v>
      </c>
      <c r="D1087" s="41">
        <v>45972.839053981486</v>
      </c>
    </row>
    <row r="1088">
      <c r="A1088" s="39" t="s">
        <v>297</v>
      </c>
      <c r="B1088" s="40">
        <v>1880189.0</v>
      </c>
      <c r="C1088" s="40">
        <v>0.0</v>
      </c>
      <c r="D1088" s="41">
        <v>45969.720934490746</v>
      </c>
    </row>
    <row r="1089">
      <c r="A1089" s="39" t="s">
        <v>297</v>
      </c>
      <c r="B1089" s="40">
        <v>1880191.0</v>
      </c>
      <c r="C1089" s="40">
        <v>0.0</v>
      </c>
      <c r="D1089" s="41">
        <v>45969.720940659725</v>
      </c>
    </row>
    <row r="1090">
      <c r="A1090" s="39" t="s">
        <v>297</v>
      </c>
      <c r="B1090" s="40">
        <v>1880677.0</v>
      </c>
      <c r="C1090" s="40">
        <v>0.0</v>
      </c>
      <c r="D1090" s="41">
        <v>45969.720943078704</v>
      </c>
    </row>
    <row r="1091">
      <c r="A1091" s="39" t="s">
        <v>297</v>
      </c>
      <c r="B1091" s="40">
        <v>1892424.0</v>
      </c>
      <c r="C1091" s="40">
        <v>10.0</v>
      </c>
      <c r="D1091" s="41">
        <v>45972.86063609953</v>
      </c>
    </row>
    <row r="1092">
      <c r="A1092" s="39" t="s">
        <v>297</v>
      </c>
      <c r="B1092" s="40">
        <v>1892425.0</v>
      </c>
      <c r="C1092" s="40">
        <v>9.0</v>
      </c>
      <c r="D1092" s="41">
        <v>45972.870433275464</v>
      </c>
    </row>
    <row r="1093">
      <c r="A1093" s="39" t="s">
        <v>297</v>
      </c>
      <c r="B1093" s="40">
        <v>1892426.0</v>
      </c>
      <c r="C1093" s="40">
        <v>6.0</v>
      </c>
      <c r="D1093" s="41">
        <v>45985.47362503472</v>
      </c>
    </row>
    <row r="1094">
      <c r="A1094" s="39" t="s">
        <v>297</v>
      </c>
      <c r="B1094" s="40">
        <v>1892427.0</v>
      </c>
      <c r="C1094" s="40">
        <v>0.0</v>
      </c>
      <c r="D1094" s="41">
        <v>45979.61991706019</v>
      </c>
    </row>
    <row r="1095">
      <c r="A1095" s="39" t="s">
        <v>297</v>
      </c>
      <c r="B1095" s="40">
        <v>1892428.0</v>
      </c>
      <c r="C1095" s="40">
        <v>4.0</v>
      </c>
      <c r="D1095" s="41">
        <v>45978.36894269676</v>
      </c>
    </row>
    <row r="1096">
      <c r="A1096" s="39" t="s">
        <v>297</v>
      </c>
      <c r="B1096" s="40">
        <v>1902189.0</v>
      </c>
      <c r="C1096" s="40">
        <v>32.0</v>
      </c>
      <c r="D1096" s="41">
        <v>45994.30025866898</v>
      </c>
    </row>
    <row r="1097">
      <c r="A1097" s="39" t="s">
        <v>297</v>
      </c>
      <c r="B1097" s="40">
        <v>1905940.0</v>
      </c>
      <c r="C1097" s="40">
        <v>0.0</v>
      </c>
      <c r="D1097" s="41">
        <v>45997.720065127316</v>
      </c>
    </row>
    <row r="1098">
      <c r="A1098" s="39" t="s">
        <v>298</v>
      </c>
      <c r="B1098" s="40">
        <v>1871498.0</v>
      </c>
      <c r="C1098" s="40">
        <v>10.0</v>
      </c>
      <c r="D1098" s="41">
        <v>45968.48530717593</v>
      </c>
    </row>
    <row r="1099">
      <c r="A1099" s="39" t="s">
        <v>298</v>
      </c>
      <c r="B1099" s="40">
        <v>1871500.0</v>
      </c>
      <c r="C1099" s="40">
        <v>0.0</v>
      </c>
      <c r="D1099" s="41">
        <v>45968.485309930555</v>
      </c>
    </row>
    <row r="1100">
      <c r="A1100" s="39" t="s">
        <v>298</v>
      </c>
      <c r="B1100" s="40">
        <v>1871501.0</v>
      </c>
      <c r="C1100" s="40">
        <v>0.0</v>
      </c>
      <c r="D1100" s="41">
        <v>45968.48531667824</v>
      </c>
    </row>
    <row r="1101">
      <c r="A1101" s="39" t="s">
        <v>298</v>
      </c>
      <c r="B1101" s="40">
        <v>1871522.0</v>
      </c>
      <c r="C1101" s="40">
        <v>0.0</v>
      </c>
      <c r="D1101" s="41">
        <v>45968.48532087963</v>
      </c>
    </row>
    <row r="1102">
      <c r="A1102" s="39" t="s">
        <v>298</v>
      </c>
      <c r="B1102" s="40">
        <v>1871525.0</v>
      </c>
      <c r="C1102" s="40">
        <v>0.0</v>
      </c>
      <c r="D1102" s="41">
        <v>45968.48533157408</v>
      </c>
    </row>
    <row r="1103">
      <c r="A1103" s="39" t="s">
        <v>298</v>
      </c>
      <c r="B1103" s="40">
        <v>1873080.0</v>
      </c>
      <c r="C1103" s="40">
        <v>10.0</v>
      </c>
      <c r="D1103" s="41">
        <v>45968.48533408565</v>
      </c>
    </row>
    <row r="1104">
      <c r="A1104" s="39" t="s">
        <v>298</v>
      </c>
      <c r="B1104" s="40">
        <v>1873081.0</v>
      </c>
      <c r="C1104" s="40">
        <v>0.0</v>
      </c>
      <c r="D1104" s="41">
        <v>45968.48533685185</v>
      </c>
    </row>
    <row r="1105">
      <c r="A1105" s="39" t="s">
        <v>298</v>
      </c>
      <c r="B1105" s="40">
        <v>1873082.0</v>
      </c>
      <c r="C1105" s="40">
        <v>0.0</v>
      </c>
      <c r="D1105" s="41">
        <v>45968.48533947917</v>
      </c>
    </row>
    <row r="1106">
      <c r="A1106" s="39" t="s">
        <v>298</v>
      </c>
      <c r="B1106" s="40">
        <v>1873083.0</v>
      </c>
      <c r="C1106" s="40">
        <v>0.0</v>
      </c>
      <c r="D1106" s="41">
        <v>45968.485341921296</v>
      </c>
    </row>
    <row r="1107">
      <c r="A1107" s="39" t="s">
        <v>298</v>
      </c>
      <c r="B1107" s="40">
        <v>1873084.0</v>
      </c>
      <c r="C1107" s="40">
        <v>0.0</v>
      </c>
      <c r="D1107" s="41">
        <v>45968.485344664354</v>
      </c>
    </row>
    <row r="1108">
      <c r="A1108" s="39" t="s">
        <v>298</v>
      </c>
      <c r="B1108" s="40">
        <v>1880186.0</v>
      </c>
      <c r="C1108" s="40">
        <v>0.0</v>
      </c>
      <c r="D1108" s="41">
        <v>45969.72094488426</v>
      </c>
    </row>
    <row r="1109">
      <c r="A1109" s="39" t="s">
        <v>298</v>
      </c>
      <c r="B1109" s="40">
        <v>1880188.0</v>
      </c>
      <c r="C1109" s="40">
        <v>0.0</v>
      </c>
      <c r="D1109" s="41">
        <v>45969.720947685186</v>
      </c>
    </row>
    <row r="1110">
      <c r="A1110" s="39" t="s">
        <v>298</v>
      </c>
      <c r="B1110" s="40">
        <v>1880189.0</v>
      </c>
      <c r="C1110" s="40">
        <v>0.0</v>
      </c>
      <c r="D1110" s="41">
        <v>45969.72094959491</v>
      </c>
    </row>
    <row r="1111">
      <c r="A1111" s="39" t="s">
        <v>298</v>
      </c>
      <c r="B1111" s="40">
        <v>1880191.0</v>
      </c>
      <c r="C1111" s="40">
        <v>0.0</v>
      </c>
      <c r="D1111" s="41">
        <v>45969.72095210648</v>
      </c>
    </row>
    <row r="1112">
      <c r="A1112" s="39" t="s">
        <v>298</v>
      </c>
      <c r="B1112" s="40">
        <v>1880677.0</v>
      </c>
      <c r="C1112" s="40">
        <v>0.0</v>
      </c>
      <c r="D1112" s="41">
        <v>45969.72095427083</v>
      </c>
    </row>
    <row r="1113">
      <c r="A1113" s="39" t="s">
        <v>298</v>
      </c>
      <c r="B1113" s="40">
        <v>1892424.0</v>
      </c>
      <c r="C1113" s="40">
        <v>0.0</v>
      </c>
      <c r="D1113" s="41">
        <v>45972.8606390625</v>
      </c>
    </row>
    <row r="1114">
      <c r="A1114" s="39" t="s">
        <v>298</v>
      </c>
      <c r="B1114" s="40">
        <v>1892425.0</v>
      </c>
      <c r="C1114" s="40">
        <v>0.0</v>
      </c>
      <c r="D1114" s="41">
        <v>45976.71659440972</v>
      </c>
    </row>
    <row r="1115">
      <c r="A1115" s="39" t="s">
        <v>298</v>
      </c>
      <c r="B1115" s="40">
        <v>1892426.0</v>
      </c>
      <c r="C1115" s="40">
        <v>0.0</v>
      </c>
      <c r="D1115" s="41">
        <v>45976.71659625</v>
      </c>
    </row>
    <row r="1116">
      <c r="A1116" s="39" t="s">
        <v>298</v>
      </c>
      <c r="B1116" s="40">
        <v>1892427.0</v>
      </c>
      <c r="C1116" s="40">
        <v>0.0</v>
      </c>
      <c r="D1116" s="41">
        <v>45979.61993262732</v>
      </c>
    </row>
    <row r="1117">
      <c r="A1117" s="39" t="s">
        <v>298</v>
      </c>
      <c r="B1117" s="40">
        <v>1892428.0</v>
      </c>
      <c r="C1117" s="40">
        <v>0.0</v>
      </c>
      <c r="D1117" s="41">
        <v>45976.71659862269</v>
      </c>
    </row>
    <row r="1118">
      <c r="A1118" s="39" t="s">
        <v>298</v>
      </c>
      <c r="B1118" s="40">
        <v>1902189.0</v>
      </c>
      <c r="C1118" s="40">
        <v>9.0</v>
      </c>
      <c r="D1118" s="41">
        <v>45994.300261956014</v>
      </c>
    </row>
    <row r="1119">
      <c r="A1119" s="39" t="s">
        <v>298</v>
      </c>
      <c r="B1119" s="40">
        <v>1905937.0</v>
      </c>
      <c r="C1119" s="40">
        <v>0.0</v>
      </c>
      <c r="D1119" s="41">
        <v>45997.720081377316</v>
      </c>
    </row>
    <row r="1120">
      <c r="A1120" s="39" t="s">
        <v>298</v>
      </c>
      <c r="B1120" s="40">
        <v>1905938.0</v>
      </c>
      <c r="C1120" s="40">
        <v>0.0</v>
      </c>
      <c r="D1120" s="41">
        <v>45997.72009486111</v>
      </c>
    </row>
    <row r="1121">
      <c r="A1121" s="39" t="s">
        <v>298</v>
      </c>
      <c r="B1121" s="40">
        <v>1905939.0</v>
      </c>
      <c r="C1121" s="40">
        <v>0.0</v>
      </c>
      <c r="D1121" s="41">
        <v>45997.72009855324</v>
      </c>
    </row>
    <row r="1122">
      <c r="A1122" s="39" t="s">
        <v>298</v>
      </c>
      <c r="B1122" s="40">
        <v>1905940.0</v>
      </c>
      <c r="C1122" s="40">
        <v>0.0</v>
      </c>
      <c r="D1122" s="41">
        <v>45997.72010391204</v>
      </c>
    </row>
    <row r="1123">
      <c r="A1123" s="39" t="s">
        <v>298</v>
      </c>
      <c r="B1123" s="40">
        <v>1905941.0</v>
      </c>
      <c r="C1123" s="40">
        <v>0.0</v>
      </c>
      <c r="D1123" s="41">
        <v>45997.72010791667</v>
      </c>
    </row>
    <row r="1124">
      <c r="A1124" s="39" t="s">
        <v>299</v>
      </c>
      <c r="B1124" s="40">
        <v>1871498.0</v>
      </c>
      <c r="C1124" s="40">
        <v>0.0</v>
      </c>
      <c r="D1124" s="41">
        <v>45968.48534719908</v>
      </c>
    </row>
    <row r="1125">
      <c r="A1125" s="39" t="s">
        <v>299</v>
      </c>
      <c r="B1125" s="40">
        <v>1871500.0</v>
      </c>
      <c r="C1125" s="40">
        <v>0.0</v>
      </c>
      <c r="D1125" s="41">
        <v>45968.48534976852</v>
      </c>
    </row>
    <row r="1126">
      <c r="A1126" s="39" t="s">
        <v>299</v>
      </c>
      <c r="B1126" s="40">
        <v>1871501.0</v>
      </c>
      <c r="C1126" s="40">
        <v>0.0</v>
      </c>
      <c r="D1126" s="41">
        <v>45968.48535290509</v>
      </c>
    </row>
    <row r="1127">
      <c r="A1127" s="39" t="s">
        <v>299</v>
      </c>
      <c r="B1127" s="40">
        <v>1871522.0</v>
      </c>
      <c r="C1127" s="40">
        <v>0.0</v>
      </c>
      <c r="D1127" s="41">
        <v>45968.48535565972</v>
      </c>
    </row>
    <row r="1128">
      <c r="A1128" s="39" t="s">
        <v>299</v>
      </c>
      <c r="B1128" s="40">
        <v>1871525.0</v>
      </c>
      <c r="C1128" s="40">
        <v>0.0</v>
      </c>
      <c r="D1128" s="41">
        <v>45968.48535834491</v>
      </c>
    </row>
    <row r="1129">
      <c r="A1129" s="39" t="s">
        <v>299</v>
      </c>
      <c r="B1129" s="40">
        <v>1873080.0</v>
      </c>
      <c r="C1129" s="40">
        <v>10.0</v>
      </c>
      <c r="D1129" s="41">
        <v>45968.48536077546</v>
      </c>
    </row>
    <row r="1130">
      <c r="A1130" s="39" t="s">
        <v>299</v>
      </c>
      <c r="B1130" s="40">
        <v>1873081.0</v>
      </c>
      <c r="C1130" s="40">
        <v>0.0</v>
      </c>
      <c r="D1130" s="41">
        <v>45968.48536465278</v>
      </c>
    </row>
    <row r="1131">
      <c r="A1131" s="39" t="s">
        <v>299</v>
      </c>
      <c r="B1131" s="40">
        <v>1873082.0</v>
      </c>
      <c r="C1131" s="40">
        <v>0.0</v>
      </c>
      <c r="D1131" s="41">
        <v>45968.48536733796</v>
      </c>
    </row>
    <row r="1132">
      <c r="A1132" s="39" t="s">
        <v>299</v>
      </c>
      <c r="B1132" s="40">
        <v>1873083.0</v>
      </c>
      <c r="C1132" s="40">
        <v>0.0</v>
      </c>
      <c r="D1132" s="41">
        <v>45968.48537008102</v>
      </c>
    </row>
    <row r="1133">
      <c r="A1133" s="39" t="s">
        <v>299</v>
      </c>
      <c r="B1133" s="40">
        <v>1873084.0</v>
      </c>
      <c r="C1133" s="40">
        <v>0.0</v>
      </c>
      <c r="D1133" s="41">
        <v>45968.48537285879</v>
      </c>
    </row>
    <row r="1134">
      <c r="A1134" s="39" t="s">
        <v>299</v>
      </c>
      <c r="B1134" s="40">
        <v>1880186.0</v>
      </c>
      <c r="C1134" s="40">
        <v>10.0</v>
      </c>
      <c r="D1134" s="41">
        <v>45974.29813574074</v>
      </c>
    </row>
    <row r="1135">
      <c r="A1135" s="39" t="s">
        <v>299</v>
      </c>
      <c r="B1135" s="40">
        <v>1880188.0</v>
      </c>
      <c r="C1135" s="40">
        <v>0.0</v>
      </c>
      <c r="D1135" s="41">
        <v>45969.720959502316</v>
      </c>
    </row>
    <row r="1136">
      <c r="A1136" s="39" t="s">
        <v>299</v>
      </c>
      <c r="B1136" s="40">
        <v>1880189.0</v>
      </c>
      <c r="C1136" s="40">
        <v>4.0</v>
      </c>
      <c r="D1136" s="41">
        <v>45974.29813846065</v>
      </c>
    </row>
    <row r="1137">
      <c r="A1137" s="39" t="s">
        <v>299</v>
      </c>
      <c r="B1137" s="40">
        <v>1880191.0</v>
      </c>
      <c r="C1137" s="40">
        <v>0.0</v>
      </c>
      <c r="D1137" s="41">
        <v>45969.720963287036</v>
      </c>
    </row>
    <row r="1138">
      <c r="A1138" s="39" t="s">
        <v>299</v>
      </c>
      <c r="B1138" s="40">
        <v>1880677.0</v>
      </c>
      <c r="C1138" s="40">
        <v>10.0</v>
      </c>
      <c r="D1138" s="41">
        <v>45974.29814111111</v>
      </c>
    </row>
    <row r="1139">
      <c r="A1139" s="39" t="s">
        <v>299</v>
      </c>
      <c r="B1139" s="40">
        <v>1892424.0</v>
      </c>
      <c r="C1139" s="40">
        <v>2.0</v>
      </c>
      <c r="D1139" s="41">
        <v>45974.29814381944</v>
      </c>
    </row>
    <row r="1140">
      <c r="A1140" s="39" t="s">
        <v>299</v>
      </c>
      <c r="B1140" s="40">
        <v>1892425.0</v>
      </c>
      <c r="C1140" s="40">
        <v>4.0</v>
      </c>
      <c r="D1140" s="41">
        <v>45974.298147187495</v>
      </c>
    </row>
    <row r="1141">
      <c r="A1141" s="39" t="s">
        <v>299</v>
      </c>
      <c r="B1141" s="40">
        <v>1892426.0</v>
      </c>
      <c r="C1141" s="40">
        <v>2.0</v>
      </c>
      <c r="D1141" s="41">
        <v>45985.473638807875</v>
      </c>
    </row>
    <row r="1142">
      <c r="A1142" s="39" t="s">
        <v>299</v>
      </c>
      <c r="B1142" s="40">
        <v>1892427.0</v>
      </c>
      <c r="C1142" s="40">
        <v>0.0</v>
      </c>
      <c r="D1142" s="41">
        <v>45979.61993576389</v>
      </c>
    </row>
    <row r="1143">
      <c r="A1143" s="39" t="s">
        <v>299</v>
      </c>
      <c r="B1143" s="40">
        <v>1892428.0</v>
      </c>
      <c r="C1143" s="40">
        <v>4.0</v>
      </c>
      <c r="D1143" s="41">
        <v>45974.29815239583</v>
      </c>
    </row>
    <row r="1144">
      <c r="A1144" s="39" t="s">
        <v>299</v>
      </c>
      <c r="B1144" s="40">
        <v>1902189.0</v>
      </c>
      <c r="C1144" s="40">
        <v>0.0</v>
      </c>
      <c r="D1144" s="41">
        <v>45992.42400483796</v>
      </c>
    </row>
    <row r="1145">
      <c r="A1145" s="39" t="s">
        <v>299</v>
      </c>
      <c r="B1145" s="40">
        <v>1905940.0</v>
      </c>
      <c r="C1145" s="40">
        <v>0.0</v>
      </c>
      <c r="D1145" s="41">
        <v>45997.72012266204</v>
      </c>
    </row>
    <row r="1146">
      <c r="A1146" s="39" t="s">
        <v>299</v>
      </c>
      <c r="B1146" s="40">
        <v>1905941.0</v>
      </c>
      <c r="C1146" s="40">
        <v>0.0</v>
      </c>
      <c r="D1146" s="41">
        <v>45997.72012704861</v>
      </c>
    </row>
    <row r="1147">
      <c r="A1147" s="39" t="s">
        <v>300</v>
      </c>
      <c r="B1147" s="40">
        <v>1871498.0</v>
      </c>
      <c r="C1147" s="40">
        <v>0.0</v>
      </c>
      <c r="D1147" s="41">
        <v>45968.4853758449</v>
      </c>
    </row>
    <row r="1148">
      <c r="A1148" s="39" t="s">
        <v>300</v>
      </c>
      <c r="B1148" s="40">
        <v>1871500.0</v>
      </c>
      <c r="C1148" s="40">
        <v>0.0</v>
      </c>
      <c r="D1148" s="41">
        <v>45968.4853784375</v>
      </c>
    </row>
    <row r="1149">
      <c r="A1149" s="39" t="s">
        <v>300</v>
      </c>
      <c r="B1149" s="40">
        <v>1871501.0</v>
      </c>
      <c r="C1149" s="40">
        <v>0.0</v>
      </c>
      <c r="D1149" s="41">
        <v>45968.485381122686</v>
      </c>
    </row>
    <row r="1150">
      <c r="A1150" s="39" t="s">
        <v>300</v>
      </c>
      <c r="B1150" s="40">
        <v>1871522.0</v>
      </c>
      <c r="C1150" s="40">
        <v>0.0</v>
      </c>
      <c r="D1150" s="41">
        <v>45968.48538466435</v>
      </c>
    </row>
    <row r="1151">
      <c r="A1151" s="39" t="s">
        <v>300</v>
      </c>
      <c r="B1151" s="40">
        <v>1871525.0</v>
      </c>
      <c r="C1151" s="40">
        <v>0.0</v>
      </c>
      <c r="D1151" s="41">
        <v>45968.48540122685</v>
      </c>
    </row>
    <row r="1152">
      <c r="A1152" s="39" t="s">
        <v>300</v>
      </c>
      <c r="B1152" s="40">
        <v>1873080.0</v>
      </c>
      <c r="C1152" s="40">
        <v>0.0</v>
      </c>
      <c r="D1152" s="41">
        <v>45968.48540746528</v>
      </c>
    </row>
    <row r="1153">
      <c r="A1153" s="39" t="s">
        <v>300</v>
      </c>
      <c r="B1153" s="40">
        <v>1873081.0</v>
      </c>
      <c r="C1153" s="40">
        <v>0.0</v>
      </c>
      <c r="D1153" s="41">
        <v>45968.485422199075</v>
      </c>
    </row>
    <row r="1154">
      <c r="A1154" s="39" t="s">
        <v>300</v>
      </c>
      <c r="B1154" s="40">
        <v>1873082.0</v>
      </c>
      <c r="C1154" s="40">
        <v>0.0</v>
      </c>
      <c r="D1154" s="41">
        <v>45968.485425520834</v>
      </c>
    </row>
    <row r="1155">
      <c r="A1155" s="39" t="s">
        <v>300</v>
      </c>
      <c r="B1155" s="40">
        <v>1873083.0</v>
      </c>
      <c r="C1155" s="40">
        <v>0.0</v>
      </c>
      <c r="D1155" s="41">
        <v>45968.485428078704</v>
      </c>
    </row>
    <row r="1156">
      <c r="A1156" s="39" t="s">
        <v>300</v>
      </c>
      <c r="B1156" s="40">
        <v>1873084.0</v>
      </c>
      <c r="C1156" s="40">
        <v>0.0</v>
      </c>
      <c r="D1156" s="41">
        <v>45968.48543104167</v>
      </c>
    </row>
    <row r="1157">
      <c r="A1157" s="39" t="s">
        <v>300</v>
      </c>
      <c r="B1157" s="40">
        <v>1880186.0</v>
      </c>
      <c r="C1157" s="40">
        <v>0.0</v>
      </c>
      <c r="D1157" s="41">
        <v>45969.72096846065</v>
      </c>
    </row>
    <row r="1158">
      <c r="A1158" s="39" t="s">
        <v>300</v>
      </c>
      <c r="B1158" s="40">
        <v>1880188.0</v>
      </c>
      <c r="C1158" s="40">
        <v>0.0</v>
      </c>
      <c r="D1158" s="41">
        <v>45969.72097050926</v>
      </c>
    </row>
    <row r="1159">
      <c r="A1159" s="39" t="s">
        <v>300</v>
      </c>
      <c r="B1159" s="40">
        <v>1880189.0</v>
      </c>
      <c r="C1159" s="40">
        <v>0.0</v>
      </c>
      <c r="D1159" s="41">
        <v>45969.72097247685</v>
      </c>
    </row>
    <row r="1160">
      <c r="A1160" s="39" t="s">
        <v>300</v>
      </c>
      <c r="B1160" s="40">
        <v>1880191.0</v>
      </c>
      <c r="C1160" s="40">
        <v>0.0</v>
      </c>
      <c r="D1160" s="41">
        <v>45969.7209750926</v>
      </c>
    </row>
    <row r="1161">
      <c r="A1161" s="39" t="s">
        <v>300</v>
      </c>
      <c r="B1161" s="40">
        <v>1880677.0</v>
      </c>
      <c r="C1161" s="40">
        <v>0.0</v>
      </c>
      <c r="D1161" s="41">
        <v>45969.72097725695</v>
      </c>
    </row>
    <row r="1162">
      <c r="A1162" s="39" t="s">
        <v>300</v>
      </c>
      <c r="B1162" s="40">
        <v>1892424.0</v>
      </c>
      <c r="C1162" s="40">
        <v>0.0</v>
      </c>
      <c r="D1162" s="41">
        <v>45972.86064560185</v>
      </c>
    </row>
    <row r="1163">
      <c r="A1163" s="39" t="s">
        <v>300</v>
      </c>
      <c r="B1163" s="40">
        <v>1892425.0</v>
      </c>
      <c r="C1163" s="40">
        <v>0.0</v>
      </c>
      <c r="D1163" s="41">
        <v>45976.71661498843</v>
      </c>
    </row>
    <row r="1164">
      <c r="A1164" s="39" t="s">
        <v>300</v>
      </c>
      <c r="B1164" s="40">
        <v>1892426.0</v>
      </c>
      <c r="C1164" s="40">
        <v>0.0</v>
      </c>
      <c r="D1164" s="41">
        <v>45976.71661653935</v>
      </c>
    </row>
    <row r="1165">
      <c r="A1165" s="39" t="s">
        <v>300</v>
      </c>
      <c r="B1165" s="40">
        <v>1892427.0</v>
      </c>
      <c r="C1165" s="40">
        <v>0.0</v>
      </c>
      <c r="D1165" s="41">
        <v>45979.61994157407</v>
      </c>
    </row>
    <row r="1166">
      <c r="A1166" s="39" t="s">
        <v>300</v>
      </c>
      <c r="B1166" s="40">
        <v>1892428.0</v>
      </c>
      <c r="C1166" s="40">
        <v>0.0</v>
      </c>
      <c r="D1166" s="41">
        <v>45976.71661875</v>
      </c>
    </row>
    <row r="1167">
      <c r="A1167" s="39" t="s">
        <v>300</v>
      </c>
      <c r="B1167" s="40">
        <v>1902189.0</v>
      </c>
      <c r="C1167" s="40">
        <v>0.0</v>
      </c>
      <c r="D1167" s="41">
        <v>45992.42400835648</v>
      </c>
    </row>
    <row r="1168">
      <c r="A1168" s="39" t="s">
        <v>300</v>
      </c>
      <c r="B1168" s="40">
        <v>1905937.0</v>
      </c>
      <c r="C1168" s="40">
        <v>0.0</v>
      </c>
      <c r="D1168" s="41">
        <v>45997.72013119213</v>
      </c>
    </row>
    <row r="1169">
      <c r="A1169" s="39" t="s">
        <v>300</v>
      </c>
      <c r="B1169" s="40">
        <v>1905938.0</v>
      </c>
      <c r="C1169" s="40">
        <v>0.0</v>
      </c>
      <c r="D1169" s="41">
        <v>45997.7201365625</v>
      </c>
    </row>
    <row r="1170">
      <c r="A1170" s="39" t="s">
        <v>300</v>
      </c>
      <c r="B1170" s="40">
        <v>1905939.0</v>
      </c>
      <c r="C1170" s="40">
        <v>0.0</v>
      </c>
      <c r="D1170" s="41">
        <v>45997.72014126157</v>
      </c>
    </row>
    <row r="1171">
      <c r="A1171" s="39" t="s">
        <v>300</v>
      </c>
      <c r="B1171" s="40">
        <v>1905940.0</v>
      </c>
      <c r="C1171" s="40">
        <v>0.0</v>
      </c>
      <c r="D1171" s="41">
        <v>45997.72014481481</v>
      </c>
    </row>
    <row r="1172">
      <c r="A1172" s="39" t="s">
        <v>300</v>
      </c>
      <c r="B1172" s="40">
        <v>1905941.0</v>
      </c>
      <c r="C1172" s="40">
        <v>0.0</v>
      </c>
      <c r="D1172" s="41">
        <v>45997.72014949074</v>
      </c>
    </row>
    <row r="1173">
      <c r="A1173" s="39" t="s">
        <v>301</v>
      </c>
      <c r="B1173" s="40">
        <v>1871498.0</v>
      </c>
      <c r="C1173" s="40">
        <v>0.0</v>
      </c>
      <c r="D1173" s="41">
        <v>45968.48543368056</v>
      </c>
    </row>
    <row r="1174">
      <c r="A1174" s="39" t="s">
        <v>301</v>
      </c>
      <c r="B1174" s="40">
        <v>1871500.0</v>
      </c>
      <c r="C1174" s="40">
        <v>0.0</v>
      </c>
      <c r="D1174" s="41">
        <v>45968.485436180556</v>
      </c>
    </row>
    <row r="1175">
      <c r="A1175" s="39" t="s">
        <v>301</v>
      </c>
      <c r="B1175" s="40">
        <v>1871501.0</v>
      </c>
      <c r="C1175" s="40">
        <v>0.0</v>
      </c>
      <c r="D1175" s="41">
        <v>45968.485438958334</v>
      </c>
    </row>
    <row r="1176">
      <c r="A1176" s="39" t="s">
        <v>301</v>
      </c>
      <c r="B1176" s="40">
        <v>1871522.0</v>
      </c>
      <c r="C1176" s="40">
        <v>0.0</v>
      </c>
      <c r="D1176" s="41">
        <v>45968.48544189815</v>
      </c>
    </row>
    <row r="1177">
      <c r="A1177" s="39" t="s">
        <v>301</v>
      </c>
      <c r="B1177" s="40">
        <v>1871525.0</v>
      </c>
      <c r="C1177" s="40">
        <v>0.0</v>
      </c>
      <c r="D1177" s="41">
        <v>45968.48544469908</v>
      </c>
    </row>
    <row r="1178">
      <c r="A1178" s="39" t="s">
        <v>301</v>
      </c>
      <c r="B1178" s="40">
        <v>1873080.0</v>
      </c>
      <c r="C1178" s="40">
        <v>0.0</v>
      </c>
      <c r="D1178" s="41">
        <v>45968.48544730324</v>
      </c>
    </row>
    <row r="1179">
      <c r="A1179" s="39" t="s">
        <v>301</v>
      </c>
      <c r="B1179" s="40">
        <v>1873081.0</v>
      </c>
      <c r="C1179" s="40">
        <v>0.0</v>
      </c>
      <c r="D1179" s="41">
        <v>45968.48545015046</v>
      </c>
    </row>
    <row r="1180">
      <c r="A1180" s="39" t="s">
        <v>301</v>
      </c>
      <c r="B1180" s="40">
        <v>1873082.0</v>
      </c>
      <c r="C1180" s="40">
        <v>0.0</v>
      </c>
      <c r="D1180" s="41">
        <v>45968.48545415509</v>
      </c>
    </row>
    <row r="1181">
      <c r="A1181" s="39" t="s">
        <v>301</v>
      </c>
      <c r="B1181" s="40">
        <v>1873083.0</v>
      </c>
      <c r="C1181" s="40">
        <v>0.0</v>
      </c>
      <c r="D1181" s="41">
        <v>45968.48545666666</v>
      </c>
    </row>
    <row r="1182">
      <c r="A1182" s="39" t="s">
        <v>301</v>
      </c>
      <c r="B1182" s="40">
        <v>1873084.0</v>
      </c>
      <c r="C1182" s="40">
        <v>0.0</v>
      </c>
      <c r="D1182" s="41">
        <v>45968.485459930554</v>
      </c>
    </row>
    <row r="1183">
      <c r="A1183" s="39" t="s">
        <v>301</v>
      </c>
      <c r="B1183" s="40">
        <v>1880186.0</v>
      </c>
      <c r="C1183" s="40">
        <v>0.0</v>
      </c>
      <c r="D1183" s="41">
        <v>45969.720980011574</v>
      </c>
    </row>
    <row r="1184">
      <c r="A1184" s="39" t="s">
        <v>301</v>
      </c>
      <c r="B1184" s="40">
        <v>1880188.0</v>
      </c>
      <c r="C1184" s="40">
        <v>0.0</v>
      </c>
      <c r="D1184" s="41">
        <v>45969.72098195602</v>
      </c>
    </row>
    <row r="1185">
      <c r="A1185" s="39" t="s">
        <v>301</v>
      </c>
      <c r="B1185" s="40">
        <v>1880189.0</v>
      </c>
      <c r="C1185" s="40">
        <v>0.0</v>
      </c>
      <c r="D1185" s="41">
        <v>45969.72098373843</v>
      </c>
    </row>
    <row r="1186">
      <c r="A1186" s="39" t="s">
        <v>301</v>
      </c>
      <c r="B1186" s="40">
        <v>1880191.0</v>
      </c>
      <c r="C1186" s="40">
        <v>0.0</v>
      </c>
      <c r="D1186" s="41">
        <v>45969.72098583334</v>
      </c>
    </row>
    <row r="1187">
      <c r="A1187" s="39" t="s">
        <v>301</v>
      </c>
      <c r="B1187" s="40">
        <v>1880677.0</v>
      </c>
      <c r="C1187" s="40">
        <v>0.0</v>
      </c>
      <c r="D1187" s="41">
        <v>45969.72099505787</v>
      </c>
    </row>
    <row r="1188">
      <c r="A1188" s="39" t="s">
        <v>301</v>
      </c>
      <c r="B1188" s="40">
        <v>1892424.0</v>
      </c>
      <c r="C1188" s="40">
        <v>0.0</v>
      </c>
      <c r="D1188" s="41">
        <v>45972.86064972222</v>
      </c>
    </row>
    <row r="1189">
      <c r="A1189" s="39" t="s">
        <v>301</v>
      </c>
      <c r="B1189" s="40">
        <v>1892425.0</v>
      </c>
      <c r="C1189" s="40">
        <v>0.0</v>
      </c>
      <c r="D1189" s="41">
        <v>45976.716621053245</v>
      </c>
    </row>
    <row r="1190">
      <c r="A1190" s="39" t="s">
        <v>301</v>
      </c>
      <c r="B1190" s="40">
        <v>1892426.0</v>
      </c>
      <c r="C1190" s="40">
        <v>0.0</v>
      </c>
      <c r="D1190" s="41">
        <v>45976.71662327547</v>
      </c>
    </row>
    <row r="1191">
      <c r="A1191" s="39" t="s">
        <v>301</v>
      </c>
      <c r="B1191" s="40">
        <v>1892427.0</v>
      </c>
      <c r="C1191" s="40">
        <v>0.0</v>
      </c>
      <c r="D1191" s="41">
        <v>45979.61994445602</v>
      </c>
    </row>
    <row r="1192">
      <c r="A1192" s="39" t="s">
        <v>301</v>
      </c>
      <c r="B1192" s="40">
        <v>1892428.0</v>
      </c>
      <c r="C1192" s="40">
        <v>0.0</v>
      </c>
      <c r="D1192" s="41">
        <v>45976.716626712965</v>
      </c>
    </row>
    <row r="1193">
      <c r="A1193" s="39" t="s">
        <v>301</v>
      </c>
      <c r="B1193" s="40">
        <v>1902189.0</v>
      </c>
      <c r="C1193" s="40">
        <v>0.0</v>
      </c>
      <c r="D1193" s="41">
        <v>45992.424011678246</v>
      </c>
    </row>
    <row r="1194">
      <c r="A1194" s="39" t="s">
        <v>301</v>
      </c>
      <c r="B1194" s="40">
        <v>1905937.0</v>
      </c>
      <c r="C1194" s="40">
        <v>0.0</v>
      </c>
      <c r="D1194" s="41">
        <v>45997.720152951384</v>
      </c>
    </row>
    <row r="1195">
      <c r="A1195" s="39" t="s">
        <v>301</v>
      </c>
      <c r="B1195" s="40">
        <v>1905938.0</v>
      </c>
      <c r="C1195" s="40">
        <v>0.0</v>
      </c>
      <c r="D1195" s="41">
        <v>45997.720156689815</v>
      </c>
    </row>
    <row r="1196">
      <c r="A1196" s="39" t="s">
        <v>301</v>
      </c>
      <c r="B1196" s="40">
        <v>1905939.0</v>
      </c>
      <c r="C1196" s="40">
        <v>0.0</v>
      </c>
      <c r="D1196" s="41">
        <v>45997.720160069446</v>
      </c>
    </row>
    <row r="1197">
      <c r="A1197" s="39" t="s">
        <v>301</v>
      </c>
      <c r="B1197" s="40">
        <v>1905940.0</v>
      </c>
      <c r="C1197" s="40">
        <v>0.0</v>
      </c>
      <c r="D1197" s="41">
        <v>45997.720163819446</v>
      </c>
    </row>
    <row r="1198">
      <c r="A1198" s="39" t="s">
        <v>301</v>
      </c>
      <c r="B1198" s="40">
        <v>1905941.0</v>
      </c>
      <c r="C1198" s="40">
        <v>0.0</v>
      </c>
      <c r="D1198" s="41">
        <v>45997.72016778935</v>
      </c>
    </row>
    <row r="1199">
      <c r="A1199" s="39" t="s">
        <v>302</v>
      </c>
      <c r="B1199" s="40">
        <v>1871498.0</v>
      </c>
      <c r="C1199" s="40">
        <v>10.0</v>
      </c>
      <c r="D1199" s="41">
        <v>45968.485462627315</v>
      </c>
    </row>
    <row r="1200">
      <c r="A1200" s="39" t="s">
        <v>302</v>
      </c>
      <c r="B1200" s="40">
        <v>1871500.0</v>
      </c>
      <c r="C1200" s="40">
        <v>10.0</v>
      </c>
      <c r="D1200" s="41">
        <v>45975.45408040509</v>
      </c>
    </row>
    <row r="1201">
      <c r="A1201" s="39" t="s">
        <v>302</v>
      </c>
      <c r="B1201" s="40">
        <v>1871501.0</v>
      </c>
      <c r="C1201" s="40">
        <v>5.0</v>
      </c>
      <c r="D1201" s="41">
        <v>45975.47708285879</v>
      </c>
    </row>
    <row r="1202">
      <c r="A1202" s="39" t="s">
        <v>302</v>
      </c>
      <c r="B1202" s="40">
        <v>1871522.0</v>
      </c>
      <c r="C1202" s="40">
        <v>0.0</v>
      </c>
      <c r="D1202" s="41">
        <v>45968.485473252316</v>
      </c>
    </row>
    <row r="1203">
      <c r="A1203" s="39" t="s">
        <v>302</v>
      </c>
      <c r="B1203" s="40">
        <v>1871525.0</v>
      </c>
      <c r="C1203" s="40">
        <v>4.0</v>
      </c>
      <c r="D1203" s="41">
        <v>45975.47708491898</v>
      </c>
    </row>
    <row r="1204">
      <c r="A1204" s="39" t="s">
        <v>302</v>
      </c>
      <c r="B1204" s="40">
        <v>1873080.0</v>
      </c>
      <c r="C1204" s="40">
        <v>10.0</v>
      </c>
      <c r="D1204" s="41">
        <v>45968.48548166666</v>
      </c>
    </row>
    <row r="1205">
      <c r="A1205" s="39" t="s">
        <v>302</v>
      </c>
      <c r="B1205" s="40">
        <v>1873081.0</v>
      </c>
      <c r="C1205" s="40">
        <v>6.0</v>
      </c>
      <c r="D1205" s="41">
        <v>45968.48548466435</v>
      </c>
    </row>
    <row r="1206">
      <c r="A1206" s="39" t="s">
        <v>302</v>
      </c>
      <c r="B1206" s="40">
        <v>1873082.0</v>
      </c>
      <c r="C1206" s="40">
        <v>5.0</v>
      </c>
      <c r="D1206" s="41">
        <v>45975.43309309028</v>
      </c>
    </row>
    <row r="1207">
      <c r="A1207" s="39" t="s">
        <v>302</v>
      </c>
      <c r="B1207" s="40">
        <v>1873083.0</v>
      </c>
      <c r="C1207" s="40">
        <v>0.0</v>
      </c>
      <c r="D1207" s="41">
        <v>45968.48549003473</v>
      </c>
    </row>
    <row r="1208">
      <c r="A1208" s="39" t="s">
        <v>302</v>
      </c>
      <c r="B1208" s="40">
        <v>1873084.0</v>
      </c>
      <c r="C1208" s="40">
        <v>0.0</v>
      </c>
      <c r="D1208" s="41">
        <v>45968.485492824075</v>
      </c>
    </row>
    <row r="1209">
      <c r="A1209" s="39" t="s">
        <v>302</v>
      </c>
      <c r="B1209" s="40">
        <v>1880186.0</v>
      </c>
      <c r="C1209" s="40">
        <v>10.0</v>
      </c>
      <c r="D1209" s="41">
        <v>45968.48549528935</v>
      </c>
    </row>
    <row r="1210">
      <c r="A1210" s="39" t="s">
        <v>302</v>
      </c>
      <c r="B1210" s="40">
        <v>1880188.0</v>
      </c>
      <c r="C1210" s="40">
        <v>0.0</v>
      </c>
      <c r="D1210" s="41">
        <v>45969.7209969213</v>
      </c>
    </row>
    <row r="1211">
      <c r="A1211" s="39" t="s">
        <v>302</v>
      </c>
      <c r="B1211" s="40">
        <v>1880189.0</v>
      </c>
      <c r="C1211" s="40">
        <v>0.0</v>
      </c>
      <c r="D1211" s="41">
        <v>45969.720999004625</v>
      </c>
    </row>
    <row r="1212">
      <c r="A1212" s="39" t="s">
        <v>302</v>
      </c>
      <c r="B1212" s="40">
        <v>1880191.0</v>
      </c>
      <c r="C1212" s="40">
        <v>0.0</v>
      </c>
      <c r="D1212" s="41">
        <v>45969.72100081018</v>
      </c>
    </row>
    <row r="1213">
      <c r="A1213" s="39" t="s">
        <v>302</v>
      </c>
      <c r="B1213" s="40">
        <v>1880677.0</v>
      </c>
      <c r="C1213" s="40">
        <v>0.0</v>
      </c>
      <c r="D1213" s="41">
        <v>45969.72100311343</v>
      </c>
    </row>
    <row r="1214">
      <c r="A1214" s="39" t="s">
        <v>302</v>
      </c>
      <c r="B1214" s="40">
        <v>1892424.0</v>
      </c>
      <c r="C1214" s="40">
        <v>0.0</v>
      </c>
      <c r="D1214" s="41">
        <v>45972.86065315972</v>
      </c>
    </row>
    <row r="1215">
      <c r="A1215" s="39" t="s">
        <v>302</v>
      </c>
      <c r="B1215" s="40">
        <v>1892425.0</v>
      </c>
      <c r="C1215" s="40">
        <v>0.0</v>
      </c>
      <c r="D1215" s="41">
        <v>45976.71662861111</v>
      </c>
    </row>
    <row r="1216">
      <c r="A1216" s="39" t="s">
        <v>302</v>
      </c>
      <c r="B1216" s="40">
        <v>1892426.0</v>
      </c>
      <c r="C1216" s="40">
        <v>0.0</v>
      </c>
      <c r="D1216" s="41">
        <v>45976.7166305787</v>
      </c>
    </row>
    <row r="1217">
      <c r="A1217" s="39" t="s">
        <v>302</v>
      </c>
      <c r="B1217" s="40">
        <v>1892427.0</v>
      </c>
      <c r="C1217" s="40">
        <v>0.0</v>
      </c>
      <c r="D1217" s="41">
        <v>45979.61994798611</v>
      </c>
    </row>
    <row r="1218">
      <c r="A1218" s="39" t="s">
        <v>302</v>
      </c>
      <c r="B1218" s="40">
        <v>1892428.0</v>
      </c>
      <c r="C1218" s="40">
        <v>0.0</v>
      </c>
      <c r="D1218" s="41">
        <v>45976.71663263889</v>
      </c>
    </row>
    <row r="1219">
      <c r="A1219" s="39" t="s">
        <v>302</v>
      </c>
      <c r="B1219" s="40">
        <v>1902189.0</v>
      </c>
      <c r="C1219" s="40">
        <v>7.0</v>
      </c>
      <c r="D1219" s="41">
        <v>45994.30027853009</v>
      </c>
    </row>
    <row r="1220">
      <c r="A1220" s="39" t="s">
        <v>302</v>
      </c>
      <c r="B1220" s="40">
        <v>1905938.0</v>
      </c>
      <c r="C1220" s="40">
        <v>0.0</v>
      </c>
      <c r="D1220" s="41">
        <v>45997.72017509259</v>
      </c>
    </row>
    <row r="1221">
      <c r="A1221" s="39" t="s">
        <v>302</v>
      </c>
      <c r="B1221" s="40">
        <v>1905939.0</v>
      </c>
      <c r="C1221" s="40">
        <v>0.0</v>
      </c>
      <c r="D1221" s="41">
        <v>45997.72017859954</v>
      </c>
    </row>
    <row r="1222">
      <c r="A1222" s="39" t="s">
        <v>302</v>
      </c>
      <c r="B1222" s="40">
        <v>1905940.0</v>
      </c>
      <c r="C1222" s="40">
        <v>0.0</v>
      </c>
      <c r="D1222" s="41">
        <v>45997.720182881945</v>
      </c>
    </row>
    <row r="1223">
      <c r="A1223" s="39" t="s">
        <v>302</v>
      </c>
      <c r="B1223" s="40">
        <v>1905941.0</v>
      </c>
      <c r="C1223" s="40">
        <v>0.0</v>
      </c>
      <c r="D1223" s="41">
        <v>45997.720187060186</v>
      </c>
    </row>
    <row r="1224">
      <c r="A1224" s="39" t="s">
        <v>303</v>
      </c>
      <c r="B1224" s="40">
        <v>1871498.0</v>
      </c>
      <c r="C1224" s="40">
        <v>0.0</v>
      </c>
      <c r="D1224" s="41">
        <v>45968.48549798611</v>
      </c>
    </row>
    <row r="1225">
      <c r="A1225" s="39" t="s">
        <v>303</v>
      </c>
      <c r="B1225" s="40">
        <v>1871500.0</v>
      </c>
      <c r="C1225" s="40">
        <v>0.0</v>
      </c>
      <c r="D1225" s="41">
        <v>45968.48550929398</v>
      </c>
    </row>
    <row r="1226">
      <c r="A1226" s="39" t="s">
        <v>303</v>
      </c>
      <c r="B1226" s="40">
        <v>1871501.0</v>
      </c>
      <c r="C1226" s="40">
        <v>0.0</v>
      </c>
      <c r="D1226" s="41">
        <v>45968.48551194444</v>
      </c>
    </row>
    <row r="1227">
      <c r="A1227" s="39" t="s">
        <v>303</v>
      </c>
      <c r="B1227" s="40">
        <v>1871522.0</v>
      </c>
      <c r="C1227" s="40">
        <v>0.0</v>
      </c>
      <c r="D1227" s="41">
        <v>45968.48551457176</v>
      </c>
    </row>
    <row r="1228">
      <c r="A1228" s="39" t="s">
        <v>303</v>
      </c>
      <c r="B1228" s="40">
        <v>1871525.0</v>
      </c>
      <c r="C1228" s="40">
        <v>0.0</v>
      </c>
      <c r="D1228" s="41">
        <v>45968.485517037036</v>
      </c>
    </row>
    <row r="1229">
      <c r="A1229" s="39" t="s">
        <v>303</v>
      </c>
      <c r="B1229" s="40">
        <v>1873080.0</v>
      </c>
      <c r="C1229" s="40">
        <v>0.0</v>
      </c>
      <c r="D1229" s="41">
        <v>45968.48551971065</v>
      </c>
    </row>
    <row r="1230">
      <c r="A1230" s="39" t="s">
        <v>303</v>
      </c>
      <c r="B1230" s="40">
        <v>1873081.0</v>
      </c>
      <c r="C1230" s="40">
        <v>0.0</v>
      </c>
      <c r="D1230" s="41">
        <v>45968.48552483796</v>
      </c>
    </row>
    <row r="1231">
      <c r="A1231" s="39" t="s">
        <v>303</v>
      </c>
      <c r="B1231" s="40">
        <v>1873082.0</v>
      </c>
      <c r="C1231" s="40">
        <v>0.0</v>
      </c>
      <c r="D1231" s="41">
        <v>45968.48553585648</v>
      </c>
    </row>
    <row r="1232">
      <c r="A1232" s="39" t="s">
        <v>303</v>
      </c>
      <c r="B1232" s="40">
        <v>1873083.0</v>
      </c>
      <c r="C1232" s="40">
        <v>0.0</v>
      </c>
      <c r="D1232" s="41">
        <v>45968.48553846065</v>
      </c>
    </row>
    <row r="1233">
      <c r="A1233" s="39" t="s">
        <v>303</v>
      </c>
      <c r="B1233" s="40">
        <v>1873084.0</v>
      </c>
      <c r="C1233" s="40">
        <v>0.0</v>
      </c>
      <c r="D1233" s="41">
        <v>45968.48554146991</v>
      </c>
    </row>
    <row r="1234">
      <c r="A1234" s="39" t="s">
        <v>303</v>
      </c>
      <c r="B1234" s="40">
        <v>1880186.0</v>
      </c>
      <c r="C1234" s="40">
        <v>0.0</v>
      </c>
      <c r="D1234" s="41">
        <v>45969.72100489584</v>
      </c>
    </row>
    <row r="1235">
      <c r="A1235" s="39" t="s">
        <v>303</v>
      </c>
      <c r="B1235" s="40">
        <v>1880188.0</v>
      </c>
      <c r="C1235" s="40">
        <v>0.0</v>
      </c>
      <c r="D1235" s="41">
        <v>45969.721006736116</v>
      </c>
    </row>
    <row r="1236">
      <c r="A1236" s="39" t="s">
        <v>303</v>
      </c>
      <c r="B1236" s="40">
        <v>1880189.0</v>
      </c>
      <c r="C1236" s="40">
        <v>0.0</v>
      </c>
      <c r="D1236" s="41">
        <v>45969.721010231486</v>
      </c>
    </row>
    <row r="1237">
      <c r="A1237" s="39" t="s">
        <v>303</v>
      </c>
      <c r="B1237" s="40">
        <v>1880191.0</v>
      </c>
      <c r="C1237" s="40">
        <v>0.0</v>
      </c>
      <c r="D1237" s="41">
        <v>45969.72101253472</v>
      </c>
    </row>
    <row r="1238">
      <c r="A1238" s="39" t="s">
        <v>303</v>
      </c>
      <c r="B1238" s="40">
        <v>1880677.0</v>
      </c>
      <c r="C1238" s="40">
        <v>0.0</v>
      </c>
      <c r="D1238" s="41">
        <v>45969.72101412037</v>
      </c>
    </row>
    <row r="1239">
      <c r="A1239" s="39" t="s">
        <v>303</v>
      </c>
      <c r="B1239" s="40">
        <v>1892424.0</v>
      </c>
      <c r="C1239" s="40">
        <v>0.0</v>
      </c>
      <c r="D1239" s="41">
        <v>45972.86065644676</v>
      </c>
    </row>
    <row r="1240">
      <c r="A1240" s="39" t="s">
        <v>303</v>
      </c>
      <c r="B1240" s="40">
        <v>1892425.0</v>
      </c>
      <c r="C1240" s="40">
        <v>0.0</v>
      </c>
      <c r="D1240" s="41">
        <v>45976.7166346875</v>
      </c>
    </row>
    <row r="1241">
      <c r="A1241" s="39" t="s">
        <v>303</v>
      </c>
      <c r="B1241" s="40">
        <v>1892426.0</v>
      </c>
      <c r="C1241" s="40">
        <v>0.0</v>
      </c>
      <c r="D1241" s="41">
        <v>45976.71663685185</v>
      </c>
    </row>
    <row r="1242">
      <c r="A1242" s="39" t="s">
        <v>303</v>
      </c>
      <c r="B1242" s="40">
        <v>1892427.0</v>
      </c>
      <c r="C1242" s="40">
        <v>0.0</v>
      </c>
      <c r="D1242" s="41">
        <v>45979.61995688657</v>
      </c>
    </row>
    <row r="1243">
      <c r="A1243" s="39" t="s">
        <v>303</v>
      </c>
      <c r="B1243" s="40">
        <v>1892428.0</v>
      </c>
      <c r="C1243" s="40">
        <v>0.0</v>
      </c>
      <c r="D1243" s="41">
        <v>45976.716644189815</v>
      </c>
    </row>
    <row r="1244">
      <c r="A1244" s="39" t="s">
        <v>303</v>
      </c>
      <c r="B1244" s="40">
        <v>1902189.0</v>
      </c>
      <c r="C1244" s="40">
        <v>0.0</v>
      </c>
      <c r="D1244" s="41">
        <v>45992.42401872685</v>
      </c>
    </row>
    <row r="1245">
      <c r="A1245" s="39" t="s">
        <v>303</v>
      </c>
      <c r="B1245" s="40">
        <v>1905937.0</v>
      </c>
      <c r="C1245" s="40">
        <v>0.0</v>
      </c>
      <c r="D1245" s="41">
        <v>45997.72019127315</v>
      </c>
    </row>
    <row r="1246">
      <c r="A1246" s="39" t="s">
        <v>303</v>
      </c>
      <c r="B1246" s="40">
        <v>1905938.0</v>
      </c>
      <c r="C1246" s="40">
        <v>0.0</v>
      </c>
      <c r="D1246" s="41">
        <v>45997.72019446759</v>
      </c>
    </row>
    <row r="1247">
      <c r="A1247" s="39" t="s">
        <v>303</v>
      </c>
      <c r="B1247" s="40">
        <v>1905939.0</v>
      </c>
      <c r="C1247" s="40">
        <v>0.0</v>
      </c>
      <c r="D1247" s="41">
        <v>45997.720198518524</v>
      </c>
    </row>
    <row r="1248">
      <c r="A1248" s="39" t="s">
        <v>303</v>
      </c>
      <c r="B1248" s="40">
        <v>1905940.0</v>
      </c>
      <c r="C1248" s="40">
        <v>0.0</v>
      </c>
      <c r="D1248" s="41">
        <v>45997.72020241898</v>
      </c>
    </row>
    <row r="1249">
      <c r="A1249" s="39" t="s">
        <v>303</v>
      </c>
      <c r="B1249" s="40">
        <v>1905941.0</v>
      </c>
      <c r="C1249" s="40">
        <v>0.0</v>
      </c>
      <c r="D1249" s="41">
        <v>45997.720206412036</v>
      </c>
    </row>
    <row r="1250">
      <c r="A1250" s="39" t="s">
        <v>304</v>
      </c>
      <c r="B1250" s="40">
        <v>1871498.0</v>
      </c>
      <c r="C1250" s="40">
        <v>10.0</v>
      </c>
      <c r="D1250" s="41">
        <v>45968.485544270836</v>
      </c>
    </row>
    <row r="1251">
      <c r="A1251" s="39" t="s">
        <v>304</v>
      </c>
      <c r="B1251" s="40">
        <v>1871500.0</v>
      </c>
      <c r="C1251" s="40">
        <v>4.0</v>
      </c>
      <c r="D1251" s="41">
        <v>45978.62939901621</v>
      </c>
    </row>
    <row r="1252">
      <c r="A1252" s="39" t="s">
        <v>304</v>
      </c>
      <c r="B1252" s="40">
        <v>1871501.0</v>
      </c>
      <c r="C1252" s="40">
        <v>6.0</v>
      </c>
      <c r="D1252" s="41">
        <v>45980.84834928241</v>
      </c>
    </row>
    <row r="1253">
      <c r="A1253" s="39" t="s">
        <v>304</v>
      </c>
      <c r="B1253" s="40">
        <v>1871522.0</v>
      </c>
      <c r="C1253" s="40">
        <v>4.0</v>
      </c>
      <c r="D1253" s="41">
        <v>45981.85883423611</v>
      </c>
    </row>
    <row r="1254">
      <c r="A1254" s="39" t="s">
        <v>304</v>
      </c>
      <c r="B1254" s="40">
        <v>1871525.0</v>
      </c>
      <c r="C1254" s="40">
        <v>7.0</v>
      </c>
      <c r="D1254" s="41">
        <v>45982.29619163195</v>
      </c>
    </row>
    <row r="1255">
      <c r="A1255" s="39" t="s">
        <v>304</v>
      </c>
      <c r="B1255" s="40">
        <v>1873080.0</v>
      </c>
      <c r="C1255" s="40">
        <v>10.0</v>
      </c>
      <c r="D1255" s="41">
        <v>45968.485563738424</v>
      </c>
    </row>
    <row r="1256">
      <c r="A1256" s="39" t="s">
        <v>304</v>
      </c>
      <c r="B1256" s="40">
        <v>1873081.0</v>
      </c>
      <c r="C1256" s="40">
        <v>11.0</v>
      </c>
      <c r="D1256" s="41">
        <v>45968.48556695602</v>
      </c>
    </row>
    <row r="1257">
      <c r="A1257" s="39" t="s">
        <v>304</v>
      </c>
      <c r="B1257" s="40">
        <v>1873082.0</v>
      </c>
      <c r="C1257" s="40">
        <v>10.0</v>
      </c>
      <c r="D1257" s="41">
        <v>45968.4855703588</v>
      </c>
    </row>
    <row r="1258">
      <c r="A1258" s="39" t="s">
        <v>304</v>
      </c>
      <c r="B1258" s="40">
        <v>1873083.0</v>
      </c>
      <c r="C1258" s="40">
        <v>0.0</v>
      </c>
      <c r="D1258" s="41">
        <v>45968.48557304398</v>
      </c>
    </row>
    <row r="1259">
      <c r="A1259" s="39" t="s">
        <v>304</v>
      </c>
      <c r="B1259" s="40">
        <v>1873084.0</v>
      </c>
      <c r="C1259" s="40">
        <v>10.0</v>
      </c>
      <c r="D1259" s="41">
        <v>45976.716655069446</v>
      </c>
    </row>
    <row r="1260">
      <c r="A1260" s="39" t="s">
        <v>304</v>
      </c>
      <c r="B1260" s="40">
        <v>1880186.0</v>
      </c>
      <c r="C1260" s="40">
        <v>10.0</v>
      </c>
      <c r="D1260" s="41">
        <v>45972.64167508102</v>
      </c>
    </row>
    <row r="1261">
      <c r="A1261" s="39" t="s">
        <v>304</v>
      </c>
      <c r="B1261" s="40">
        <v>1880188.0</v>
      </c>
      <c r="C1261" s="40">
        <v>20.0</v>
      </c>
      <c r="D1261" s="41">
        <v>45975.568805752315</v>
      </c>
    </row>
    <row r="1262">
      <c r="A1262" s="39" t="s">
        <v>304</v>
      </c>
      <c r="B1262" s="40">
        <v>1880189.0</v>
      </c>
      <c r="C1262" s="40">
        <v>16.0</v>
      </c>
      <c r="D1262" s="41">
        <v>45975.382061689816</v>
      </c>
    </row>
    <row r="1263">
      <c r="A1263" s="39" t="s">
        <v>304</v>
      </c>
      <c r="B1263" s="40">
        <v>1880191.0</v>
      </c>
      <c r="C1263" s="40">
        <v>15.0</v>
      </c>
      <c r="D1263" s="41">
        <v>45985.47364170139</v>
      </c>
    </row>
    <row r="1264">
      <c r="A1264" s="39" t="s">
        <v>304</v>
      </c>
      <c r="B1264" s="40">
        <v>1880677.0</v>
      </c>
      <c r="C1264" s="40">
        <v>10.0</v>
      </c>
      <c r="D1264" s="41">
        <v>45980.84835185185</v>
      </c>
    </row>
    <row r="1265">
      <c r="A1265" s="39" t="s">
        <v>304</v>
      </c>
      <c r="B1265" s="40">
        <v>1892424.0</v>
      </c>
      <c r="C1265" s="40">
        <v>10.0</v>
      </c>
      <c r="D1265" s="41">
        <v>45982.29619420139</v>
      </c>
    </row>
    <row r="1266">
      <c r="A1266" s="39" t="s">
        <v>304</v>
      </c>
      <c r="B1266" s="40">
        <v>1892425.0</v>
      </c>
      <c r="C1266" s="40">
        <v>9.0</v>
      </c>
      <c r="D1266" s="41">
        <v>45982.296196863426</v>
      </c>
    </row>
    <row r="1267">
      <c r="A1267" s="39" t="s">
        <v>304</v>
      </c>
      <c r="B1267" s="40">
        <v>1892426.0</v>
      </c>
      <c r="C1267" s="40">
        <v>9.0</v>
      </c>
      <c r="D1267" s="41">
        <v>45985.473644722224</v>
      </c>
    </row>
    <row r="1268">
      <c r="A1268" s="39" t="s">
        <v>304</v>
      </c>
      <c r="B1268" s="40">
        <v>1892427.0</v>
      </c>
      <c r="C1268" s="40">
        <v>5.0</v>
      </c>
      <c r="D1268" s="41">
        <v>45982.296202881946</v>
      </c>
    </row>
    <row r="1269">
      <c r="A1269" s="39" t="s">
        <v>304</v>
      </c>
      <c r="B1269" s="40">
        <v>1892428.0</v>
      </c>
      <c r="C1269" s="40">
        <v>0.0</v>
      </c>
      <c r="D1269" s="41">
        <v>45976.71666053241</v>
      </c>
    </row>
    <row r="1270">
      <c r="A1270" s="39" t="s">
        <v>304</v>
      </c>
      <c r="B1270" s="40">
        <v>1902189.0</v>
      </c>
      <c r="C1270" s="40">
        <v>0.0</v>
      </c>
      <c r="D1270" s="41">
        <v>45992.424023263884</v>
      </c>
    </row>
    <row r="1271">
      <c r="A1271" s="39" t="s">
        <v>305</v>
      </c>
      <c r="B1271" s="40">
        <v>1871498.0</v>
      </c>
      <c r="C1271" s="40">
        <v>10.0</v>
      </c>
      <c r="D1271" s="41">
        <v>45968.485578113425</v>
      </c>
    </row>
    <row r="1272">
      <c r="A1272" s="39" t="s">
        <v>305</v>
      </c>
      <c r="B1272" s="40">
        <v>1871500.0</v>
      </c>
      <c r="C1272" s="40">
        <v>2.0</v>
      </c>
      <c r="D1272" s="41">
        <v>45968.48558061343</v>
      </c>
    </row>
    <row r="1273">
      <c r="A1273" s="39" t="s">
        <v>305</v>
      </c>
      <c r="B1273" s="40">
        <v>1871501.0</v>
      </c>
      <c r="C1273" s="40">
        <v>2.0</v>
      </c>
      <c r="D1273" s="41">
        <v>45979.71278002315</v>
      </c>
    </row>
    <row r="1274">
      <c r="A1274" s="39" t="s">
        <v>305</v>
      </c>
      <c r="B1274" s="40">
        <v>1871522.0</v>
      </c>
      <c r="C1274" s="40">
        <v>6.0</v>
      </c>
      <c r="D1274" s="41">
        <v>45979.71278234954</v>
      </c>
    </row>
    <row r="1275">
      <c r="A1275" s="39" t="s">
        <v>305</v>
      </c>
      <c r="B1275" s="40">
        <v>1871525.0</v>
      </c>
      <c r="C1275" s="40">
        <v>0.0</v>
      </c>
      <c r="D1275" s="41">
        <v>45968.48558842593</v>
      </c>
    </row>
    <row r="1276">
      <c r="A1276" s="39" t="s">
        <v>305</v>
      </c>
      <c r="B1276" s="40">
        <v>1873080.0</v>
      </c>
      <c r="C1276" s="40">
        <v>10.0</v>
      </c>
      <c r="D1276" s="41">
        <v>45968.48559113426</v>
      </c>
    </row>
    <row r="1277">
      <c r="A1277" s="39" t="s">
        <v>305</v>
      </c>
      <c r="B1277" s="40">
        <v>1873081.0</v>
      </c>
      <c r="C1277" s="40">
        <v>4.0</v>
      </c>
      <c r="D1277" s="41">
        <v>45968.485593715275</v>
      </c>
    </row>
    <row r="1278">
      <c r="A1278" s="39" t="s">
        <v>305</v>
      </c>
      <c r="B1278" s="40">
        <v>1873082.0</v>
      </c>
      <c r="C1278" s="40">
        <v>3.0</v>
      </c>
      <c r="D1278" s="41">
        <v>45968.48559664351</v>
      </c>
    </row>
    <row r="1279">
      <c r="A1279" s="39" t="s">
        <v>305</v>
      </c>
      <c r="B1279" s="40">
        <v>1873083.0</v>
      </c>
      <c r="C1279" s="40">
        <v>0.0</v>
      </c>
      <c r="D1279" s="41">
        <v>45968.48560351852</v>
      </c>
    </row>
    <row r="1280">
      <c r="A1280" s="39" t="s">
        <v>305</v>
      </c>
      <c r="B1280" s="40">
        <v>1873084.0</v>
      </c>
      <c r="C1280" s="40">
        <v>10.0</v>
      </c>
      <c r="D1280" s="41">
        <v>45980.37947894676</v>
      </c>
    </row>
    <row r="1281">
      <c r="A1281" s="39" t="s">
        <v>305</v>
      </c>
      <c r="B1281" s="40">
        <v>1880186.0</v>
      </c>
      <c r="C1281" s="40">
        <v>10.0</v>
      </c>
      <c r="D1281" s="41">
        <v>45968.485608738425</v>
      </c>
    </row>
    <row r="1282">
      <c r="A1282" s="39" t="s">
        <v>305</v>
      </c>
      <c r="B1282" s="40">
        <v>1880188.0</v>
      </c>
      <c r="C1282" s="40">
        <v>9.0</v>
      </c>
      <c r="D1282" s="41">
        <v>45968.841757118054</v>
      </c>
    </row>
    <row r="1283">
      <c r="A1283" s="39" t="s">
        <v>305</v>
      </c>
      <c r="B1283" s="40">
        <v>1880677.0</v>
      </c>
      <c r="C1283" s="40">
        <v>10.0</v>
      </c>
      <c r="D1283" s="41">
        <v>45968.85217791666</v>
      </c>
    </row>
    <row r="1284">
      <c r="A1284" s="39" t="s">
        <v>305</v>
      </c>
      <c r="B1284" s="40">
        <v>1892424.0</v>
      </c>
      <c r="C1284" s="40">
        <v>6.0</v>
      </c>
      <c r="D1284" s="41">
        <v>45972.86068763889</v>
      </c>
    </row>
    <row r="1285">
      <c r="A1285" s="39" t="s">
        <v>305</v>
      </c>
      <c r="B1285" s="40">
        <v>1892425.0</v>
      </c>
      <c r="C1285" s="40">
        <v>2.0</v>
      </c>
      <c r="D1285" s="41">
        <v>45979.41073769676</v>
      </c>
    </row>
    <row r="1286">
      <c r="A1286" s="39" t="s">
        <v>305</v>
      </c>
      <c r="B1286" s="40">
        <v>1892426.0</v>
      </c>
      <c r="C1286" s="40">
        <v>4.0</v>
      </c>
      <c r="D1286" s="41">
        <v>45985.47366491898</v>
      </c>
    </row>
    <row r="1287">
      <c r="A1287" s="39" t="s">
        <v>305</v>
      </c>
      <c r="B1287" s="40">
        <v>1892427.0</v>
      </c>
      <c r="C1287" s="40">
        <v>5.0</v>
      </c>
      <c r="D1287" s="41">
        <v>45979.61997774306</v>
      </c>
    </row>
    <row r="1288">
      <c r="A1288" s="39" t="s">
        <v>305</v>
      </c>
      <c r="B1288" s="40">
        <v>1892428.0</v>
      </c>
      <c r="C1288" s="40">
        <v>4.0</v>
      </c>
      <c r="D1288" s="41">
        <v>45979.71278893518</v>
      </c>
    </row>
    <row r="1289">
      <c r="A1289" s="39" t="s">
        <v>305</v>
      </c>
      <c r="B1289" s="40">
        <v>1902189.0</v>
      </c>
      <c r="C1289" s="40">
        <v>22.0</v>
      </c>
      <c r="D1289" s="41">
        <v>45994.30029936343</v>
      </c>
    </row>
    <row r="1290">
      <c r="A1290" s="39" t="s">
        <v>306</v>
      </c>
      <c r="B1290" s="40">
        <v>1871498.0</v>
      </c>
      <c r="C1290" s="40">
        <v>10.0</v>
      </c>
      <c r="D1290" s="41">
        <v>45968.489558194444</v>
      </c>
    </row>
    <row r="1291">
      <c r="A1291" s="39" t="s">
        <v>306</v>
      </c>
      <c r="B1291" s="40">
        <v>1871500.0</v>
      </c>
      <c r="C1291" s="40">
        <v>4.0</v>
      </c>
      <c r="D1291" s="41">
        <v>45968.55071466435</v>
      </c>
    </row>
    <row r="1292">
      <c r="A1292" s="39" t="s">
        <v>306</v>
      </c>
      <c r="B1292" s="40">
        <v>1871501.0</v>
      </c>
      <c r="C1292" s="40">
        <v>3.0</v>
      </c>
      <c r="D1292" s="41">
        <v>45968.613070879626</v>
      </c>
    </row>
    <row r="1293">
      <c r="A1293" s="39" t="s">
        <v>306</v>
      </c>
      <c r="B1293" s="40">
        <v>1871522.0</v>
      </c>
      <c r="C1293" s="40">
        <v>2.0</v>
      </c>
      <c r="D1293" s="41">
        <v>45968.6236042824</v>
      </c>
    </row>
    <row r="1294">
      <c r="A1294" s="39" t="s">
        <v>306</v>
      </c>
      <c r="B1294" s="40">
        <v>1871525.0</v>
      </c>
      <c r="C1294" s="40">
        <v>4.0</v>
      </c>
      <c r="D1294" s="41">
        <v>45968.633700011575</v>
      </c>
    </row>
    <row r="1295">
      <c r="A1295" s="39" t="s">
        <v>306</v>
      </c>
      <c r="B1295" s="40">
        <v>1873080.0</v>
      </c>
      <c r="C1295" s="40">
        <v>10.0</v>
      </c>
      <c r="D1295" s="41">
        <v>45968.485628842594</v>
      </c>
    </row>
    <row r="1296">
      <c r="A1296" s="39" t="s">
        <v>306</v>
      </c>
      <c r="B1296" s="40">
        <v>1873081.0</v>
      </c>
      <c r="C1296" s="40">
        <v>5.0</v>
      </c>
      <c r="D1296" s="41">
        <v>45968.48563131945</v>
      </c>
    </row>
    <row r="1297">
      <c r="A1297" s="39" t="s">
        <v>306</v>
      </c>
      <c r="B1297" s="40">
        <v>1873082.0</v>
      </c>
      <c r="C1297" s="40">
        <v>3.0</v>
      </c>
      <c r="D1297" s="41">
        <v>45980.42111232639</v>
      </c>
    </row>
    <row r="1298">
      <c r="A1298" s="39" t="s">
        <v>306</v>
      </c>
      <c r="B1298" s="40">
        <v>1873083.0</v>
      </c>
      <c r="C1298" s="40">
        <v>0.0</v>
      </c>
      <c r="D1298" s="41">
        <v>45968.48563668982</v>
      </c>
    </row>
    <row r="1299">
      <c r="A1299" s="39" t="s">
        <v>306</v>
      </c>
      <c r="B1299" s="40">
        <v>1873084.0</v>
      </c>
      <c r="C1299" s="40">
        <v>10.0</v>
      </c>
      <c r="D1299" s="41">
        <v>45981.587903078704</v>
      </c>
    </row>
    <row r="1300">
      <c r="A1300" s="39" t="s">
        <v>306</v>
      </c>
      <c r="B1300" s="40">
        <v>1880186.0</v>
      </c>
      <c r="C1300" s="40">
        <v>0.0</v>
      </c>
      <c r="D1300" s="41">
        <v>45969.721031759254</v>
      </c>
    </row>
    <row r="1301">
      <c r="A1301" s="39" t="s">
        <v>306</v>
      </c>
      <c r="B1301" s="40">
        <v>1880188.0</v>
      </c>
      <c r="C1301" s="40">
        <v>0.0</v>
      </c>
      <c r="D1301" s="41">
        <v>45969.72103361111</v>
      </c>
    </row>
    <row r="1302">
      <c r="A1302" s="39" t="s">
        <v>306</v>
      </c>
      <c r="B1302" s="40">
        <v>1880189.0</v>
      </c>
      <c r="C1302" s="40">
        <v>0.0</v>
      </c>
      <c r="D1302" s="41">
        <v>45969.72103584491</v>
      </c>
    </row>
    <row r="1303">
      <c r="A1303" s="39" t="s">
        <v>306</v>
      </c>
      <c r="B1303" s="40">
        <v>1880191.0</v>
      </c>
      <c r="C1303" s="40">
        <v>0.0</v>
      </c>
      <c r="D1303" s="41">
        <v>45969.72103775463</v>
      </c>
    </row>
    <row r="1304">
      <c r="A1304" s="39" t="s">
        <v>306</v>
      </c>
      <c r="B1304" s="40">
        <v>1880677.0</v>
      </c>
      <c r="C1304" s="40">
        <v>0.0</v>
      </c>
      <c r="D1304" s="41">
        <v>45969.72104866898</v>
      </c>
    </row>
    <row r="1305">
      <c r="A1305" s="39" t="s">
        <v>306</v>
      </c>
      <c r="B1305" s="40">
        <v>1892424.0</v>
      </c>
      <c r="C1305" s="40">
        <v>0.0</v>
      </c>
      <c r="D1305" s="41">
        <v>45972.86070556713</v>
      </c>
    </row>
    <row r="1306">
      <c r="A1306" s="39" t="s">
        <v>306</v>
      </c>
      <c r="B1306" s="40">
        <v>1892425.0</v>
      </c>
      <c r="C1306" s="40">
        <v>0.0</v>
      </c>
      <c r="D1306" s="41">
        <v>45976.71670935185</v>
      </c>
    </row>
    <row r="1307">
      <c r="A1307" s="39" t="s">
        <v>306</v>
      </c>
      <c r="B1307" s="40">
        <v>1892426.0</v>
      </c>
      <c r="C1307" s="40">
        <v>0.0</v>
      </c>
      <c r="D1307" s="41">
        <v>45976.71671116898</v>
      </c>
    </row>
    <row r="1308">
      <c r="A1308" s="39" t="s">
        <v>306</v>
      </c>
      <c r="B1308" s="40">
        <v>1892427.0</v>
      </c>
      <c r="C1308" s="40">
        <v>0.0</v>
      </c>
      <c r="D1308" s="41">
        <v>45979.61998130787</v>
      </c>
    </row>
    <row r="1309">
      <c r="A1309" s="39" t="s">
        <v>306</v>
      </c>
      <c r="B1309" s="40">
        <v>1892428.0</v>
      </c>
      <c r="C1309" s="40">
        <v>0.0</v>
      </c>
      <c r="D1309" s="41">
        <v>45976.716713472226</v>
      </c>
    </row>
    <row r="1310">
      <c r="A1310" s="39" t="s">
        <v>306</v>
      </c>
      <c r="B1310" s="40">
        <v>1902189.0</v>
      </c>
      <c r="C1310" s="40">
        <v>0.0</v>
      </c>
      <c r="D1310" s="41">
        <v>45992.42404668982</v>
      </c>
    </row>
    <row r="1311">
      <c r="A1311" s="39" t="s">
        <v>306</v>
      </c>
      <c r="B1311" s="40">
        <v>1905940.0</v>
      </c>
      <c r="C1311" s="40">
        <v>0.0</v>
      </c>
      <c r="D1311" s="41">
        <v>45997.72027344907</v>
      </c>
    </row>
    <row r="1312">
      <c r="A1312" s="39" t="s">
        <v>306</v>
      </c>
      <c r="B1312" s="40">
        <v>1905941.0</v>
      </c>
      <c r="C1312" s="40">
        <v>0.0</v>
      </c>
      <c r="D1312" s="41">
        <v>45997.72027809027</v>
      </c>
    </row>
    <row r="1313">
      <c r="A1313" s="39" t="s">
        <v>307</v>
      </c>
      <c r="B1313" s="40">
        <v>1871498.0</v>
      </c>
      <c r="C1313" s="40">
        <v>10.0</v>
      </c>
      <c r="D1313" s="41">
        <v>45968.48564219907</v>
      </c>
    </row>
    <row r="1314">
      <c r="A1314" s="39" t="s">
        <v>307</v>
      </c>
      <c r="B1314" s="40">
        <v>1871500.0</v>
      </c>
      <c r="C1314" s="40">
        <v>7.0</v>
      </c>
      <c r="D1314" s="41">
        <v>45980.51502681713</v>
      </c>
    </row>
    <row r="1315">
      <c r="A1315" s="39" t="s">
        <v>307</v>
      </c>
      <c r="B1315" s="40">
        <v>1871501.0</v>
      </c>
      <c r="C1315" s="40">
        <v>13.0</v>
      </c>
      <c r="D1315" s="41">
        <v>45980.52519340278</v>
      </c>
    </row>
    <row r="1316">
      <c r="A1316" s="39" t="s">
        <v>307</v>
      </c>
      <c r="B1316" s="40">
        <v>1871522.0</v>
      </c>
      <c r="C1316" s="40">
        <v>6.0</v>
      </c>
      <c r="D1316" s="41">
        <v>45980.52519539352</v>
      </c>
    </row>
    <row r="1317">
      <c r="A1317" s="39" t="s">
        <v>307</v>
      </c>
      <c r="B1317" s="40">
        <v>1871525.0</v>
      </c>
      <c r="C1317" s="40">
        <v>0.0</v>
      </c>
      <c r="D1317" s="41">
        <v>45968.48566153935</v>
      </c>
    </row>
    <row r="1318">
      <c r="A1318" s="39" t="s">
        <v>307</v>
      </c>
      <c r="B1318" s="40">
        <v>1873080.0</v>
      </c>
      <c r="C1318" s="40">
        <v>10.0</v>
      </c>
      <c r="D1318" s="41">
        <v>45968.485663935186</v>
      </c>
    </row>
    <row r="1319">
      <c r="A1319" s="39" t="s">
        <v>307</v>
      </c>
      <c r="B1319" s="40">
        <v>1873081.0</v>
      </c>
      <c r="C1319" s="40">
        <v>11.0</v>
      </c>
      <c r="D1319" s="41">
        <v>45980.55664354167</v>
      </c>
    </row>
    <row r="1320">
      <c r="A1320" s="39" t="s">
        <v>307</v>
      </c>
      <c r="B1320" s="40">
        <v>1873082.0</v>
      </c>
      <c r="C1320" s="40">
        <v>10.0</v>
      </c>
      <c r="D1320" s="41">
        <v>45980.55664613426</v>
      </c>
    </row>
    <row r="1321">
      <c r="A1321" s="39" t="s">
        <v>307</v>
      </c>
      <c r="B1321" s="40">
        <v>1873083.0</v>
      </c>
      <c r="C1321" s="40">
        <v>0.0</v>
      </c>
      <c r="D1321" s="41">
        <v>45968.48567122685</v>
      </c>
    </row>
    <row r="1322">
      <c r="A1322" s="39" t="s">
        <v>307</v>
      </c>
      <c r="B1322" s="40">
        <v>1873084.0</v>
      </c>
      <c r="C1322" s="40">
        <v>10.0</v>
      </c>
      <c r="D1322" s="41">
        <v>45980.577858136574</v>
      </c>
    </row>
    <row r="1323">
      <c r="A1323" s="39" t="s">
        <v>307</v>
      </c>
      <c r="B1323" s="40">
        <v>1880186.0</v>
      </c>
      <c r="C1323" s="40">
        <v>10.0</v>
      </c>
      <c r="D1323" s="41">
        <v>45980.83799479167</v>
      </c>
    </row>
    <row r="1324">
      <c r="A1324" s="39" t="s">
        <v>307</v>
      </c>
      <c r="B1324" s="40">
        <v>1880677.0</v>
      </c>
      <c r="C1324" s="40">
        <v>10.0</v>
      </c>
      <c r="D1324" s="41">
        <v>45981.50484795139</v>
      </c>
    </row>
    <row r="1325">
      <c r="A1325" s="39" t="s">
        <v>307</v>
      </c>
      <c r="B1325" s="40">
        <v>1892424.0</v>
      </c>
      <c r="C1325" s="40">
        <v>10.0</v>
      </c>
      <c r="D1325" s="41">
        <v>45981.546679293984</v>
      </c>
    </row>
    <row r="1326">
      <c r="A1326" s="39" t="s">
        <v>307</v>
      </c>
      <c r="B1326" s="40">
        <v>1892425.0</v>
      </c>
      <c r="C1326" s="40">
        <v>0.0</v>
      </c>
      <c r="D1326" s="41">
        <v>45976.71671978009</v>
      </c>
    </row>
    <row r="1327">
      <c r="A1327" s="39" t="s">
        <v>307</v>
      </c>
      <c r="B1327" s="40">
        <v>1892426.0</v>
      </c>
      <c r="C1327" s="40">
        <v>0.0</v>
      </c>
      <c r="D1327" s="41">
        <v>45976.71672172454</v>
      </c>
    </row>
    <row r="1328">
      <c r="A1328" s="39" t="s">
        <v>307</v>
      </c>
      <c r="B1328" s="40">
        <v>1892427.0</v>
      </c>
      <c r="C1328" s="40">
        <v>0.0</v>
      </c>
      <c r="D1328" s="41">
        <v>45979.61998802083</v>
      </c>
    </row>
    <row r="1329">
      <c r="A1329" s="39" t="s">
        <v>307</v>
      </c>
      <c r="B1329" s="40">
        <v>1892428.0</v>
      </c>
      <c r="C1329" s="40">
        <v>0.0</v>
      </c>
      <c r="D1329" s="41">
        <v>45976.716724618054</v>
      </c>
    </row>
    <row r="1330">
      <c r="A1330" s="39" t="s">
        <v>307</v>
      </c>
      <c r="B1330" s="40">
        <v>1902189.0</v>
      </c>
      <c r="C1330" s="40">
        <v>0.0</v>
      </c>
      <c r="D1330" s="41">
        <v>45992.42406237268</v>
      </c>
    </row>
    <row r="1331">
      <c r="A1331" s="39" t="s">
        <v>307</v>
      </c>
      <c r="B1331" s="40">
        <v>1905937.0</v>
      </c>
      <c r="C1331" s="40">
        <v>0.0</v>
      </c>
      <c r="D1331" s="41">
        <v>45997.72029398148</v>
      </c>
    </row>
    <row r="1332">
      <c r="A1332" s="39" t="s">
        <v>307</v>
      </c>
      <c r="B1332" s="40">
        <v>1905938.0</v>
      </c>
      <c r="C1332" s="40">
        <v>0.0</v>
      </c>
      <c r="D1332" s="41">
        <v>45997.72029880787</v>
      </c>
    </row>
    <row r="1333">
      <c r="A1333" s="39" t="s">
        <v>307</v>
      </c>
      <c r="B1333" s="40">
        <v>1905939.0</v>
      </c>
      <c r="C1333" s="40">
        <v>0.0</v>
      </c>
      <c r="D1333" s="41">
        <v>45997.72030219907</v>
      </c>
    </row>
    <row r="1334">
      <c r="A1334" s="39" t="s">
        <v>307</v>
      </c>
      <c r="B1334" s="40">
        <v>1905940.0</v>
      </c>
      <c r="C1334" s="40">
        <v>0.0</v>
      </c>
      <c r="D1334" s="41">
        <v>45997.72030563657</v>
      </c>
    </row>
    <row r="1335">
      <c r="A1335" s="39" t="s">
        <v>307</v>
      </c>
      <c r="B1335" s="40">
        <v>1905941.0</v>
      </c>
      <c r="C1335" s="40">
        <v>0.0</v>
      </c>
      <c r="D1335" s="41">
        <v>45997.720320277775</v>
      </c>
    </row>
    <row r="1336">
      <c r="A1336" s="39" t="s">
        <v>308</v>
      </c>
      <c r="B1336" s="40">
        <v>1871498.0</v>
      </c>
      <c r="C1336" s="40">
        <v>10.0</v>
      </c>
      <c r="D1336" s="41">
        <v>45968.4856766088</v>
      </c>
    </row>
    <row r="1337">
      <c r="A1337" s="39" t="s">
        <v>308</v>
      </c>
      <c r="B1337" s="40">
        <v>1871500.0</v>
      </c>
      <c r="C1337" s="40">
        <v>3.0</v>
      </c>
      <c r="D1337" s="41">
        <v>45968.48567900463</v>
      </c>
    </row>
    <row r="1338">
      <c r="A1338" s="39" t="s">
        <v>308</v>
      </c>
      <c r="B1338" s="40">
        <v>1871501.0</v>
      </c>
      <c r="C1338" s="40">
        <v>3.0</v>
      </c>
      <c r="D1338" s="41">
        <v>45968.581185567135</v>
      </c>
    </row>
    <row r="1339">
      <c r="A1339" s="39" t="s">
        <v>308</v>
      </c>
      <c r="B1339" s="40">
        <v>1871522.0</v>
      </c>
      <c r="C1339" s="40">
        <v>4.0</v>
      </c>
      <c r="D1339" s="41">
        <v>45979.5776741088</v>
      </c>
    </row>
    <row r="1340">
      <c r="A1340" s="39" t="s">
        <v>308</v>
      </c>
      <c r="B1340" s="40">
        <v>1871525.0</v>
      </c>
      <c r="C1340" s="40">
        <v>10.0</v>
      </c>
      <c r="D1340" s="41">
        <v>45979.712791342594</v>
      </c>
    </row>
    <row r="1341">
      <c r="A1341" s="39" t="s">
        <v>308</v>
      </c>
      <c r="B1341" s="40">
        <v>1873080.0</v>
      </c>
      <c r="C1341" s="40">
        <v>10.0</v>
      </c>
      <c r="D1341" s="41">
        <v>45968.485689884255</v>
      </c>
    </row>
    <row r="1342">
      <c r="A1342" s="39" t="s">
        <v>308</v>
      </c>
      <c r="B1342" s="40">
        <v>1873081.0</v>
      </c>
      <c r="C1342" s="40">
        <v>11.0</v>
      </c>
      <c r="D1342" s="41">
        <v>45968.48569241898</v>
      </c>
    </row>
    <row r="1343">
      <c r="A1343" s="39" t="s">
        <v>308</v>
      </c>
      <c r="B1343" s="40">
        <v>1873082.0</v>
      </c>
      <c r="C1343" s="40">
        <v>10.0</v>
      </c>
      <c r="D1343" s="41">
        <v>45968.48569460648</v>
      </c>
    </row>
    <row r="1344">
      <c r="A1344" s="39" t="s">
        <v>308</v>
      </c>
      <c r="B1344" s="40">
        <v>1873083.0</v>
      </c>
      <c r="C1344" s="40">
        <v>0.0</v>
      </c>
      <c r="D1344" s="41">
        <v>45968.485697094904</v>
      </c>
    </row>
    <row r="1345">
      <c r="A1345" s="39" t="s">
        <v>308</v>
      </c>
      <c r="B1345" s="40">
        <v>1873084.0</v>
      </c>
      <c r="C1345" s="40">
        <v>10.0</v>
      </c>
      <c r="D1345" s="41">
        <v>45979.83783643518</v>
      </c>
    </row>
    <row r="1346">
      <c r="A1346" s="39" t="s">
        <v>308</v>
      </c>
      <c r="B1346" s="40">
        <v>1880186.0</v>
      </c>
      <c r="C1346" s="40">
        <v>10.0</v>
      </c>
      <c r="D1346" s="41">
        <v>45980.71275481481</v>
      </c>
    </row>
    <row r="1347">
      <c r="A1347" s="39" t="s">
        <v>308</v>
      </c>
      <c r="B1347" s="40">
        <v>1880188.0</v>
      </c>
      <c r="C1347" s="40">
        <v>0.0</v>
      </c>
      <c r="D1347" s="41">
        <v>45969.72108831018</v>
      </c>
    </row>
    <row r="1348">
      <c r="A1348" s="39" t="s">
        <v>308</v>
      </c>
      <c r="B1348" s="40">
        <v>1880189.0</v>
      </c>
      <c r="C1348" s="40">
        <v>0.0</v>
      </c>
      <c r="D1348" s="41">
        <v>45969.72109020833</v>
      </c>
    </row>
    <row r="1349">
      <c r="A1349" s="39" t="s">
        <v>308</v>
      </c>
      <c r="B1349" s="40">
        <v>1880191.0</v>
      </c>
      <c r="C1349" s="40">
        <v>0.0</v>
      </c>
      <c r="D1349" s="41">
        <v>45969.721095243054</v>
      </c>
    </row>
    <row r="1350">
      <c r="A1350" s="39" t="s">
        <v>308</v>
      </c>
      <c r="B1350" s="40">
        <v>1880677.0</v>
      </c>
      <c r="C1350" s="40">
        <v>0.0</v>
      </c>
      <c r="D1350" s="41">
        <v>45969.72109746528</v>
      </c>
    </row>
    <row r="1351">
      <c r="A1351" s="39" t="s">
        <v>308</v>
      </c>
      <c r="B1351" s="40">
        <v>1892424.0</v>
      </c>
      <c r="C1351" s="40">
        <v>0.0</v>
      </c>
      <c r="D1351" s="41">
        <v>45972.86071476852</v>
      </c>
    </row>
    <row r="1352">
      <c r="A1352" s="39" t="s">
        <v>308</v>
      </c>
      <c r="B1352" s="40">
        <v>1892425.0</v>
      </c>
      <c r="C1352" s="40">
        <v>0.0</v>
      </c>
      <c r="D1352" s="41">
        <v>45976.716745011574</v>
      </c>
    </row>
    <row r="1353">
      <c r="A1353" s="39" t="s">
        <v>308</v>
      </c>
      <c r="B1353" s="40">
        <v>1892426.0</v>
      </c>
      <c r="C1353" s="40">
        <v>0.0</v>
      </c>
      <c r="D1353" s="41">
        <v>45976.7167472338</v>
      </c>
    </row>
    <row r="1354">
      <c r="A1354" s="39" t="s">
        <v>308</v>
      </c>
      <c r="B1354" s="40">
        <v>1892427.0</v>
      </c>
      <c r="C1354" s="40">
        <v>0.0</v>
      </c>
      <c r="D1354" s="41">
        <v>45979.61999063657</v>
      </c>
    </row>
    <row r="1355">
      <c r="A1355" s="39" t="s">
        <v>308</v>
      </c>
      <c r="B1355" s="40">
        <v>1892428.0</v>
      </c>
      <c r="C1355" s="40">
        <v>0.0</v>
      </c>
      <c r="D1355" s="41">
        <v>45976.716759421295</v>
      </c>
    </row>
    <row r="1356">
      <c r="A1356" s="39" t="s">
        <v>308</v>
      </c>
      <c r="B1356" s="40">
        <v>1902189.0</v>
      </c>
      <c r="C1356" s="40">
        <v>0.0</v>
      </c>
      <c r="D1356" s="41">
        <v>45992.42406614583</v>
      </c>
    </row>
    <row r="1357">
      <c r="A1357" s="39" t="s">
        <v>308</v>
      </c>
      <c r="B1357" s="40">
        <v>1905941.0</v>
      </c>
      <c r="C1357" s="40">
        <v>0.0</v>
      </c>
      <c r="D1357" s="41">
        <v>45997.72033710648</v>
      </c>
    </row>
    <row r="1358">
      <c r="A1358" s="39" t="s">
        <v>309</v>
      </c>
      <c r="B1358" s="40">
        <v>1871498.0</v>
      </c>
      <c r="C1358" s="40">
        <v>10.0</v>
      </c>
      <c r="D1358" s="41">
        <v>45975.641086874995</v>
      </c>
    </row>
    <row r="1359">
      <c r="A1359" s="39" t="s">
        <v>309</v>
      </c>
      <c r="B1359" s="40">
        <v>1871500.0</v>
      </c>
      <c r="C1359" s="40">
        <v>0.0</v>
      </c>
      <c r="D1359" s="41">
        <v>45968.48570752315</v>
      </c>
    </row>
    <row r="1360">
      <c r="A1360" s="39" t="s">
        <v>309</v>
      </c>
      <c r="B1360" s="40">
        <v>1871501.0</v>
      </c>
      <c r="C1360" s="40">
        <v>0.0</v>
      </c>
      <c r="D1360" s="41">
        <v>45968.48570990741</v>
      </c>
    </row>
    <row r="1361">
      <c r="A1361" s="39" t="s">
        <v>309</v>
      </c>
      <c r="B1361" s="40">
        <v>1871522.0</v>
      </c>
      <c r="C1361" s="40">
        <v>0.0</v>
      </c>
      <c r="D1361" s="41">
        <v>45968.48571246528</v>
      </c>
    </row>
    <row r="1362">
      <c r="A1362" s="39" t="s">
        <v>309</v>
      </c>
      <c r="B1362" s="40">
        <v>1871525.0</v>
      </c>
      <c r="C1362" s="40">
        <v>0.0</v>
      </c>
      <c r="D1362" s="41">
        <v>45968.48571475694</v>
      </c>
    </row>
    <row r="1363">
      <c r="A1363" s="39" t="s">
        <v>309</v>
      </c>
      <c r="B1363" s="40">
        <v>1873080.0</v>
      </c>
      <c r="C1363" s="40">
        <v>0.0</v>
      </c>
      <c r="D1363" s="41">
        <v>45968.48571736111</v>
      </c>
    </row>
    <row r="1364">
      <c r="A1364" s="39" t="s">
        <v>309</v>
      </c>
      <c r="B1364" s="40">
        <v>1873081.0</v>
      </c>
      <c r="C1364" s="40">
        <v>4.0</v>
      </c>
      <c r="D1364" s="41">
        <v>45968.48571972222</v>
      </c>
    </row>
    <row r="1365">
      <c r="A1365" s="39" t="s">
        <v>309</v>
      </c>
      <c r="B1365" s="40">
        <v>1873082.0</v>
      </c>
      <c r="C1365" s="40">
        <v>0.0</v>
      </c>
      <c r="D1365" s="41">
        <v>45968.485726493054</v>
      </c>
    </row>
    <row r="1366">
      <c r="A1366" s="39" t="s">
        <v>309</v>
      </c>
      <c r="B1366" s="40">
        <v>1873083.0</v>
      </c>
      <c r="C1366" s="40">
        <v>0.0</v>
      </c>
      <c r="D1366" s="41">
        <v>45968.48572884259</v>
      </c>
    </row>
    <row r="1367">
      <c r="A1367" s="39" t="s">
        <v>309</v>
      </c>
      <c r="B1367" s="40">
        <v>1873084.0</v>
      </c>
      <c r="C1367" s="40">
        <v>0.0</v>
      </c>
      <c r="D1367" s="41">
        <v>45968.48574188657</v>
      </c>
    </row>
    <row r="1368">
      <c r="A1368" s="39" t="s">
        <v>309</v>
      </c>
      <c r="B1368" s="40">
        <v>1880186.0</v>
      </c>
      <c r="C1368" s="40">
        <v>0.0</v>
      </c>
      <c r="D1368" s="41">
        <v>45969.721099409726</v>
      </c>
    </row>
    <row r="1369">
      <c r="A1369" s="39" t="s">
        <v>309</v>
      </c>
      <c r="B1369" s="40">
        <v>1880188.0</v>
      </c>
      <c r="C1369" s="40">
        <v>0.0</v>
      </c>
      <c r="D1369" s="41">
        <v>45969.72110123842</v>
      </c>
    </row>
    <row r="1370">
      <c r="A1370" s="39" t="s">
        <v>309</v>
      </c>
      <c r="B1370" s="40">
        <v>1880189.0</v>
      </c>
      <c r="C1370" s="40">
        <v>0.0</v>
      </c>
      <c r="D1370" s="41">
        <v>45969.7211039699</v>
      </c>
    </row>
    <row r="1371">
      <c r="A1371" s="39" t="s">
        <v>309</v>
      </c>
      <c r="B1371" s="40">
        <v>1880191.0</v>
      </c>
      <c r="C1371" s="40">
        <v>0.0</v>
      </c>
      <c r="D1371" s="41">
        <v>45969.72110631944</v>
      </c>
    </row>
    <row r="1372">
      <c r="A1372" s="39" t="s">
        <v>309</v>
      </c>
      <c r="B1372" s="40">
        <v>1880677.0</v>
      </c>
      <c r="C1372" s="40">
        <v>0.0</v>
      </c>
      <c r="D1372" s="41">
        <v>45969.72110814815</v>
      </c>
    </row>
    <row r="1373">
      <c r="A1373" s="39" t="s">
        <v>309</v>
      </c>
      <c r="B1373" s="40">
        <v>1892424.0</v>
      </c>
      <c r="C1373" s="40">
        <v>0.0</v>
      </c>
      <c r="D1373" s="41">
        <v>45972.860718553246</v>
      </c>
    </row>
    <row r="1374">
      <c r="A1374" s="39" t="s">
        <v>309</v>
      </c>
      <c r="B1374" s="40">
        <v>1892425.0</v>
      </c>
      <c r="C1374" s="40">
        <v>0.0</v>
      </c>
      <c r="D1374" s="41">
        <v>45976.7167612037</v>
      </c>
    </row>
    <row r="1375">
      <c r="A1375" s="39" t="s">
        <v>309</v>
      </c>
      <c r="B1375" s="40">
        <v>1892426.0</v>
      </c>
      <c r="C1375" s="40">
        <v>0.0</v>
      </c>
      <c r="D1375" s="41">
        <v>45976.71676321759</v>
      </c>
    </row>
    <row r="1376">
      <c r="A1376" s="39" t="s">
        <v>309</v>
      </c>
      <c r="B1376" s="40">
        <v>1892427.0</v>
      </c>
      <c r="C1376" s="40">
        <v>0.0</v>
      </c>
      <c r="D1376" s="41">
        <v>45979.6200005787</v>
      </c>
    </row>
    <row r="1377">
      <c r="A1377" s="39" t="s">
        <v>309</v>
      </c>
      <c r="B1377" s="40">
        <v>1892428.0</v>
      </c>
      <c r="C1377" s="40">
        <v>0.0</v>
      </c>
      <c r="D1377" s="41">
        <v>45976.71676652778</v>
      </c>
    </row>
    <row r="1378">
      <c r="A1378" s="39" t="s">
        <v>309</v>
      </c>
      <c r="B1378" s="40">
        <v>1902189.0</v>
      </c>
      <c r="C1378" s="40">
        <v>0.0</v>
      </c>
      <c r="D1378" s="41">
        <v>45992.42407076389</v>
      </c>
    </row>
    <row r="1379">
      <c r="A1379" s="39" t="s">
        <v>309</v>
      </c>
      <c r="B1379" s="40">
        <v>1905937.0</v>
      </c>
      <c r="C1379" s="40">
        <v>0.0</v>
      </c>
      <c r="D1379" s="41">
        <v>45997.72034114583</v>
      </c>
    </row>
    <row r="1380">
      <c r="A1380" s="39" t="s">
        <v>309</v>
      </c>
      <c r="B1380" s="40">
        <v>1905938.0</v>
      </c>
      <c r="C1380" s="40">
        <v>0.0</v>
      </c>
      <c r="D1380" s="41">
        <v>45997.72034457176</v>
      </c>
    </row>
    <row r="1381">
      <c r="A1381" s="39" t="s">
        <v>309</v>
      </c>
      <c r="B1381" s="40">
        <v>1905939.0</v>
      </c>
      <c r="C1381" s="40">
        <v>0.0</v>
      </c>
      <c r="D1381" s="41">
        <v>45997.72034865741</v>
      </c>
    </row>
    <row r="1382">
      <c r="A1382" s="39" t="s">
        <v>309</v>
      </c>
      <c r="B1382" s="40">
        <v>1905940.0</v>
      </c>
      <c r="C1382" s="40">
        <v>0.0</v>
      </c>
      <c r="D1382" s="41">
        <v>45997.7203521412</v>
      </c>
    </row>
    <row r="1383">
      <c r="A1383" s="39" t="s">
        <v>309</v>
      </c>
      <c r="B1383" s="40">
        <v>1905941.0</v>
      </c>
      <c r="C1383" s="40">
        <v>0.0</v>
      </c>
      <c r="D1383" s="41">
        <v>45997.72035563657</v>
      </c>
    </row>
    <row r="1384">
      <c r="A1384" s="39" t="s">
        <v>310</v>
      </c>
      <c r="B1384" s="40">
        <v>1871498.0</v>
      </c>
      <c r="C1384" s="40">
        <v>10.0</v>
      </c>
      <c r="D1384" s="41">
        <v>45968.48574430555</v>
      </c>
    </row>
    <row r="1385">
      <c r="A1385" s="39" t="s">
        <v>310</v>
      </c>
      <c r="B1385" s="40">
        <v>1871500.0</v>
      </c>
      <c r="C1385" s="40">
        <v>2.0</v>
      </c>
      <c r="D1385" s="41">
        <v>45968.48574686343</v>
      </c>
    </row>
    <row r="1386">
      <c r="A1386" s="39" t="s">
        <v>310</v>
      </c>
      <c r="B1386" s="40">
        <v>1871501.0</v>
      </c>
      <c r="C1386" s="40">
        <v>6.0</v>
      </c>
      <c r="D1386" s="41">
        <v>45975.58928768519</v>
      </c>
    </row>
    <row r="1387">
      <c r="A1387" s="39" t="s">
        <v>310</v>
      </c>
      <c r="B1387" s="40">
        <v>1871522.0</v>
      </c>
      <c r="C1387" s="40">
        <v>0.0</v>
      </c>
      <c r="D1387" s="41">
        <v>45968.485751562504</v>
      </c>
    </row>
    <row r="1388">
      <c r="A1388" s="39" t="s">
        <v>310</v>
      </c>
      <c r="B1388" s="40">
        <v>1871525.0</v>
      </c>
      <c r="C1388" s="40">
        <v>0.0</v>
      </c>
      <c r="D1388" s="41">
        <v>45968.48575399305</v>
      </c>
    </row>
    <row r="1389">
      <c r="A1389" s="39" t="s">
        <v>310</v>
      </c>
      <c r="B1389" s="40">
        <v>1873080.0</v>
      </c>
      <c r="C1389" s="40">
        <v>10.0</v>
      </c>
      <c r="D1389" s="41">
        <v>45968.485756678245</v>
      </c>
    </row>
    <row r="1390">
      <c r="A1390" s="39" t="s">
        <v>310</v>
      </c>
      <c r="B1390" s="40">
        <v>1873081.0</v>
      </c>
      <c r="C1390" s="40">
        <v>0.0</v>
      </c>
      <c r="D1390" s="41">
        <v>45968.4857634375</v>
      </c>
    </row>
    <row r="1391">
      <c r="A1391" s="39" t="s">
        <v>310</v>
      </c>
      <c r="B1391" s="40">
        <v>1873082.0</v>
      </c>
      <c r="C1391" s="40">
        <v>8.0</v>
      </c>
      <c r="D1391" s="41">
        <v>45968.4857662963</v>
      </c>
    </row>
    <row r="1392">
      <c r="A1392" s="39" t="s">
        <v>310</v>
      </c>
      <c r="B1392" s="40">
        <v>1873083.0</v>
      </c>
      <c r="C1392" s="40">
        <v>0.0</v>
      </c>
      <c r="D1392" s="41">
        <v>45968.48576935186</v>
      </c>
    </row>
    <row r="1393">
      <c r="A1393" s="39" t="s">
        <v>310</v>
      </c>
      <c r="B1393" s="40">
        <v>1873084.0</v>
      </c>
      <c r="C1393" s="40">
        <v>0.0</v>
      </c>
      <c r="D1393" s="41">
        <v>45968.48577177084</v>
      </c>
    </row>
    <row r="1394">
      <c r="A1394" s="39" t="s">
        <v>310</v>
      </c>
      <c r="B1394" s="40">
        <v>1880186.0</v>
      </c>
      <c r="C1394" s="40">
        <v>0.0</v>
      </c>
      <c r="D1394" s="41">
        <v>45969.721110810184</v>
      </c>
    </row>
    <row r="1395">
      <c r="A1395" s="39" t="s">
        <v>310</v>
      </c>
      <c r="B1395" s="40">
        <v>1880188.0</v>
      </c>
      <c r="C1395" s="40">
        <v>0.0</v>
      </c>
      <c r="D1395" s="41">
        <v>45969.72111278935</v>
      </c>
    </row>
    <row r="1396">
      <c r="A1396" s="39" t="s">
        <v>310</v>
      </c>
      <c r="B1396" s="40">
        <v>1880189.0</v>
      </c>
      <c r="C1396" s="40">
        <v>0.0</v>
      </c>
      <c r="D1396" s="41">
        <v>45969.721115532404</v>
      </c>
    </row>
    <row r="1397">
      <c r="A1397" s="39" t="s">
        <v>310</v>
      </c>
      <c r="B1397" s="40">
        <v>1880191.0</v>
      </c>
      <c r="C1397" s="40">
        <v>0.0</v>
      </c>
      <c r="D1397" s="41">
        <v>45969.72111783565</v>
      </c>
    </row>
    <row r="1398">
      <c r="A1398" s="39" t="s">
        <v>310</v>
      </c>
      <c r="B1398" s="40">
        <v>1880677.0</v>
      </c>
      <c r="C1398" s="40">
        <v>0.0</v>
      </c>
      <c r="D1398" s="41">
        <v>45969.72112023148</v>
      </c>
    </row>
    <row r="1399">
      <c r="A1399" s="39" t="s">
        <v>310</v>
      </c>
      <c r="B1399" s="40">
        <v>1892424.0</v>
      </c>
      <c r="C1399" s="40">
        <v>0.0</v>
      </c>
      <c r="D1399" s="41">
        <v>45972.86072899305</v>
      </c>
    </row>
    <row r="1400">
      <c r="A1400" s="39" t="s">
        <v>310</v>
      </c>
      <c r="B1400" s="40">
        <v>1892425.0</v>
      </c>
      <c r="C1400" s="40">
        <v>0.0</v>
      </c>
      <c r="D1400" s="41">
        <v>45976.7167694213</v>
      </c>
    </row>
    <row r="1401">
      <c r="A1401" s="39" t="s">
        <v>310</v>
      </c>
      <c r="B1401" s="40">
        <v>1892426.0</v>
      </c>
      <c r="C1401" s="40">
        <v>0.0</v>
      </c>
      <c r="D1401" s="41">
        <v>45976.716771631945</v>
      </c>
    </row>
    <row r="1402">
      <c r="A1402" s="39" t="s">
        <v>310</v>
      </c>
      <c r="B1402" s="40">
        <v>1892427.0</v>
      </c>
      <c r="C1402" s="40">
        <v>0.0</v>
      </c>
      <c r="D1402" s="41">
        <v>45979.62000340278</v>
      </c>
    </row>
    <row r="1403">
      <c r="A1403" s="39" t="s">
        <v>310</v>
      </c>
      <c r="B1403" s="40">
        <v>1892428.0</v>
      </c>
      <c r="C1403" s="40">
        <v>0.0</v>
      </c>
      <c r="D1403" s="41">
        <v>45976.71677380787</v>
      </c>
    </row>
    <row r="1404">
      <c r="A1404" s="39" t="s">
        <v>310</v>
      </c>
      <c r="B1404" s="40">
        <v>1902189.0</v>
      </c>
      <c r="C1404" s="40">
        <v>12.0</v>
      </c>
      <c r="D1404" s="41">
        <v>45994.300314548615</v>
      </c>
    </row>
    <row r="1405">
      <c r="A1405" s="39" t="s">
        <v>310</v>
      </c>
      <c r="B1405" s="40">
        <v>1905937.0</v>
      </c>
      <c r="C1405" s="40">
        <v>0.0</v>
      </c>
      <c r="D1405" s="41">
        <v>45997.72036935185</v>
      </c>
    </row>
    <row r="1406">
      <c r="A1406" s="39" t="s">
        <v>310</v>
      </c>
      <c r="B1406" s="40">
        <v>1905938.0</v>
      </c>
      <c r="C1406" s="40">
        <v>0.0</v>
      </c>
      <c r="D1406" s="41">
        <v>45997.720373738426</v>
      </c>
    </row>
    <row r="1407">
      <c r="A1407" s="39" t="s">
        <v>310</v>
      </c>
      <c r="B1407" s="40">
        <v>1905939.0</v>
      </c>
      <c r="C1407" s="40">
        <v>0.0</v>
      </c>
      <c r="D1407" s="41">
        <v>45997.72037650463</v>
      </c>
    </row>
    <row r="1408">
      <c r="A1408" s="39" t="s">
        <v>310</v>
      </c>
      <c r="B1408" s="40">
        <v>1905940.0</v>
      </c>
      <c r="C1408" s="40">
        <v>0.0</v>
      </c>
      <c r="D1408" s="41">
        <v>45997.72038060185</v>
      </c>
    </row>
    <row r="1409">
      <c r="A1409" s="39" t="s">
        <v>310</v>
      </c>
      <c r="B1409" s="40">
        <v>1905941.0</v>
      </c>
      <c r="C1409" s="40">
        <v>0.0</v>
      </c>
      <c r="D1409" s="41">
        <v>45997.720438460645</v>
      </c>
    </row>
    <row r="1410">
      <c r="A1410" s="39" t="s">
        <v>311</v>
      </c>
      <c r="B1410" s="40">
        <v>1871498.0</v>
      </c>
      <c r="C1410" s="40">
        <v>10.0</v>
      </c>
      <c r="D1410" s="41">
        <v>45968.48577408565</v>
      </c>
    </row>
    <row r="1411">
      <c r="A1411" s="39" t="s">
        <v>311</v>
      </c>
      <c r="B1411" s="40">
        <v>1871500.0</v>
      </c>
      <c r="C1411" s="40">
        <v>0.0</v>
      </c>
      <c r="D1411" s="41">
        <v>45968.48577667824</v>
      </c>
    </row>
    <row r="1412">
      <c r="A1412" s="39" t="s">
        <v>311</v>
      </c>
      <c r="B1412" s="40">
        <v>1871501.0</v>
      </c>
      <c r="C1412" s="40">
        <v>0.0</v>
      </c>
      <c r="D1412" s="41">
        <v>45968.48577903935</v>
      </c>
    </row>
    <row r="1413">
      <c r="A1413" s="39" t="s">
        <v>311</v>
      </c>
      <c r="B1413" s="40">
        <v>1871522.0</v>
      </c>
      <c r="C1413" s="40">
        <v>0.0</v>
      </c>
      <c r="D1413" s="41">
        <v>45968.485782407406</v>
      </c>
    </row>
    <row r="1414">
      <c r="A1414" s="39" t="s">
        <v>311</v>
      </c>
      <c r="B1414" s="40">
        <v>1871525.0</v>
      </c>
      <c r="C1414" s="40">
        <v>0.0</v>
      </c>
      <c r="D1414" s="41">
        <v>45968.48578480324</v>
      </c>
    </row>
    <row r="1415">
      <c r="A1415" s="39" t="s">
        <v>311</v>
      </c>
      <c r="B1415" s="40">
        <v>1873080.0</v>
      </c>
      <c r="C1415" s="40">
        <v>10.0</v>
      </c>
      <c r="D1415" s="41">
        <v>45968.48578819445</v>
      </c>
    </row>
    <row r="1416">
      <c r="A1416" s="39" t="s">
        <v>311</v>
      </c>
      <c r="B1416" s="40">
        <v>1873081.0</v>
      </c>
      <c r="C1416" s="40">
        <v>6.0</v>
      </c>
      <c r="D1416" s="41">
        <v>45968.485790624996</v>
      </c>
    </row>
    <row r="1417">
      <c r="A1417" s="39" t="s">
        <v>311</v>
      </c>
      <c r="B1417" s="40">
        <v>1873082.0</v>
      </c>
      <c r="C1417" s="40">
        <v>5.0</v>
      </c>
      <c r="D1417" s="41">
        <v>45968.48579796296</v>
      </c>
    </row>
    <row r="1418">
      <c r="A1418" s="39" t="s">
        <v>311</v>
      </c>
      <c r="B1418" s="40">
        <v>1873083.0</v>
      </c>
      <c r="C1418" s="40">
        <v>0.0</v>
      </c>
      <c r="D1418" s="41">
        <v>45968.4858003125</v>
      </c>
    </row>
    <row r="1419">
      <c r="A1419" s="39" t="s">
        <v>311</v>
      </c>
      <c r="B1419" s="40">
        <v>1873084.0</v>
      </c>
      <c r="C1419" s="40">
        <v>10.0</v>
      </c>
      <c r="D1419" s="41">
        <v>45968.48580285879</v>
      </c>
    </row>
    <row r="1420">
      <c r="A1420" s="39" t="s">
        <v>311</v>
      </c>
      <c r="B1420" s="40">
        <v>1880186.0</v>
      </c>
      <c r="C1420" s="40">
        <v>0.0</v>
      </c>
      <c r="D1420" s="41">
        <v>45969.72112246528</v>
      </c>
    </row>
    <row r="1421">
      <c r="A1421" s="39" t="s">
        <v>311</v>
      </c>
      <c r="B1421" s="40">
        <v>1880188.0</v>
      </c>
      <c r="C1421" s="40">
        <v>0.0</v>
      </c>
      <c r="D1421" s="41">
        <v>45969.72112513889</v>
      </c>
    </row>
    <row r="1422">
      <c r="A1422" s="39" t="s">
        <v>311</v>
      </c>
      <c r="B1422" s="40">
        <v>1880189.0</v>
      </c>
      <c r="C1422" s="40">
        <v>0.0</v>
      </c>
      <c r="D1422" s="41">
        <v>45969.72112693287</v>
      </c>
    </row>
    <row r="1423">
      <c r="A1423" s="39" t="s">
        <v>311</v>
      </c>
      <c r="B1423" s="40">
        <v>1880191.0</v>
      </c>
      <c r="C1423" s="40">
        <v>0.0</v>
      </c>
      <c r="D1423" s="41">
        <v>45969.72113269676</v>
      </c>
    </row>
    <row r="1424">
      <c r="A1424" s="39" t="s">
        <v>311</v>
      </c>
      <c r="B1424" s="40">
        <v>1880677.0</v>
      </c>
      <c r="C1424" s="40">
        <v>0.0</v>
      </c>
      <c r="D1424" s="41">
        <v>45969.72113525463</v>
      </c>
    </row>
    <row r="1425">
      <c r="A1425" s="39" t="s">
        <v>311</v>
      </c>
      <c r="B1425" s="40">
        <v>1892424.0</v>
      </c>
      <c r="C1425" s="40">
        <v>6.0</v>
      </c>
      <c r="D1425" s="41">
        <v>45972.86073256945</v>
      </c>
    </row>
    <row r="1426">
      <c r="A1426" s="39" t="s">
        <v>311</v>
      </c>
      <c r="B1426" s="40">
        <v>1892425.0</v>
      </c>
      <c r="C1426" s="40">
        <v>7.0</v>
      </c>
      <c r="D1426" s="41">
        <v>45975.41442862268</v>
      </c>
    </row>
    <row r="1427">
      <c r="A1427" s="39" t="s">
        <v>311</v>
      </c>
      <c r="B1427" s="40">
        <v>1892426.0</v>
      </c>
      <c r="C1427" s="40">
        <v>0.0</v>
      </c>
      <c r="D1427" s="41">
        <v>45976.71678341435</v>
      </c>
    </row>
    <row r="1428">
      <c r="A1428" s="39" t="s">
        <v>311</v>
      </c>
      <c r="B1428" s="40">
        <v>1892427.0</v>
      </c>
      <c r="C1428" s="40">
        <v>0.0</v>
      </c>
      <c r="D1428" s="41">
        <v>45979.62000660879</v>
      </c>
    </row>
    <row r="1429">
      <c r="A1429" s="39" t="s">
        <v>311</v>
      </c>
      <c r="B1429" s="40">
        <v>1892428.0</v>
      </c>
      <c r="C1429" s="40">
        <v>0.0</v>
      </c>
      <c r="D1429" s="41">
        <v>45976.716794155094</v>
      </c>
    </row>
    <row r="1430">
      <c r="A1430" s="39" t="s">
        <v>311</v>
      </c>
      <c r="B1430" s="40">
        <v>1902189.0</v>
      </c>
      <c r="C1430" s="40">
        <v>0.0</v>
      </c>
      <c r="D1430" s="41">
        <v>45992.42408449074</v>
      </c>
    </row>
    <row r="1431">
      <c r="A1431" s="39" t="s">
        <v>311</v>
      </c>
      <c r="B1431" s="40">
        <v>1905938.0</v>
      </c>
      <c r="C1431" s="40">
        <v>0.0</v>
      </c>
      <c r="D1431" s="41">
        <v>45997.7204455787</v>
      </c>
    </row>
    <row r="1432">
      <c r="A1432" s="39" t="s">
        <v>311</v>
      </c>
      <c r="B1432" s="40">
        <v>1905939.0</v>
      </c>
      <c r="C1432" s="40">
        <v>0.0</v>
      </c>
      <c r="D1432" s="41">
        <v>45997.72044939815</v>
      </c>
    </row>
    <row r="1433">
      <c r="A1433" s="39" t="s">
        <v>311</v>
      </c>
      <c r="B1433" s="40">
        <v>1905940.0</v>
      </c>
      <c r="C1433" s="40">
        <v>0.0</v>
      </c>
      <c r="D1433" s="41">
        <v>45997.72045247685</v>
      </c>
    </row>
    <row r="1434">
      <c r="A1434" s="39" t="s">
        <v>311</v>
      </c>
      <c r="B1434" s="40">
        <v>1905941.0</v>
      </c>
      <c r="C1434" s="40">
        <v>0.0</v>
      </c>
      <c r="D1434" s="41">
        <v>45997.72045864583</v>
      </c>
    </row>
    <row r="1435">
      <c r="A1435" s="39" t="s">
        <v>312</v>
      </c>
      <c r="B1435" s="40">
        <v>1871498.0</v>
      </c>
      <c r="C1435" s="40">
        <v>10.0</v>
      </c>
      <c r="D1435" s="41">
        <v>45973.443788125005</v>
      </c>
    </row>
    <row r="1436">
      <c r="A1436" s="39" t="s">
        <v>312</v>
      </c>
      <c r="B1436" s="40">
        <v>1871500.0</v>
      </c>
      <c r="C1436" s="40">
        <v>7.0</v>
      </c>
      <c r="D1436" s="41">
        <v>45973.44380166667</v>
      </c>
    </row>
    <row r="1437">
      <c r="A1437" s="39" t="s">
        <v>312</v>
      </c>
      <c r="B1437" s="40">
        <v>1871501.0</v>
      </c>
      <c r="C1437" s="40">
        <v>13.0</v>
      </c>
      <c r="D1437" s="41">
        <v>45978.598061400466</v>
      </c>
    </row>
    <row r="1438">
      <c r="A1438" s="39" t="s">
        <v>312</v>
      </c>
      <c r="B1438" s="40">
        <v>1871522.0</v>
      </c>
      <c r="C1438" s="40">
        <v>0.0</v>
      </c>
      <c r="D1438" s="41">
        <v>45968.48581618056</v>
      </c>
    </row>
    <row r="1439">
      <c r="A1439" s="39" t="s">
        <v>312</v>
      </c>
      <c r="B1439" s="40">
        <v>1871525.0</v>
      </c>
      <c r="C1439" s="40">
        <v>0.0</v>
      </c>
      <c r="D1439" s="41">
        <v>45968.4858187963</v>
      </c>
    </row>
    <row r="1440">
      <c r="A1440" s="39" t="s">
        <v>312</v>
      </c>
      <c r="B1440" s="40">
        <v>1873080.0</v>
      </c>
      <c r="C1440" s="40">
        <v>10.0</v>
      </c>
      <c r="D1440" s="41">
        <v>45968.48582173611</v>
      </c>
    </row>
    <row r="1441">
      <c r="A1441" s="39" t="s">
        <v>312</v>
      </c>
      <c r="B1441" s="40">
        <v>1873081.0</v>
      </c>
      <c r="C1441" s="40">
        <v>9.0</v>
      </c>
      <c r="D1441" s="41">
        <v>45968.485824351854</v>
      </c>
    </row>
    <row r="1442">
      <c r="A1442" s="39" t="s">
        <v>312</v>
      </c>
      <c r="B1442" s="40">
        <v>1873082.0</v>
      </c>
      <c r="C1442" s="40">
        <v>0.0</v>
      </c>
      <c r="D1442" s="41">
        <v>45968.48582674768</v>
      </c>
    </row>
    <row r="1443">
      <c r="A1443" s="39" t="s">
        <v>312</v>
      </c>
      <c r="B1443" s="40">
        <v>1873083.0</v>
      </c>
      <c r="C1443" s="40">
        <v>0.0</v>
      </c>
      <c r="D1443" s="41">
        <v>45968.48582915509</v>
      </c>
    </row>
    <row r="1444">
      <c r="A1444" s="39" t="s">
        <v>312</v>
      </c>
      <c r="B1444" s="40">
        <v>1873084.0</v>
      </c>
      <c r="C1444" s="40">
        <v>0.0</v>
      </c>
      <c r="D1444" s="41">
        <v>45968.48583626158</v>
      </c>
    </row>
    <row r="1445">
      <c r="A1445" s="39" t="s">
        <v>312</v>
      </c>
      <c r="B1445" s="40">
        <v>1880186.0</v>
      </c>
      <c r="C1445" s="40">
        <v>10.0</v>
      </c>
      <c r="D1445" s="41">
        <v>45968.485838657405</v>
      </c>
    </row>
    <row r="1446">
      <c r="A1446" s="39" t="s">
        <v>312</v>
      </c>
      <c r="B1446" s="40">
        <v>1880191.0</v>
      </c>
      <c r="C1446" s="40">
        <v>0.0</v>
      </c>
      <c r="D1446" s="41">
        <v>45969.72114193287</v>
      </c>
    </row>
    <row r="1447">
      <c r="A1447" s="39" t="s">
        <v>312</v>
      </c>
      <c r="B1447" s="40">
        <v>1880677.0</v>
      </c>
      <c r="C1447" s="40">
        <v>0.0</v>
      </c>
      <c r="D1447" s="41">
        <v>45969.721143738425</v>
      </c>
    </row>
    <row r="1448">
      <c r="A1448" s="39" t="s">
        <v>312</v>
      </c>
      <c r="B1448" s="40">
        <v>1892424.0</v>
      </c>
      <c r="C1448" s="40">
        <v>10.0</v>
      </c>
      <c r="D1448" s="41">
        <v>45979.56746681713</v>
      </c>
    </row>
    <row r="1449">
      <c r="A1449" s="39" t="s">
        <v>312</v>
      </c>
      <c r="B1449" s="40">
        <v>1892425.0</v>
      </c>
      <c r="C1449" s="40">
        <v>9.0</v>
      </c>
      <c r="D1449" s="41">
        <v>45979.58796320602</v>
      </c>
    </row>
    <row r="1450">
      <c r="A1450" s="39" t="s">
        <v>312</v>
      </c>
      <c r="B1450" s="40">
        <v>1892426.0</v>
      </c>
      <c r="C1450" s="40">
        <v>9.0</v>
      </c>
      <c r="D1450" s="41">
        <v>45985.473714629625</v>
      </c>
    </row>
    <row r="1451">
      <c r="A1451" s="39" t="s">
        <v>312</v>
      </c>
      <c r="B1451" s="40">
        <v>1892427.0</v>
      </c>
      <c r="C1451" s="40">
        <v>0.0</v>
      </c>
      <c r="D1451" s="41">
        <v>45979.620017442125</v>
      </c>
    </row>
    <row r="1452">
      <c r="A1452" s="39" t="s">
        <v>312</v>
      </c>
      <c r="B1452" s="40">
        <v>1892428.0</v>
      </c>
      <c r="C1452" s="40">
        <v>0.0</v>
      </c>
      <c r="D1452" s="41">
        <v>45976.716803993055</v>
      </c>
    </row>
    <row r="1453">
      <c r="A1453" s="39" t="s">
        <v>312</v>
      </c>
      <c r="B1453" s="40">
        <v>1902189.0</v>
      </c>
      <c r="C1453" s="40">
        <v>34.0</v>
      </c>
      <c r="D1453" s="41">
        <v>45994.30032498842</v>
      </c>
    </row>
    <row r="1454">
      <c r="A1454" s="39" t="s">
        <v>312</v>
      </c>
      <c r="B1454" s="40">
        <v>1905940.0</v>
      </c>
      <c r="C1454" s="40">
        <v>0.0</v>
      </c>
      <c r="D1454" s="41">
        <v>45997.72048396991</v>
      </c>
    </row>
    <row r="1455">
      <c r="A1455" s="39" t="s">
        <v>312</v>
      </c>
      <c r="B1455" s="40">
        <v>1905941.0</v>
      </c>
      <c r="C1455" s="40">
        <v>0.0</v>
      </c>
      <c r="D1455" s="41">
        <v>45997.72048752315</v>
      </c>
    </row>
    <row r="1456">
      <c r="A1456" s="39" t="s">
        <v>313</v>
      </c>
      <c r="B1456" s="40">
        <v>1871498.0</v>
      </c>
      <c r="C1456" s="40">
        <v>0.0</v>
      </c>
      <c r="D1456" s="41">
        <v>45968.48584112269</v>
      </c>
    </row>
    <row r="1457">
      <c r="A1457" s="39" t="s">
        <v>313</v>
      </c>
      <c r="B1457" s="40">
        <v>1871500.0</v>
      </c>
      <c r="C1457" s="40">
        <v>0.0</v>
      </c>
      <c r="D1457" s="41">
        <v>45968.48584383102</v>
      </c>
    </row>
    <row r="1458">
      <c r="A1458" s="39" t="s">
        <v>313</v>
      </c>
      <c r="B1458" s="40">
        <v>1871501.0</v>
      </c>
      <c r="C1458" s="40">
        <v>0.0</v>
      </c>
      <c r="D1458" s="41">
        <v>45968.48584638889</v>
      </c>
    </row>
    <row r="1459">
      <c r="A1459" s="39" t="s">
        <v>313</v>
      </c>
      <c r="B1459" s="40">
        <v>1871522.0</v>
      </c>
      <c r="C1459" s="40">
        <v>0.0</v>
      </c>
      <c r="D1459" s="41">
        <v>45968.48584883102</v>
      </c>
    </row>
    <row r="1460">
      <c r="A1460" s="39" t="s">
        <v>313</v>
      </c>
      <c r="B1460" s="40">
        <v>1871525.0</v>
      </c>
      <c r="C1460" s="40">
        <v>0.0</v>
      </c>
      <c r="D1460" s="41">
        <v>45968.48585138889</v>
      </c>
    </row>
    <row r="1461">
      <c r="A1461" s="39" t="s">
        <v>313</v>
      </c>
      <c r="B1461" s="40">
        <v>1873080.0</v>
      </c>
      <c r="C1461" s="40">
        <v>0.0</v>
      </c>
      <c r="D1461" s="41">
        <v>45968.48585398148</v>
      </c>
    </row>
    <row r="1462">
      <c r="A1462" s="39" t="s">
        <v>313</v>
      </c>
      <c r="B1462" s="40">
        <v>1873081.0</v>
      </c>
      <c r="C1462" s="40">
        <v>0.0</v>
      </c>
      <c r="D1462" s="41">
        <v>45968.48585670139</v>
      </c>
    </row>
    <row r="1463">
      <c r="A1463" s="39" t="s">
        <v>313</v>
      </c>
      <c r="B1463" s="40">
        <v>1873082.0</v>
      </c>
      <c r="C1463" s="40">
        <v>0.0</v>
      </c>
      <c r="D1463" s="41">
        <v>45968.48585907408</v>
      </c>
    </row>
    <row r="1464">
      <c r="A1464" s="39" t="s">
        <v>313</v>
      </c>
      <c r="B1464" s="40">
        <v>1873083.0</v>
      </c>
      <c r="C1464" s="40">
        <v>0.0</v>
      </c>
      <c r="D1464" s="41">
        <v>45968.48586144676</v>
      </c>
    </row>
    <row r="1465">
      <c r="A1465" s="39" t="s">
        <v>313</v>
      </c>
      <c r="B1465" s="40">
        <v>1873084.0</v>
      </c>
      <c r="C1465" s="40">
        <v>0.0</v>
      </c>
      <c r="D1465" s="41">
        <v>45968.48586405093</v>
      </c>
    </row>
    <row r="1466">
      <c r="A1466" s="39" t="s">
        <v>313</v>
      </c>
      <c r="B1466" s="40">
        <v>1880186.0</v>
      </c>
      <c r="C1466" s="40">
        <v>0.0</v>
      </c>
      <c r="D1466" s="41">
        <v>45969.72114620371</v>
      </c>
    </row>
    <row r="1467">
      <c r="A1467" s="39" t="s">
        <v>313</v>
      </c>
      <c r="B1467" s="40">
        <v>1880188.0</v>
      </c>
      <c r="C1467" s="40">
        <v>0.0</v>
      </c>
      <c r="D1467" s="41">
        <v>45969.721152569444</v>
      </c>
    </row>
    <row r="1468">
      <c r="A1468" s="39" t="s">
        <v>313</v>
      </c>
      <c r="B1468" s="40">
        <v>1880189.0</v>
      </c>
      <c r="C1468" s="40">
        <v>0.0</v>
      </c>
      <c r="D1468" s="41">
        <v>45969.721154872685</v>
      </c>
    </row>
    <row r="1469">
      <c r="A1469" s="39" t="s">
        <v>313</v>
      </c>
      <c r="B1469" s="40">
        <v>1880191.0</v>
      </c>
      <c r="C1469" s="40">
        <v>0.0</v>
      </c>
      <c r="D1469" s="41">
        <v>45969.72115716436</v>
      </c>
    </row>
    <row r="1470">
      <c r="A1470" s="39" t="s">
        <v>313</v>
      </c>
      <c r="B1470" s="40">
        <v>1880677.0</v>
      </c>
      <c r="C1470" s="40">
        <v>0.0</v>
      </c>
      <c r="D1470" s="41">
        <v>45969.72115886574</v>
      </c>
    </row>
    <row r="1471">
      <c r="A1471" s="39" t="s">
        <v>313</v>
      </c>
      <c r="B1471" s="40">
        <v>1892424.0</v>
      </c>
      <c r="C1471" s="40">
        <v>0.0</v>
      </c>
      <c r="D1471" s="41">
        <v>45972.86074780092</v>
      </c>
    </row>
    <row r="1472">
      <c r="A1472" s="39" t="s">
        <v>313</v>
      </c>
      <c r="B1472" s="40">
        <v>1892425.0</v>
      </c>
      <c r="C1472" s="40">
        <v>0.0</v>
      </c>
      <c r="D1472" s="41">
        <v>45976.71680583333</v>
      </c>
    </row>
    <row r="1473">
      <c r="A1473" s="39" t="s">
        <v>313</v>
      </c>
      <c r="B1473" s="40">
        <v>1892426.0</v>
      </c>
      <c r="C1473" s="40">
        <v>0.0</v>
      </c>
      <c r="D1473" s="41">
        <v>45976.71680755787</v>
      </c>
    </row>
    <row r="1474">
      <c r="A1474" s="39" t="s">
        <v>313</v>
      </c>
      <c r="B1474" s="40">
        <v>1892427.0</v>
      </c>
      <c r="C1474" s="40">
        <v>0.0</v>
      </c>
      <c r="D1474" s="41">
        <v>45979.62002217592</v>
      </c>
    </row>
    <row r="1475">
      <c r="A1475" s="39" t="s">
        <v>313</v>
      </c>
      <c r="B1475" s="40">
        <v>1892428.0</v>
      </c>
      <c r="C1475" s="40">
        <v>0.0</v>
      </c>
      <c r="D1475" s="41">
        <v>45976.71681056713</v>
      </c>
    </row>
    <row r="1476">
      <c r="A1476" s="39" t="s">
        <v>313</v>
      </c>
      <c r="B1476" s="40">
        <v>1902189.0</v>
      </c>
      <c r="C1476" s="40">
        <v>0.0</v>
      </c>
      <c r="D1476" s="41">
        <v>45992.42410108796</v>
      </c>
    </row>
    <row r="1477">
      <c r="A1477" s="39" t="s">
        <v>313</v>
      </c>
      <c r="B1477" s="40">
        <v>1905937.0</v>
      </c>
      <c r="C1477" s="40">
        <v>0.0</v>
      </c>
      <c r="D1477" s="41">
        <v>45997.720491817134</v>
      </c>
    </row>
    <row r="1478">
      <c r="A1478" s="39" t="s">
        <v>313</v>
      </c>
      <c r="B1478" s="40">
        <v>1905938.0</v>
      </c>
      <c r="C1478" s="40">
        <v>0.0</v>
      </c>
      <c r="D1478" s="41">
        <v>45997.72049555556</v>
      </c>
    </row>
    <row r="1479">
      <c r="A1479" s="39" t="s">
        <v>313</v>
      </c>
      <c r="B1479" s="40">
        <v>1905939.0</v>
      </c>
      <c r="C1479" s="40">
        <v>0.0</v>
      </c>
      <c r="D1479" s="41">
        <v>45997.72049953704</v>
      </c>
    </row>
    <row r="1480">
      <c r="A1480" s="39" t="s">
        <v>313</v>
      </c>
      <c r="B1480" s="40">
        <v>1905940.0</v>
      </c>
      <c r="C1480" s="40">
        <v>0.0</v>
      </c>
      <c r="D1480" s="41">
        <v>45997.720503703706</v>
      </c>
    </row>
    <row r="1481">
      <c r="A1481" s="39" t="s">
        <v>313</v>
      </c>
      <c r="B1481" s="40">
        <v>1905941.0</v>
      </c>
      <c r="C1481" s="40">
        <v>0.0</v>
      </c>
      <c r="D1481" s="41">
        <v>45997.7205078588</v>
      </c>
    </row>
    <row r="1482">
      <c r="A1482" s="39" t="s">
        <v>314</v>
      </c>
      <c r="B1482" s="40">
        <v>1871498.0</v>
      </c>
      <c r="C1482" s="40">
        <v>10.0</v>
      </c>
      <c r="D1482" s="41">
        <v>45968.48586671296</v>
      </c>
    </row>
    <row r="1483">
      <c r="A1483" s="39" t="s">
        <v>314</v>
      </c>
      <c r="B1483" s="40">
        <v>1871500.0</v>
      </c>
      <c r="C1483" s="40">
        <v>0.0</v>
      </c>
      <c r="D1483" s="41">
        <v>45968.48586976852</v>
      </c>
    </row>
    <row r="1484">
      <c r="A1484" s="39" t="s">
        <v>314</v>
      </c>
      <c r="B1484" s="40">
        <v>1871501.0</v>
      </c>
      <c r="C1484" s="40">
        <v>0.0</v>
      </c>
      <c r="D1484" s="41">
        <v>45968.48587527778</v>
      </c>
    </row>
    <row r="1485">
      <c r="A1485" s="39" t="s">
        <v>314</v>
      </c>
      <c r="B1485" s="40">
        <v>1871522.0</v>
      </c>
      <c r="C1485" s="40">
        <v>0.0</v>
      </c>
      <c r="D1485" s="41">
        <v>45968.48588094907</v>
      </c>
    </row>
    <row r="1486">
      <c r="A1486" s="39" t="s">
        <v>314</v>
      </c>
      <c r="B1486" s="40">
        <v>1871525.0</v>
      </c>
      <c r="C1486" s="40">
        <v>0.0</v>
      </c>
      <c r="D1486" s="41">
        <v>45968.485884814814</v>
      </c>
    </row>
    <row r="1487">
      <c r="A1487" s="39" t="s">
        <v>314</v>
      </c>
      <c r="B1487" s="40">
        <v>1873080.0</v>
      </c>
      <c r="C1487" s="40">
        <v>10.0</v>
      </c>
      <c r="D1487" s="41">
        <v>45968.48588763889</v>
      </c>
    </row>
    <row r="1488">
      <c r="A1488" s="39" t="s">
        <v>314</v>
      </c>
      <c r="B1488" s="40">
        <v>1873081.0</v>
      </c>
      <c r="C1488" s="40">
        <v>0.0</v>
      </c>
      <c r="D1488" s="41">
        <v>45968.48589043981</v>
      </c>
    </row>
    <row r="1489">
      <c r="A1489" s="39" t="s">
        <v>314</v>
      </c>
      <c r="B1489" s="40">
        <v>1873082.0</v>
      </c>
      <c r="C1489" s="40">
        <v>0.0</v>
      </c>
      <c r="D1489" s="41">
        <v>45968.48589305556</v>
      </c>
    </row>
    <row r="1490">
      <c r="A1490" s="39" t="s">
        <v>314</v>
      </c>
      <c r="B1490" s="40">
        <v>1873083.0</v>
      </c>
      <c r="C1490" s="40">
        <v>0.0</v>
      </c>
      <c r="D1490" s="41">
        <v>45968.48589575231</v>
      </c>
    </row>
    <row r="1491">
      <c r="A1491" s="39" t="s">
        <v>314</v>
      </c>
      <c r="B1491" s="40">
        <v>1873084.0</v>
      </c>
      <c r="C1491" s="40">
        <v>0.0</v>
      </c>
      <c r="D1491" s="41">
        <v>45968.48589931713</v>
      </c>
    </row>
    <row r="1492">
      <c r="A1492" s="39" t="s">
        <v>314</v>
      </c>
      <c r="B1492" s="40">
        <v>1880186.0</v>
      </c>
      <c r="C1492" s="40">
        <v>0.0</v>
      </c>
      <c r="D1492" s="41">
        <v>45969.72116068287</v>
      </c>
    </row>
    <row r="1493">
      <c r="A1493" s="39" t="s">
        <v>314</v>
      </c>
      <c r="B1493" s="40">
        <v>1880188.0</v>
      </c>
      <c r="C1493" s="40">
        <v>0.0</v>
      </c>
      <c r="D1493" s="41">
        <v>45969.721162870366</v>
      </c>
    </row>
    <row r="1494">
      <c r="A1494" s="39" t="s">
        <v>314</v>
      </c>
      <c r="B1494" s="40">
        <v>1880189.0</v>
      </c>
      <c r="C1494" s="40">
        <v>0.0</v>
      </c>
      <c r="D1494" s="41">
        <v>45969.72116489583</v>
      </c>
    </row>
    <row r="1495">
      <c r="A1495" s="39" t="s">
        <v>314</v>
      </c>
      <c r="B1495" s="40">
        <v>1880191.0</v>
      </c>
      <c r="C1495" s="40">
        <v>0.0</v>
      </c>
      <c r="D1495" s="41">
        <v>45969.721167627315</v>
      </c>
    </row>
    <row r="1496">
      <c r="A1496" s="39" t="s">
        <v>314</v>
      </c>
      <c r="B1496" s="40">
        <v>1880677.0</v>
      </c>
      <c r="C1496" s="40">
        <v>0.0</v>
      </c>
      <c r="D1496" s="41">
        <v>45969.72116960648</v>
      </c>
    </row>
    <row r="1497">
      <c r="A1497" s="39" t="s">
        <v>314</v>
      </c>
      <c r="B1497" s="40">
        <v>1892424.0</v>
      </c>
      <c r="C1497" s="40">
        <v>0.0</v>
      </c>
      <c r="D1497" s="41">
        <v>45972.860751238426</v>
      </c>
    </row>
    <row r="1498">
      <c r="A1498" s="39" t="s">
        <v>314</v>
      </c>
      <c r="B1498" s="40">
        <v>1892425.0</v>
      </c>
      <c r="C1498" s="40">
        <v>0.0</v>
      </c>
      <c r="D1498" s="41">
        <v>45976.71681319445</v>
      </c>
    </row>
    <row r="1499">
      <c r="A1499" s="39" t="s">
        <v>314</v>
      </c>
      <c r="B1499" s="40">
        <v>1892426.0</v>
      </c>
      <c r="C1499" s="40">
        <v>0.0</v>
      </c>
      <c r="D1499" s="41">
        <v>45976.71681460648</v>
      </c>
    </row>
    <row r="1500">
      <c r="A1500" s="39" t="s">
        <v>314</v>
      </c>
      <c r="B1500" s="40">
        <v>1892427.0</v>
      </c>
      <c r="C1500" s="40">
        <v>0.0</v>
      </c>
      <c r="D1500" s="41">
        <v>45979.62002530093</v>
      </c>
    </row>
    <row r="1501">
      <c r="A1501" s="39" t="s">
        <v>314</v>
      </c>
      <c r="B1501" s="40">
        <v>1892428.0</v>
      </c>
      <c r="C1501" s="40">
        <v>0.0</v>
      </c>
      <c r="D1501" s="41">
        <v>45976.71682435185</v>
      </c>
    </row>
    <row r="1502">
      <c r="A1502" s="39" t="s">
        <v>314</v>
      </c>
      <c r="B1502" s="40">
        <v>1902189.0</v>
      </c>
      <c r="C1502" s="40">
        <v>0.0</v>
      </c>
      <c r="D1502" s="41">
        <v>45992.424104618054</v>
      </c>
    </row>
    <row r="1503">
      <c r="A1503" s="39" t="s">
        <v>314</v>
      </c>
      <c r="B1503" s="40">
        <v>1905937.0</v>
      </c>
      <c r="C1503" s="40">
        <v>0.0</v>
      </c>
      <c r="D1503" s="41">
        <v>45997.720511168984</v>
      </c>
    </row>
    <row r="1504">
      <c r="A1504" s="39" t="s">
        <v>314</v>
      </c>
      <c r="B1504" s="40">
        <v>1905938.0</v>
      </c>
      <c r="C1504" s="40">
        <v>0.0</v>
      </c>
      <c r="D1504" s="41">
        <v>45997.720514189816</v>
      </c>
    </row>
    <row r="1505">
      <c r="A1505" s="39" t="s">
        <v>314</v>
      </c>
      <c r="B1505" s="40">
        <v>1905939.0</v>
      </c>
      <c r="C1505" s="40">
        <v>0.0</v>
      </c>
      <c r="D1505" s="41">
        <v>45997.72051758102</v>
      </c>
    </row>
    <row r="1506">
      <c r="A1506" s="39" t="s">
        <v>314</v>
      </c>
      <c r="B1506" s="40">
        <v>1905940.0</v>
      </c>
      <c r="C1506" s="40">
        <v>0.0</v>
      </c>
      <c r="D1506" s="41">
        <v>45997.72052126157</v>
      </c>
    </row>
    <row r="1507">
      <c r="A1507" s="39" t="s">
        <v>314</v>
      </c>
      <c r="B1507" s="40">
        <v>1905941.0</v>
      </c>
      <c r="C1507" s="40">
        <v>0.0</v>
      </c>
      <c r="D1507" s="41">
        <v>45997.72052509259</v>
      </c>
    </row>
    <row r="1508">
      <c r="A1508" s="39" t="s">
        <v>315</v>
      </c>
      <c r="B1508" s="40">
        <v>1871498.0</v>
      </c>
      <c r="C1508" s="40">
        <v>10.0</v>
      </c>
      <c r="D1508" s="41">
        <v>45968.48590197916</v>
      </c>
    </row>
    <row r="1509">
      <c r="A1509" s="39" t="s">
        <v>315</v>
      </c>
      <c r="B1509" s="40">
        <v>1871500.0</v>
      </c>
      <c r="C1509" s="40">
        <v>10.0</v>
      </c>
      <c r="D1509" s="41">
        <v>45968.48590479167</v>
      </c>
    </row>
    <row r="1510">
      <c r="A1510" s="39" t="s">
        <v>315</v>
      </c>
      <c r="B1510" s="40">
        <v>1871501.0</v>
      </c>
      <c r="C1510" s="40">
        <v>13.0</v>
      </c>
      <c r="D1510" s="41">
        <v>45969.72117265046</v>
      </c>
    </row>
    <row r="1511">
      <c r="A1511" s="39" t="s">
        <v>315</v>
      </c>
      <c r="B1511" s="40">
        <v>1871522.0</v>
      </c>
      <c r="C1511" s="40">
        <v>6.0</v>
      </c>
      <c r="D1511" s="41">
        <v>45977.71263177083</v>
      </c>
    </row>
    <row r="1512">
      <c r="A1512" s="39" t="s">
        <v>315</v>
      </c>
      <c r="B1512" s="40">
        <v>1871525.0</v>
      </c>
      <c r="C1512" s="40">
        <v>10.0</v>
      </c>
      <c r="D1512" s="41">
        <v>45978.5668868287</v>
      </c>
    </row>
    <row r="1513">
      <c r="A1513" s="39" t="s">
        <v>315</v>
      </c>
      <c r="B1513" s="40">
        <v>1873080.0</v>
      </c>
      <c r="C1513" s="40">
        <v>10.0</v>
      </c>
      <c r="D1513" s="41">
        <v>45978.598076689814</v>
      </c>
    </row>
    <row r="1514">
      <c r="A1514" s="39" t="s">
        <v>315</v>
      </c>
      <c r="B1514" s="40">
        <v>1873081.0</v>
      </c>
      <c r="C1514" s="40">
        <v>13.0</v>
      </c>
      <c r="D1514" s="41">
        <v>45981.29615401621</v>
      </c>
    </row>
    <row r="1515">
      <c r="A1515" s="39" t="s">
        <v>315</v>
      </c>
      <c r="B1515" s="40">
        <v>1873082.0</v>
      </c>
      <c r="C1515" s="40">
        <v>10.0</v>
      </c>
      <c r="D1515" s="41">
        <v>45984.71285618056</v>
      </c>
    </row>
    <row r="1516">
      <c r="A1516" s="39" t="s">
        <v>315</v>
      </c>
      <c r="B1516" s="40">
        <v>1873083.0</v>
      </c>
      <c r="C1516" s="40">
        <v>0.0</v>
      </c>
      <c r="D1516" s="41">
        <v>45968.48592398148</v>
      </c>
    </row>
    <row r="1517">
      <c r="A1517" s="39" t="s">
        <v>315</v>
      </c>
      <c r="B1517" s="40">
        <v>1873084.0</v>
      </c>
      <c r="C1517" s="40">
        <v>10.0</v>
      </c>
      <c r="D1517" s="41">
        <v>45985.71324814815</v>
      </c>
    </row>
    <row r="1518">
      <c r="A1518" s="39" t="s">
        <v>315</v>
      </c>
      <c r="B1518" s="40">
        <v>1880186.0</v>
      </c>
      <c r="C1518" s="40">
        <v>10.0</v>
      </c>
      <c r="D1518" s="41">
        <v>45985.71325158565</v>
      </c>
    </row>
    <row r="1519">
      <c r="A1519" s="39" t="s">
        <v>315</v>
      </c>
      <c r="B1519" s="40">
        <v>1880677.0</v>
      </c>
      <c r="C1519" s="40">
        <v>10.0</v>
      </c>
      <c r="D1519" s="41">
        <v>45985.72340336806</v>
      </c>
    </row>
    <row r="1520">
      <c r="A1520" s="39" t="s">
        <v>315</v>
      </c>
      <c r="B1520" s="40">
        <v>1892424.0</v>
      </c>
      <c r="C1520" s="40">
        <v>10.0</v>
      </c>
      <c r="D1520" s="41">
        <v>45986.29639471065</v>
      </c>
    </row>
    <row r="1521">
      <c r="A1521" s="39" t="s">
        <v>315</v>
      </c>
      <c r="B1521" s="40">
        <v>1892425.0</v>
      </c>
      <c r="C1521" s="40">
        <v>9.0</v>
      </c>
      <c r="D1521" s="41">
        <v>45986.296398032406</v>
      </c>
    </row>
    <row r="1522">
      <c r="A1522" s="39" t="s">
        <v>315</v>
      </c>
      <c r="B1522" s="40">
        <v>1892426.0</v>
      </c>
      <c r="C1522" s="40">
        <v>9.0</v>
      </c>
      <c r="D1522" s="41">
        <v>45986.29640439815</v>
      </c>
    </row>
    <row r="1523">
      <c r="A1523" s="39" t="s">
        <v>315</v>
      </c>
      <c r="B1523" s="40">
        <v>1892427.0</v>
      </c>
      <c r="C1523" s="40">
        <v>0.0</v>
      </c>
      <c r="D1523" s="41">
        <v>45979.62002828704</v>
      </c>
    </row>
    <row r="1524">
      <c r="A1524" s="39" t="s">
        <v>315</v>
      </c>
      <c r="B1524" s="40">
        <v>1892428.0</v>
      </c>
      <c r="C1524" s="40">
        <v>4.0</v>
      </c>
      <c r="D1524" s="41">
        <v>45986.29640752314</v>
      </c>
    </row>
    <row r="1525">
      <c r="A1525" s="39" t="s">
        <v>315</v>
      </c>
      <c r="B1525" s="40">
        <v>1902189.0</v>
      </c>
      <c r="C1525" s="40">
        <v>0.0</v>
      </c>
      <c r="D1525" s="41">
        <v>45992.424123969904</v>
      </c>
    </row>
    <row r="1526">
      <c r="A1526" s="39" t="s">
        <v>316</v>
      </c>
      <c r="B1526" s="40">
        <v>1871498.0</v>
      </c>
      <c r="C1526" s="40">
        <v>10.0</v>
      </c>
      <c r="D1526" s="41">
        <v>45968.48592972222</v>
      </c>
    </row>
    <row r="1527">
      <c r="A1527" s="39" t="s">
        <v>316</v>
      </c>
      <c r="B1527" s="40">
        <v>1871500.0</v>
      </c>
      <c r="C1527" s="40">
        <v>5.0</v>
      </c>
      <c r="D1527" s="41">
        <v>45968.48593241898</v>
      </c>
    </row>
    <row r="1528">
      <c r="A1528" s="39" t="s">
        <v>316</v>
      </c>
      <c r="B1528" s="40">
        <v>1871501.0</v>
      </c>
      <c r="C1528" s="40">
        <v>3.0</v>
      </c>
      <c r="D1528" s="41">
        <v>45968.48593524305</v>
      </c>
    </row>
    <row r="1529">
      <c r="A1529" s="39" t="s">
        <v>316</v>
      </c>
      <c r="B1529" s="40">
        <v>1871522.0</v>
      </c>
      <c r="C1529" s="40">
        <v>4.0</v>
      </c>
      <c r="D1529" s="41">
        <v>45968.48593809028</v>
      </c>
    </row>
    <row r="1530">
      <c r="A1530" s="39" t="s">
        <v>316</v>
      </c>
      <c r="B1530" s="40">
        <v>1871525.0</v>
      </c>
      <c r="C1530" s="40">
        <v>7.0</v>
      </c>
      <c r="D1530" s="41">
        <v>45975.610691643524</v>
      </c>
    </row>
    <row r="1531">
      <c r="A1531" s="39" t="s">
        <v>316</v>
      </c>
      <c r="B1531" s="40">
        <v>1873080.0</v>
      </c>
      <c r="C1531" s="40">
        <v>10.0</v>
      </c>
      <c r="D1531" s="41">
        <v>45968.48594434028</v>
      </c>
    </row>
    <row r="1532">
      <c r="A1532" s="39" t="s">
        <v>316</v>
      </c>
      <c r="B1532" s="40">
        <v>1873081.0</v>
      </c>
      <c r="C1532" s="40">
        <v>13.0</v>
      </c>
      <c r="D1532" s="41">
        <v>45968.48594694445</v>
      </c>
    </row>
    <row r="1533">
      <c r="A1533" s="39" t="s">
        <v>316</v>
      </c>
      <c r="B1533" s="40">
        <v>1873082.0</v>
      </c>
      <c r="C1533" s="40">
        <v>10.0</v>
      </c>
      <c r="D1533" s="41">
        <v>45968.485950208335</v>
      </c>
    </row>
    <row r="1534">
      <c r="A1534" s="39" t="s">
        <v>316</v>
      </c>
      <c r="B1534" s="40">
        <v>1873083.0</v>
      </c>
      <c r="C1534" s="40">
        <v>0.0</v>
      </c>
      <c r="D1534" s="41">
        <v>45968.48595371528</v>
      </c>
    </row>
    <row r="1535">
      <c r="A1535" s="39" t="s">
        <v>316</v>
      </c>
      <c r="B1535" s="40">
        <v>1873084.0</v>
      </c>
      <c r="C1535" s="40">
        <v>10.0</v>
      </c>
      <c r="D1535" s="41">
        <v>45968.48597167824</v>
      </c>
    </row>
    <row r="1536">
      <c r="A1536" s="39" t="s">
        <v>316</v>
      </c>
      <c r="B1536" s="40">
        <v>1880186.0</v>
      </c>
      <c r="C1536" s="40">
        <v>10.0</v>
      </c>
      <c r="D1536" s="41">
        <v>45968.48597444444</v>
      </c>
    </row>
    <row r="1537">
      <c r="A1537" s="39" t="s">
        <v>316</v>
      </c>
      <c r="B1537" s="40">
        <v>1880188.0</v>
      </c>
      <c r="C1537" s="40">
        <v>17.0</v>
      </c>
      <c r="D1537" s="41">
        <v>45968.571687731484</v>
      </c>
    </row>
    <row r="1538">
      <c r="A1538" s="39" t="s">
        <v>316</v>
      </c>
      <c r="B1538" s="40">
        <v>1880189.0</v>
      </c>
      <c r="C1538" s="40">
        <v>9.0</v>
      </c>
      <c r="D1538" s="41">
        <v>45968.59239089121</v>
      </c>
    </row>
    <row r="1539">
      <c r="A1539" s="39" t="s">
        <v>316</v>
      </c>
      <c r="B1539" s="40">
        <v>1880677.0</v>
      </c>
      <c r="C1539" s="40">
        <v>10.0</v>
      </c>
      <c r="D1539" s="41">
        <v>45968.63370465278</v>
      </c>
    </row>
    <row r="1540">
      <c r="A1540" s="39" t="s">
        <v>316</v>
      </c>
      <c r="B1540" s="40">
        <v>1892424.0</v>
      </c>
      <c r="C1540" s="40">
        <v>10.0</v>
      </c>
      <c r="D1540" s="41">
        <v>45973.849206597224</v>
      </c>
    </row>
    <row r="1541">
      <c r="A1541" s="39" t="s">
        <v>316</v>
      </c>
      <c r="B1541" s="40">
        <v>1892425.0</v>
      </c>
      <c r="C1541" s="40">
        <v>9.0</v>
      </c>
      <c r="D1541" s="41">
        <v>45973.84920865741</v>
      </c>
    </row>
    <row r="1542">
      <c r="A1542" s="39" t="s">
        <v>316</v>
      </c>
      <c r="B1542" s="40">
        <v>1892426.0</v>
      </c>
      <c r="C1542" s="40">
        <v>9.0</v>
      </c>
      <c r="D1542" s="41">
        <v>45985.47372216435</v>
      </c>
    </row>
    <row r="1543">
      <c r="A1543" s="39" t="s">
        <v>316</v>
      </c>
      <c r="B1543" s="40">
        <v>1892427.0</v>
      </c>
      <c r="C1543" s="40">
        <v>5.0</v>
      </c>
      <c r="D1543" s="41">
        <v>45979.62003527778</v>
      </c>
    </row>
    <row r="1544">
      <c r="A1544" s="39" t="s">
        <v>316</v>
      </c>
      <c r="B1544" s="40">
        <v>1892428.0</v>
      </c>
      <c r="C1544" s="40">
        <v>4.0</v>
      </c>
      <c r="D1544" s="41">
        <v>45973.87098504629</v>
      </c>
    </row>
    <row r="1545">
      <c r="A1545" s="39" t="s">
        <v>316</v>
      </c>
      <c r="B1545" s="40">
        <v>1902189.0</v>
      </c>
      <c r="C1545" s="40">
        <v>0.0</v>
      </c>
      <c r="D1545" s="41">
        <v>45992.42413313658</v>
      </c>
    </row>
    <row r="1546">
      <c r="A1546" s="39" t="s">
        <v>316</v>
      </c>
      <c r="B1546" s="40">
        <v>1905939.0</v>
      </c>
      <c r="C1546" s="40">
        <v>0.0</v>
      </c>
      <c r="D1546" s="41">
        <v>45997.720581828704</v>
      </c>
    </row>
    <row r="1547">
      <c r="A1547" s="39" t="s">
        <v>317</v>
      </c>
      <c r="B1547" s="40">
        <v>1871498.0</v>
      </c>
      <c r="C1547" s="40">
        <v>10.0</v>
      </c>
      <c r="D1547" s="41">
        <v>45968.48597731482</v>
      </c>
    </row>
    <row r="1548">
      <c r="A1548" s="39" t="s">
        <v>317</v>
      </c>
      <c r="B1548" s="40">
        <v>1871500.0</v>
      </c>
      <c r="C1548" s="40">
        <v>8.0</v>
      </c>
      <c r="D1548" s="41">
        <v>45968.485979895835</v>
      </c>
    </row>
    <row r="1549">
      <c r="A1549" s="39" t="s">
        <v>317</v>
      </c>
      <c r="B1549" s="40">
        <v>1871501.0</v>
      </c>
      <c r="C1549" s="40">
        <v>0.0</v>
      </c>
      <c r="D1549" s="41">
        <v>45968.485982384256</v>
      </c>
    </row>
    <row r="1550">
      <c r="A1550" s="39" t="s">
        <v>317</v>
      </c>
      <c r="B1550" s="40">
        <v>1871522.0</v>
      </c>
      <c r="C1550" s="40">
        <v>2.0</v>
      </c>
      <c r="D1550" s="41">
        <v>45968.58119540509</v>
      </c>
    </row>
    <row r="1551">
      <c r="A1551" s="39" t="s">
        <v>317</v>
      </c>
      <c r="B1551" s="40">
        <v>1871525.0</v>
      </c>
      <c r="C1551" s="40">
        <v>4.0</v>
      </c>
      <c r="D1551" s="41">
        <v>45968.59239548611</v>
      </c>
    </row>
    <row r="1552">
      <c r="A1552" s="39" t="s">
        <v>317</v>
      </c>
      <c r="B1552" s="40">
        <v>1873080.0</v>
      </c>
      <c r="C1552" s="40">
        <v>10.0</v>
      </c>
      <c r="D1552" s="41">
        <v>45968.48601025463</v>
      </c>
    </row>
    <row r="1553">
      <c r="A1553" s="39" t="s">
        <v>317</v>
      </c>
      <c r="B1553" s="40">
        <v>1873081.0</v>
      </c>
      <c r="C1553" s="40">
        <v>7.0</v>
      </c>
      <c r="D1553" s="41">
        <v>45968.48601375</v>
      </c>
    </row>
    <row r="1554">
      <c r="A1554" s="39" t="s">
        <v>317</v>
      </c>
      <c r="B1554" s="40">
        <v>1873082.0</v>
      </c>
      <c r="C1554" s="40">
        <v>7.0</v>
      </c>
      <c r="D1554" s="41">
        <v>45973.45448635417</v>
      </c>
    </row>
    <row r="1555">
      <c r="A1555" s="39" t="s">
        <v>317</v>
      </c>
      <c r="B1555" s="40">
        <v>1873083.0</v>
      </c>
      <c r="C1555" s="40">
        <v>0.0</v>
      </c>
      <c r="D1555" s="41">
        <v>45968.48602273148</v>
      </c>
    </row>
    <row r="1556">
      <c r="A1556" s="39" t="s">
        <v>317</v>
      </c>
      <c r="B1556" s="40">
        <v>1873084.0</v>
      </c>
      <c r="C1556" s="40">
        <v>10.0</v>
      </c>
      <c r="D1556" s="41">
        <v>45981.57746778935</v>
      </c>
    </row>
    <row r="1557">
      <c r="A1557" s="39" t="s">
        <v>317</v>
      </c>
      <c r="B1557" s="40">
        <v>1880186.0</v>
      </c>
      <c r="C1557" s="40">
        <v>10.0</v>
      </c>
      <c r="D1557" s="41">
        <v>45982.29622667824</v>
      </c>
    </row>
    <row r="1558">
      <c r="A1558" s="39" t="s">
        <v>317</v>
      </c>
      <c r="B1558" s="40">
        <v>1880188.0</v>
      </c>
      <c r="C1558" s="40">
        <v>0.0</v>
      </c>
      <c r="D1558" s="41">
        <v>45969.72119096065</v>
      </c>
    </row>
    <row r="1559">
      <c r="A1559" s="39" t="s">
        <v>317</v>
      </c>
      <c r="B1559" s="40">
        <v>1880189.0</v>
      </c>
      <c r="C1559" s="40">
        <v>0.0</v>
      </c>
      <c r="D1559" s="41">
        <v>45969.72119314814</v>
      </c>
    </row>
    <row r="1560">
      <c r="A1560" s="39" t="s">
        <v>317</v>
      </c>
      <c r="B1560" s="40">
        <v>1880191.0</v>
      </c>
      <c r="C1560" s="40">
        <v>0.0</v>
      </c>
      <c r="D1560" s="41">
        <v>45969.72119552083</v>
      </c>
    </row>
    <row r="1561">
      <c r="A1561" s="39" t="s">
        <v>317</v>
      </c>
      <c r="B1561" s="40">
        <v>1880677.0</v>
      </c>
      <c r="C1561" s="40">
        <v>0.0</v>
      </c>
      <c r="D1561" s="41">
        <v>45969.72121055555</v>
      </c>
    </row>
    <row r="1562">
      <c r="A1562" s="39" t="s">
        <v>317</v>
      </c>
      <c r="B1562" s="40">
        <v>1892424.0</v>
      </c>
      <c r="C1562" s="40">
        <v>0.0</v>
      </c>
      <c r="D1562" s="41">
        <v>45972.86077804398</v>
      </c>
    </row>
    <row r="1563">
      <c r="A1563" s="39" t="s">
        <v>317</v>
      </c>
      <c r="B1563" s="40">
        <v>1892425.0</v>
      </c>
      <c r="C1563" s="40">
        <v>0.0</v>
      </c>
      <c r="D1563" s="41">
        <v>45976.71683527778</v>
      </c>
    </row>
    <row r="1564">
      <c r="A1564" s="39" t="s">
        <v>317</v>
      </c>
      <c r="B1564" s="40">
        <v>1892426.0</v>
      </c>
      <c r="C1564" s="40">
        <v>0.0</v>
      </c>
      <c r="D1564" s="41">
        <v>45976.71683763889</v>
      </c>
    </row>
    <row r="1565">
      <c r="A1565" s="39" t="s">
        <v>317</v>
      </c>
      <c r="B1565" s="40">
        <v>1892427.0</v>
      </c>
      <c r="C1565" s="40">
        <v>0.0</v>
      </c>
      <c r="D1565" s="41">
        <v>45979.620038368055</v>
      </c>
    </row>
    <row r="1566">
      <c r="A1566" s="39" t="s">
        <v>317</v>
      </c>
      <c r="B1566" s="40">
        <v>1892428.0</v>
      </c>
      <c r="C1566" s="40">
        <v>0.0</v>
      </c>
      <c r="D1566" s="41">
        <v>45976.71685111111</v>
      </c>
    </row>
    <row r="1567">
      <c r="A1567" s="39" t="s">
        <v>317</v>
      </c>
      <c r="B1567" s="40">
        <v>1902189.0</v>
      </c>
      <c r="C1567" s="40">
        <v>0.0</v>
      </c>
      <c r="D1567" s="41">
        <v>45992.424136875</v>
      </c>
    </row>
    <row r="1568">
      <c r="A1568" s="39" t="s">
        <v>317</v>
      </c>
      <c r="B1568" s="40">
        <v>1905938.0</v>
      </c>
      <c r="C1568" s="40">
        <v>0.0</v>
      </c>
      <c r="D1568" s="41">
        <v>45997.72059668982</v>
      </c>
    </row>
    <row r="1569">
      <c r="A1569" s="39" t="s">
        <v>317</v>
      </c>
      <c r="B1569" s="40">
        <v>1905939.0</v>
      </c>
      <c r="C1569" s="40">
        <v>0.0</v>
      </c>
      <c r="D1569" s="41">
        <v>45997.720599629625</v>
      </c>
    </row>
    <row r="1570">
      <c r="A1570" s="39" t="s">
        <v>317</v>
      </c>
      <c r="B1570" s="40">
        <v>1905940.0</v>
      </c>
      <c r="C1570" s="40">
        <v>0.0</v>
      </c>
      <c r="D1570" s="41">
        <v>45997.720611655095</v>
      </c>
    </row>
    <row r="1571">
      <c r="A1571" s="39" t="s">
        <v>317</v>
      </c>
      <c r="B1571" s="40">
        <v>1905941.0</v>
      </c>
      <c r="C1571" s="40">
        <v>0.0</v>
      </c>
      <c r="D1571" s="41">
        <v>45997.72061533565</v>
      </c>
    </row>
    <row r="1572">
      <c r="A1572" s="39" t="s">
        <v>318</v>
      </c>
      <c r="B1572" s="40">
        <v>1871498.0</v>
      </c>
      <c r="C1572" s="40">
        <v>10.0</v>
      </c>
      <c r="D1572" s="41">
        <v>45982.442289467595</v>
      </c>
    </row>
    <row r="1573">
      <c r="A1573" s="39" t="s">
        <v>318</v>
      </c>
      <c r="B1573" s="40">
        <v>1871500.0</v>
      </c>
      <c r="C1573" s="40">
        <v>7.0</v>
      </c>
      <c r="D1573" s="41">
        <v>45982.62073296296</v>
      </c>
    </row>
    <row r="1574">
      <c r="A1574" s="39" t="s">
        <v>318</v>
      </c>
      <c r="B1574" s="40">
        <v>1871501.0</v>
      </c>
      <c r="C1574" s="40">
        <v>5.0</v>
      </c>
      <c r="D1574" s="41">
        <v>45982.62976578704</v>
      </c>
    </row>
    <row r="1575">
      <c r="A1575" s="39" t="s">
        <v>318</v>
      </c>
      <c r="B1575" s="40">
        <v>1871522.0</v>
      </c>
      <c r="C1575" s="40">
        <v>0.0</v>
      </c>
      <c r="D1575" s="41">
        <v>45968.48604118056</v>
      </c>
    </row>
    <row r="1576">
      <c r="A1576" s="39" t="s">
        <v>318</v>
      </c>
      <c r="B1576" s="40">
        <v>1871525.0</v>
      </c>
      <c r="C1576" s="40">
        <v>0.0</v>
      </c>
      <c r="D1576" s="41">
        <v>45968.48604438658</v>
      </c>
    </row>
    <row r="1577">
      <c r="A1577" s="39" t="s">
        <v>318</v>
      </c>
      <c r="B1577" s="40">
        <v>1873080.0</v>
      </c>
      <c r="C1577" s="40">
        <v>10.0</v>
      </c>
      <c r="D1577" s="41">
        <v>45968.486047280094</v>
      </c>
    </row>
    <row r="1578">
      <c r="A1578" s="39" t="s">
        <v>318</v>
      </c>
      <c r="B1578" s="40">
        <v>1873081.0</v>
      </c>
      <c r="C1578" s="40">
        <v>8.0</v>
      </c>
      <c r="D1578" s="41">
        <v>45968.48605049768</v>
      </c>
    </row>
    <row r="1579">
      <c r="A1579" s="39" t="s">
        <v>318</v>
      </c>
      <c r="B1579" s="40">
        <v>1873082.0</v>
      </c>
      <c r="C1579" s="40">
        <v>2.0</v>
      </c>
      <c r="D1579" s="41">
        <v>45968.486053368055</v>
      </c>
    </row>
    <row r="1580">
      <c r="A1580" s="39" t="s">
        <v>318</v>
      </c>
      <c r="B1580" s="40">
        <v>1873083.0</v>
      </c>
      <c r="C1580" s="40">
        <v>0.0</v>
      </c>
      <c r="D1580" s="41">
        <v>45968.48605810185</v>
      </c>
    </row>
    <row r="1581">
      <c r="A1581" s="39" t="s">
        <v>318</v>
      </c>
      <c r="B1581" s="40">
        <v>1873084.0</v>
      </c>
      <c r="C1581" s="40">
        <v>10.0</v>
      </c>
      <c r="D1581" s="41">
        <v>45968.48606065972</v>
      </c>
    </row>
    <row r="1582">
      <c r="A1582" s="39" t="s">
        <v>318</v>
      </c>
      <c r="B1582" s="40">
        <v>1880186.0</v>
      </c>
      <c r="C1582" s="40">
        <v>10.0</v>
      </c>
      <c r="D1582" s="41">
        <v>45968.48607293981</v>
      </c>
    </row>
    <row r="1583">
      <c r="A1583" s="39" t="s">
        <v>318</v>
      </c>
      <c r="B1583" s="40">
        <v>1880188.0</v>
      </c>
      <c r="C1583" s="40">
        <v>0.0</v>
      </c>
      <c r="D1583" s="41">
        <v>45969.72122284722</v>
      </c>
    </row>
    <row r="1584">
      <c r="A1584" s="39" t="s">
        <v>318</v>
      </c>
      <c r="B1584" s="40">
        <v>1880189.0</v>
      </c>
      <c r="C1584" s="40">
        <v>0.0</v>
      </c>
      <c r="D1584" s="41">
        <v>45969.721225497684</v>
      </c>
    </row>
    <row r="1585">
      <c r="A1585" s="39" t="s">
        <v>318</v>
      </c>
      <c r="B1585" s="40">
        <v>1880191.0</v>
      </c>
      <c r="C1585" s="40">
        <v>0.0</v>
      </c>
      <c r="D1585" s="41">
        <v>45969.72123173611</v>
      </c>
    </row>
    <row r="1586">
      <c r="A1586" s="39" t="s">
        <v>318</v>
      </c>
      <c r="B1586" s="40">
        <v>1880677.0</v>
      </c>
      <c r="C1586" s="40">
        <v>0.0</v>
      </c>
      <c r="D1586" s="41">
        <v>45969.72123361111</v>
      </c>
    </row>
    <row r="1587">
      <c r="A1587" s="39" t="s">
        <v>318</v>
      </c>
      <c r="B1587" s="40">
        <v>1892424.0</v>
      </c>
      <c r="C1587" s="40">
        <v>0.0</v>
      </c>
      <c r="D1587" s="41">
        <v>45972.860787847225</v>
      </c>
    </row>
    <row r="1588">
      <c r="A1588" s="39" t="s">
        <v>318</v>
      </c>
      <c r="B1588" s="40">
        <v>1892425.0</v>
      </c>
      <c r="C1588" s="40">
        <v>0.0</v>
      </c>
      <c r="D1588" s="41">
        <v>45976.71685296296</v>
      </c>
    </row>
    <row r="1589">
      <c r="A1589" s="39" t="s">
        <v>318</v>
      </c>
      <c r="B1589" s="40">
        <v>1892426.0</v>
      </c>
      <c r="C1589" s="40">
        <v>0.0</v>
      </c>
      <c r="D1589" s="41">
        <v>45976.71685616898</v>
      </c>
    </row>
    <row r="1590">
      <c r="A1590" s="39" t="s">
        <v>318</v>
      </c>
      <c r="B1590" s="40">
        <v>1892427.0</v>
      </c>
      <c r="C1590" s="40">
        <v>0.0</v>
      </c>
      <c r="D1590" s="41">
        <v>45979.620041331014</v>
      </c>
    </row>
    <row r="1591">
      <c r="A1591" s="39" t="s">
        <v>318</v>
      </c>
      <c r="B1591" s="40">
        <v>1892428.0</v>
      </c>
      <c r="C1591" s="40">
        <v>0.0</v>
      </c>
      <c r="D1591" s="41">
        <v>45976.71685815972</v>
      </c>
    </row>
    <row r="1592">
      <c r="A1592" s="39" t="s">
        <v>318</v>
      </c>
      <c r="B1592" s="40">
        <v>1902189.0</v>
      </c>
      <c r="C1592" s="40">
        <v>21.0</v>
      </c>
      <c r="D1592" s="41">
        <v>45994.3003424537</v>
      </c>
    </row>
    <row r="1593">
      <c r="A1593" s="39" t="s">
        <v>318</v>
      </c>
      <c r="B1593" s="40">
        <v>1905937.0</v>
      </c>
      <c r="C1593" s="40">
        <v>0.0</v>
      </c>
      <c r="D1593" s="41">
        <v>45997.720619050924</v>
      </c>
    </row>
    <row r="1594">
      <c r="A1594" s="39" t="s">
        <v>318</v>
      </c>
      <c r="B1594" s="40">
        <v>1905938.0</v>
      </c>
      <c r="C1594" s="40">
        <v>0.0</v>
      </c>
      <c r="D1594" s="41">
        <v>45997.72062245371</v>
      </c>
    </row>
    <row r="1595">
      <c r="A1595" s="39" t="s">
        <v>318</v>
      </c>
      <c r="B1595" s="40">
        <v>1905939.0</v>
      </c>
      <c r="C1595" s="40">
        <v>0.0</v>
      </c>
      <c r="D1595" s="41">
        <v>45997.72062645834</v>
      </c>
    </row>
    <row r="1596">
      <c r="A1596" s="39" t="s">
        <v>318</v>
      </c>
      <c r="B1596" s="40">
        <v>1905940.0</v>
      </c>
      <c r="C1596" s="40">
        <v>0.0</v>
      </c>
      <c r="D1596" s="41">
        <v>45997.72062980324</v>
      </c>
    </row>
    <row r="1597">
      <c r="A1597" s="39" t="s">
        <v>318</v>
      </c>
      <c r="B1597" s="40">
        <v>1905941.0</v>
      </c>
      <c r="C1597" s="40">
        <v>0.0</v>
      </c>
      <c r="D1597" s="41">
        <v>45997.72063319445</v>
      </c>
    </row>
    <row r="1598">
      <c r="A1598" s="39" t="s">
        <v>254</v>
      </c>
      <c r="B1598" s="40">
        <v>1905937.0</v>
      </c>
      <c r="C1598" s="40">
        <v>9.0</v>
      </c>
      <c r="D1598" s="41">
        <v>46003.52861540509</v>
      </c>
    </row>
    <row r="1599">
      <c r="A1599" s="39" t="s">
        <v>254</v>
      </c>
      <c r="B1599" s="40">
        <v>1905938.0</v>
      </c>
      <c r="C1599" s="40">
        <v>16.0</v>
      </c>
      <c r="D1599" s="41">
        <v>46003.52861540509</v>
      </c>
    </row>
    <row r="1600">
      <c r="A1600" s="39" t="s">
        <v>254</v>
      </c>
      <c r="B1600" s="40">
        <v>1909232.0</v>
      </c>
      <c r="C1600" s="40">
        <v>9.0</v>
      </c>
      <c r="D1600" s="41">
        <v>46003.52861540509</v>
      </c>
    </row>
    <row r="1601">
      <c r="A1601" s="39" t="s">
        <v>254</v>
      </c>
      <c r="B1601" s="40">
        <v>1909233.0</v>
      </c>
      <c r="C1601" s="40">
        <v>16.0</v>
      </c>
      <c r="D1601" s="41">
        <v>46003.52861540509</v>
      </c>
    </row>
    <row r="1602">
      <c r="A1602" s="39" t="s">
        <v>254</v>
      </c>
      <c r="B1602" s="40">
        <v>1909234.0</v>
      </c>
      <c r="C1602" s="40">
        <v>0.0</v>
      </c>
      <c r="D1602" s="41">
        <v>46003.52861540509</v>
      </c>
    </row>
    <row r="1603">
      <c r="A1603" s="39" t="s">
        <v>257</v>
      </c>
      <c r="B1603" s="40">
        <v>1905937.0</v>
      </c>
      <c r="C1603" s="40">
        <v>9.0</v>
      </c>
      <c r="D1603" s="41">
        <v>46003.52861540509</v>
      </c>
    </row>
    <row r="1604">
      <c r="A1604" s="39" t="s">
        <v>257</v>
      </c>
      <c r="B1604" s="40">
        <v>1909232.0</v>
      </c>
      <c r="C1604" s="40">
        <v>9.0</v>
      </c>
      <c r="D1604" s="41">
        <v>46003.52861540509</v>
      </c>
    </row>
    <row r="1605">
      <c r="A1605" s="39" t="s">
        <v>258</v>
      </c>
      <c r="B1605" s="40">
        <v>1905937.0</v>
      </c>
      <c r="C1605" s="40">
        <v>8.0</v>
      </c>
      <c r="D1605" s="41">
        <v>46003.52861540509</v>
      </c>
    </row>
    <row r="1606">
      <c r="A1606" s="39" t="s">
        <v>258</v>
      </c>
      <c r="B1606" s="40">
        <v>1909232.0</v>
      </c>
      <c r="C1606" s="40">
        <v>8.0</v>
      </c>
      <c r="D1606" s="41">
        <v>46003.52861540509</v>
      </c>
    </row>
    <row r="1607">
      <c r="A1607" s="39" t="s">
        <v>260</v>
      </c>
      <c r="B1607" s="40">
        <v>1880188.0</v>
      </c>
      <c r="C1607" s="40">
        <v>20.0</v>
      </c>
      <c r="D1607" s="41">
        <v>46003.52861540509</v>
      </c>
    </row>
    <row r="1608">
      <c r="A1608" s="39" t="s">
        <v>260</v>
      </c>
      <c r="B1608" s="40">
        <v>1905937.0</v>
      </c>
      <c r="C1608" s="40">
        <v>9.0</v>
      </c>
      <c r="D1608" s="41">
        <v>46003.52861540509</v>
      </c>
    </row>
    <row r="1609">
      <c r="A1609" s="39" t="s">
        <v>260</v>
      </c>
      <c r="B1609" s="40">
        <v>1905938.0</v>
      </c>
      <c r="C1609" s="40">
        <v>16.0</v>
      </c>
      <c r="D1609" s="41">
        <v>46003.52861540509</v>
      </c>
    </row>
    <row r="1610">
      <c r="A1610" s="39" t="s">
        <v>260</v>
      </c>
      <c r="B1610" s="40">
        <v>1905939.0</v>
      </c>
      <c r="C1610" s="40">
        <v>17.0</v>
      </c>
      <c r="D1610" s="41">
        <v>46003.52861540509</v>
      </c>
    </row>
    <row r="1611">
      <c r="A1611" s="39" t="s">
        <v>260</v>
      </c>
      <c r="B1611" s="40">
        <v>1905940.0</v>
      </c>
      <c r="C1611" s="40">
        <v>20.0</v>
      </c>
      <c r="D1611" s="41">
        <v>46003.52861540509</v>
      </c>
    </row>
    <row r="1612">
      <c r="A1612" s="39" t="s">
        <v>260</v>
      </c>
      <c r="B1612" s="40">
        <v>1905941.0</v>
      </c>
      <c r="C1612" s="40">
        <v>17.0</v>
      </c>
      <c r="D1612" s="41">
        <v>46003.52861540509</v>
      </c>
    </row>
    <row r="1613">
      <c r="A1613" s="39" t="s">
        <v>260</v>
      </c>
      <c r="B1613" s="40">
        <v>1909232.0</v>
      </c>
      <c r="C1613" s="40">
        <v>9.0</v>
      </c>
      <c r="D1613" s="41">
        <v>46003.52861540509</v>
      </c>
    </row>
    <row r="1614">
      <c r="A1614" s="39" t="s">
        <v>260</v>
      </c>
      <c r="B1614" s="40">
        <v>1909233.0</v>
      </c>
      <c r="C1614" s="40">
        <v>16.0</v>
      </c>
      <c r="D1614" s="41">
        <v>46003.52861540509</v>
      </c>
    </row>
    <row r="1615">
      <c r="A1615" s="39" t="s">
        <v>260</v>
      </c>
      <c r="B1615" s="40">
        <v>1909234.0</v>
      </c>
      <c r="C1615" s="40">
        <v>17.0</v>
      </c>
      <c r="D1615" s="41">
        <v>46003.52861540509</v>
      </c>
    </row>
    <row r="1616">
      <c r="A1616" s="39" t="s">
        <v>260</v>
      </c>
      <c r="B1616" s="40">
        <v>1909235.0</v>
      </c>
      <c r="C1616" s="40">
        <v>20.0</v>
      </c>
      <c r="D1616" s="41">
        <v>46003.52861540509</v>
      </c>
    </row>
    <row r="1617">
      <c r="A1617" s="39" t="s">
        <v>260</v>
      </c>
      <c r="B1617" s="40">
        <v>1909231.0</v>
      </c>
      <c r="C1617" s="40">
        <v>17.0</v>
      </c>
      <c r="D1617" s="41">
        <v>46003.52861540509</v>
      </c>
    </row>
    <row r="1618">
      <c r="A1618" s="39" t="s">
        <v>261</v>
      </c>
      <c r="B1618" s="40">
        <v>1905937.0</v>
      </c>
      <c r="C1618" s="40">
        <v>9.0</v>
      </c>
      <c r="D1618" s="41">
        <v>46003.52861540509</v>
      </c>
    </row>
    <row r="1619">
      <c r="A1619" s="39" t="s">
        <v>261</v>
      </c>
      <c r="B1619" s="40">
        <v>1909232.0</v>
      </c>
      <c r="C1619" s="40">
        <v>9.0</v>
      </c>
      <c r="D1619" s="41">
        <v>46003.52861540509</v>
      </c>
    </row>
    <row r="1620">
      <c r="A1620" s="39" t="s">
        <v>262</v>
      </c>
      <c r="B1620" s="40">
        <v>1880188.0</v>
      </c>
      <c r="C1620" s="40">
        <v>20.0</v>
      </c>
      <c r="D1620" s="41">
        <v>46003.52861540509</v>
      </c>
    </row>
    <row r="1621">
      <c r="A1621" s="39" t="s">
        <v>262</v>
      </c>
      <c r="B1621" s="40">
        <v>1880189.0</v>
      </c>
      <c r="C1621" s="40">
        <v>20.0</v>
      </c>
      <c r="D1621" s="41">
        <v>46003.52861540509</v>
      </c>
    </row>
    <row r="1622">
      <c r="A1622" s="39" t="s">
        <v>262</v>
      </c>
      <c r="B1622" s="40">
        <v>1880191.0</v>
      </c>
      <c r="C1622" s="40">
        <v>20.0</v>
      </c>
      <c r="D1622" s="41">
        <v>46003.52861540509</v>
      </c>
    </row>
    <row r="1623">
      <c r="A1623" s="39" t="s">
        <v>262</v>
      </c>
      <c r="B1623" s="40">
        <v>1905937.0</v>
      </c>
      <c r="C1623" s="40">
        <v>12.0</v>
      </c>
      <c r="D1623" s="41">
        <v>46003.52861540509</v>
      </c>
    </row>
    <row r="1624">
      <c r="A1624" s="39" t="s">
        <v>262</v>
      </c>
      <c r="B1624" s="40">
        <v>1905938.0</v>
      </c>
      <c r="C1624" s="40">
        <v>20.0</v>
      </c>
      <c r="D1624" s="41">
        <v>46003.52861540509</v>
      </c>
    </row>
    <row r="1625">
      <c r="A1625" s="39" t="s">
        <v>262</v>
      </c>
      <c r="B1625" s="40">
        <v>1909232.0</v>
      </c>
      <c r="C1625" s="40">
        <v>12.0</v>
      </c>
      <c r="D1625" s="41">
        <v>46003.52861540509</v>
      </c>
    </row>
    <row r="1626">
      <c r="A1626" s="39" t="s">
        <v>262</v>
      </c>
      <c r="B1626" s="40">
        <v>1909233.0</v>
      </c>
      <c r="C1626" s="40">
        <v>20.0</v>
      </c>
      <c r="D1626" s="41">
        <v>46003.52861540509</v>
      </c>
    </row>
    <row r="1627">
      <c r="A1627" s="39" t="s">
        <v>263</v>
      </c>
      <c r="B1627" s="40">
        <v>1905937.0</v>
      </c>
      <c r="C1627" s="40">
        <v>9.0</v>
      </c>
      <c r="D1627" s="41">
        <v>46003.52861540509</v>
      </c>
    </row>
    <row r="1628">
      <c r="A1628" s="39" t="s">
        <v>263</v>
      </c>
      <c r="B1628" s="40">
        <v>1905938.0</v>
      </c>
      <c r="C1628" s="40">
        <v>12.0</v>
      </c>
      <c r="D1628" s="41">
        <v>46003.52861540509</v>
      </c>
    </row>
    <row r="1629">
      <c r="A1629" s="39" t="s">
        <v>263</v>
      </c>
      <c r="B1629" s="40">
        <v>1909232.0</v>
      </c>
      <c r="C1629" s="40">
        <v>9.0</v>
      </c>
      <c r="D1629" s="41">
        <v>46003.52861540509</v>
      </c>
    </row>
    <row r="1630">
      <c r="A1630" s="39" t="s">
        <v>263</v>
      </c>
      <c r="B1630" s="40">
        <v>1909233.0</v>
      </c>
      <c r="C1630" s="40">
        <v>12.0</v>
      </c>
      <c r="D1630" s="41">
        <v>46003.52861540509</v>
      </c>
    </row>
    <row r="1631">
      <c r="A1631" s="39" t="s">
        <v>265</v>
      </c>
      <c r="B1631" s="40">
        <v>1905937.0</v>
      </c>
      <c r="C1631" s="40">
        <v>12.0</v>
      </c>
      <c r="D1631" s="41">
        <v>46003.52861540509</v>
      </c>
    </row>
    <row r="1632">
      <c r="A1632" s="39" t="s">
        <v>265</v>
      </c>
      <c r="B1632" s="40">
        <v>1909232.0</v>
      </c>
      <c r="C1632" s="40">
        <v>12.0</v>
      </c>
      <c r="D1632" s="41">
        <v>46003.52861540509</v>
      </c>
    </row>
    <row r="1633">
      <c r="A1633" s="39" t="s">
        <v>266</v>
      </c>
      <c r="B1633" s="40">
        <v>1880188.0</v>
      </c>
      <c r="C1633" s="40">
        <v>20.0</v>
      </c>
      <c r="D1633" s="41">
        <v>46003.52861540509</v>
      </c>
    </row>
    <row r="1634">
      <c r="A1634" s="39" t="s">
        <v>266</v>
      </c>
      <c r="B1634" s="40">
        <v>1880189.0</v>
      </c>
      <c r="C1634" s="40">
        <v>20.0</v>
      </c>
      <c r="D1634" s="41">
        <v>46003.52861540509</v>
      </c>
    </row>
    <row r="1635">
      <c r="A1635" s="39" t="s">
        <v>266</v>
      </c>
      <c r="B1635" s="40">
        <v>1905938.0</v>
      </c>
      <c r="C1635" s="40">
        <v>4.0</v>
      </c>
      <c r="D1635" s="41">
        <v>46003.52861540509</v>
      </c>
    </row>
    <row r="1636">
      <c r="A1636" s="39" t="s">
        <v>266</v>
      </c>
      <c r="B1636" s="40">
        <v>1909232.0</v>
      </c>
      <c r="C1636" s="40">
        <v>0.0</v>
      </c>
      <c r="D1636" s="41">
        <v>46003.52861540509</v>
      </c>
    </row>
    <row r="1637">
      <c r="A1637" s="39" t="s">
        <v>266</v>
      </c>
      <c r="B1637" s="40">
        <v>1909233.0</v>
      </c>
      <c r="C1637" s="40">
        <v>4.0</v>
      </c>
      <c r="D1637" s="41">
        <v>46003.52861540509</v>
      </c>
    </row>
    <row r="1638">
      <c r="A1638" s="39" t="s">
        <v>268</v>
      </c>
      <c r="B1638" s="40">
        <v>1905937.0</v>
      </c>
      <c r="C1638" s="40">
        <v>9.0</v>
      </c>
      <c r="D1638" s="41">
        <v>46003.52861540509</v>
      </c>
    </row>
    <row r="1639">
      <c r="A1639" s="39" t="s">
        <v>268</v>
      </c>
      <c r="B1639" s="40">
        <v>1909232.0</v>
      </c>
      <c r="C1639" s="40">
        <v>9.0</v>
      </c>
      <c r="D1639" s="41">
        <v>46003.52861540509</v>
      </c>
    </row>
    <row r="1640">
      <c r="A1640" s="39" t="s">
        <v>270</v>
      </c>
      <c r="B1640" s="40">
        <v>1905937.0</v>
      </c>
      <c r="C1640" s="40">
        <v>7.0</v>
      </c>
      <c r="D1640" s="41">
        <v>46003.52861540509</v>
      </c>
    </row>
    <row r="1641">
      <c r="A1641" s="39" t="s">
        <v>270</v>
      </c>
      <c r="B1641" s="40">
        <v>1905938.0</v>
      </c>
      <c r="C1641" s="40">
        <v>8.0</v>
      </c>
      <c r="D1641" s="41">
        <v>46003.52861540509</v>
      </c>
    </row>
    <row r="1642">
      <c r="A1642" s="39" t="s">
        <v>270</v>
      </c>
      <c r="B1642" s="40">
        <v>1909232.0</v>
      </c>
      <c r="C1642" s="40">
        <v>7.0</v>
      </c>
      <c r="D1642" s="41">
        <v>46003.52861540509</v>
      </c>
    </row>
    <row r="1643">
      <c r="A1643" s="39" t="s">
        <v>270</v>
      </c>
      <c r="B1643" s="40">
        <v>1909233.0</v>
      </c>
      <c r="C1643" s="40">
        <v>8.0</v>
      </c>
      <c r="D1643" s="41">
        <v>46003.52861540509</v>
      </c>
    </row>
    <row r="1644">
      <c r="A1644" s="39" t="s">
        <v>271</v>
      </c>
      <c r="B1644" s="40">
        <v>1905937.0</v>
      </c>
      <c r="C1644" s="40">
        <v>9.0</v>
      </c>
      <c r="D1644" s="41">
        <v>46003.52861540509</v>
      </c>
    </row>
    <row r="1645">
      <c r="A1645" s="39" t="s">
        <v>271</v>
      </c>
      <c r="B1645" s="40">
        <v>1905938.0</v>
      </c>
      <c r="C1645" s="40">
        <v>11.0</v>
      </c>
      <c r="D1645" s="41">
        <v>46003.52861540509</v>
      </c>
    </row>
    <row r="1646">
      <c r="A1646" s="39" t="s">
        <v>271</v>
      </c>
      <c r="B1646" s="40">
        <v>1905939.0</v>
      </c>
      <c r="C1646" s="40">
        <v>15.0</v>
      </c>
      <c r="D1646" s="41">
        <v>46003.52861540509</v>
      </c>
    </row>
    <row r="1647">
      <c r="A1647" s="39" t="s">
        <v>271</v>
      </c>
      <c r="B1647" s="40">
        <v>1905940.0</v>
      </c>
      <c r="C1647" s="40">
        <v>20.0</v>
      </c>
      <c r="D1647" s="41">
        <v>46003.52861540509</v>
      </c>
    </row>
    <row r="1648">
      <c r="A1648" s="39" t="s">
        <v>271</v>
      </c>
      <c r="B1648" s="40">
        <v>1905941.0</v>
      </c>
      <c r="C1648" s="40">
        <v>16.0</v>
      </c>
      <c r="D1648" s="41">
        <v>46003.52861540509</v>
      </c>
    </row>
    <row r="1649">
      <c r="A1649" s="39" t="s">
        <v>271</v>
      </c>
      <c r="B1649" s="40">
        <v>1909232.0</v>
      </c>
      <c r="C1649" s="40">
        <v>9.0</v>
      </c>
      <c r="D1649" s="41">
        <v>46003.52861540509</v>
      </c>
    </row>
    <row r="1650">
      <c r="A1650" s="39" t="s">
        <v>271</v>
      </c>
      <c r="B1650" s="40">
        <v>1909233.0</v>
      </c>
      <c r="C1650" s="40">
        <v>11.0</v>
      </c>
      <c r="D1650" s="41">
        <v>46003.52861540509</v>
      </c>
    </row>
    <row r="1651">
      <c r="A1651" s="39" t="s">
        <v>271</v>
      </c>
      <c r="B1651" s="40">
        <v>1909234.0</v>
      </c>
      <c r="C1651" s="40">
        <v>15.0</v>
      </c>
      <c r="D1651" s="41">
        <v>46003.52861540509</v>
      </c>
    </row>
    <row r="1652">
      <c r="A1652" s="39" t="s">
        <v>271</v>
      </c>
      <c r="B1652" s="40">
        <v>1909235.0</v>
      </c>
      <c r="C1652" s="40">
        <v>20.0</v>
      </c>
      <c r="D1652" s="41">
        <v>46003.52861540509</v>
      </c>
    </row>
    <row r="1653">
      <c r="A1653" s="39" t="s">
        <v>271</v>
      </c>
      <c r="B1653" s="40">
        <v>1909231.0</v>
      </c>
      <c r="C1653" s="40">
        <v>16.0</v>
      </c>
      <c r="D1653" s="41">
        <v>46003.52861540509</v>
      </c>
    </row>
    <row r="1654">
      <c r="A1654" s="39" t="s">
        <v>272</v>
      </c>
      <c r="B1654" s="40">
        <v>1905937.0</v>
      </c>
      <c r="C1654" s="40">
        <v>9.0</v>
      </c>
      <c r="D1654" s="41">
        <v>46003.52861540509</v>
      </c>
    </row>
    <row r="1655">
      <c r="A1655" s="39" t="s">
        <v>272</v>
      </c>
      <c r="B1655" s="40">
        <v>1905938.0</v>
      </c>
      <c r="C1655" s="40">
        <v>16.0</v>
      </c>
      <c r="D1655" s="41">
        <v>46003.52861540509</v>
      </c>
    </row>
    <row r="1656">
      <c r="A1656" s="39" t="s">
        <v>272</v>
      </c>
      <c r="B1656" s="40">
        <v>1905940.0</v>
      </c>
      <c r="C1656" s="40">
        <v>20.0</v>
      </c>
      <c r="D1656" s="41">
        <v>46003.52861540509</v>
      </c>
    </row>
    <row r="1657">
      <c r="A1657" s="39" t="s">
        <v>272</v>
      </c>
      <c r="B1657" s="40">
        <v>1909232.0</v>
      </c>
      <c r="C1657" s="40">
        <v>9.0</v>
      </c>
      <c r="D1657" s="41">
        <v>46003.52861540509</v>
      </c>
    </row>
    <row r="1658">
      <c r="A1658" s="39" t="s">
        <v>272</v>
      </c>
      <c r="B1658" s="40">
        <v>1909233.0</v>
      </c>
      <c r="C1658" s="40">
        <v>16.0</v>
      </c>
      <c r="D1658" s="41">
        <v>46003.52861540509</v>
      </c>
    </row>
    <row r="1659">
      <c r="A1659" s="39" t="s">
        <v>272</v>
      </c>
      <c r="B1659" s="40">
        <v>1909235.0</v>
      </c>
      <c r="C1659" s="40">
        <v>20.0</v>
      </c>
      <c r="D1659" s="41">
        <v>46003.52861540509</v>
      </c>
    </row>
    <row r="1660">
      <c r="A1660" s="39" t="s">
        <v>273</v>
      </c>
      <c r="B1660" s="40">
        <v>1905937.0</v>
      </c>
      <c r="C1660" s="40">
        <v>11.0</v>
      </c>
      <c r="D1660" s="41">
        <v>46003.52861540509</v>
      </c>
    </row>
    <row r="1661">
      <c r="A1661" s="39" t="s">
        <v>273</v>
      </c>
      <c r="B1661" s="40">
        <v>1905938.0</v>
      </c>
      <c r="C1661" s="40">
        <v>12.0</v>
      </c>
      <c r="D1661" s="41">
        <v>46003.52861540509</v>
      </c>
    </row>
    <row r="1662">
      <c r="A1662" s="39" t="s">
        <v>273</v>
      </c>
      <c r="B1662" s="40">
        <v>1905940.0</v>
      </c>
      <c r="C1662" s="40">
        <v>24.0</v>
      </c>
      <c r="D1662" s="41">
        <v>46003.52861540509</v>
      </c>
    </row>
    <row r="1663">
      <c r="A1663" s="39" t="s">
        <v>273</v>
      </c>
      <c r="B1663" s="40">
        <v>1905941.0</v>
      </c>
      <c r="C1663" s="40">
        <v>4.0</v>
      </c>
      <c r="D1663" s="41">
        <v>46003.52861540509</v>
      </c>
    </row>
    <row r="1664">
      <c r="A1664" s="39" t="s">
        <v>273</v>
      </c>
      <c r="B1664" s="40">
        <v>1909232.0</v>
      </c>
      <c r="C1664" s="40">
        <v>11.0</v>
      </c>
      <c r="D1664" s="41">
        <v>46003.52861540509</v>
      </c>
    </row>
    <row r="1665">
      <c r="A1665" s="39" t="s">
        <v>273</v>
      </c>
      <c r="B1665" s="40">
        <v>1909233.0</v>
      </c>
      <c r="C1665" s="40">
        <v>12.0</v>
      </c>
      <c r="D1665" s="41">
        <v>46003.52861540509</v>
      </c>
    </row>
    <row r="1666">
      <c r="A1666" s="39" t="s">
        <v>273</v>
      </c>
      <c r="B1666" s="40">
        <v>1909234.0</v>
      </c>
      <c r="C1666" s="40">
        <v>0.0</v>
      </c>
      <c r="D1666" s="41">
        <v>46003.52861540509</v>
      </c>
    </row>
    <row r="1667">
      <c r="A1667" s="39" t="s">
        <v>273</v>
      </c>
      <c r="B1667" s="40">
        <v>1909235.0</v>
      </c>
      <c r="C1667" s="40">
        <v>24.0</v>
      </c>
      <c r="D1667" s="41">
        <v>46003.52861540509</v>
      </c>
    </row>
    <row r="1668">
      <c r="A1668" s="39" t="s">
        <v>273</v>
      </c>
      <c r="B1668" s="40">
        <v>1909231.0</v>
      </c>
      <c r="C1668" s="40">
        <v>4.0</v>
      </c>
      <c r="D1668" s="41">
        <v>46003.52861540509</v>
      </c>
    </row>
    <row r="1669">
      <c r="A1669" s="39" t="s">
        <v>276</v>
      </c>
      <c r="B1669" s="40">
        <v>1905937.0</v>
      </c>
      <c r="C1669" s="40">
        <v>9.0</v>
      </c>
      <c r="D1669" s="41">
        <v>46003.52861540509</v>
      </c>
    </row>
    <row r="1670">
      <c r="A1670" s="39" t="s">
        <v>276</v>
      </c>
      <c r="B1670" s="40">
        <v>1909232.0</v>
      </c>
      <c r="C1670" s="40">
        <v>9.0</v>
      </c>
      <c r="D1670" s="41">
        <v>46003.52861540509</v>
      </c>
    </row>
    <row r="1671">
      <c r="A1671" s="39" t="s">
        <v>277</v>
      </c>
      <c r="B1671" s="40">
        <v>1905937.0</v>
      </c>
      <c r="C1671" s="40">
        <v>12.0</v>
      </c>
      <c r="D1671" s="41">
        <v>46003.52861540509</v>
      </c>
    </row>
    <row r="1672">
      <c r="A1672" s="39" t="s">
        <v>277</v>
      </c>
      <c r="B1672" s="40">
        <v>1909232.0</v>
      </c>
      <c r="C1672" s="40">
        <v>12.0</v>
      </c>
      <c r="D1672" s="41">
        <v>46003.52861540509</v>
      </c>
    </row>
    <row r="1673">
      <c r="A1673" s="39" t="s">
        <v>278</v>
      </c>
      <c r="B1673" s="40">
        <v>1880191.0</v>
      </c>
      <c r="C1673" s="40">
        <v>20.0</v>
      </c>
      <c r="D1673" s="41">
        <v>46003.52861540509</v>
      </c>
    </row>
    <row r="1674">
      <c r="A1674" s="39" t="s">
        <v>283</v>
      </c>
      <c r="B1674" s="40">
        <v>1905937.0</v>
      </c>
      <c r="C1674" s="40">
        <v>8.0</v>
      </c>
      <c r="D1674" s="41">
        <v>46003.52861540509</v>
      </c>
    </row>
    <row r="1675">
      <c r="A1675" s="39" t="s">
        <v>283</v>
      </c>
      <c r="B1675" s="40">
        <v>1909232.0</v>
      </c>
      <c r="C1675" s="40">
        <v>8.0</v>
      </c>
      <c r="D1675" s="41">
        <v>46003.52861540509</v>
      </c>
    </row>
    <row r="1676">
      <c r="A1676" s="39" t="s">
        <v>284</v>
      </c>
      <c r="B1676" s="40">
        <v>1880191.0</v>
      </c>
      <c r="C1676" s="40">
        <v>20.0</v>
      </c>
      <c r="D1676" s="41">
        <v>46003.52861540509</v>
      </c>
    </row>
    <row r="1677">
      <c r="A1677" s="39" t="s">
        <v>284</v>
      </c>
      <c r="B1677" s="40">
        <v>1905937.0</v>
      </c>
      <c r="C1677" s="40">
        <v>9.0</v>
      </c>
      <c r="D1677" s="41">
        <v>46003.52861540509</v>
      </c>
    </row>
    <row r="1678">
      <c r="A1678" s="39" t="s">
        <v>284</v>
      </c>
      <c r="B1678" s="40">
        <v>1909232.0</v>
      </c>
      <c r="C1678" s="40">
        <v>9.0</v>
      </c>
      <c r="D1678" s="41">
        <v>46003.52861540509</v>
      </c>
    </row>
    <row r="1679">
      <c r="A1679" s="39" t="s">
        <v>285</v>
      </c>
      <c r="B1679" s="40">
        <v>1905937.0</v>
      </c>
      <c r="C1679" s="40">
        <v>12.0</v>
      </c>
      <c r="D1679" s="41">
        <v>46003.52861540509</v>
      </c>
    </row>
    <row r="1680">
      <c r="A1680" s="39" t="s">
        <v>285</v>
      </c>
      <c r="B1680" s="40">
        <v>1909232.0</v>
      </c>
      <c r="C1680" s="40">
        <v>12.0</v>
      </c>
      <c r="D1680" s="41">
        <v>46003.52861540509</v>
      </c>
    </row>
    <row r="1681">
      <c r="A1681" s="39" t="s">
        <v>286</v>
      </c>
      <c r="B1681" s="40">
        <v>1880189.0</v>
      </c>
      <c r="C1681" s="40">
        <v>20.0</v>
      </c>
      <c r="D1681" s="41">
        <v>46003.52861540509</v>
      </c>
    </row>
    <row r="1682">
      <c r="A1682" s="39" t="s">
        <v>286</v>
      </c>
      <c r="B1682" s="40">
        <v>1905937.0</v>
      </c>
      <c r="C1682" s="40">
        <v>12.0</v>
      </c>
      <c r="D1682" s="41">
        <v>46003.52861540509</v>
      </c>
    </row>
    <row r="1683">
      <c r="A1683" s="39" t="s">
        <v>286</v>
      </c>
      <c r="B1683" s="40">
        <v>1905938.0</v>
      </c>
      <c r="C1683" s="40">
        <v>16.0</v>
      </c>
      <c r="D1683" s="41">
        <v>46003.52861540509</v>
      </c>
    </row>
    <row r="1684">
      <c r="A1684" s="39" t="s">
        <v>286</v>
      </c>
      <c r="B1684" s="40">
        <v>1905939.0</v>
      </c>
      <c r="C1684" s="40">
        <v>17.0</v>
      </c>
      <c r="D1684" s="41">
        <v>46003.52861540509</v>
      </c>
    </row>
    <row r="1685">
      <c r="A1685" s="39" t="s">
        <v>286</v>
      </c>
      <c r="B1685" s="40">
        <v>1905940.0</v>
      </c>
      <c r="C1685" s="40">
        <v>24.0</v>
      </c>
      <c r="D1685" s="41">
        <v>46003.52861540509</v>
      </c>
    </row>
    <row r="1686">
      <c r="A1686" s="39" t="s">
        <v>286</v>
      </c>
      <c r="B1686" s="40">
        <v>1905941.0</v>
      </c>
      <c r="C1686" s="40">
        <v>15.0</v>
      </c>
      <c r="D1686" s="41">
        <v>46003.52861540509</v>
      </c>
    </row>
    <row r="1687">
      <c r="A1687" s="39" t="s">
        <v>286</v>
      </c>
      <c r="B1687" s="40">
        <v>1909232.0</v>
      </c>
      <c r="C1687" s="40">
        <v>12.0</v>
      </c>
      <c r="D1687" s="41">
        <v>46003.52861540509</v>
      </c>
    </row>
    <row r="1688">
      <c r="A1688" s="39" t="s">
        <v>286</v>
      </c>
      <c r="B1688" s="40">
        <v>1909233.0</v>
      </c>
      <c r="C1688" s="40">
        <v>16.0</v>
      </c>
      <c r="D1688" s="41">
        <v>46003.52861540509</v>
      </c>
    </row>
    <row r="1689">
      <c r="A1689" s="39" t="s">
        <v>286</v>
      </c>
      <c r="B1689" s="40">
        <v>1909234.0</v>
      </c>
      <c r="C1689" s="40">
        <v>17.0</v>
      </c>
      <c r="D1689" s="41">
        <v>46003.52861540509</v>
      </c>
    </row>
    <row r="1690">
      <c r="A1690" s="39" t="s">
        <v>286</v>
      </c>
      <c r="B1690" s="40">
        <v>1909235.0</v>
      </c>
      <c r="C1690" s="40">
        <v>24.0</v>
      </c>
      <c r="D1690" s="41">
        <v>46003.52861540509</v>
      </c>
    </row>
    <row r="1691">
      <c r="A1691" s="39" t="s">
        <v>286</v>
      </c>
      <c r="B1691" s="40">
        <v>1909231.0</v>
      </c>
      <c r="C1691" s="40">
        <v>15.0</v>
      </c>
      <c r="D1691" s="41">
        <v>46003.52861540509</v>
      </c>
    </row>
    <row r="1692">
      <c r="A1692" s="39" t="s">
        <v>288</v>
      </c>
      <c r="B1692" s="40">
        <v>1880188.0</v>
      </c>
      <c r="C1692" s="40">
        <v>20.0</v>
      </c>
      <c r="D1692" s="41">
        <v>46003.52861540509</v>
      </c>
    </row>
    <row r="1693">
      <c r="A1693" s="39" t="s">
        <v>288</v>
      </c>
      <c r="B1693" s="40">
        <v>1880189.0</v>
      </c>
      <c r="C1693" s="40">
        <v>20.0</v>
      </c>
      <c r="D1693" s="41">
        <v>46003.52861540509</v>
      </c>
    </row>
    <row r="1694">
      <c r="A1694" s="39" t="s">
        <v>288</v>
      </c>
      <c r="B1694" s="40">
        <v>1880191.0</v>
      </c>
      <c r="C1694" s="40">
        <v>20.0</v>
      </c>
      <c r="D1694" s="41">
        <v>46003.52861540509</v>
      </c>
    </row>
    <row r="1695">
      <c r="A1695" s="39" t="s">
        <v>288</v>
      </c>
      <c r="B1695" s="40">
        <v>1905937.0</v>
      </c>
      <c r="C1695" s="40">
        <v>12.0</v>
      </c>
      <c r="D1695" s="41">
        <v>46003.52861540509</v>
      </c>
    </row>
    <row r="1696">
      <c r="A1696" s="39" t="s">
        <v>288</v>
      </c>
      <c r="B1696" s="40">
        <v>1905938.0</v>
      </c>
      <c r="C1696" s="40">
        <v>20.0</v>
      </c>
      <c r="D1696" s="41">
        <v>46003.52861540509</v>
      </c>
    </row>
    <row r="1697">
      <c r="A1697" s="39" t="s">
        <v>288</v>
      </c>
      <c r="B1697" s="40">
        <v>1905939.0</v>
      </c>
      <c r="C1697" s="40">
        <v>21.0</v>
      </c>
      <c r="D1697" s="41">
        <v>46003.52861540509</v>
      </c>
    </row>
    <row r="1698">
      <c r="A1698" s="39" t="s">
        <v>288</v>
      </c>
      <c r="B1698" s="40">
        <v>1905940.0</v>
      </c>
      <c r="C1698" s="40">
        <v>25.0</v>
      </c>
      <c r="D1698" s="41">
        <v>46003.52861540509</v>
      </c>
    </row>
    <row r="1699">
      <c r="A1699" s="39" t="s">
        <v>288</v>
      </c>
      <c r="B1699" s="40">
        <v>1905941.0</v>
      </c>
      <c r="C1699" s="40">
        <v>22.0</v>
      </c>
      <c r="D1699" s="41">
        <v>46003.52861540509</v>
      </c>
    </row>
    <row r="1700">
      <c r="A1700" s="39" t="s">
        <v>288</v>
      </c>
      <c r="B1700" s="40">
        <v>1909232.0</v>
      </c>
      <c r="C1700" s="40">
        <v>12.0</v>
      </c>
      <c r="D1700" s="41">
        <v>46003.52861540509</v>
      </c>
    </row>
    <row r="1701">
      <c r="A1701" s="39" t="s">
        <v>288</v>
      </c>
      <c r="B1701" s="40">
        <v>1909233.0</v>
      </c>
      <c r="C1701" s="40">
        <v>20.0</v>
      </c>
      <c r="D1701" s="41">
        <v>46003.52861540509</v>
      </c>
    </row>
    <row r="1702">
      <c r="A1702" s="39" t="s">
        <v>288</v>
      </c>
      <c r="B1702" s="40">
        <v>1909234.0</v>
      </c>
      <c r="C1702" s="40">
        <v>20.0</v>
      </c>
      <c r="D1702" s="41">
        <v>46003.52861540509</v>
      </c>
    </row>
    <row r="1703">
      <c r="A1703" s="39" t="s">
        <v>288</v>
      </c>
      <c r="B1703" s="40">
        <v>1909235.0</v>
      </c>
      <c r="C1703" s="40">
        <v>25.0</v>
      </c>
      <c r="D1703" s="41">
        <v>46003.52861540509</v>
      </c>
    </row>
    <row r="1704">
      <c r="A1704" s="39" t="s">
        <v>288</v>
      </c>
      <c r="B1704" s="40">
        <v>1909231.0</v>
      </c>
      <c r="C1704" s="40">
        <v>22.0</v>
      </c>
      <c r="D1704" s="41">
        <v>46003.52861540509</v>
      </c>
    </row>
    <row r="1705">
      <c r="A1705" s="39" t="s">
        <v>291</v>
      </c>
      <c r="B1705" s="40">
        <v>1905937.0</v>
      </c>
      <c r="C1705" s="40">
        <v>12.0</v>
      </c>
      <c r="D1705" s="41">
        <v>46003.52861540509</v>
      </c>
    </row>
    <row r="1706">
      <c r="A1706" s="39" t="s">
        <v>291</v>
      </c>
      <c r="B1706" s="40">
        <v>1909232.0</v>
      </c>
      <c r="C1706" s="40">
        <v>12.0</v>
      </c>
      <c r="D1706" s="41">
        <v>46003.52861540509</v>
      </c>
    </row>
    <row r="1707">
      <c r="A1707" s="39" t="s">
        <v>292</v>
      </c>
      <c r="B1707" s="40">
        <v>1905937.0</v>
      </c>
      <c r="C1707" s="40">
        <v>9.0</v>
      </c>
      <c r="D1707" s="41">
        <v>46003.52861540509</v>
      </c>
    </row>
    <row r="1708">
      <c r="A1708" s="39" t="s">
        <v>292</v>
      </c>
      <c r="B1708" s="40">
        <v>1905938.0</v>
      </c>
      <c r="C1708" s="40">
        <v>12.0</v>
      </c>
      <c r="D1708" s="41">
        <v>46003.52861540509</v>
      </c>
    </row>
    <row r="1709">
      <c r="A1709" s="39" t="s">
        <v>292</v>
      </c>
      <c r="B1709" s="40">
        <v>1909232.0</v>
      </c>
      <c r="C1709" s="40">
        <v>9.0</v>
      </c>
      <c r="D1709" s="41">
        <v>46003.52861540509</v>
      </c>
    </row>
    <row r="1710">
      <c r="A1710" s="39" t="s">
        <v>292</v>
      </c>
      <c r="B1710" s="40">
        <v>1909233.0</v>
      </c>
      <c r="C1710" s="40">
        <v>12.0</v>
      </c>
      <c r="D1710" s="41">
        <v>46003.52861540509</v>
      </c>
    </row>
    <row r="1711">
      <c r="A1711" s="39" t="s">
        <v>293</v>
      </c>
      <c r="B1711" s="40">
        <v>1873080.0</v>
      </c>
      <c r="C1711" s="40">
        <v>10.0</v>
      </c>
      <c r="D1711" s="41">
        <v>46003.52861540509</v>
      </c>
    </row>
    <row r="1712">
      <c r="A1712" s="39" t="s">
        <v>293</v>
      </c>
      <c r="B1712" s="40">
        <v>1873082.0</v>
      </c>
      <c r="C1712" s="40">
        <v>3.0</v>
      </c>
      <c r="D1712" s="41">
        <v>46003.52861540509</v>
      </c>
    </row>
    <row r="1713">
      <c r="A1713" s="39" t="s">
        <v>293</v>
      </c>
      <c r="B1713" s="40">
        <v>1905937.0</v>
      </c>
      <c r="C1713" s="40">
        <v>12.0</v>
      </c>
      <c r="D1713" s="41">
        <v>46003.52861540509</v>
      </c>
    </row>
    <row r="1714">
      <c r="A1714" s="39" t="s">
        <v>293</v>
      </c>
      <c r="B1714" s="40">
        <v>1909232.0</v>
      </c>
      <c r="C1714" s="40">
        <v>12.0</v>
      </c>
      <c r="D1714" s="41">
        <v>46003.52861540509</v>
      </c>
    </row>
    <row r="1715">
      <c r="A1715" s="39" t="s">
        <v>294</v>
      </c>
      <c r="B1715" s="40">
        <v>1905937.0</v>
      </c>
      <c r="C1715" s="40">
        <v>8.0</v>
      </c>
      <c r="D1715" s="41">
        <v>46003.52861540509</v>
      </c>
    </row>
    <row r="1716">
      <c r="A1716" s="39" t="s">
        <v>294</v>
      </c>
      <c r="B1716" s="40">
        <v>1909232.0</v>
      </c>
      <c r="C1716" s="40">
        <v>8.0</v>
      </c>
      <c r="D1716" s="41">
        <v>46003.52861540509</v>
      </c>
    </row>
    <row r="1717">
      <c r="A1717" s="39" t="s">
        <v>295</v>
      </c>
      <c r="B1717" s="40">
        <v>1905937.0</v>
      </c>
      <c r="C1717" s="40">
        <v>12.0</v>
      </c>
      <c r="D1717" s="41">
        <v>46003.52861540509</v>
      </c>
    </row>
    <row r="1718">
      <c r="A1718" s="39" t="s">
        <v>295</v>
      </c>
      <c r="B1718" s="40">
        <v>1905938.0</v>
      </c>
      <c r="C1718" s="40">
        <v>14.0</v>
      </c>
      <c r="D1718" s="41">
        <v>46003.52861540509</v>
      </c>
    </row>
    <row r="1719">
      <c r="A1719" s="39" t="s">
        <v>295</v>
      </c>
      <c r="B1719" s="40">
        <v>1905939.0</v>
      </c>
      <c r="C1719" s="40">
        <v>21.0</v>
      </c>
      <c r="D1719" s="41">
        <v>46003.52861540509</v>
      </c>
    </row>
    <row r="1720">
      <c r="A1720" s="39" t="s">
        <v>295</v>
      </c>
      <c r="B1720" s="40">
        <v>1905940.0</v>
      </c>
      <c r="C1720" s="40">
        <v>24.0</v>
      </c>
      <c r="D1720" s="41">
        <v>46003.52861540509</v>
      </c>
    </row>
    <row r="1721">
      <c r="A1721" s="39" t="s">
        <v>295</v>
      </c>
      <c r="B1721" s="40">
        <v>1909232.0</v>
      </c>
      <c r="C1721" s="40">
        <v>12.0</v>
      </c>
      <c r="D1721" s="41">
        <v>46003.52861540509</v>
      </c>
    </row>
    <row r="1722">
      <c r="A1722" s="39" t="s">
        <v>295</v>
      </c>
      <c r="B1722" s="40">
        <v>1909233.0</v>
      </c>
      <c r="C1722" s="40">
        <v>14.0</v>
      </c>
      <c r="D1722" s="41">
        <v>46003.52861540509</v>
      </c>
    </row>
    <row r="1723">
      <c r="A1723" s="39" t="s">
        <v>295</v>
      </c>
      <c r="B1723" s="40">
        <v>1909234.0</v>
      </c>
      <c r="C1723" s="40">
        <v>20.0</v>
      </c>
      <c r="D1723" s="41">
        <v>46003.52861540509</v>
      </c>
    </row>
    <row r="1724">
      <c r="A1724" s="39" t="s">
        <v>295</v>
      </c>
      <c r="B1724" s="40">
        <v>1909235.0</v>
      </c>
      <c r="C1724" s="40">
        <v>24.0</v>
      </c>
      <c r="D1724" s="41">
        <v>46003.52861540509</v>
      </c>
    </row>
    <row r="1725">
      <c r="A1725" s="39" t="s">
        <v>296</v>
      </c>
      <c r="B1725" s="40">
        <v>1905937.0</v>
      </c>
      <c r="C1725" s="40">
        <v>12.0</v>
      </c>
      <c r="D1725" s="41">
        <v>46003.52861540509</v>
      </c>
    </row>
    <row r="1726">
      <c r="A1726" s="39" t="s">
        <v>296</v>
      </c>
      <c r="B1726" s="40">
        <v>1909232.0</v>
      </c>
      <c r="C1726" s="40">
        <v>12.0</v>
      </c>
      <c r="D1726" s="41">
        <v>46003.52861540509</v>
      </c>
    </row>
    <row r="1727">
      <c r="A1727" s="39" t="s">
        <v>297</v>
      </c>
      <c r="B1727" s="40">
        <v>1905937.0</v>
      </c>
      <c r="C1727" s="40">
        <v>9.0</v>
      </c>
      <c r="D1727" s="41">
        <v>46003.52861540509</v>
      </c>
    </row>
    <row r="1728">
      <c r="A1728" s="39" t="s">
        <v>297</v>
      </c>
      <c r="B1728" s="40">
        <v>1905938.0</v>
      </c>
      <c r="C1728" s="40">
        <v>20.0</v>
      </c>
      <c r="D1728" s="41">
        <v>46003.52861540509</v>
      </c>
    </row>
    <row r="1729">
      <c r="A1729" s="39" t="s">
        <v>297</v>
      </c>
      <c r="B1729" s="40">
        <v>1905939.0</v>
      </c>
      <c r="C1729" s="40">
        <v>21.0</v>
      </c>
      <c r="D1729" s="41">
        <v>46003.52861540509</v>
      </c>
    </row>
    <row r="1730">
      <c r="A1730" s="39" t="s">
        <v>297</v>
      </c>
      <c r="B1730" s="40">
        <v>1905941.0</v>
      </c>
      <c r="C1730" s="40">
        <v>21.0</v>
      </c>
      <c r="D1730" s="41">
        <v>46003.52861540509</v>
      </c>
    </row>
    <row r="1731">
      <c r="A1731" s="39" t="s">
        <v>297</v>
      </c>
      <c r="B1731" s="40">
        <v>1909232.0</v>
      </c>
      <c r="C1731" s="40">
        <v>9.0</v>
      </c>
      <c r="D1731" s="41">
        <v>46003.52861540509</v>
      </c>
    </row>
    <row r="1732">
      <c r="A1732" s="39" t="s">
        <v>297</v>
      </c>
      <c r="B1732" s="40">
        <v>1909233.0</v>
      </c>
      <c r="C1732" s="40">
        <v>20.0</v>
      </c>
      <c r="D1732" s="41">
        <v>46003.52861540509</v>
      </c>
    </row>
    <row r="1733">
      <c r="A1733" s="39" t="s">
        <v>297</v>
      </c>
      <c r="B1733" s="40">
        <v>1909234.0</v>
      </c>
      <c r="C1733" s="40">
        <v>20.0</v>
      </c>
      <c r="D1733" s="41">
        <v>46003.52861540509</v>
      </c>
    </row>
    <row r="1734">
      <c r="A1734" s="39" t="s">
        <v>297</v>
      </c>
      <c r="B1734" s="40">
        <v>1909231.0</v>
      </c>
      <c r="C1734" s="40">
        <v>21.0</v>
      </c>
      <c r="D1734" s="41">
        <v>46003.52861540509</v>
      </c>
    </row>
    <row r="1735">
      <c r="A1735" s="39" t="s">
        <v>299</v>
      </c>
      <c r="B1735" s="40">
        <v>1905937.0</v>
      </c>
      <c r="C1735" s="40">
        <v>9.0</v>
      </c>
      <c r="D1735" s="41">
        <v>46003.52861540509</v>
      </c>
    </row>
    <row r="1736">
      <c r="A1736" s="39" t="s">
        <v>299</v>
      </c>
      <c r="B1736" s="40">
        <v>1905938.0</v>
      </c>
      <c r="C1736" s="40">
        <v>16.0</v>
      </c>
      <c r="D1736" s="41">
        <v>46003.52861540509</v>
      </c>
    </row>
    <row r="1737">
      <c r="A1737" s="39" t="s">
        <v>299</v>
      </c>
      <c r="B1737" s="40">
        <v>1905939.0</v>
      </c>
      <c r="C1737" s="40">
        <v>15.0</v>
      </c>
      <c r="D1737" s="41">
        <v>46003.52861540509</v>
      </c>
    </row>
    <row r="1738">
      <c r="A1738" s="39" t="s">
        <v>299</v>
      </c>
      <c r="B1738" s="40">
        <v>1909232.0</v>
      </c>
      <c r="C1738" s="40">
        <v>9.0</v>
      </c>
      <c r="D1738" s="41">
        <v>46003.52861540509</v>
      </c>
    </row>
    <row r="1739">
      <c r="A1739" s="39" t="s">
        <v>299</v>
      </c>
      <c r="B1739" s="40">
        <v>1909233.0</v>
      </c>
      <c r="C1739" s="40">
        <v>16.0</v>
      </c>
      <c r="D1739" s="41">
        <v>46003.52861540509</v>
      </c>
    </row>
    <row r="1740">
      <c r="A1740" s="39" t="s">
        <v>299</v>
      </c>
      <c r="B1740" s="40">
        <v>1909234.0</v>
      </c>
      <c r="C1740" s="40">
        <v>15.0</v>
      </c>
      <c r="D1740" s="41">
        <v>46003.52861540509</v>
      </c>
    </row>
    <row r="1741">
      <c r="A1741" s="39" t="s">
        <v>302</v>
      </c>
      <c r="B1741" s="40">
        <v>1905937.0</v>
      </c>
      <c r="C1741" s="40">
        <v>12.0</v>
      </c>
      <c r="D1741" s="41">
        <v>46003.52861540509</v>
      </c>
    </row>
    <row r="1742">
      <c r="A1742" s="39" t="s">
        <v>302</v>
      </c>
      <c r="B1742" s="40">
        <v>1909232.0</v>
      </c>
      <c r="C1742" s="40">
        <v>12.0</v>
      </c>
      <c r="D1742" s="41">
        <v>46003.52861540509</v>
      </c>
    </row>
    <row r="1743">
      <c r="A1743" s="39" t="s">
        <v>304</v>
      </c>
      <c r="B1743" s="40">
        <v>1905937.0</v>
      </c>
      <c r="C1743" s="40">
        <v>12.0</v>
      </c>
      <c r="D1743" s="41">
        <v>46003.52861540509</v>
      </c>
    </row>
    <row r="1744">
      <c r="A1744" s="39" t="s">
        <v>304</v>
      </c>
      <c r="B1744" s="40">
        <v>1905938.0</v>
      </c>
      <c r="C1744" s="40">
        <v>20.0</v>
      </c>
      <c r="D1744" s="41">
        <v>46003.52861540509</v>
      </c>
    </row>
    <row r="1745">
      <c r="A1745" s="39" t="s">
        <v>304</v>
      </c>
      <c r="B1745" s="40">
        <v>1905939.0</v>
      </c>
      <c r="C1745" s="40">
        <v>21.0</v>
      </c>
      <c r="D1745" s="41">
        <v>46003.52861540509</v>
      </c>
    </row>
    <row r="1746">
      <c r="A1746" s="39" t="s">
        <v>304</v>
      </c>
      <c r="B1746" s="40">
        <v>1905940.0</v>
      </c>
      <c r="C1746" s="40">
        <v>25.0</v>
      </c>
      <c r="D1746" s="41">
        <v>46003.52861540509</v>
      </c>
    </row>
    <row r="1747">
      <c r="A1747" s="39" t="s">
        <v>304</v>
      </c>
      <c r="B1747" s="40">
        <v>1905941.0</v>
      </c>
      <c r="C1747" s="40">
        <v>19.0</v>
      </c>
      <c r="D1747" s="41">
        <v>46003.52861540509</v>
      </c>
    </row>
    <row r="1748">
      <c r="A1748" s="39" t="s">
        <v>304</v>
      </c>
      <c r="B1748" s="40">
        <v>1909232.0</v>
      </c>
      <c r="C1748" s="40">
        <v>12.0</v>
      </c>
      <c r="D1748" s="41">
        <v>46003.52861540509</v>
      </c>
    </row>
    <row r="1749">
      <c r="A1749" s="39" t="s">
        <v>304</v>
      </c>
      <c r="B1749" s="40">
        <v>1909233.0</v>
      </c>
      <c r="C1749" s="40">
        <v>20.0</v>
      </c>
      <c r="D1749" s="41">
        <v>46003.52861540509</v>
      </c>
    </row>
    <row r="1750">
      <c r="A1750" s="39" t="s">
        <v>304</v>
      </c>
      <c r="B1750" s="40">
        <v>1909234.0</v>
      </c>
      <c r="C1750" s="40">
        <v>20.0</v>
      </c>
      <c r="D1750" s="41">
        <v>46003.52861540509</v>
      </c>
    </row>
    <row r="1751">
      <c r="A1751" s="39" t="s">
        <v>304</v>
      </c>
      <c r="B1751" s="40">
        <v>1909235.0</v>
      </c>
      <c r="C1751" s="40">
        <v>25.0</v>
      </c>
      <c r="D1751" s="41">
        <v>46003.52861540509</v>
      </c>
    </row>
    <row r="1752">
      <c r="A1752" s="39" t="s">
        <v>304</v>
      </c>
      <c r="B1752" s="40">
        <v>1909231.0</v>
      </c>
      <c r="C1752" s="40">
        <v>19.0</v>
      </c>
      <c r="D1752" s="41">
        <v>46003.52861540509</v>
      </c>
    </row>
    <row r="1753">
      <c r="A1753" s="39" t="s">
        <v>305</v>
      </c>
      <c r="B1753" s="40">
        <v>1880189.0</v>
      </c>
      <c r="C1753" s="40">
        <v>20.0</v>
      </c>
      <c r="D1753" s="41">
        <v>46003.52861540509</v>
      </c>
    </row>
    <row r="1754">
      <c r="A1754" s="39" t="s">
        <v>305</v>
      </c>
      <c r="B1754" s="40">
        <v>1880191.0</v>
      </c>
      <c r="C1754" s="40">
        <v>20.0</v>
      </c>
      <c r="D1754" s="41">
        <v>46003.52861540509</v>
      </c>
    </row>
    <row r="1755">
      <c r="A1755" s="39" t="s">
        <v>305</v>
      </c>
      <c r="B1755" s="40">
        <v>1905937.0</v>
      </c>
      <c r="C1755" s="40">
        <v>9.0</v>
      </c>
      <c r="D1755" s="41">
        <v>46003.52861540509</v>
      </c>
    </row>
    <row r="1756">
      <c r="A1756" s="39" t="s">
        <v>305</v>
      </c>
      <c r="B1756" s="40">
        <v>1905938.0</v>
      </c>
      <c r="C1756" s="40">
        <v>10.0</v>
      </c>
      <c r="D1756" s="41">
        <v>46003.52861540509</v>
      </c>
    </row>
    <row r="1757">
      <c r="A1757" s="39" t="s">
        <v>305</v>
      </c>
      <c r="B1757" s="40">
        <v>1905939.0</v>
      </c>
      <c r="C1757" s="40">
        <v>21.0</v>
      </c>
      <c r="D1757" s="41">
        <v>46003.52861540509</v>
      </c>
    </row>
    <row r="1758">
      <c r="A1758" s="39" t="s">
        <v>305</v>
      </c>
      <c r="B1758" s="40">
        <v>1905940.0</v>
      </c>
      <c r="C1758" s="40">
        <v>21.0</v>
      </c>
      <c r="D1758" s="41">
        <v>46003.52861540509</v>
      </c>
    </row>
    <row r="1759">
      <c r="A1759" s="39" t="s">
        <v>305</v>
      </c>
      <c r="B1759" s="40">
        <v>1905941.0</v>
      </c>
      <c r="C1759" s="40">
        <v>16.0</v>
      </c>
      <c r="D1759" s="41">
        <v>46003.52861540509</v>
      </c>
    </row>
    <row r="1760">
      <c r="A1760" s="39" t="s">
        <v>305</v>
      </c>
      <c r="B1760" s="40">
        <v>1909232.0</v>
      </c>
      <c r="C1760" s="40">
        <v>9.0</v>
      </c>
      <c r="D1760" s="41">
        <v>46003.52861540509</v>
      </c>
    </row>
    <row r="1761">
      <c r="A1761" s="39" t="s">
        <v>305</v>
      </c>
      <c r="B1761" s="40">
        <v>1909233.0</v>
      </c>
      <c r="C1761" s="40">
        <v>10.0</v>
      </c>
      <c r="D1761" s="41">
        <v>46003.52861540509</v>
      </c>
    </row>
    <row r="1762">
      <c r="A1762" s="39" t="s">
        <v>305</v>
      </c>
      <c r="B1762" s="40">
        <v>1909234.0</v>
      </c>
      <c r="C1762" s="40">
        <v>20.0</v>
      </c>
      <c r="D1762" s="41">
        <v>46003.52861540509</v>
      </c>
    </row>
    <row r="1763">
      <c r="A1763" s="39" t="s">
        <v>305</v>
      </c>
      <c r="B1763" s="40">
        <v>1909235.0</v>
      </c>
      <c r="C1763" s="40">
        <v>21.0</v>
      </c>
      <c r="D1763" s="41">
        <v>46003.52861540509</v>
      </c>
    </row>
    <row r="1764">
      <c r="A1764" s="39" t="s">
        <v>305</v>
      </c>
      <c r="B1764" s="40">
        <v>1909231.0</v>
      </c>
      <c r="C1764" s="40">
        <v>16.0</v>
      </c>
      <c r="D1764" s="41">
        <v>46003.52861540509</v>
      </c>
    </row>
    <row r="1765">
      <c r="A1765" s="39" t="s">
        <v>306</v>
      </c>
      <c r="B1765" s="40">
        <v>1905937.0</v>
      </c>
      <c r="C1765" s="40">
        <v>9.0</v>
      </c>
      <c r="D1765" s="41">
        <v>46003.52861540509</v>
      </c>
    </row>
    <row r="1766">
      <c r="A1766" s="39" t="s">
        <v>306</v>
      </c>
      <c r="B1766" s="40">
        <v>1905938.0</v>
      </c>
      <c r="C1766" s="40">
        <v>13.0</v>
      </c>
      <c r="D1766" s="41">
        <v>46003.52861540509</v>
      </c>
    </row>
    <row r="1767">
      <c r="A1767" s="39" t="s">
        <v>306</v>
      </c>
      <c r="B1767" s="40">
        <v>1905939.0</v>
      </c>
      <c r="C1767" s="40">
        <v>15.0</v>
      </c>
      <c r="D1767" s="41">
        <v>46003.52861540509</v>
      </c>
    </row>
    <row r="1768">
      <c r="A1768" s="39" t="s">
        <v>306</v>
      </c>
      <c r="B1768" s="40">
        <v>1909232.0</v>
      </c>
      <c r="C1768" s="40">
        <v>9.0</v>
      </c>
      <c r="D1768" s="41">
        <v>46003.52861540509</v>
      </c>
    </row>
    <row r="1769">
      <c r="A1769" s="39" t="s">
        <v>306</v>
      </c>
      <c r="B1769" s="40">
        <v>1909233.0</v>
      </c>
      <c r="C1769" s="40">
        <v>13.0</v>
      </c>
      <c r="D1769" s="41">
        <v>46003.52861540509</v>
      </c>
    </row>
    <row r="1770">
      <c r="A1770" s="39" t="s">
        <v>306</v>
      </c>
      <c r="B1770" s="40">
        <v>1909234.0</v>
      </c>
      <c r="C1770" s="40">
        <v>15.0</v>
      </c>
      <c r="D1770" s="41">
        <v>46003.52861540509</v>
      </c>
    </row>
    <row r="1771">
      <c r="A1771" s="39" t="s">
        <v>307</v>
      </c>
      <c r="B1771" s="40">
        <v>1880188.0</v>
      </c>
      <c r="C1771" s="40">
        <v>20.0</v>
      </c>
      <c r="D1771" s="41">
        <v>46003.52861540509</v>
      </c>
    </row>
    <row r="1772">
      <c r="A1772" s="39" t="s">
        <v>307</v>
      </c>
      <c r="B1772" s="40">
        <v>1880189.0</v>
      </c>
      <c r="C1772" s="40">
        <v>20.0</v>
      </c>
      <c r="D1772" s="41">
        <v>46003.52861540509</v>
      </c>
    </row>
    <row r="1773">
      <c r="A1773" s="39" t="s">
        <v>307</v>
      </c>
      <c r="B1773" s="40">
        <v>1880191.0</v>
      </c>
      <c r="C1773" s="40">
        <v>20.0</v>
      </c>
      <c r="D1773" s="41">
        <v>46003.52861540509</v>
      </c>
    </row>
    <row r="1774">
      <c r="A1774" s="39" t="s">
        <v>308</v>
      </c>
      <c r="B1774" s="40">
        <v>1905937.0</v>
      </c>
      <c r="C1774" s="40">
        <v>12.0</v>
      </c>
      <c r="D1774" s="41">
        <v>46003.52861540509</v>
      </c>
    </row>
    <row r="1775">
      <c r="A1775" s="39" t="s">
        <v>308</v>
      </c>
      <c r="B1775" s="40">
        <v>1905938.0</v>
      </c>
      <c r="C1775" s="40">
        <v>20.0</v>
      </c>
      <c r="D1775" s="41">
        <v>46003.52861540509</v>
      </c>
    </row>
    <row r="1776">
      <c r="A1776" s="39" t="s">
        <v>308</v>
      </c>
      <c r="B1776" s="40">
        <v>1905939.0</v>
      </c>
      <c r="C1776" s="40">
        <v>21.0</v>
      </c>
      <c r="D1776" s="41">
        <v>46003.52861540509</v>
      </c>
    </row>
    <row r="1777">
      <c r="A1777" s="39" t="s">
        <v>308</v>
      </c>
      <c r="B1777" s="40">
        <v>1905940.0</v>
      </c>
      <c r="C1777" s="40">
        <v>25.0</v>
      </c>
      <c r="D1777" s="41">
        <v>46003.52861540509</v>
      </c>
    </row>
    <row r="1778">
      <c r="A1778" s="39" t="s">
        <v>308</v>
      </c>
      <c r="B1778" s="40">
        <v>1909232.0</v>
      </c>
      <c r="C1778" s="40">
        <v>12.0</v>
      </c>
      <c r="D1778" s="41">
        <v>46003.52861540509</v>
      </c>
    </row>
    <row r="1779">
      <c r="A1779" s="39" t="s">
        <v>308</v>
      </c>
      <c r="B1779" s="40">
        <v>1909233.0</v>
      </c>
      <c r="C1779" s="40">
        <v>20.0</v>
      </c>
      <c r="D1779" s="41">
        <v>46003.52861540509</v>
      </c>
    </row>
    <row r="1780">
      <c r="A1780" s="39" t="s">
        <v>308</v>
      </c>
      <c r="B1780" s="40">
        <v>1909234.0</v>
      </c>
      <c r="C1780" s="40">
        <v>20.0</v>
      </c>
      <c r="D1780" s="41">
        <v>46003.52861540509</v>
      </c>
    </row>
    <row r="1781">
      <c r="A1781" s="39" t="s">
        <v>308</v>
      </c>
      <c r="B1781" s="40">
        <v>1909235.0</v>
      </c>
      <c r="C1781" s="40">
        <v>25.0</v>
      </c>
      <c r="D1781" s="41">
        <v>46003.52861540509</v>
      </c>
    </row>
    <row r="1782">
      <c r="A1782" s="39" t="s">
        <v>311</v>
      </c>
      <c r="B1782" s="40">
        <v>1905937.0</v>
      </c>
      <c r="C1782" s="40">
        <v>12.0</v>
      </c>
      <c r="D1782" s="41">
        <v>46003.52861540509</v>
      </c>
    </row>
    <row r="1783">
      <c r="A1783" s="39" t="s">
        <v>311</v>
      </c>
      <c r="B1783" s="40">
        <v>1909232.0</v>
      </c>
      <c r="C1783" s="40">
        <v>12.0</v>
      </c>
      <c r="D1783" s="41">
        <v>46003.52861540509</v>
      </c>
    </row>
    <row r="1784">
      <c r="A1784" s="39" t="s">
        <v>312</v>
      </c>
      <c r="B1784" s="40">
        <v>1880188.0</v>
      </c>
      <c r="C1784" s="40">
        <v>20.0</v>
      </c>
      <c r="D1784" s="41">
        <v>46003.52861540509</v>
      </c>
    </row>
    <row r="1785">
      <c r="A1785" s="39" t="s">
        <v>312</v>
      </c>
      <c r="B1785" s="40">
        <v>1880189.0</v>
      </c>
      <c r="C1785" s="40">
        <v>20.0</v>
      </c>
      <c r="D1785" s="41">
        <v>46003.52861540509</v>
      </c>
    </row>
    <row r="1786">
      <c r="A1786" s="39" t="s">
        <v>312</v>
      </c>
      <c r="B1786" s="40">
        <v>1905937.0</v>
      </c>
      <c r="C1786" s="40">
        <v>12.0</v>
      </c>
      <c r="D1786" s="41">
        <v>46003.52861540509</v>
      </c>
    </row>
    <row r="1787">
      <c r="A1787" s="39" t="s">
        <v>312</v>
      </c>
      <c r="B1787" s="40">
        <v>1905938.0</v>
      </c>
      <c r="C1787" s="40">
        <v>16.0</v>
      </c>
      <c r="D1787" s="41">
        <v>46003.52861540509</v>
      </c>
    </row>
    <row r="1788">
      <c r="A1788" s="39" t="s">
        <v>312</v>
      </c>
      <c r="B1788" s="40">
        <v>1905939.0</v>
      </c>
      <c r="C1788" s="40">
        <v>17.0</v>
      </c>
      <c r="D1788" s="41">
        <v>46003.52861540509</v>
      </c>
    </row>
    <row r="1789">
      <c r="A1789" s="39" t="s">
        <v>312</v>
      </c>
      <c r="B1789" s="40">
        <v>1909232.0</v>
      </c>
      <c r="C1789" s="40">
        <v>12.0</v>
      </c>
      <c r="D1789" s="41">
        <v>46003.52861540509</v>
      </c>
    </row>
    <row r="1790">
      <c r="A1790" s="39" t="s">
        <v>312</v>
      </c>
      <c r="B1790" s="40">
        <v>1909233.0</v>
      </c>
      <c r="C1790" s="40">
        <v>16.0</v>
      </c>
      <c r="D1790" s="41">
        <v>46003.52861540509</v>
      </c>
    </row>
    <row r="1791">
      <c r="A1791" s="39" t="s">
        <v>312</v>
      </c>
      <c r="B1791" s="40">
        <v>1909234.0</v>
      </c>
      <c r="C1791" s="40">
        <v>17.0</v>
      </c>
      <c r="D1791" s="41">
        <v>46003.52861540509</v>
      </c>
    </row>
    <row r="1792">
      <c r="A1792" s="39" t="s">
        <v>315</v>
      </c>
      <c r="B1792" s="40">
        <v>1880188.0</v>
      </c>
      <c r="C1792" s="40">
        <v>20.0</v>
      </c>
      <c r="D1792" s="41">
        <v>46003.52861540509</v>
      </c>
    </row>
    <row r="1793">
      <c r="A1793" s="39" t="s">
        <v>315</v>
      </c>
      <c r="B1793" s="40">
        <v>1880189.0</v>
      </c>
      <c r="C1793" s="40">
        <v>20.0</v>
      </c>
      <c r="D1793" s="41">
        <v>46003.52861540509</v>
      </c>
    </row>
    <row r="1794">
      <c r="A1794" s="39" t="s">
        <v>315</v>
      </c>
      <c r="B1794" s="40">
        <v>1880191.0</v>
      </c>
      <c r="C1794" s="40">
        <v>20.0</v>
      </c>
      <c r="D1794" s="41">
        <v>46003.52861540509</v>
      </c>
    </row>
    <row r="1795">
      <c r="A1795" s="39" t="s">
        <v>315</v>
      </c>
      <c r="B1795" s="40">
        <v>1905937.0</v>
      </c>
      <c r="C1795" s="40">
        <v>12.0</v>
      </c>
      <c r="D1795" s="41">
        <v>46003.52861540509</v>
      </c>
    </row>
    <row r="1796">
      <c r="A1796" s="39" t="s">
        <v>315</v>
      </c>
      <c r="B1796" s="40">
        <v>1905938.0</v>
      </c>
      <c r="C1796" s="40">
        <v>20.0</v>
      </c>
      <c r="D1796" s="41">
        <v>46003.52861540509</v>
      </c>
    </row>
    <row r="1797">
      <c r="A1797" s="39" t="s">
        <v>315</v>
      </c>
      <c r="B1797" s="40">
        <v>1905939.0</v>
      </c>
      <c r="C1797" s="40">
        <v>21.0</v>
      </c>
      <c r="D1797" s="41">
        <v>46003.52861540509</v>
      </c>
    </row>
    <row r="1798">
      <c r="A1798" s="39" t="s">
        <v>315</v>
      </c>
      <c r="B1798" s="40">
        <v>1905940.0</v>
      </c>
      <c r="C1798" s="40">
        <v>25.0</v>
      </c>
      <c r="D1798" s="41">
        <v>46003.52861540509</v>
      </c>
    </row>
    <row r="1799">
      <c r="A1799" s="39" t="s">
        <v>315</v>
      </c>
      <c r="B1799" s="40">
        <v>1905941.0</v>
      </c>
      <c r="C1799" s="40">
        <v>4.0</v>
      </c>
      <c r="D1799" s="41">
        <v>46003.52861540509</v>
      </c>
    </row>
    <row r="1800">
      <c r="A1800" s="39" t="s">
        <v>315</v>
      </c>
      <c r="B1800" s="40">
        <v>1909232.0</v>
      </c>
      <c r="C1800" s="40">
        <v>12.0</v>
      </c>
      <c r="D1800" s="41">
        <v>46003.52861540509</v>
      </c>
    </row>
    <row r="1801">
      <c r="A1801" s="39" t="s">
        <v>315</v>
      </c>
      <c r="B1801" s="40">
        <v>1909233.0</v>
      </c>
      <c r="C1801" s="40">
        <v>20.0</v>
      </c>
      <c r="D1801" s="41">
        <v>46003.52861540509</v>
      </c>
    </row>
    <row r="1802">
      <c r="A1802" s="39" t="s">
        <v>315</v>
      </c>
      <c r="B1802" s="40">
        <v>1909234.0</v>
      </c>
      <c r="C1802" s="40">
        <v>20.0</v>
      </c>
      <c r="D1802" s="41">
        <v>46003.52861540509</v>
      </c>
    </row>
    <row r="1803">
      <c r="A1803" s="39" t="s">
        <v>315</v>
      </c>
      <c r="B1803" s="40">
        <v>1909235.0</v>
      </c>
      <c r="C1803" s="40">
        <v>25.0</v>
      </c>
      <c r="D1803" s="41">
        <v>46003.52861540509</v>
      </c>
    </row>
    <row r="1804">
      <c r="A1804" s="39" t="s">
        <v>315</v>
      </c>
      <c r="B1804" s="40">
        <v>1909231.0</v>
      </c>
      <c r="C1804" s="40">
        <v>4.0</v>
      </c>
      <c r="D1804" s="41">
        <v>46003.52861540509</v>
      </c>
    </row>
    <row r="1805">
      <c r="A1805" s="39" t="s">
        <v>316</v>
      </c>
      <c r="B1805" s="40">
        <v>1880191.0</v>
      </c>
      <c r="C1805" s="40">
        <v>20.0</v>
      </c>
      <c r="D1805" s="41">
        <v>46003.52861540509</v>
      </c>
    </row>
    <row r="1806">
      <c r="A1806" s="39" t="s">
        <v>316</v>
      </c>
      <c r="B1806" s="40">
        <v>1905937.0</v>
      </c>
      <c r="C1806" s="40">
        <v>9.0</v>
      </c>
      <c r="D1806" s="41">
        <v>46003.52861540509</v>
      </c>
    </row>
    <row r="1807">
      <c r="A1807" s="39" t="s">
        <v>316</v>
      </c>
      <c r="B1807" s="40">
        <v>1905938.0</v>
      </c>
      <c r="C1807" s="40">
        <v>20.0</v>
      </c>
      <c r="D1807" s="41">
        <v>46003.52861540509</v>
      </c>
    </row>
    <row r="1808">
      <c r="A1808" s="39" t="s">
        <v>316</v>
      </c>
      <c r="B1808" s="40">
        <v>1905940.0</v>
      </c>
      <c r="C1808" s="40">
        <v>25.0</v>
      </c>
      <c r="D1808" s="41">
        <v>46003.52861540509</v>
      </c>
    </row>
    <row r="1809">
      <c r="A1809" s="39" t="s">
        <v>316</v>
      </c>
      <c r="B1809" s="40">
        <v>1905941.0</v>
      </c>
      <c r="C1809" s="40">
        <v>21.0</v>
      </c>
      <c r="D1809" s="41">
        <v>46003.52861540509</v>
      </c>
    </row>
    <row r="1810">
      <c r="A1810" s="39" t="s">
        <v>316</v>
      </c>
      <c r="B1810" s="40">
        <v>1909232.0</v>
      </c>
      <c r="C1810" s="40">
        <v>9.0</v>
      </c>
      <c r="D1810" s="41">
        <v>46003.52861540509</v>
      </c>
    </row>
    <row r="1811">
      <c r="A1811" s="39" t="s">
        <v>316</v>
      </c>
      <c r="B1811" s="40">
        <v>1909233.0</v>
      </c>
      <c r="C1811" s="40">
        <v>20.0</v>
      </c>
      <c r="D1811" s="41">
        <v>46003.52861540509</v>
      </c>
    </row>
    <row r="1812">
      <c r="A1812" s="39" t="s">
        <v>316</v>
      </c>
      <c r="B1812" s="40">
        <v>1909235.0</v>
      </c>
      <c r="C1812" s="40">
        <v>25.0</v>
      </c>
      <c r="D1812" s="41">
        <v>46003.52861540509</v>
      </c>
    </row>
    <row r="1813">
      <c r="A1813" s="39" t="s">
        <v>316</v>
      </c>
      <c r="B1813" s="40">
        <v>1909231.0</v>
      </c>
      <c r="C1813" s="40">
        <v>21.0</v>
      </c>
      <c r="D1813" s="41">
        <v>46003.52861540509</v>
      </c>
    </row>
    <row r="1814">
      <c r="A1814" s="39" t="s">
        <v>317</v>
      </c>
      <c r="B1814" s="40">
        <v>1905937.0</v>
      </c>
      <c r="C1814" s="40">
        <v>12.0</v>
      </c>
      <c r="D1814" s="41">
        <v>46003.52861540509</v>
      </c>
    </row>
    <row r="1815">
      <c r="A1815" s="39" t="s">
        <v>317</v>
      </c>
      <c r="B1815" s="40">
        <v>1909232.0</v>
      </c>
      <c r="C1815" s="40">
        <v>12.0</v>
      </c>
      <c r="D1815" s="41">
        <v>46003.52861541667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s>
  <sheetData>
    <row r="1">
      <c r="A1" s="42" t="s">
        <v>319</v>
      </c>
      <c r="B1" s="42" t="s">
        <v>320</v>
      </c>
      <c r="C1" s="42" t="s">
        <v>321</v>
      </c>
      <c r="D1" s="43" t="s">
        <v>322</v>
      </c>
      <c r="E1" s="44"/>
      <c r="F1" s="44"/>
      <c r="G1" s="44"/>
      <c r="H1" s="44"/>
      <c r="I1" s="44"/>
      <c r="J1" s="44"/>
      <c r="K1" s="44"/>
      <c r="L1" s="44"/>
      <c r="M1" s="44"/>
      <c r="N1" s="44"/>
      <c r="O1" s="44"/>
      <c r="P1" s="44"/>
      <c r="Q1" s="44"/>
      <c r="R1" s="44"/>
      <c r="S1" s="44"/>
      <c r="T1" s="44"/>
      <c r="U1" s="44"/>
      <c r="V1" s="44"/>
      <c r="W1" s="44"/>
      <c r="X1" s="44"/>
      <c r="Y1" s="44"/>
      <c r="Z1" s="44"/>
    </row>
    <row r="2">
      <c r="A2" s="43" t="s">
        <v>323</v>
      </c>
      <c r="B2" s="43" t="s">
        <v>324</v>
      </c>
      <c r="C2" s="45">
        <v>1871474.0</v>
      </c>
      <c r="D2" s="44"/>
      <c r="E2" s="44"/>
      <c r="F2" s="44"/>
      <c r="G2" s="44"/>
      <c r="H2" s="44"/>
      <c r="I2" s="44"/>
      <c r="J2" s="44"/>
      <c r="K2" s="44"/>
      <c r="L2" s="44"/>
      <c r="M2" s="44"/>
      <c r="N2" s="44"/>
      <c r="O2" s="44"/>
      <c r="P2" s="44"/>
      <c r="Q2" s="44"/>
      <c r="R2" s="44"/>
      <c r="S2" s="44"/>
      <c r="T2" s="44"/>
      <c r="U2" s="44"/>
      <c r="V2" s="44"/>
      <c r="W2" s="44"/>
      <c r="X2" s="44"/>
      <c r="Y2" s="44"/>
      <c r="Z2" s="44"/>
    </row>
    <row r="3">
      <c r="A3" s="43" t="s">
        <v>325</v>
      </c>
      <c r="B3" s="43" t="s">
        <v>326</v>
      </c>
      <c r="C3" s="45">
        <v>1871475.0</v>
      </c>
      <c r="D3" s="44"/>
      <c r="E3" s="44"/>
      <c r="F3" s="44"/>
      <c r="G3" s="44"/>
      <c r="H3" s="44"/>
      <c r="I3" s="44"/>
      <c r="J3" s="44"/>
      <c r="K3" s="44"/>
      <c r="L3" s="44"/>
      <c r="M3" s="44"/>
      <c r="N3" s="44"/>
      <c r="O3" s="44"/>
      <c r="P3" s="44"/>
      <c r="Q3" s="44"/>
      <c r="R3" s="44"/>
      <c r="S3" s="44"/>
      <c r="T3" s="44"/>
      <c r="U3" s="44"/>
      <c r="V3" s="44"/>
      <c r="W3" s="44"/>
      <c r="X3" s="44"/>
      <c r="Y3" s="44"/>
      <c r="Z3" s="44"/>
    </row>
    <row r="4">
      <c r="A4" s="43" t="s">
        <v>327</v>
      </c>
      <c r="B4" s="43" t="s">
        <v>328</v>
      </c>
      <c r="C4" s="45">
        <v>1871476.0</v>
      </c>
      <c r="D4" s="44"/>
      <c r="E4" s="44"/>
      <c r="F4" s="44"/>
      <c r="G4" s="44"/>
      <c r="H4" s="44"/>
      <c r="I4" s="44"/>
      <c r="J4" s="44"/>
      <c r="K4" s="44"/>
      <c r="L4" s="44"/>
      <c r="M4" s="44"/>
      <c r="N4" s="44"/>
      <c r="O4" s="44"/>
      <c r="P4" s="44"/>
      <c r="Q4" s="44"/>
      <c r="R4" s="44"/>
      <c r="S4" s="44"/>
      <c r="T4" s="44"/>
      <c r="U4" s="44"/>
      <c r="V4" s="44"/>
      <c r="W4" s="44"/>
      <c r="X4" s="44"/>
      <c r="Y4" s="44"/>
      <c r="Z4" s="44"/>
    </row>
    <row r="5">
      <c r="A5" s="43" t="s">
        <v>329</v>
      </c>
      <c r="B5" s="43" t="s">
        <v>330</v>
      </c>
      <c r="C5" s="45">
        <v>1871477.0</v>
      </c>
      <c r="D5" s="44"/>
      <c r="E5" s="44"/>
      <c r="F5" s="44"/>
      <c r="G5" s="44"/>
      <c r="H5" s="44"/>
      <c r="I5" s="44"/>
      <c r="J5" s="44"/>
      <c r="K5" s="44"/>
      <c r="L5" s="44"/>
      <c r="M5" s="44"/>
      <c r="N5" s="44"/>
      <c r="O5" s="44"/>
      <c r="P5" s="44"/>
      <c r="Q5" s="44"/>
      <c r="R5" s="44"/>
      <c r="S5" s="44"/>
      <c r="T5" s="44"/>
      <c r="U5" s="44"/>
      <c r="V5" s="44"/>
      <c r="W5" s="44"/>
      <c r="X5" s="44"/>
      <c r="Y5" s="44"/>
      <c r="Z5" s="44"/>
    </row>
    <row r="6">
      <c r="A6" s="43" t="s">
        <v>331</v>
      </c>
      <c r="B6" s="43" t="s">
        <v>332</v>
      </c>
      <c r="C6" s="45">
        <v>1871478.0</v>
      </c>
      <c r="D6" s="44"/>
      <c r="E6" s="44"/>
      <c r="F6" s="44"/>
      <c r="G6" s="44"/>
      <c r="H6" s="44"/>
      <c r="I6" s="44"/>
      <c r="J6" s="44"/>
      <c r="K6" s="44"/>
      <c r="L6" s="44"/>
      <c r="M6" s="44"/>
      <c r="N6" s="44"/>
      <c r="O6" s="44"/>
      <c r="P6" s="44"/>
      <c r="Q6" s="44"/>
      <c r="R6" s="44"/>
      <c r="S6" s="44"/>
      <c r="T6" s="44"/>
      <c r="U6" s="44"/>
      <c r="V6" s="44"/>
      <c r="W6" s="44"/>
      <c r="X6" s="44"/>
      <c r="Y6" s="44"/>
      <c r="Z6" s="44"/>
    </row>
    <row r="7">
      <c r="A7" s="43" t="s">
        <v>333</v>
      </c>
      <c r="B7" s="43" t="s">
        <v>334</v>
      </c>
      <c r="C7" s="43">
        <v>1872001.0</v>
      </c>
      <c r="D7" s="44"/>
      <c r="E7" s="44"/>
      <c r="F7" s="44"/>
      <c r="G7" s="44"/>
      <c r="H7" s="44"/>
      <c r="I7" s="44"/>
      <c r="J7" s="44"/>
      <c r="K7" s="44"/>
      <c r="L7" s="44"/>
      <c r="M7" s="44"/>
      <c r="N7" s="44"/>
      <c r="O7" s="44"/>
      <c r="P7" s="44"/>
      <c r="Q7" s="44"/>
      <c r="R7" s="44"/>
      <c r="S7" s="44"/>
      <c r="T7" s="44"/>
      <c r="U7" s="44"/>
      <c r="V7" s="44"/>
      <c r="W7" s="44"/>
      <c r="X7" s="44"/>
      <c r="Y7" s="44"/>
      <c r="Z7" s="44"/>
    </row>
    <row r="8">
      <c r="A8" s="43" t="s">
        <v>335</v>
      </c>
      <c r="B8" s="43" t="s">
        <v>336</v>
      </c>
      <c r="C8" s="43">
        <v>1872002.0</v>
      </c>
      <c r="D8" s="44"/>
      <c r="E8" s="44"/>
      <c r="F8" s="44"/>
      <c r="G8" s="44"/>
      <c r="H8" s="44"/>
      <c r="I8" s="44"/>
      <c r="J8" s="44"/>
      <c r="K8" s="44"/>
      <c r="L8" s="44"/>
      <c r="M8" s="44"/>
      <c r="N8" s="44"/>
      <c r="O8" s="44"/>
      <c r="P8" s="44"/>
      <c r="Q8" s="44"/>
      <c r="R8" s="44"/>
      <c r="S8" s="44"/>
      <c r="T8" s="44"/>
      <c r="U8" s="44"/>
      <c r="V8" s="44"/>
      <c r="W8" s="44"/>
      <c r="X8" s="44"/>
      <c r="Y8" s="44"/>
      <c r="Z8" s="44"/>
    </row>
    <row r="9">
      <c r="A9" s="43" t="s">
        <v>337</v>
      </c>
      <c r="B9" s="46" t="s">
        <v>338</v>
      </c>
      <c r="C9" s="43">
        <v>1872003.0</v>
      </c>
      <c r="D9" s="44"/>
      <c r="E9" s="44"/>
      <c r="F9" s="44"/>
      <c r="G9" s="44"/>
      <c r="H9" s="44"/>
      <c r="I9" s="44"/>
      <c r="J9" s="44"/>
      <c r="K9" s="44"/>
      <c r="L9" s="44"/>
      <c r="M9" s="44"/>
      <c r="N9" s="44"/>
      <c r="O9" s="44"/>
      <c r="P9" s="44"/>
      <c r="Q9" s="44"/>
      <c r="R9" s="44"/>
      <c r="S9" s="44"/>
      <c r="T9" s="44"/>
      <c r="U9" s="44"/>
      <c r="V9" s="44"/>
      <c r="W9" s="44"/>
      <c r="X9" s="44"/>
      <c r="Y9" s="44"/>
      <c r="Z9" s="44"/>
    </row>
    <row r="10">
      <c r="A10" s="43" t="s">
        <v>339</v>
      </c>
      <c r="B10" s="46" t="s">
        <v>340</v>
      </c>
      <c r="C10" s="43">
        <v>1872011.0</v>
      </c>
      <c r="D10" s="44"/>
      <c r="E10" s="44"/>
      <c r="F10" s="44"/>
      <c r="G10" s="44"/>
      <c r="H10" s="44"/>
      <c r="I10" s="44"/>
      <c r="J10" s="44"/>
      <c r="K10" s="44"/>
      <c r="L10" s="44"/>
      <c r="M10" s="44"/>
      <c r="N10" s="44"/>
      <c r="O10" s="44"/>
      <c r="P10" s="44"/>
      <c r="Q10" s="44"/>
      <c r="R10" s="44"/>
      <c r="S10" s="44"/>
      <c r="T10" s="44"/>
      <c r="U10" s="44"/>
      <c r="V10" s="44"/>
      <c r="W10" s="44"/>
      <c r="X10" s="44"/>
      <c r="Y10" s="44"/>
      <c r="Z10" s="44"/>
    </row>
    <row r="11">
      <c r="A11" s="43" t="s">
        <v>341</v>
      </c>
      <c r="B11" s="46" t="s">
        <v>342</v>
      </c>
      <c r="C11" s="43">
        <v>1872014.0</v>
      </c>
      <c r="D11" s="44"/>
      <c r="E11" s="44"/>
      <c r="F11" s="44"/>
      <c r="G11" s="44"/>
      <c r="H11" s="44"/>
      <c r="I11" s="44"/>
      <c r="J11" s="44"/>
      <c r="K11" s="44"/>
      <c r="L11" s="44"/>
      <c r="M11" s="44"/>
      <c r="N11" s="44"/>
      <c r="O11" s="44"/>
      <c r="P11" s="44"/>
      <c r="Q11" s="44"/>
      <c r="R11" s="44"/>
      <c r="S11" s="44"/>
      <c r="T11" s="44"/>
      <c r="U11" s="44"/>
      <c r="V11" s="44"/>
      <c r="W11" s="44"/>
      <c r="X11" s="44"/>
      <c r="Y11" s="44"/>
      <c r="Z11" s="44"/>
    </row>
    <row r="12">
      <c r="A12" s="43" t="s">
        <v>343</v>
      </c>
      <c r="B12" s="47" t="s">
        <v>344</v>
      </c>
      <c r="C12" s="43">
        <v>1879211.0</v>
      </c>
      <c r="D12" s="44"/>
      <c r="E12" s="44"/>
      <c r="F12" s="44"/>
      <c r="G12" s="44"/>
      <c r="H12" s="44"/>
      <c r="I12" s="44"/>
      <c r="J12" s="44"/>
      <c r="K12" s="44"/>
      <c r="L12" s="44"/>
      <c r="M12" s="44"/>
      <c r="N12" s="44"/>
      <c r="O12" s="44"/>
      <c r="P12" s="44"/>
      <c r="Q12" s="44"/>
      <c r="R12" s="44"/>
      <c r="S12" s="44"/>
      <c r="T12" s="44"/>
      <c r="U12" s="44"/>
      <c r="V12" s="44"/>
      <c r="W12" s="44"/>
      <c r="X12" s="44"/>
      <c r="Y12" s="44"/>
      <c r="Z12" s="44"/>
    </row>
    <row r="13">
      <c r="A13" s="43" t="s">
        <v>345</v>
      </c>
      <c r="B13" s="43" t="s">
        <v>346</v>
      </c>
      <c r="C13" s="43">
        <v>1879212.0</v>
      </c>
      <c r="D13" s="44"/>
      <c r="E13" s="44"/>
      <c r="F13" s="44"/>
      <c r="G13" s="44"/>
      <c r="H13" s="44"/>
      <c r="I13" s="44"/>
      <c r="J13" s="44"/>
      <c r="K13" s="44"/>
      <c r="L13" s="44"/>
      <c r="M13" s="44"/>
      <c r="N13" s="44"/>
      <c r="O13" s="44"/>
      <c r="P13" s="44"/>
      <c r="Q13" s="44"/>
      <c r="R13" s="44"/>
      <c r="S13" s="44"/>
      <c r="T13" s="44"/>
      <c r="U13" s="44"/>
      <c r="V13" s="44"/>
      <c r="W13" s="44"/>
      <c r="X13" s="44"/>
      <c r="Y13" s="44"/>
      <c r="Z13" s="44"/>
    </row>
    <row r="14">
      <c r="A14" s="43" t="s">
        <v>347</v>
      </c>
      <c r="B14" s="43" t="s">
        <v>348</v>
      </c>
      <c r="C14" s="43">
        <v>1879213.0</v>
      </c>
      <c r="D14" s="44"/>
      <c r="E14" s="44"/>
      <c r="F14" s="44"/>
      <c r="G14" s="44"/>
      <c r="H14" s="44"/>
      <c r="I14" s="44"/>
      <c r="J14" s="44"/>
      <c r="K14" s="44"/>
      <c r="L14" s="44"/>
      <c r="M14" s="44"/>
      <c r="N14" s="44"/>
      <c r="O14" s="44"/>
      <c r="P14" s="44"/>
      <c r="Q14" s="44"/>
      <c r="R14" s="44"/>
      <c r="S14" s="44"/>
      <c r="T14" s="44"/>
      <c r="U14" s="44"/>
      <c r="V14" s="44"/>
      <c r="W14" s="44"/>
      <c r="X14" s="44"/>
      <c r="Y14" s="44"/>
      <c r="Z14" s="44"/>
    </row>
    <row r="15">
      <c r="A15" s="43" t="s">
        <v>349</v>
      </c>
      <c r="B15" s="43" t="s">
        <v>350</v>
      </c>
      <c r="C15" s="43">
        <v>1879214.0</v>
      </c>
      <c r="D15" s="44"/>
      <c r="E15" s="48" t="s">
        <v>351</v>
      </c>
      <c r="F15" s="48" t="s">
        <v>352</v>
      </c>
      <c r="G15" s="48" t="s">
        <v>353</v>
      </c>
      <c r="H15" s="48" t="s">
        <v>354</v>
      </c>
      <c r="I15" s="48" t="s">
        <v>355</v>
      </c>
      <c r="J15" s="44"/>
      <c r="K15" s="44"/>
      <c r="L15" s="44"/>
      <c r="M15" s="44"/>
      <c r="N15" s="44"/>
      <c r="O15" s="44"/>
      <c r="P15" s="44"/>
      <c r="Q15" s="44"/>
      <c r="R15" s="44"/>
      <c r="S15" s="44"/>
      <c r="T15" s="44"/>
      <c r="U15" s="44"/>
      <c r="V15" s="44"/>
      <c r="W15" s="44"/>
      <c r="X15" s="44"/>
      <c r="Y15" s="44"/>
      <c r="Z15" s="44"/>
    </row>
    <row r="16">
      <c r="A16" s="43" t="s">
        <v>356</v>
      </c>
      <c r="B16" s="43" t="s">
        <v>357</v>
      </c>
      <c r="C16" s="43">
        <v>1879215.0</v>
      </c>
      <c r="D16" s="44"/>
      <c r="E16" s="44"/>
      <c r="F16" s="44"/>
      <c r="G16" s="44"/>
      <c r="H16" s="44"/>
      <c r="I16" s="44"/>
      <c r="J16" s="44"/>
      <c r="K16" s="44"/>
      <c r="L16" s="44"/>
      <c r="M16" s="44"/>
      <c r="N16" s="44"/>
      <c r="O16" s="44"/>
      <c r="P16" s="44"/>
      <c r="Q16" s="44"/>
      <c r="R16" s="44"/>
      <c r="S16" s="44"/>
      <c r="T16" s="44"/>
      <c r="U16" s="44"/>
      <c r="V16" s="44"/>
      <c r="W16" s="44"/>
      <c r="X16" s="44"/>
      <c r="Y16" s="44"/>
      <c r="Z16" s="44"/>
    </row>
    <row r="17">
      <c r="A17" s="43" t="s">
        <v>358</v>
      </c>
      <c r="B17" s="49" t="s">
        <v>359</v>
      </c>
      <c r="C17" s="43">
        <v>1892322.0</v>
      </c>
      <c r="D17" s="44"/>
      <c r="E17" s="44"/>
      <c r="F17" s="44"/>
      <c r="G17" s="44"/>
      <c r="H17" s="44"/>
      <c r="I17" s="44"/>
      <c r="J17" s="44"/>
      <c r="K17" s="44"/>
      <c r="L17" s="44"/>
      <c r="M17" s="44"/>
      <c r="N17" s="44"/>
      <c r="O17" s="44"/>
      <c r="P17" s="44"/>
      <c r="Q17" s="44"/>
      <c r="R17" s="44"/>
      <c r="S17" s="44"/>
      <c r="T17" s="44"/>
      <c r="U17" s="44"/>
      <c r="V17" s="44"/>
      <c r="W17" s="44"/>
      <c r="X17" s="44"/>
      <c r="Y17" s="44"/>
      <c r="Z17" s="44"/>
    </row>
    <row r="18">
      <c r="A18" s="43" t="s">
        <v>360</v>
      </c>
      <c r="B18" s="49" t="s">
        <v>361</v>
      </c>
      <c r="C18" s="43">
        <v>1892323.0</v>
      </c>
      <c r="D18" s="44"/>
      <c r="E18" s="44"/>
      <c r="F18" s="44"/>
      <c r="G18" s="44"/>
      <c r="H18" s="44"/>
      <c r="I18" s="44"/>
      <c r="J18" s="44"/>
      <c r="K18" s="44"/>
      <c r="L18" s="44"/>
      <c r="M18" s="44"/>
      <c r="N18" s="44"/>
      <c r="O18" s="44"/>
      <c r="P18" s="44"/>
      <c r="Q18" s="44"/>
      <c r="R18" s="44"/>
      <c r="S18" s="44"/>
      <c r="T18" s="44"/>
      <c r="U18" s="44"/>
      <c r="V18" s="44"/>
      <c r="W18" s="44"/>
      <c r="X18" s="44"/>
      <c r="Y18" s="44"/>
      <c r="Z18" s="44"/>
    </row>
    <row r="19">
      <c r="A19" s="43" t="s">
        <v>362</v>
      </c>
      <c r="B19" s="49" t="s">
        <v>363</v>
      </c>
      <c r="C19" s="43">
        <v>1892324.0</v>
      </c>
      <c r="D19" s="44"/>
      <c r="E19" s="44"/>
      <c r="F19" s="44"/>
      <c r="G19" s="44"/>
      <c r="H19" s="44"/>
      <c r="I19" s="44"/>
      <c r="J19" s="44"/>
      <c r="K19" s="44"/>
      <c r="L19" s="44"/>
      <c r="M19" s="44"/>
      <c r="N19" s="44"/>
      <c r="O19" s="44"/>
      <c r="P19" s="44"/>
      <c r="Q19" s="44"/>
      <c r="R19" s="44"/>
      <c r="S19" s="44"/>
      <c r="T19" s="44"/>
      <c r="U19" s="44"/>
      <c r="V19" s="44"/>
      <c r="W19" s="44"/>
      <c r="X19" s="44"/>
      <c r="Y19" s="44"/>
      <c r="Z19" s="44"/>
    </row>
    <row r="20">
      <c r="A20" s="43" t="s">
        <v>364</v>
      </c>
      <c r="B20" s="49" t="s">
        <v>365</v>
      </c>
      <c r="C20" s="43">
        <v>1892325.0</v>
      </c>
      <c r="D20" s="44"/>
      <c r="E20" s="44"/>
      <c r="F20" s="44"/>
      <c r="G20" s="44"/>
      <c r="H20" s="44"/>
      <c r="I20" s="44"/>
      <c r="J20" s="44"/>
      <c r="K20" s="44"/>
      <c r="L20" s="44"/>
      <c r="M20" s="44"/>
      <c r="N20" s="44"/>
      <c r="O20" s="44"/>
      <c r="P20" s="44"/>
      <c r="Q20" s="44"/>
      <c r="R20" s="44"/>
      <c r="S20" s="44"/>
      <c r="T20" s="44"/>
      <c r="U20" s="44"/>
      <c r="V20" s="44"/>
      <c r="W20" s="44"/>
      <c r="X20" s="44"/>
      <c r="Y20" s="44"/>
      <c r="Z20" s="44"/>
    </row>
    <row r="21">
      <c r="A21" s="43" t="s">
        <v>366</v>
      </c>
      <c r="B21" s="49" t="s">
        <v>367</v>
      </c>
      <c r="C21" s="43">
        <v>1892326.0</v>
      </c>
      <c r="D21" s="44"/>
      <c r="E21" s="44"/>
      <c r="F21" s="44"/>
      <c r="G21" s="44"/>
      <c r="H21" s="44"/>
      <c r="I21" s="44"/>
      <c r="J21" s="44"/>
      <c r="K21" s="44"/>
      <c r="L21" s="44"/>
      <c r="M21" s="44"/>
      <c r="N21" s="44"/>
      <c r="O21" s="44"/>
      <c r="P21" s="44"/>
      <c r="Q21" s="44"/>
      <c r="R21" s="44"/>
      <c r="S21" s="44"/>
      <c r="T21" s="44"/>
      <c r="U21" s="44"/>
      <c r="V21" s="44"/>
      <c r="W21" s="44"/>
      <c r="X21" s="44"/>
      <c r="Y21" s="44"/>
      <c r="Z21" s="44"/>
    </row>
    <row r="22">
      <c r="A22" s="43" t="s">
        <v>368</v>
      </c>
      <c r="B22" s="50" t="s">
        <v>369</v>
      </c>
      <c r="C22" s="43">
        <v>1901634.0</v>
      </c>
      <c r="D22" s="44"/>
      <c r="E22" s="44"/>
      <c r="F22" s="44"/>
      <c r="G22" s="44"/>
      <c r="H22" s="44"/>
      <c r="I22" s="44"/>
      <c r="J22" s="44"/>
      <c r="K22" s="44"/>
      <c r="L22" s="44"/>
      <c r="M22" s="44"/>
      <c r="N22" s="44"/>
      <c r="O22" s="44"/>
      <c r="P22" s="44"/>
      <c r="Q22" s="44"/>
      <c r="R22" s="44"/>
      <c r="S22" s="44"/>
      <c r="T22" s="44"/>
      <c r="U22" s="44"/>
      <c r="V22" s="44"/>
      <c r="W22" s="44"/>
      <c r="X22" s="44"/>
      <c r="Y22" s="44"/>
      <c r="Z22" s="44"/>
    </row>
    <row r="23">
      <c r="A23" s="43" t="s">
        <v>370</v>
      </c>
      <c r="B23" s="51" t="s">
        <v>371</v>
      </c>
      <c r="C23" s="43">
        <v>1905196.0</v>
      </c>
      <c r="D23" s="44"/>
      <c r="E23" s="44"/>
      <c r="F23" s="44"/>
      <c r="G23" s="44"/>
      <c r="H23" s="44"/>
      <c r="I23" s="44"/>
      <c r="J23" s="44"/>
      <c r="K23" s="44"/>
      <c r="L23" s="44"/>
      <c r="M23" s="44"/>
      <c r="N23" s="44"/>
      <c r="O23" s="44"/>
      <c r="P23" s="44"/>
      <c r="Q23" s="44"/>
      <c r="R23" s="44"/>
      <c r="S23" s="44"/>
      <c r="T23" s="44"/>
      <c r="U23" s="44"/>
      <c r="V23" s="44"/>
      <c r="W23" s="44"/>
      <c r="X23" s="44"/>
      <c r="Y23" s="44"/>
      <c r="Z23" s="44"/>
    </row>
    <row r="24">
      <c r="A24" s="43" t="s">
        <v>372</v>
      </c>
      <c r="B24" s="51" t="s">
        <v>373</v>
      </c>
      <c r="C24" s="43">
        <v>1905197.0</v>
      </c>
      <c r="D24" s="44"/>
      <c r="E24" s="44"/>
      <c r="F24" s="44"/>
      <c r="G24" s="44"/>
      <c r="H24" s="44"/>
      <c r="I24" s="44"/>
      <c r="J24" s="44"/>
      <c r="K24" s="44"/>
      <c r="L24" s="44"/>
      <c r="M24" s="44"/>
      <c r="N24" s="44"/>
      <c r="O24" s="44"/>
      <c r="P24" s="44"/>
      <c r="Q24" s="44"/>
      <c r="R24" s="44"/>
      <c r="S24" s="44"/>
      <c r="T24" s="44"/>
      <c r="U24" s="44"/>
      <c r="V24" s="44"/>
      <c r="W24" s="44"/>
      <c r="X24" s="44"/>
      <c r="Y24" s="44"/>
      <c r="Z24" s="44"/>
    </row>
    <row r="25">
      <c r="A25" s="43" t="s">
        <v>374</v>
      </c>
      <c r="B25" s="51" t="s">
        <v>375</v>
      </c>
      <c r="C25" s="43">
        <v>1905198.0</v>
      </c>
      <c r="D25" s="44"/>
      <c r="E25" s="44"/>
      <c r="F25" s="44"/>
      <c r="G25" s="44"/>
      <c r="H25" s="44"/>
      <c r="I25" s="44"/>
      <c r="J25" s="44"/>
      <c r="K25" s="44"/>
      <c r="L25" s="44"/>
      <c r="M25" s="44"/>
      <c r="N25" s="44"/>
      <c r="O25" s="44"/>
      <c r="P25" s="44"/>
      <c r="Q25" s="44"/>
      <c r="R25" s="44"/>
      <c r="S25" s="44"/>
      <c r="T25" s="44"/>
      <c r="U25" s="44"/>
      <c r="V25" s="44"/>
      <c r="W25" s="44"/>
      <c r="X25" s="44"/>
      <c r="Y25" s="44"/>
      <c r="Z25" s="44"/>
    </row>
    <row r="26">
      <c r="A26" s="43" t="s">
        <v>376</v>
      </c>
      <c r="B26" s="51" t="s">
        <v>377</v>
      </c>
      <c r="C26" s="43">
        <v>1905201.0</v>
      </c>
      <c r="D26" s="44"/>
      <c r="E26" s="44"/>
      <c r="F26" s="44"/>
      <c r="G26" s="44"/>
      <c r="H26" s="44"/>
      <c r="I26" s="44"/>
      <c r="J26" s="44"/>
      <c r="K26" s="44"/>
      <c r="L26" s="44"/>
      <c r="M26" s="44"/>
      <c r="N26" s="44"/>
      <c r="O26" s="44"/>
      <c r="P26" s="44"/>
      <c r="Q26" s="44"/>
      <c r="R26" s="44"/>
      <c r="S26" s="44"/>
      <c r="T26" s="44"/>
      <c r="U26" s="44"/>
      <c r="V26" s="44"/>
      <c r="W26" s="44"/>
      <c r="X26" s="44"/>
      <c r="Y26" s="44"/>
      <c r="Z26" s="44"/>
    </row>
    <row r="27">
      <c r="A27" s="43" t="s">
        <v>378</v>
      </c>
      <c r="B27" s="51" t="s">
        <v>379</v>
      </c>
      <c r="C27" s="43">
        <v>1905206.0</v>
      </c>
      <c r="D27" s="44"/>
      <c r="E27" s="44"/>
      <c r="F27" s="44"/>
      <c r="G27" s="44"/>
      <c r="H27" s="44"/>
      <c r="I27" s="44"/>
      <c r="J27" s="44"/>
      <c r="K27" s="44"/>
      <c r="L27" s="44"/>
      <c r="M27" s="44"/>
      <c r="N27" s="44"/>
      <c r="O27" s="44"/>
      <c r="P27" s="44"/>
      <c r="Q27" s="44"/>
      <c r="R27" s="44"/>
      <c r="S27" s="44"/>
      <c r="T27" s="44"/>
      <c r="U27" s="44"/>
      <c r="V27" s="44"/>
      <c r="W27" s="44"/>
      <c r="X27" s="44"/>
      <c r="Y27" s="44"/>
      <c r="Z27" s="44"/>
    </row>
    <row r="28">
      <c r="A28" s="43" t="s">
        <v>380</v>
      </c>
      <c r="B28" s="48" t="s">
        <v>351</v>
      </c>
      <c r="C28" s="43">
        <v>1909202.0</v>
      </c>
      <c r="D28" s="48" t="s">
        <v>381</v>
      </c>
      <c r="E28" s="44"/>
      <c r="F28" s="44"/>
      <c r="G28" s="44"/>
      <c r="H28" s="44"/>
      <c r="I28" s="44"/>
      <c r="J28" s="44"/>
      <c r="K28" s="44"/>
      <c r="L28" s="44"/>
      <c r="M28" s="44"/>
      <c r="N28" s="44"/>
      <c r="O28" s="44"/>
      <c r="P28" s="44"/>
      <c r="Q28" s="44"/>
      <c r="R28" s="44"/>
      <c r="S28" s="44"/>
      <c r="T28" s="44"/>
      <c r="U28" s="44"/>
      <c r="V28" s="44"/>
      <c r="W28" s="44"/>
      <c r="X28" s="44"/>
      <c r="Y28" s="44"/>
      <c r="Z28" s="44"/>
    </row>
    <row r="29">
      <c r="A29" s="43" t="s">
        <v>382</v>
      </c>
      <c r="B29" s="48" t="s">
        <v>352</v>
      </c>
      <c r="C29" s="43">
        <v>1909203.0</v>
      </c>
      <c r="D29" s="48" t="s">
        <v>383</v>
      </c>
      <c r="E29" s="44"/>
      <c r="F29" s="44"/>
      <c r="G29" s="44"/>
      <c r="H29" s="44"/>
      <c r="I29" s="44"/>
      <c r="J29" s="44"/>
      <c r="K29" s="44"/>
      <c r="L29" s="44"/>
      <c r="M29" s="44"/>
      <c r="N29" s="44"/>
      <c r="O29" s="44"/>
      <c r="P29" s="44"/>
      <c r="Q29" s="44"/>
      <c r="R29" s="44"/>
      <c r="S29" s="44"/>
      <c r="T29" s="44"/>
      <c r="U29" s="44"/>
      <c r="V29" s="44"/>
      <c r="W29" s="44"/>
      <c r="X29" s="44"/>
      <c r="Y29" s="44"/>
      <c r="Z29" s="44"/>
    </row>
    <row r="30">
      <c r="A30" s="43" t="s">
        <v>384</v>
      </c>
      <c r="B30" s="48" t="s">
        <v>353</v>
      </c>
      <c r="C30" s="43">
        <v>1909204.0</v>
      </c>
      <c r="D30" s="48" t="s">
        <v>385</v>
      </c>
      <c r="E30" s="44"/>
      <c r="F30" s="44"/>
      <c r="G30" s="44"/>
      <c r="H30" s="44"/>
      <c r="I30" s="44"/>
      <c r="J30" s="44"/>
      <c r="K30" s="44"/>
      <c r="L30" s="44"/>
      <c r="M30" s="44"/>
      <c r="N30" s="44"/>
      <c r="O30" s="44"/>
      <c r="P30" s="44"/>
      <c r="Q30" s="44"/>
      <c r="R30" s="44"/>
      <c r="S30" s="44"/>
      <c r="T30" s="44"/>
      <c r="U30" s="44"/>
      <c r="V30" s="44"/>
      <c r="W30" s="44"/>
      <c r="X30" s="44"/>
      <c r="Y30" s="44"/>
      <c r="Z30" s="44"/>
    </row>
    <row r="31">
      <c r="A31" s="43" t="s">
        <v>386</v>
      </c>
      <c r="B31" s="48" t="s">
        <v>354</v>
      </c>
      <c r="C31" s="43">
        <v>1909205.0</v>
      </c>
      <c r="D31" s="48" t="s">
        <v>387</v>
      </c>
      <c r="E31" s="44"/>
      <c r="F31" s="44"/>
      <c r="G31" s="44"/>
      <c r="H31" s="44"/>
      <c r="I31" s="44"/>
      <c r="J31" s="44"/>
      <c r="K31" s="44"/>
      <c r="L31" s="44"/>
      <c r="M31" s="44"/>
      <c r="N31" s="44"/>
      <c r="O31" s="44"/>
      <c r="P31" s="44"/>
      <c r="Q31" s="44"/>
      <c r="R31" s="44"/>
      <c r="S31" s="44"/>
      <c r="T31" s="44"/>
      <c r="U31" s="44"/>
      <c r="V31" s="44"/>
      <c r="W31" s="44"/>
      <c r="X31" s="44"/>
      <c r="Y31" s="44"/>
      <c r="Z31" s="44"/>
    </row>
    <row r="32">
      <c r="A32" s="43" t="s">
        <v>388</v>
      </c>
      <c r="B32" s="48" t="s">
        <v>355</v>
      </c>
      <c r="C32" s="43">
        <v>1909206.0</v>
      </c>
      <c r="D32" s="48" t="s">
        <v>389</v>
      </c>
      <c r="E32" s="44"/>
      <c r="F32" s="44"/>
      <c r="G32" s="44"/>
      <c r="H32" s="44"/>
      <c r="I32" s="44"/>
      <c r="J32" s="44"/>
      <c r="K32" s="44"/>
      <c r="L32" s="44"/>
      <c r="M32" s="44"/>
      <c r="N32" s="44"/>
      <c r="O32" s="44"/>
      <c r="P32" s="44"/>
      <c r="Q32" s="44"/>
      <c r="R32" s="44"/>
      <c r="S32" s="44"/>
      <c r="T32" s="44"/>
      <c r="U32" s="44"/>
      <c r="V32" s="44"/>
      <c r="W32" s="44"/>
      <c r="X32" s="44"/>
      <c r="Y32" s="44"/>
      <c r="Z32" s="44"/>
    </row>
    <row r="33">
      <c r="A33" s="43" t="s">
        <v>390</v>
      </c>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3" t="s">
        <v>391</v>
      </c>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3" t="s">
        <v>392</v>
      </c>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3" t="s">
        <v>393</v>
      </c>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3" t="s">
        <v>394</v>
      </c>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3" t="s">
        <v>395</v>
      </c>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3" t="s">
        <v>396</v>
      </c>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3" t="s">
        <v>397</v>
      </c>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3" t="s">
        <v>398</v>
      </c>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3" t="s">
        <v>399</v>
      </c>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hyperlinks>
    <hyperlink r:id="rId1" location="settings" ref="E15"/>
    <hyperlink r:id="rId2" location="settings" ref="F15"/>
    <hyperlink r:id="rId3" location="settings" ref="G15"/>
    <hyperlink r:id="rId4" location="settings" ref="H15"/>
    <hyperlink r:id="rId5" location="settings" ref="I15"/>
    <hyperlink r:id="rId6" ref="B17"/>
    <hyperlink r:id="rId7" ref="B18"/>
    <hyperlink r:id="rId8" ref="B19"/>
    <hyperlink r:id="rId9" ref="B20"/>
    <hyperlink r:id="rId10" ref="B21"/>
    <hyperlink r:id="rId11" ref="B22"/>
    <hyperlink r:id="rId12" location="responses" ref="B23"/>
    <hyperlink r:id="rId13" location="responses" ref="B24"/>
    <hyperlink r:id="rId14" location="responses" ref="B25"/>
    <hyperlink r:id="rId15" location="responses" ref="B26"/>
    <hyperlink r:id="rId16" ref="B27"/>
    <hyperlink r:id="rId17" location="settings" ref="B28"/>
    <hyperlink r:id="rId18" location="gid=2042381355" ref="D28"/>
    <hyperlink r:id="rId19" location="settings" ref="B29"/>
    <hyperlink r:id="rId20" location="gid=1193135507" ref="D29"/>
    <hyperlink r:id="rId21" location="settings" ref="B30"/>
    <hyperlink r:id="rId22" location="gid=1960095997" ref="D30"/>
    <hyperlink r:id="rId23" location="settings" ref="B31"/>
    <hyperlink r:id="rId24" location="gid=1759088364" ref="D31"/>
    <hyperlink r:id="rId25" location="settings" ref="B32"/>
    <hyperlink r:id="rId26" location="gid=1242186389" ref="D32"/>
  </hyperlinks>
  <drawing r:id="rId2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52" t="s">
        <v>400</v>
      </c>
      <c r="B1" s="53" t="s">
        <v>401</v>
      </c>
      <c r="C1" s="53" t="s">
        <v>402</v>
      </c>
      <c r="D1" s="53" t="s">
        <v>403</v>
      </c>
      <c r="E1" s="53" t="s">
        <v>404</v>
      </c>
      <c r="F1" s="53" t="s">
        <v>405</v>
      </c>
      <c r="G1" s="53" t="s">
        <v>406</v>
      </c>
      <c r="H1" s="53" t="s">
        <v>407</v>
      </c>
      <c r="I1" s="53" t="s">
        <v>408</v>
      </c>
      <c r="J1" s="53" t="s">
        <v>409</v>
      </c>
      <c r="K1" s="53" t="s">
        <v>410</v>
      </c>
      <c r="L1" s="53" t="s">
        <v>411</v>
      </c>
      <c r="M1" s="53" t="s">
        <v>412</v>
      </c>
      <c r="N1" s="53" t="s">
        <v>413</v>
      </c>
      <c r="O1" s="53" t="s">
        <v>414</v>
      </c>
      <c r="P1" s="53" t="s">
        <v>415</v>
      </c>
      <c r="Q1" s="53" t="s">
        <v>359</v>
      </c>
      <c r="R1" s="53" t="s">
        <v>361</v>
      </c>
      <c r="S1" s="53" t="s">
        <v>363</v>
      </c>
      <c r="T1" s="53" t="s">
        <v>365</v>
      </c>
      <c r="U1" s="53" t="s">
        <v>367</v>
      </c>
      <c r="V1" s="52" t="s">
        <v>416</v>
      </c>
      <c r="W1" s="51" t="s">
        <v>371</v>
      </c>
      <c r="X1" s="51" t="s">
        <v>373</v>
      </c>
      <c r="Y1" s="51" t="s">
        <v>375</v>
      </c>
      <c r="Z1" s="51" t="s">
        <v>377</v>
      </c>
      <c r="AA1" s="51" t="s">
        <v>379</v>
      </c>
      <c r="AB1" s="54" t="s">
        <v>351</v>
      </c>
      <c r="AC1" s="54" t="s">
        <v>352</v>
      </c>
      <c r="AD1" s="54" t="s">
        <v>353</v>
      </c>
      <c r="AE1" s="54" t="s">
        <v>354</v>
      </c>
      <c r="AF1" s="54" t="s">
        <v>355</v>
      </c>
      <c r="AG1" s="55"/>
      <c r="AH1" s="55"/>
      <c r="AI1" s="55"/>
      <c r="AJ1" s="55"/>
      <c r="AK1" s="55"/>
      <c r="AL1" s="55"/>
      <c r="AM1" s="55"/>
      <c r="AN1" s="55"/>
      <c r="AO1" s="55"/>
      <c r="AP1" s="55"/>
      <c r="AQ1" s="55"/>
      <c r="AR1" s="55"/>
      <c r="AS1" s="55"/>
      <c r="AT1" s="55"/>
      <c r="AU1" s="55"/>
      <c r="AV1" s="55"/>
      <c r="AW1" s="55"/>
      <c r="AX1" s="55"/>
      <c r="AY1" s="55"/>
      <c r="AZ1" s="55"/>
    </row>
    <row r="2">
      <c r="A2" s="56" t="s">
        <v>206</v>
      </c>
      <c r="B2" s="57">
        <f>IFERROR(__xludf.DUMMYFUNCTION("IFERROR(IF(COUNTIF(IMPORTRANGE(""1oiajwiBxoDIOBcD_uKarGHJIrskYi3nXyI9FyWq8IFk"",""Form Responses 1!B:B""),A2)&gt;0,10,),0)"),10.0)</f>
        <v>10</v>
      </c>
      <c r="C2" s="57">
        <f>IFERROR(__xludf.DUMMYFUNCTION("IFERROR(VLOOKUP(A2,IMPORTRANGE(""1PRkBNvF7wRBbJGtbM1I7-V_ej5mmlgF4cwmp64ilJGQ"",""Form Responses 1!B:C""),2,FALSE),)"),0.0)</f>
        <v>0</v>
      </c>
      <c r="D2" s="57">
        <f>IFERROR(__xludf.DUMMYFUNCTION("IFERROR(VLOOKUP(A2,IMPORTRANGE(""1rSBnjICjC9324bzLIQpakQH2kn1-6by9fz9jLCcefTs"",""Form Responses 1!B:C""),2,FALSE),)"),30.0)</f>
        <v>30</v>
      </c>
      <c r="E2" s="57">
        <f>IFERROR(__xludf.DUMMYFUNCTION("IFERROR(VLOOKUP(A2,IMPORTRANGE(""1OvNQShTkB7b8btd44zAgP-KkGS7dJ0BEd6wMgBISDs0"",""Form Responses 1!B:C""),2,FALSE),)"),25.0)</f>
        <v>25</v>
      </c>
      <c r="F2" s="57">
        <f>IFERROR(__xludf.DUMMYFUNCTION("IFERROR(IF(COUNTIF(IMPORTRANGE(""13ZZ2q5-JsneAoCxE8QLqs1Ycj8WSgN9hPRza9XUMv_4"",""Form Responses 1!B:B""),A2)&gt;0,20,),)"),20.0)</f>
        <v>20</v>
      </c>
      <c r="G2" s="58" t="str">
        <f>IFERROR(__xludf.DUMMYFUNCTION("IFERROR(IF(COUNTIF(IMPORTRANGE(""1ljo_MifcmFDCNF59UxR3-3g4XI2XSRJ3WpZcUkp6so8"",""Form Responses 1!B:B""),A2)&gt;0,10,),)"),"")</f>
        <v/>
      </c>
      <c r="H2" s="59">
        <f>IFERROR(__xludf.DUMMYFUNCTION("IFERROR(VLOOKUP(A2,IMPORTRANGE(""1PBvrHm3dgtcno-UApCGo6dIU4auKbeIJC2SC7k36T64"",""Form Responses 1!B:C""),2,FALSE),)"),11.0)</f>
        <v>11</v>
      </c>
      <c r="I2" s="60">
        <f>IFERROR(__xludf.DUMMYFUNCTION("IFERROR(VLOOKUP(A2,IMPORTRANGE(""13P_qT6pKDynUZR0_aswSscwX8dw4UhPyIL8ohovayVc
"",""Form Responses 1!B:C""),2,FALSE),)"),17.0)</f>
        <v>17</v>
      </c>
      <c r="J2" s="60">
        <f>IFERROR(__xludf.DUMMYFUNCTION("IFERROR(VLOOKUP(A2,IMPORTRANGE(""16B_HaxNdsb7BY3AQ0xKagDsjOLkfb_DjPkxPwEpn8gc
"",""Form Responses 1!B:C""),2,FALSE),)"),12.0)</f>
        <v>12</v>
      </c>
      <c r="K2" s="60">
        <f>IFERROR(__xludf.DUMMYFUNCTION("IFERROR(VLOOKUP(A2,IMPORTRANGE(""1bUO_1Nv9gx3vZE_-m4w6HiuWUM1u8qsaqKByYyla14Q"",""Form Responses 1!B:C""),2,FALSE),)"),6.0)</f>
        <v>6</v>
      </c>
      <c r="L2" s="59">
        <f>IFERROR(__xludf.DUMMYFUNCTION("IFERROR(IF(COUNTIF(IMPORTRANGE(""1SG2BnFOinBZsm3_Rx1BzD670E652svXjlzWieKobj9o"",""Form Responses 1!B:B""),A2)&gt;0,10,),0)"),10.0)</f>
        <v>10</v>
      </c>
      <c r="M2" s="60">
        <f>IFERROR(__xludf.DUMMYFUNCTION("IFERROR(VLOOKUP(A2,IMPORTRANGE(""1Zpz_ArqUHJZzCwyJqFKkEASeqFw0lZ4HLK4wQdLXj3w
"",""Form Responses 1!B:C""),2,FALSE),)"),17.0)</f>
        <v>17</v>
      </c>
      <c r="N2" s="60">
        <f>IFERROR(__xludf.DUMMYFUNCTION("IFERROR(VLOOKUP(A2,IMPORTRANGE(""1c318JgcKMkTMtHFS6SjH7x3TAnZwddcZMI9Jx-B9VOM
"",""Form Responses 1!B:C""),2,FALSE),)"),21.0)</f>
        <v>21</v>
      </c>
      <c r="O2" s="60">
        <f>IFERROR(__xludf.DUMMYFUNCTION("IFERROR(VLOOKUP(A2,IMPORTRANGE(""1kp8AvADOUteLDy1-i5F9JvR64ee_UwN5UoIn-tH5zPQ
"",""Form Responses 1!B:C""),2,FALSE),)"),21.0)</f>
        <v>21</v>
      </c>
      <c r="P2" s="60">
        <f>IFERROR(__xludf.DUMMYFUNCTION("IFERROR(VLOOKUP(A2,IMPORTRANGE(""1PSjtsRk3dryPdI2Zls_iIpRgVVwBTGQ0ryRujA_ayZ0"",""Form Responses 1!B:C""),2,FALSE),)"),16.0)</f>
        <v>16</v>
      </c>
      <c r="Q2" s="59">
        <f>IFERROR(__xludf.DUMMYFUNCTION("IFERROR(VLOOKUP(TRIM(A2),IMPORTRANGE(""1ciMZmE3_Ia8QatZf9u-RYqeCzLjcP66olwhReBx-Pwc"",""Form Responses 1!B:C""),2,0),"""")"),20.0)</f>
        <v>20</v>
      </c>
      <c r="R2" s="60">
        <f>IFERROR(__xludf.DUMMYFUNCTION("IFERROR(VLOOKUP(TRIM(A2),IMPORTRANGE(""1dEvtr9f2UAemMjkvEwBFPyuEw3YQPqez4Kgo-0l7vS4"",""Form Responses 1!B:C""),2,0),"""")"),25.0)</f>
        <v>25</v>
      </c>
      <c r="S2" s="60">
        <f>IFERROR(__xludf.DUMMYFUNCTION("IFERROR(VLOOKUP(TRIM(A2),IMPORTRANGE(""1B6nP1Ts7cF60F-9DocMTsAaVFKfuimLnUoxweBavHeU"",""Form Responses 1!B:C""),2,0),"""")"),8.0)</f>
        <v>8</v>
      </c>
      <c r="T2" s="60">
        <f>IFERROR(__xludf.DUMMYFUNCTION("IFERROR(VLOOKUP(TRIM(A2),IMPORTRANGE(""1Urfs_Vy5SE9U8tp1-UR-7FoEAxcNy8MifWBH8GiFXd8"",""Form Responses 1!B:C""),2,0),"""")"),8.0)</f>
        <v>8</v>
      </c>
      <c r="U2" s="60">
        <f>IFERROR(__xludf.DUMMYFUNCTION("IFERROR(VLOOKUP(TRIM(A2),IMPORTRANGE(""1aXWUim-N4mxaoEzA3XAIdaDH-QYLEvzF2WdP7MGXYAE"",""Form Responses 1!B:C""),2,0),"""")"),8.0)</f>
        <v>8</v>
      </c>
      <c r="V2" s="61">
        <v>28.0</v>
      </c>
      <c r="W2" s="62" t="str">
        <f>IFERROR(__xludf.DUMMYFUNCTION("IFERROR(1/(1/MAX(
  IFERROR(VLOOKUP(TRIM(A2),IMPORTRANGE(""1ZA1PTk3mXTxdasMFIUL3_HnhZbSrjlYI0jroyR74oDM"",""Form Responses 1!B:C""),2,0),),
  IFERROR(VLOOKUP(TRIM(A2),IMPORTRANGE(""197C8yvLyfR59JPOCjQdNv3jtQAWqA9lyzhiAtksREXI"",""Form Responses 1!B:C""),2"&amp;",0),)
)),)"),"")</f>
        <v/>
      </c>
      <c r="X2" s="62" t="str">
        <f>IFERROR(__xludf.DUMMYFUNCTION("IFERROR(VLOOKUP(TRIM(A2),IMPORTRANGE(""1S55NQGXzV1_qOWKXpsQUC871e5j71TNZ9qXJwwhlcsg"",""Form Responses 1!B:C""),2,0),"""")"),"")</f>
        <v/>
      </c>
      <c r="Y2" s="62" t="str">
        <f>IFERROR(__xludf.DUMMYFUNCTION("IFERROR(VLOOKUP(TRIM(A2),IMPORTRANGE(""1tpV5_mFhbN6YKRuO1MZvSbUMIPr8PmwiNyIZJpY0iKs"",""Form Responses 1!B:C""),2,0),"""")"),"")</f>
        <v/>
      </c>
      <c r="Z2" s="62" t="str">
        <f>IFERROR(__xludf.DUMMYFUNCTION("IFERROR(VLOOKUP(TRIM(A2),IMPORTRANGE(""1wfMRO2uDQNJ1PCwTpHdQ8iUrPUKVHyvbfqf8TasTViU"",""Form Responses 1!B:C""),2,0),"""")"),"")</f>
        <v/>
      </c>
      <c r="AA2" s="62" t="str">
        <f>IFERROR(__xludf.DUMMYFUNCTION("IFERROR(VLOOKUP(TRIM(A2),IMPORTRANGE(""1ZOlAPpjCs7qXcQpCvrHzmJ4FOraZ9bKV8IEd78oT7sE"",""Form Responses 1!B:C""),2,0),"""")"),"")</f>
        <v/>
      </c>
      <c r="AB2" s="62" t="str">
        <f>IFERROR(__xludf.DUMMYFUNCTION("IFERROR(VLOOKUP(TRIM(A2),IMPORTRANGE(""1oPrvVT6QDWEUmx87GoqLd1CXTtfLo6WfrreUocg_I08"",""Form Responses 1!B:C""),2,0),"""")"),"")</f>
        <v/>
      </c>
      <c r="AC2" s="62" t="str">
        <f>IFERROR(__xludf.DUMMYFUNCTION("IFERROR(VLOOKUP(TRIM(A2),IMPORTRANGE(""1WKNusCM8GAvNDFdV2AjY5sTwyti4BFZk9I1rFa74mxo"",""Form Responses 1!B:C""),2,0),"""")"),"")</f>
        <v/>
      </c>
      <c r="AD2" s="62" t="str">
        <f>IFERROR(__xludf.DUMMYFUNCTION("IFERROR(VLOOKUP(TRIM(A2),IMPORTRANGE(""1ezPhPfgGBlZIzMnymbnrUr2FhcM_6Sv_nk0hxcbuzTQ"",""Form Responses 1!B:C""),2,0),"""")"),"")</f>
        <v/>
      </c>
      <c r="AE2" s="62" t="str">
        <f>IFERROR(__xludf.DUMMYFUNCTION("IFERROR(VLOOKUP(TRIM(A2),IMPORTRANGE(""1nCvx2881PQ64OQinwpUfP8HphDEhFD0vPRxp_AAAdlM"",""Form Responses 1!B:C""),2,0),"""")"),"")</f>
        <v/>
      </c>
      <c r="AF2" s="62" t="str">
        <f>IFERROR(__xludf.DUMMYFUNCTION("IFERROR(VLOOKUP(TRIM(A2),IMPORTRANGE(""1cImVBctl3mh_jlEmJoy6CEEFe_DDCxRGkjB_Jp-qsU8"",""Form Responses 1!B:C""),2,0),"""")"),"")</f>
        <v/>
      </c>
      <c r="AG2" s="57" t="str">
        <f>IFERROR(__xludf.DUMMYFUNCTION("IMPORTRANGE(""1cImVBctl3mh_jlEmJoy6CEEFe_DDCxRGkjB_Jp-qsU8"",""Form Responses 1!B1:C5"")"),"Email Address")</f>
        <v>Email Address</v>
      </c>
      <c r="AH2" s="57" t="str">
        <f>IFERROR(__xludf.DUMMYFUNCTION("""COMPUTED_VALUE"""),"Score")</f>
        <v>Score</v>
      </c>
      <c r="AI2" s="57"/>
      <c r="AJ2" s="57"/>
      <c r="AK2" s="57"/>
      <c r="AL2" s="57"/>
      <c r="AM2" s="57"/>
      <c r="AN2" s="57"/>
      <c r="AO2" s="57"/>
      <c r="AP2" s="57"/>
      <c r="AQ2" s="57"/>
      <c r="AR2" s="57"/>
      <c r="AS2" s="57"/>
      <c r="AT2" s="57"/>
      <c r="AU2" s="57"/>
      <c r="AV2" s="57"/>
      <c r="AW2" s="57"/>
      <c r="AX2" s="57"/>
      <c r="AY2" s="57"/>
      <c r="AZ2" s="57"/>
    </row>
    <row r="3">
      <c r="A3" s="56" t="s">
        <v>207</v>
      </c>
      <c r="B3" s="57">
        <f>IFERROR(__xludf.DUMMYFUNCTION("IFERROR(IF(COUNTIF(IMPORTRANGE(""1oiajwiBxoDIOBcD_uKarGHJIrskYi3nXyI9FyWq8IFk"",""Form Responses 1!B:B""),A3)&gt;0,10,),0)"),10.0)</f>
        <v>10</v>
      </c>
      <c r="C3" s="57">
        <f>IFERROR(__xludf.DUMMYFUNCTION("IFERROR(VLOOKUP(A3,IMPORTRANGE(""1PRkBNvF7wRBbJGtbM1I7-V_ej5mmlgF4cwmp64ilJGQ"",""Form Responses 1!B:C""),2,FALSE),)"),0.0)</f>
        <v>0</v>
      </c>
      <c r="D3" s="57">
        <f>IFERROR(__xludf.DUMMYFUNCTION("IFERROR(VLOOKUP(A3,IMPORTRANGE(""1rSBnjICjC9324bzLIQpakQH2kn1-6by9fz9jLCcefTs"",""Form Responses 1!B:C""),2,FALSE),)"),5.0)</f>
        <v>5</v>
      </c>
      <c r="E3" s="57">
        <f>IFERROR(__xludf.DUMMYFUNCTION("IFERROR(VLOOKUP(A3,IMPORTRANGE(""1OvNQShTkB7b8btd44zAgP-KkGS7dJ0BEd6wMgBISDs0"",""Form Responses 1!B:C""),2,FALSE),)"),0.0)</f>
        <v>0</v>
      </c>
      <c r="F3" s="57">
        <f>IFERROR(__xludf.DUMMYFUNCTION("IFERROR(IF(COUNTIF(IMPORTRANGE(""13ZZ2q5-JsneAoCxE8QLqs1Ycj8WSgN9hPRza9XUMv_4"",""Form Responses 1!B:B""),A3)&gt;0,20,),)"),20.0)</f>
        <v>20</v>
      </c>
      <c r="G3" s="58" t="str">
        <f>IFERROR(__xludf.DUMMYFUNCTION("IFERROR(IF(COUNTIF(IMPORTRANGE(""1ljo_MifcmFDCNF59UxR3-3g4XI2XSRJ3WpZcUkp6so8"",""Form Responses 1!B:B""),A3)&gt;0,10,),)"),"")</f>
        <v/>
      </c>
      <c r="H3" s="59" t="str">
        <f>IFERROR(__xludf.DUMMYFUNCTION("IFERROR(VLOOKUP(A3,IMPORTRANGE(""1PBvrHm3dgtcno-UApCGo6dIU4auKbeIJC2SC7k36T64"",""Form Responses 1!B:C""),2,FALSE),)"),"")</f>
        <v/>
      </c>
      <c r="I3" s="60" t="str">
        <f>IFERROR(__xludf.DUMMYFUNCTION("IFERROR(VLOOKUP(A3,IMPORTRANGE(""13P_qT6pKDynUZR0_aswSscwX8dw4UhPyIL8ohovayVc
"",""Form Responses 1!B:C""),2,FALSE),)"),"")</f>
        <v/>
      </c>
      <c r="J3" s="60" t="str">
        <f>IFERROR(__xludf.DUMMYFUNCTION("IFERROR(VLOOKUP(A3,IMPORTRANGE(""16B_HaxNdsb7BY3AQ0xKagDsjOLkfb_DjPkxPwEpn8gc
"",""Form Responses 1!B:C""),2,FALSE),)"),"")</f>
        <v/>
      </c>
      <c r="K3" s="60" t="str">
        <f>IFERROR(__xludf.DUMMYFUNCTION("IFERROR(VLOOKUP(A3,IMPORTRANGE(""1bUO_1Nv9gx3vZE_-m4w6HiuWUM1u8qsaqKByYyla14Q"",""Form Responses 1!B:C""),2,FALSE),)"),"")</f>
        <v/>
      </c>
      <c r="L3" s="59" t="str">
        <f>IFERROR(__xludf.DUMMYFUNCTION("IFERROR(IF(COUNTIF(IMPORTRANGE(""1SG2BnFOinBZsm3_Rx1BzD670E652svXjlzWieKobj9o"",""Form Responses 1!B:B""),A3)&gt;0,10,),0)"),"")</f>
        <v/>
      </c>
      <c r="M3" s="60" t="str">
        <f>IFERROR(__xludf.DUMMYFUNCTION("IFERROR(VLOOKUP(A3,IMPORTRANGE(""1Zpz_ArqUHJZzCwyJqFKkEASeqFw0lZ4HLK4wQdLXj3w
"",""Form Responses 1!B:C""),2,FALSE),)"),"")</f>
        <v/>
      </c>
      <c r="N3" s="60" t="str">
        <f>IFERROR(__xludf.DUMMYFUNCTION("IFERROR(VLOOKUP(A3,IMPORTRANGE(""1c318JgcKMkTMtHFS6SjH7x3TAnZwddcZMI9Jx-B9VOM
"",""Form Responses 1!B:C""),2,FALSE),)"),"")</f>
        <v/>
      </c>
      <c r="O3" s="60" t="str">
        <f>IFERROR(__xludf.DUMMYFUNCTION("IFERROR(VLOOKUP(A3,IMPORTRANGE(""1kp8AvADOUteLDy1-i5F9JvR64ee_UwN5UoIn-tH5zPQ
"",""Form Responses 1!B:C""),2,FALSE),)"),"")</f>
        <v/>
      </c>
      <c r="P3" s="60" t="str">
        <f>IFERROR(__xludf.DUMMYFUNCTION("IFERROR(VLOOKUP(A3,IMPORTRANGE(""1PSjtsRk3dryPdI2Zls_iIpRgVVwBTGQ0ryRujA_ayZ0"",""Form Responses 1!B:C""),2,FALSE),)"),"")</f>
        <v/>
      </c>
      <c r="Q3" s="59">
        <f>IFERROR(__xludf.DUMMYFUNCTION("IFERROR(VLOOKUP(TRIM(A3),IMPORTRANGE(""1ciMZmE3_Ia8QatZf9u-RYqeCzLjcP66olwhReBx-Pwc"",""Form Responses 1!B:C""),2,0),"""")"),13.0)</f>
        <v>13</v>
      </c>
      <c r="R3" s="60">
        <f>IFERROR(__xludf.DUMMYFUNCTION("IFERROR(VLOOKUP(TRIM(A3),IMPORTRANGE(""1dEvtr9f2UAemMjkvEwBFPyuEw3YQPqez4Kgo-0l7vS4"",""Form Responses 1!B:C""),2,0),"""")"),18.0)</f>
        <v>18</v>
      </c>
      <c r="S3" s="60" t="str">
        <f>IFERROR(__xludf.DUMMYFUNCTION("IFERROR(VLOOKUP(TRIM(A3),IMPORTRANGE(""1B6nP1Ts7cF60F-9DocMTsAaVFKfuimLnUoxweBavHeU"",""Form Responses 1!B:C""),2,0),"""")"),"")</f>
        <v/>
      </c>
      <c r="T3" s="60" t="str">
        <f>IFERROR(__xludf.DUMMYFUNCTION("IFERROR(VLOOKUP(TRIM(A3),IMPORTRANGE(""1Urfs_Vy5SE9U8tp1-UR-7FoEAxcNy8MifWBH8GiFXd8"",""Form Responses 1!B:C""),2,0),"""")"),"")</f>
        <v/>
      </c>
      <c r="U3" s="60" t="str">
        <f>IFERROR(__xludf.DUMMYFUNCTION("IFERROR(VLOOKUP(TRIM(A3),IMPORTRANGE(""1aXWUim-N4mxaoEzA3XAIdaDH-QYLEvzF2WdP7MGXYAE"",""Form Responses 1!B:C""),2,0),"""")"),"")</f>
        <v/>
      </c>
      <c r="V3" s="63"/>
      <c r="W3" s="62" t="str">
        <f>IFERROR(__xludf.DUMMYFUNCTION("IFERROR(1/(1/MAX(
  IFERROR(VLOOKUP(TRIM(A3),IMPORTRANGE(""1ZA1PTk3mXTxdasMFIUL3_HnhZbSrjlYI0jroyR74oDM"",""Form Responses 1!B:C""),2,0),),
  IFERROR(VLOOKUP(TRIM(A3),IMPORTRANGE(""197C8yvLyfR59JPOCjQdNv3jtQAWqA9lyzhiAtksREXI"",""Form Responses 1!B:C""),2"&amp;",0),)
)),)"),"")</f>
        <v/>
      </c>
      <c r="X3" s="62" t="str">
        <f>IFERROR(__xludf.DUMMYFUNCTION("IFERROR(VLOOKUP(TRIM(A3),IMPORTRANGE(""1S55NQGXzV1_qOWKXpsQUC871e5j71TNZ9qXJwwhlcsg"",""Form Responses 1!B:C""),2,0),"""")"),"")</f>
        <v/>
      </c>
      <c r="Y3" s="62" t="str">
        <f>IFERROR(__xludf.DUMMYFUNCTION("IFERROR(VLOOKUP(TRIM(A3),IMPORTRANGE(""1tpV5_mFhbN6YKRuO1MZvSbUMIPr8PmwiNyIZJpY0iKs"",""Form Responses 1!B:C""),2,0),"""")"),"")</f>
        <v/>
      </c>
      <c r="Z3" s="62" t="str">
        <f>IFERROR(__xludf.DUMMYFUNCTION("IFERROR(VLOOKUP(TRIM(A3),IMPORTRANGE(""1wfMRO2uDQNJ1PCwTpHdQ8iUrPUKVHyvbfqf8TasTViU"",""Form Responses 1!B:C""),2,0),"""")"),"")</f>
        <v/>
      </c>
      <c r="AA3" s="62" t="str">
        <f>IFERROR(__xludf.DUMMYFUNCTION("IFERROR(VLOOKUP(TRIM(A3),IMPORTRANGE(""1ZOlAPpjCs7qXcQpCvrHzmJ4FOraZ9bKV8IEd78oT7sE"",""Form Responses 1!B:C""),2,0),"""")"),"")</f>
        <v/>
      </c>
      <c r="AB3" s="62" t="str">
        <f>IFERROR(__xludf.DUMMYFUNCTION("IFERROR(VLOOKUP(TRIM(A3),IMPORTRANGE(""1oPrvVT6QDWEUmx87GoqLd1CXTtfLo6WfrreUocg_I08"",""Form Responses 1!B:C""),2,0),"""")"),"")</f>
        <v/>
      </c>
      <c r="AC3" s="62" t="str">
        <f>IFERROR(__xludf.DUMMYFUNCTION("IFERROR(VLOOKUP(TRIM(A3),IMPORTRANGE(""1WKNusCM8GAvNDFdV2AjY5sTwyti4BFZk9I1rFa74mxo"",""Form Responses 1!B:C""),2,0),"""")"),"")</f>
        <v/>
      </c>
      <c r="AD3" s="62" t="str">
        <f>IFERROR(__xludf.DUMMYFUNCTION("IFERROR(VLOOKUP(TRIM(A3),IMPORTRANGE(""1ezPhPfgGBlZIzMnymbnrUr2FhcM_6Sv_nk0hxcbuzTQ"",""Form Responses 1!B:C""),2,0),"""")"),"")</f>
        <v/>
      </c>
      <c r="AE3" s="62" t="str">
        <f>IFERROR(__xludf.DUMMYFUNCTION("IFERROR(VLOOKUP(TRIM(A3),IMPORTRANGE(""1nCvx2881PQ64OQinwpUfP8HphDEhFD0vPRxp_AAAdlM"",""Form Responses 1!B:C""),2,0),"""")"),"")</f>
        <v/>
      </c>
      <c r="AF3" s="62" t="str">
        <f>IFERROR(__xludf.DUMMYFUNCTION("IFERROR(VLOOKUP(TRIM(A3),IMPORTRANGE(""1cImVBctl3mh_jlEmJoy6CEEFe_DDCxRGkjB_Jp-qsU8"",""Form Responses 1!B:C""),2,0),"""")"),"")</f>
        <v/>
      </c>
      <c r="AG3" s="57" t="str">
        <f>IFERROR(__xludf.DUMMYFUNCTION("""COMPUTED_VALUE"""),"maya.monroy@kairosacademies.org")</f>
        <v>maya.monroy@kairosacademies.org</v>
      </c>
      <c r="AH3" s="64">
        <f>IFERROR(__xludf.DUMMYFUNCTION("""COMPUTED_VALUE"""),8.0)</f>
        <v>8</v>
      </c>
      <c r="AI3" s="57"/>
      <c r="AJ3" s="57"/>
      <c r="AK3" s="57"/>
      <c r="AL3" s="57"/>
      <c r="AM3" s="57"/>
      <c r="AN3" s="57"/>
      <c r="AO3" s="57"/>
      <c r="AP3" s="57"/>
      <c r="AQ3" s="57"/>
      <c r="AR3" s="57"/>
      <c r="AS3" s="57"/>
      <c r="AT3" s="57"/>
      <c r="AU3" s="57"/>
      <c r="AV3" s="57"/>
      <c r="AW3" s="57"/>
      <c r="AX3" s="57"/>
      <c r="AY3" s="57"/>
      <c r="AZ3" s="57"/>
    </row>
    <row r="4">
      <c r="A4" s="56" t="s">
        <v>208</v>
      </c>
      <c r="B4" s="57">
        <f>IFERROR(__xludf.DUMMYFUNCTION("IFERROR(IF(COUNTIF(IMPORTRANGE(""1oiajwiBxoDIOBcD_uKarGHJIrskYi3nXyI9FyWq8IFk"",""Form Responses 1!B:B""),A4)&gt;0,10,),0)"),10.0)</f>
        <v>10</v>
      </c>
      <c r="C4" s="57" t="str">
        <f>IFERROR(__xludf.DUMMYFUNCTION("IFERROR(VLOOKUP(A4,IMPORTRANGE(""1PRkBNvF7wRBbJGtbM1I7-V_ej5mmlgF4cwmp64ilJGQ"",""Form Responses 1!B:C""),2,FALSE),)"),"")</f>
        <v/>
      </c>
      <c r="D4" s="57">
        <f>IFERROR(__xludf.DUMMYFUNCTION("IFERROR(VLOOKUP(A4,IMPORTRANGE(""1rSBnjICjC9324bzLIQpakQH2kn1-6by9fz9jLCcefTs"",""Form Responses 1!B:C""),2,FALSE),)"),15.0)</f>
        <v>15</v>
      </c>
      <c r="E4" s="57" t="str">
        <f>IFERROR(__xludf.DUMMYFUNCTION("IFERROR(VLOOKUP(A4,IMPORTRANGE(""1OvNQShTkB7b8btd44zAgP-KkGS7dJ0BEd6wMgBISDs0"",""Form Responses 1!B:C""),2,FALSE),)"),"")</f>
        <v/>
      </c>
      <c r="F4" s="57" t="str">
        <f>IFERROR(__xludf.DUMMYFUNCTION("IFERROR(IF(COUNTIF(IMPORTRANGE(""13ZZ2q5-JsneAoCxE8QLqs1Ycj8WSgN9hPRza9XUMv_4"",""Form Responses 1!B:B""),A4)&gt;0,20,),)"),"")</f>
        <v/>
      </c>
      <c r="G4" s="58" t="str">
        <f>IFERROR(__xludf.DUMMYFUNCTION("IFERROR(IF(COUNTIF(IMPORTRANGE(""1ljo_MifcmFDCNF59UxR3-3g4XI2XSRJ3WpZcUkp6so8"",""Form Responses 1!B:B""),A4)&gt;0,10,),)"),"")</f>
        <v/>
      </c>
      <c r="H4" s="59" t="str">
        <f>IFERROR(__xludf.DUMMYFUNCTION("IFERROR(VLOOKUP(A4,IMPORTRANGE(""1PBvrHm3dgtcno-UApCGo6dIU4auKbeIJC2SC7k36T64"",""Form Responses 1!B:C""),2,FALSE),)"),"")</f>
        <v/>
      </c>
      <c r="I4" s="60" t="str">
        <f>IFERROR(__xludf.DUMMYFUNCTION("IFERROR(VLOOKUP(A4,IMPORTRANGE(""13P_qT6pKDynUZR0_aswSscwX8dw4UhPyIL8ohovayVc
"",""Form Responses 1!B:C""),2,FALSE),)"),"")</f>
        <v/>
      </c>
      <c r="J4" s="60" t="str">
        <f>IFERROR(__xludf.DUMMYFUNCTION("IFERROR(VLOOKUP(A4,IMPORTRANGE(""16B_HaxNdsb7BY3AQ0xKagDsjOLkfb_DjPkxPwEpn8gc
"",""Form Responses 1!B:C""),2,FALSE),)"),"")</f>
        <v/>
      </c>
      <c r="K4" s="60" t="str">
        <f>IFERROR(__xludf.DUMMYFUNCTION("IFERROR(VLOOKUP(A4,IMPORTRANGE(""1bUO_1Nv9gx3vZE_-m4w6HiuWUM1u8qsaqKByYyla14Q"",""Form Responses 1!B:C""),2,FALSE),)"),"")</f>
        <v/>
      </c>
      <c r="L4" s="59" t="str">
        <f>IFERROR(__xludf.DUMMYFUNCTION("IFERROR(IF(COUNTIF(IMPORTRANGE(""1SG2BnFOinBZsm3_Rx1BzD670E652svXjlzWieKobj9o"",""Form Responses 1!B:B""),A4)&gt;0,10,),0)"),"")</f>
        <v/>
      </c>
      <c r="M4" s="60" t="str">
        <f>IFERROR(__xludf.DUMMYFUNCTION("IFERROR(VLOOKUP(A4,IMPORTRANGE(""1Zpz_ArqUHJZzCwyJqFKkEASeqFw0lZ4HLK4wQdLXj3w
"",""Form Responses 1!B:C""),2,FALSE),)"),"")</f>
        <v/>
      </c>
      <c r="N4" s="60" t="str">
        <f>IFERROR(__xludf.DUMMYFUNCTION("IFERROR(VLOOKUP(A4,IMPORTRANGE(""1c318JgcKMkTMtHFS6SjH7x3TAnZwddcZMI9Jx-B9VOM
"",""Form Responses 1!B:C""),2,FALSE),)"),"")</f>
        <v/>
      </c>
      <c r="O4" s="60" t="str">
        <f>IFERROR(__xludf.DUMMYFUNCTION("IFERROR(VLOOKUP(A4,IMPORTRANGE(""1kp8AvADOUteLDy1-i5F9JvR64ee_UwN5UoIn-tH5zPQ
"",""Form Responses 1!B:C""),2,FALSE),)"),"")</f>
        <v/>
      </c>
      <c r="P4" s="60" t="str">
        <f>IFERROR(__xludf.DUMMYFUNCTION("IFERROR(VLOOKUP(A4,IMPORTRANGE(""1PSjtsRk3dryPdI2Zls_iIpRgVVwBTGQ0ryRujA_ayZ0"",""Form Responses 1!B:C""),2,FALSE),)"),"")</f>
        <v/>
      </c>
      <c r="Q4" s="59">
        <f>IFERROR(__xludf.DUMMYFUNCTION("IFERROR(VLOOKUP(TRIM(A4),IMPORTRANGE(""1ciMZmE3_Ia8QatZf9u-RYqeCzLjcP66olwhReBx-Pwc"",""Form Responses 1!B:C""),2,0),"""")"),8.0)</f>
        <v>8</v>
      </c>
      <c r="R4" s="60">
        <f>IFERROR(__xludf.DUMMYFUNCTION("IFERROR(VLOOKUP(TRIM(A4),IMPORTRANGE(""1dEvtr9f2UAemMjkvEwBFPyuEw3YQPqez4Kgo-0l7vS4"",""Form Responses 1!B:C""),2,0),"""")"),3.0)</f>
        <v>3</v>
      </c>
      <c r="S4" s="60">
        <f>IFERROR(__xludf.DUMMYFUNCTION("IFERROR(VLOOKUP(TRIM(A4),IMPORTRANGE(""1B6nP1Ts7cF60F-9DocMTsAaVFKfuimLnUoxweBavHeU"",""Form Responses 1!B:C""),2,0),"""")"),2.0)</f>
        <v>2</v>
      </c>
      <c r="T4" s="60">
        <f>IFERROR(__xludf.DUMMYFUNCTION("IFERROR(VLOOKUP(TRIM(A4),IMPORTRANGE(""1Urfs_Vy5SE9U8tp1-UR-7FoEAxcNy8MifWBH8GiFXd8"",""Form Responses 1!B:C""),2,0),"""")"),0.0)</f>
        <v>0</v>
      </c>
      <c r="U4" s="60">
        <f>IFERROR(__xludf.DUMMYFUNCTION("IFERROR(VLOOKUP(TRIM(A4),IMPORTRANGE(""1aXWUim-N4mxaoEzA3XAIdaDH-QYLEvzF2WdP7MGXYAE"",""Form Responses 1!B:C""),2,0),"""")"),0.0)</f>
        <v>0</v>
      </c>
      <c r="V4" s="63"/>
      <c r="W4" s="62">
        <f>IFERROR(__xludf.DUMMYFUNCTION("IFERROR(1/(1/MAX(
  IFERROR(VLOOKUP(TRIM(A4),IMPORTRANGE(""1ZA1PTk3mXTxdasMFIUL3_HnhZbSrjlYI0jroyR74oDM"",""Form Responses 1!B:C""),2,0),),
  IFERROR(VLOOKUP(TRIM(A4),IMPORTRANGE(""197C8yvLyfR59JPOCjQdNv3jtQAWqA9lyzhiAtksREXI"",""Form Responses 1!B:C""),2"&amp;",0),)
)),)"),6.0)</f>
        <v>6</v>
      </c>
      <c r="X4" s="62" t="str">
        <f>IFERROR(__xludf.DUMMYFUNCTION("IFERROR(VLOOKUP(TRIM(A4),IMPORTRANGE(""1S55NQGXzV1_qOWKXpsQUC871e5j71TNZ9qXJwwhlcsg"",""Form Responses 1!B:C""),2,0),"""")"),"")</f>
        <v/>
      </c>
      <c r="Y4" s="62">
        <f>IFERROR(__xludf.DUMMYFUNCTION("IFERROR(VLOOKUP(TRIM(A4),IMPORTRANGE(""1tpV5_mFhbN6YKRuO1MZvSbUMIPr8PmwiNyIZJpY0iKs"",""Form Responses 1!B:C""),2,0),"""")"),16.0)</f>
        <v>16</v>
      </c>
      <c r="Z4" s="62" t="str">
        <f>IFERROR(__xludf.DUMMYFUNCTION("IFERROR(VLOOKUP(TRIM(A4),IMPORTRANGE(""1wfMRO2uDQNJ1PCwTpHdQ8iUrPUKVHyvbfqf8TasTViU"",""Form Responses 1!B:C""),2,0),"""")"),"")</f>
        <v/>
      </c>
      <c r="AA4" s="62" t="str">
        <f>IFERROR(__xludf.DUMMYFUNCTION("IFERROR(VLOOKUP(TRIM(A4),IMPORTRANGE(""1ZOlAPpjCs7qXcQpCvrHzmJ4FOraZ9bKV8IEd78oT7sE"",""Form Responses 1!B:C""),2,0),"""")"),"")</f>
        <v/>
      </c>
      <c r="AB4" s="62" t="str">
        <f>IFERROR(__xludf.DUMMYFUNCTION("IFERROR(VLOOKUP(TRIM(A4),IMPORTRANGE(""1oPrvVT6QDWEUmx87GoqLd1CXTtfLo6WfrreUocg_I08"",""Form Responses 1!B:C""),2,0),"""")"),"")</f>
        <v/>
      </c>
      <c r="AC4" s="62" t="str">
        <f>IFERROR(__xludf.DUMMYFUNCTION("IFERROR(VLOOKUP(TRIM(A4),IMPORTRANGE(""1WKNusCM8GAvNDFdV2AjY5sTwyti4BFZk9I1rFa74mxo"",""Form Responses 1!B:C""),2,0),"""")"),"")</f>
        <v/>
      </c>
      <c r="AD4" s="62" t="str">
        <f>IFERROR(__xludf.DUMMYFUNCTION("IFERROR(VLOOKUP(TRIM(A4),IMPORTRANGE(""1ezPhPfgGBlZIzMnymbnrUr2FhcM_6Sv_nk0hxcbuzTQ"",""Form Responses 1!B:C""),2,0),"""")"),"")</f>
        <v/>
      </c>
      <c r="AE4" s="62" t="str">
        <f>IFERROR(__xludf.DUMMYFUNCTION("IFERROR(VLOOKUP(TRIM(A4),IMPORTRANGE(""1nCvx2881PQ64OQinwpUfP8HphDEhFD0vPRxp_AAAdlM"",""Form Responses 1!B:C""),2,0),"""")"),"")</f>
        <v/>
      </c>
      <c r="AF4" s="62" t="str">
        <f>IFERROR(__xludf.DUMMYFUNCTION("IFERROR(VLOOKUP(TRIM(A4),IMPORTRANGE(""1cImVBctl3mh_jlEmJoy6CEEFe_DDCxRGkjB_Jp-qsU8"",""Form Responses 1!B:C""),2,0),"""")"),"")</f>
        <v/>
      </c>
      <c r="AG4" s="57" t="str">
        <f>IFERROR(__xludf.DUMMYFUNCTION("""COMPUTED_VALUE"""),"karizma.smith@kairosacademies.org")</f>
        <v>karizma.smith@kairosacademies.org</v>
      </c>
      <c r="AH4" s="64">
        <f>IFERROR(__xludf.DUMMYFUNCTION("""COMPUTED_VALUE"""),0.0)</f>
        <v>0</v>
      </c>
      <c r="AI4" s="57"/>
      <c r="AJ4" s="57"/>
      <c r="AK4" s="57"/>
      <c r="AL4" s="57"/>
      <c r="AM4" s="57"/>
      <c r="AN4" s="57"/>
      <c r="AO4" s="57"/>
      <c r="AP4" s="57"/>
      <c r="AQ4" s="57"/>
      <c r="AR4" s="57"/>
      <c r="AS4" s="57"/>
      <c r="AT4" s="57"/>
      <c r="AU4" s="57"/>
      <c r="AV4" s="57"/>
      <c r="AW4" s="57"/>
      <c r="AX4" s="57"/>
      <c r="AY4" s="57"/>
      <c r="AZ4" s="57"/>
    </row>
    <row r="5">
      <c r="A5" s="56" t="s">
        <v>209</v>
      </c>
      <c r="B5" s="57">
        <f>IFERROR(__xludf.DUMMYFUNCTION("IFERROR(IF(COUNTIF(IMPORTRANGE(""1oiajwiBxoDIOBcD_uKarGHJIrskYi3nXyI9FyWq8IFk"",""Form Responses 1!B:B""),A5)&gt;0,10,),0)"),10.0)</f>
        <v>10</v>
      </c>
      <c r="C5" s="57">
        <f>IFERROR(__xludf.DUMMYFUNCTION("IFERROR(VLOOKUP(A5,IMPORTRANGE(""1PRkBNvF7wRBbJGtbM1I7-V_ej5mmlgF4cwmp64ilJGQ"",""Form Responses 1!B:C""),2,FALSE),)"),10.0)</f>
        <v>10</v>
      </c>
      <c r="D5" s="57">
        <f>IFERROR(__xludf.DUMMYFUNCTION("IFERROR(VLOOKUP(A5,IMPORTRANGE(""1rSBnjICjC9324bzLIQpakQH2kn1-6by9fz9jLCcefTs"",""Form Responses 1!B:C""),2,FALSE),)"),15.0)</f>
        <v>15</v>
      </c>
      <c r="E5" s="57">
        <f>IFERROR(__xludf.DUMMYFUNCTION("IFERROR(VLOOKUP(A5,IMPORTRANGE(""1OvNQShTkB7b8btd44zAgP-KkGS7dJ0BEd6wMgBISDs0"",""Form Responses 1!B:C""),2,FALSE),)"),10.0)</f>
        <v>10</v>
      </c>
      <c r="F5" s="57" t="str">
        <f>IFERROR(__xludf.DUMMYFUNCTION("IFERROR(IF(COUNTIF(IMPORTRANGE(""13ZZ2q5-JsneAoCxE8QLqs1Ycj8WSgN9hPRza9XUMv_4"",""Form Responses 1!B:B""),A5)&gt;0,20,),)"),"")</f>
        <v/>
      </c>
      <c r="G5" s="58" t="str">
        <f>IFERROR(__xludf.DUMMYFUNCTION("IFERROR(IF(COUNTIF(IMPORTRANGE(""1ljo_MifcmFDCNF59UxR3-3g4XI2XSRJ3WpZcUkp6so8"",""Form Responses 1!B:B""),A5)&gt;0,10,),)"),"")</f>
        <v/>
      </c>
      <c r="H5" s="59">
        <f>IFERROR(__xludf.DUMMYFUNCTION("IFERROR(VLOOKUP(A5,IMPORTRANGE(""1PBvrHm3dgtcno-UApCGo6dIU4auKbeIJC2SC7k36T64"",""Form Responses 1!B:C""),2,FALSE),)"),14.0)</f>
        <v>14</v>
      </c>
      <c r="I5" s="60">
        <f>IFERROR(__xludf.DUMMYFUNCTION("IFERROR(VLOOKUP(A5,IMPORTRANGE(""13P_qT6pKDynUZR0_aswSscwX8dw4UhPyIL8ohovayVc
"",""Form Responses 1!B:C""),2,FALSE),)"),17.0)</f>
        <v>17</v>
      </c>
      <c r="J5" s="60">
        <f>IFERROR(__xludf.DUMMYFUNCTION("IFERROR(VLOOKUP(A5,IMPORTRANGE(""16B_HaxNdsb7BY3AQ0xKagDsjOLkfb_DjPkxPwEpn8gc
"",""Form Responses 1!B:C""),2,FALSE),)"),12.0)</f>
        <v>12</v>
      </c>
      <c r="K5" s="60">
        <f>IFERROR(__xludf.DUMMYFUNCTION("IFERROR(VLOOKUP(A5,IMPORTRANGE(""1bUO_1Nv9gx3vZE_-m4w6HiuWUM1u8qsaqKByYyla14Q"",""Form Responses 1!B:C""),2,FALSE),)"),10.0)</f>
        <v>10</v>
      </c>
      <c r="L5" s="59">
        <f>IFERROR(__xludf.DUMMYFUNCTION("IFERROR(IF(COUNTIF(IMPORTRANGE(""1SG2BnFOinBZsm3_Rx1BzD670E652svXjlzWieKobj9o"",""Form Responses 1!B:B""),A5)&gt;0,10,),0)"),10.0)</f>
        <v>10</v>
      </c>
      <c r="M5" s="60">
        <f>IFERROR(__xludf.DUMMYFUNCTION("IFERROR(VLOOKUP(A5,IMPORTRANGE(""1Zpz_ArqUHJZzCwyJqFKkEASeqFw0lZ4HLK4wQdLXj3w
"",""Form Responses 1!B:C""),2,FALSE),)"),16.0)</f>
        <v>16</v>
      </c>
      <c r="N5" s="60">
        <f>IFERROR(__xludf.DUMMYFUNCTION("IFERROR(VLOOKUP(A5,IMPORTRANGE(""1c318JgcKMkTMtHFS6SjH7x3TAnZwddcZMI9Jx-B9VOM
"",""Form Responses 1!B:C""),2,FALSE),)"),24.0)</f>
        <v>24</v>
      </c>
      <c r="O5" s="60">
        <f>IFERROR(__xludf.DUMMYFUNCTION("IFERROR(VLOOKUP(A5,IMPORTRANGE(""1kp8AvADOUteLDy1-i5F9JvR64ee_UwN5UoIn-tH5zPQ
"",""Form Responses 1!B:C""),2,FALSE),)"),24.0)</f>
        <v>24</v>
      </c>
      <c r="P5" s="60">
        <f>IFERROR(__xludf.DUMMYFUNCTION("IFERROR(VLOOKUP(A5,IMPORTRANGE(""1PSjtsRk3dryPdI2Zls_iIpRgVVwBTGQ0ryRujA_ayZ0"",""Form Responses 1!B:C""),2,FALSE),)"),14.0)</f>
        <v>14</v>
      </c>
      <c r="Q5" s="59">
        <f>IFERROR(__xludf.DUMMYFUNCTION("IFERROR(VLOOKUP(TRIM(A5),IMPORTRANGE(""1ciMZmE3_Ia8QatZf9u-RYqeCzLjcP66olwhReBx-Pwc"",""Form Responses 1!B:C""),2,0),"""")"),18.0)</f>
        <v>18</v>
      </c>
      <c r="R5" s="60">
        <f>IFERROR(__xludf.DUMMYFUNCTION("IFERROR(VLOOKUP(TRIM(A5),IMPORTRANGE(""1dEvtr9f2UAemMjkvEwBFPyuEw3YQPqez4Kgo-0l7vS4"",""Form Responses 1!B:C""),2,0),"""")"),35.0)</f>
        <v>35</v>
      </c>
      <c r="S5" s="60">
        <f>IFERROR(__xludf.DUMMYFUNCTION("IFERROR(VLOOKUP(TRIM(A5),IMPORTRANGE(""1B6nP1Ts7cF60F-9DocMTsAaVFKfuimLnUoxweBavHeU"",""Form Responses 1!B:C""),2,0),"""")"),12.0)</f>
        <v>12</v>
      </c>
      <c r="T5" s="60">
        <f>IFERROR(__xludf.DUMMYFUNCTION("IFERROR(VLOOKUP(TRIM(A5),IMPORTRANGE(""1Urfs_Vy5SE9U8tp1-UR-7FoEAxcNy8MifWBH8GiFXd8"",""Form Responses 1!B:C""),2,0),"""")"),10.0)</f>
        <v>10</v>
      </c>
      <c r="U5" s="60" t="str">
        <f>IFERROR(__xludf.DUMMYFUNCTION("IFERROR(VLOOKUP(TRIM(A5),IMPORTRANGE(""1aXWUim-N4mxaoEzA3XAIdaDH-QYLEvzF2WdP7MGXYAE"",""Form Responses 1!B:C""),2,0),"""")"),"")</f>
        <v/>
      </c>
      <c r="V5" s="63"/>
      <c r="W5" s="62" t="str">
        <f>IFERROR(__xludf.DUMMYFUNCTION("IFERROR(1/(1/MAX(
  IFERROR(VLOOKUP(TRIM(A5),IMPORTRANGE(""1ZA1PTk3mXTxdasMFIUL3_HnhZbSrjlYI0jroyR74oDM"",""Form Responses 1!B:C""),2,0),),
  IFERROR(VLOOKUP(TRIM(A5),IMPORTRANGE(""197C8yvLyfR59JPOCjQdNv3jtQAWqA9lyzhiAtksREXI"",""Form Responses 1!B:C""),2"&amp;",0),)
)),)"),"")</f>
        <v/>
      </c>
      <c r="X5" s="62" t="str">
        <f>IFERROR(__xludf.DUMMYFUNCTION("IFERROR(VLOOKUP(TRIM(A5),IMPORTRANGE(""1S55NQGXzV1_qOWKXpsQUC871e5j71TNZ9qXJwwhlcsg"",""Form Responses 1!B:C""),2,0),"""")"),"")</f>
        <v/>
      </c>
      <c r="Y5" s="62" t="str">
        <f>IFERROR(__xludf.DUMMYFUNCTION("IFERROR(VLOOKUP(TRIM(A5),IMPORTRANGE(""1tpV5_mFhbN6YKRuO1MZvSbUMIPr8PmwiNyIZJpY0iKs"",""Form Responses 1!B:C""),2,0),"""")"),"")</f>
        <v/>
      </c>
      <c r="Z5" s="62" t="str">
        <f>IFERROR(__xludf.DUMMYFUNCTION("IFERROR(VLOOKUP(TRIM(A5),IMPORTRANGE(""1wfMRO2uDQNJ1PCwTpHdQ8iUrPUKVHyvbfqf8TasTViU"",""Form Responses 1!B:C""),2,0),"""")"),"")</f>
        <v/>
      </c>
      <c r="AA5" s="62" t="str">
        <f>IFERROR(__xludf.DUMMYFUNCTION("IFERROR(VLOOKUP(TRIM(A5),IMPORTRANGE(""1ZOlAPpjCs7qXcQpCvrHzmJ4FOraZ9bKV8IEd78oT7sE"",""Form Responses 1!B:C""),2,0),"""")"),"")</f>
        <v/>
      </c>
      <c r="AB5" s="62">
        <f>IFERROR(__xludf.DUMMYFUNCTION("IFERROR(VLOOKUP(TRIM(A5),IMPORTRANGE(""1oPrvVT6QDWEUmx87GoqLd1CXTtfLo6WfrreUocg_I08"",""Form Responses 1!B:C""),2,0),"""")"),8.0)</f>
        <v>8</v>
      </c>
      <c r="AC5" s="62">
        <f>IFERROR(__xludf.DUMMYFUNCTION("IFERROR(VLOOKUP(TRIM(A5),IMPORTRANGE(""1WKNusCM8GAvNDFdV2AjY5sTwyti4BFZk9I1rFa74mxo"",""Form Responses 1!B:C""),2,0),"""")"),11.0)</f>
        <v>11</v>
      </c>
      <c r="AD5" s="62">
        <f>IFERROR(__xludf.DUMMYFUNCTION("IFERROR(VLOOKUP(TRIM(A5),IMPORTRANGE(""1ezPhPfgGBlZIzMnymbnrUr2FhcM_6Sv_nk0hxcbuzTQ"",""Form Responses 1!B:C""),2,0),"""")"),16.0)</f>
        <v>16</v>
      </c>
      <c r="AE5" s="62">
        <f>IFERROR(__xludf.DUMMYFUNCTION("IFERROR(VLOOKUP(TRIM(A5),IMPORTRANGE(""1nCvx2881PQ64OQinwpUfP8HphDEhFD0vPRxp_AAAdlM"",""Form Responses 1!B:C""),2,0),"""")"),25.0)</f>
        <v>25</v>
      </c>
      <c r="AF5" s="62" t="str">
        <f>IFERROR(__xludf.DUMMYFUNCTION("IFERROR(VLOOKUP(TRIM(A5),IMPORTRANGE(""1cImVBctl3mh_jlEmJoy6CEEFe_DDCxRGkjB_Jp-qsU8"",""Form Responses 1!B:C""),2,0),"""")"),"")</f>
        <v/>
      </c>
      <c r="AG5" s="57" t="str">
        <f>IFERROR(__xludf.DUMMYFUNCTION("""COMPUTED_VALUE"""),"justice.worthy@kairosacademies.org")</f>
        <v>justice.worthy@kairosacademies.org</v>
      </c>
      <c r="AH5" s="64">
        <f>IFERROR(__xludf.DUMMYFUNCTION("""COMPUTED_VALUE"""),4.0)</f>
        <v>4</v>
      </c>
      <c r="AI5" s="57"/>
      <c r="AJ5" s="57"/>
      <c r="AK5" s="57"/>
      <c r="AL5" s="57"/>
      <c r="AM5" s="57"/>
      <c r="AN5" s="57"/>
      <c r="AO5" s="57"/>
      <c r="AP5" s="57"/>
      <c r="AQ5" s="57"/>
      <c r="AR5" s="57"/>
      <c r="AS5" s="57"/>
      <c r="AT5" s="57"/>
      <c r="AU5" s="57"/>
      <c r="AV5" s="57"/>
      <c r="AW5" s="57"/>
      <c r="AX5" s="57"/>
      <c r="AY5" s="57"/>
      <c r="AZ5" s="57"/>
    </row>
    <row r="6">
      <c r="A6" s="56" t="s">
        <v>210</v>
      </c>
      <c r="B6" s="57">
        <f>IFERROR(__xludf.DUMMYFUNCTION("IFERROR(IF(COUNTIF(IMPORTRANGE(""1oiajwiBxoDIOBcD_uKarGHJIrskYi3nXyI9FyWq8IFk"",""Form Responses 1!B:B""),A6)&gt;0,10,),0)"),10.0)</f>
        <v>10</v>
      </c>
      <c r="C6" s="57">
        <f>IFERROR(__xludf.DUMMYFUNCTION("IFERROR(VLOOKUP(A6,IMPORTRANGE(""1PRkBNvF7wRBbJGtbM1I7-V_ej5mmlgF4cwmp64ilJGQ"",""Form Responses 1!B:C""),2,FALSE),)"),0.0)</f>
        <v>0</v>
      </c>
      <c r="D6" s="57">
        <f>IFERROR(__xludf.DUMMYFUNCTION("IFERROR(VLOOKUP(A6,IMPORTRANGE(""1rSBnjICjC9324bzLIQpakQH2kn1-6by9fz9jLCcefTs"",""Form Responses 1!B:C""),2,FALSE),)"),30.0)</f>
        <v>30</v>
      </c>
      <c r="E6" s="57">
        <f>IFERROR(__xludf.DUMMYFUNCTION("IFERROR(VLOOKUP(A6,IMPORTRANGE(""1OvNQShTkB7b8btd44zAgP-KkGS7dJ0BEd6wMgBISDs0"",""Form Responses 1!B:C""),2,FALSE),)"),5.0)</f>
        <v>5</v>
      </c>
      <c r="F6" s="57">
        <f>IFERROR(__xludf.DUMMYFUNCTION("IFERROR(IF(COUNTIF(IMPORTRANGE(""13ZZ2q5-JsneAoCxE8QLqs1Ycj8WSgN9hPRza9XUMv_4"",""Form Responses 1!B:B""),A6)&gt;0,20,),)"),20.0)</f>
        <v>20</v>
      </c>
      <c r="G6" s="58" t="str">
        <f>IFERROR(__xludf.DUMMYFUNCTION("IFERROR(IF(COUNTIF(IMPORTRANGE(""1ljo_MifcmFDCNF59UxR3-3g4XI2XSRJ3WpZcUkp6so8"",""Form Responses 1!B:B""),A6)&gt;0,10,),)"),"")</f>
        <v/>
      </c>
      <c r="H6" s="59">
        <f>IFERROR(__xludf.DUMMYFUNCTION("IFERROR(VLOOKUP(A6,IMPORTRANGE(""1PBvrHm3dgtcno-UApCGo6dIU4auKbeIJC2SC7k36T64"",""Form Responses 1!B:C""),2,FALSE),)"),8.0)</f>
        <v>8</v>
      </c>
      <c r="I6" s="60">
        <f>IFERROR(__xludf.DUMMYFUNCTION("IFERROR(VLOOKUP(A6,IMPORTRANGE(""13P_qT6pKDynUZR0_aswSscwX8dw4UhPyIL8ohovayVc
"",""Form Responses 1!B:C""),2,FALSE),)"),3.0)</f>
        <v>3</v>
      </c>
      <c r="J6" s="60">
        <f>IFERROR(__xludf.DUMMYFUNCTION("IFERROR(VLOOKUP(A6,IMPORTRANGE(""16B_HaxNdsb7BY3AQ0xKagDsjOLkfb_DjPkxPwEpn8gc
"",""Form Responses 1!B:C""),2,FALSE),)"),9.0)</f>
        <v>9</v>
      </c>
      <c r="K6" s="60">
        <f>IFERROR(__xludf.DUMMYFUNCTION("IFERROR(VLOOKUP(A6,IMPORTRANGE(""1bUO_1Nv9gx3vZE_-m4w6HiuWUM1u8qsaqKByYyla14Q"",""Form Responses 1!B:C""),2,FALSE),)"),7.0)</f>
        <v>7</v>
      </c>
      <c r="L6" s="59">
        <f>IFERROR(__xludf.DUMMYFUNCTION("IFERROR(IF(COUNTIF(IMPORTRANGE(""1SG2BnFOinBZsm3_Rx1BzD670E652svXjlzWieKobj9o"",""Form Responses 1!B:B""),A6)&gt;0,10,),0)"),10.0)</f>
        <v>10</v>
      </c>
      <c r="M6" s="60">
        <f>IFERROR(__xludf.DUMMYFUNCTION("IFERROR(VLOOKUP(A6,IMPORTRANGE(""1Zpz_ArqUHJZzCwyJqFKkEASeqFw0lZ4HLK4wQdLXj3w
"",""Form Responses 1!B:C""),2,FALSE),)"),10.0)</f>
        <v>10</v>
      </c>
      <c r="N6" s="60">
        <f>IFERROR(__xludf.DUMMYFUNCTION("IFERROR(VLOOKUP(A6,IMPORTRANGE(""1c318JgcKMkTMtHFS6SjH7x3TAnZwddcZMI9Jx-B9VOM
"",""Form Responses 1!B:C""),2,FALSE),)"),9.0)</f>
        <v>9</v>
      </c>
      <c r="O6" s="60">
        <f>IFERROR(__xludf.DUMMYFUNCTION("IFERROR(VLOOKUP(A6,IMPORTRANGE(""1kp8AvADOUteLDy1-i5F9JvR64ee_UwN5UoIn-tH5zPQ
"",""Form Responses 1!B:C""),2,FALSE),)"),20.0)</f>
        <v>20</v>
      </c>
      <c r="P6" s="60">
        <f>IFERROR(__xludf.DUMMYFUNCTION("IFERROR(VLOOKUP(A6,IMPORTRANGE(""1PSjtsRk3dryPdI2Zls_iIpRgVVwBTGQ0ryRujA_ayZ0"",""Form Responses 1!B:C""),2,FALSE),)"),6.0)</f>
        <v>6</v>
      </c>
      <c r="Q6" s="59">
        <f>IFERROR(__xludf.DUMMYFUNCTION("IFERROR(VLOOKUP(TRIM(A6),IMPORTRANGE(""1ciMZmE3_Ia8QatZf9u-RYqeCzLjcP66olwhReBx-Pwc"",""Form Responses 1!B:C""),2,0),"""")"),7.0)</f>
        <v>7</v>
      </c>
      <c r="R6" s="60" t="str">
        <f>IFERROR(__xludf.DUMMYFUNCTION("IFERROR(VLOOKUP(TRIM(A6),IMPORTRANGE(""1dEvtr9f2UAemMjkvEwBFPyuEw3YQPqez4Kgo-0l7vS4"",""Form Responses 1!B:C""),2,0),"""")"),"")</f>
        <v/>
      </c>
      <c r="S6" s="60" t="str">
        <f>IFERROR(__xludf.DUMMYFUNCTION("IFERROR(VLOOKUP(TRIM(A6),IMPORTRANGE(""1B6nP1Ts7cF60F-9DocMTsAaVFKfuimLnUoxweBavHeU"",""Form Responses 1!B:C""),2,0),"""")"),"")</f>
        <v/>
      </c>
      <c r="T6" s="60" t="str">
        <f>IFERROR(__xludf.DUMMYFUNCTION("IFERROR(VLOOKUP(TRIM(A6),IMPORTRANGE(""1Urfs_Vy5SE9U8tp1-UR-7FoEAxcNy8MifWBH8GiFXd8"",""Form Responses 1!B:C""),2,0),"""")"),"")</f>
        <v/>
      </c>
      <c r="U6" s="60" t="str">
        <f>IFERROR(__xludf.DUMMYFUNCTION("IFERROR(VLOOKUP(TRIM(A6),IMPORTRANGE(""1aXWUim-N4mxaoEzA3XAIdaDH-QYLEvzF2WdP7MGXYAE"",""Form Responses 1!B:C""),2,0),"""")"),"")</f>
        <v/>
      </c>
      <c r="V6" s="61">
        <v>34.0</v>
      </c>
      <c r="W6" s="62">
        <f>IFERROR(__xludf.DUMMYFUNCTION("IFERROR(1/(1/MAX(
  IFERROR(VLOOKUP(TRIM(A6),IMPORTRANGE(""1ZA1PTk3mXTxdasMFIUL3_HnhZbSrjlYI0jroyR74oDM"",""Form Responses 1!B:C""),2,0),),
  IFERROR(VLOOKUP(TRIM(A6),IMPORTRANGE(""197C8yvLyfR59JPOCjQdNv3jtQAWqA9lyzhiAtksREXI"",""Form Responses 1!B:C""),2"&amp;",0),)
)),)"),3.0)</f>
        <v>3</v>
      </c>
      <c r="X6" s="62">
        <f>IFERROR(__xludf.DUMMYFUNCTION("IFERROR(VLOOKUP(TRIM(A6),IMPORTRANGE(""1S55NQGXzV1_qOWKXpsQUC871e5j71TNZ9qXJwwhlcsg"",""Form Responses 1!B:C""),2,0),"""")"),5.0)</f>
        <v>5</v>
      </c>
      <c r="Y6" s="62" t="str">
        <f>IFERROR(__xludf.DUMMYFUNCTION("IFERROR(VLOOKUP(TRIM(A6),IMPORTRANGE(""1tpV5_mFhbN6YKRuO1MZvSbUMIPr8PmwiNyIZJpY0iKs"",""Form Responses 1!B:C""),2,0),"""")"),"")</f>
        <v/>
      </c>
      <c r="Z6" s="62" t="str">
        <f>IFERROR(__xludf.DUMMYFUNCTION("IFERROR(VLOOKUP(TRIM(A6),IMPORTRANGE(""1wfMRO2uDQNJ1PCwTpHdQ8iUrPUKVHyvbfqf8TasTViU"",""Form Responses 1!B:C""),2,0),"""")"),"")</f>
        <v/>
      </c>
      <c r="AA6" s="62" t="str">
        <f>IFERROR(__xludf.DUMMYFUNCTION("IFERROR(VLOOKUP(TRIM(A6),IMPORTRANGE(""1ZOlAPpjCs7qXcQpCvrHzmJ4FOraZ9bKV8IEd78oT7sE"",""Form Responses 1!B:C""),2,0),"""")"),"")</f>
        <v/>
      </c>
      <c r="AB6" s="62">
        <f>IFERROR(__xludf.DUMMYFUNCTION("IFERROR(VLOOKUP(TRIM(A6),IMPORTRANGE(""1oPrvVT6QDWEUmx87GoqLd1CXTtfLo6WfrreUocg_I08"",""Form Responses 1!B:C""),2,0),"""")"),12.0)</f>
        <v>12</v>
      </c>
      <c r="AC6" s="62">
        <f>IFERROR(__xludf.DUMMYFUNCTION("IFERROR(VLOOKUP(TRIM(A6),IMPORTRANGE(""1WKNusCM8GAvNDFdV2AjY5sTwyti4BFZk9I1rFa74mxo"",""Form Responses 1!B:C""),2,0),"""")"),3.0)</f>
        <v>3</v>
      </c>
      <c r="AD6" s="62" t="str">
        <f>IFERROR(__xludf.DUMMYFUNCTION("IFERROR(VLOOKUP(TRIM(A6),IMPORTRANGE(""1ezPhPfgGBlZIzMnymbnrUr2FhcM_6Sv_nk0hxcbuzTQ"",""Form Responses 1!B:C""),2,0),"""")"),"")</f>
        <v/>
      </c>
      <c r="AE6" s="62" t="str">
        <f>IFERROR(__xludf.DUMMYFUNCTION("IFERROR(VLOOKUP(TRIM(A6),IMPORTRANGE(""1nCvx2881PQ64OQinwpUfP8HphDEhFD0vPRxp_AAAdlM"",""Form Responses 1!B:C""),2,0),"""")"),"")</f>
        <v/>
      </c>
      <c r="AF6" s="62" t="str">
        <f>IFERROR(__xludf.DUMMYFUNCTION("IFERROR(VLOOKUP(TRIM(A6),IMPORTRANGE(""1cImVBctl3mh_jlEmJoy6CEEFe_DDCxRGkjB_Jp-qsU8"",""Form Responses 1!B:C""),2,0),"""")"),"")</f>
        <v/>
      </c>
      <c r="AG6" s="57"/>
      <c r="AH6" s="57"/>
      <c r="AI6" s="57"/>
      <c r="AJ6" s="57"/>
      <c r="AK6" s="57"/>
      <c r="AL6" s="57"/>
      <c r="AM6" s="57"/>
      <c r="AN6" s="57"/>
      <c r="AO6" s="57"/>
      <c r="AP6" s="57"/>
      <c r="AQ6" s="57"/>
      <c r="AR6" s="57"/>
      <c r="AS6" s="57"/>
      <c r="AT6" s="57"/>
      <c r="AU6" s="57"/>
      <c r="AV6" s="57"/>
      <c r="AW6" s="57"/>
      <c r="AX6" s="57"/>
      <c r="AY6" s="57"/>
      <c r="AZ6" s="57"/>
    </row>
    <row r="7">
      <c r="A7" s="56" t="s">
        <v>211</v>
      </c>
      <c r="B7" s="57">
        <f>IFERROR(__xludf.DUMMYFUNCTION("IFERROR(IF(COUNTIF(IMPORTRANGE(""1oiajwiBxoDIOBcD_uKarGHJIrskYi3nXyI9FyWq8IFk"",""Form Responses 1!B:B""),A7)&gt;0,10,),0)"),10.0)</f>
        <v>10</v>
      </c>
      <c r="C7" s="57">
        <f>IFERROR(__xludf.DUMMYFUNCTION("IFERROR(VLOOKUP(A7,IMPORTRANGE(""1PRkBNvF7wRBbJGtbM1I7-V_ej5mmlgF4cwmp64ilJGQ"",""Form Responses 1!B:C""),2,FALSE),)"),15.0)</f>
        <v>15</v>
      </c>
      <c r="D7" s="57">
        <f>IFERROR(__xludf.DUMMYFUNCTION("IFERROR(VLOOKUP(A7,IMPORTRANGE(""1rSBnjICjC9324bzLIQpakQH2kn1-6by9fz9jLCcefTs"",""Form Responses 1!B:C""),2,FALSE),)"),30.0)</f>
        <v>30</v>
      </c>
      <c r="E7" s="57">
        <f>IFERROR(__xludf.DUMMYFUNCTION("IFERROR(VLOOKUP(A7,IMPORTRANGE(""1OvNQShTkB7b8btd44zAgP-KkGS7dJ0BEd6wMgBISDs0"",""Form Responses 1!B:C""),2,FALSE),)"),15.0)</f>
        <v>15</v>
      </c>
      <c r="F7" s="57">
        <f>IFERROR(__xludf.DUMMYFUNCTION("IFERROR(IF(COUNTIF(IMPORTRANGE(""13ZZ2q5-JsneAoCxE8QLqs1Ycj8WSgN9hPRza9XUMv_4"",""Form Responses 1!B:B""),A7)&gt;0,20,),)"),20.0)</f>
        <v>20</v>
      </c>
      <c r="G7" s="58" t="str">
        <f>IFERROR(__xludf.DUMMYFUNCTION("IFERROR(IF(COUNTIF(IMPORTRANGE(""1ljo_MifcmFDCNF59UxR3-3g4XI2XSRJ3WpZcUkp6so8"",""Form Responses 1!B:B""),A7)&gt;0,10,),)"),"")</f>
        <v/>
      </c>
      <c r="H7" s="59">
        <f>IFERROR(__xludf.DUMMYFUNCTION("IFERROR(VLOOKUP(A7,IMPORTRANGE(""1PBvrHm3dgtcno-UApCGo6dIU4auKbeIJC2SC7k36T64"",""Form Responses 1!B:C""),2,FALSE),)"),5.0)</f>
        <v>5</v>
      </c>
      <c r="I7" s="60">
        <f>IFERROR(__xludf.DUMMYFUNCTION("IFERROR(VLOOKUP(A7,IMPORTRANGE(""13P_qT6pKDynUZR0_aswSscwX8dw4UhPyIL8ohovayVc
"",""Form Responses 1!B:C""),2,FALSE),)"),12.0)</f>
        <v>12</v>
      </c>
      <c r="J7" s="60">
        <f>IFERROR(__xludf.DUMMYFUNCTION("IFERROR(VLOOKUP(A7,IMPORTRANGE(""16B_HaxNdsb7BY3AQ0xKagDsjOLkfb_DjPkxPwEpn8gc
"",""Form Responses 1!B:C""),2,FALSE),)"),9.0)</f>
        <v>9</v>
      </c>
      <c r="K7" s="60">
        <f>IFERROR(__xludf.DUMMYFUNCTION("IFERROR(VLOOKUP(A7,IMPORTRANGE(""1bUO_1Nv9gx3vZE_-m4w6HiuWUM1u8qsaqKByYyla14Q"",""Form Responses 1!B:C""),2,FALSE),)"),8.0)</f>
        <v>8</v>
      </c>
      <c r="L7" s="59">
        <f>IFERROR(__xludf.DUMMYFUNCTION("IFERROR(IF(COUNTIF(IMPORTRANGE(""1SG2BnFOinBZsm3_Rx1BzD670E652svXjlzWieKobj9o"",""Form Responses 1!B:B""),A7)&gt;0,10,),0)"),10.0)</f>
        <v>10</v>
      </c>
      <c r="M7" s="60">
        <f>IFERROR(__xludf.DUMMYFUNCTION("IFERROR(VLOOKUP(A7,IMPORTRANGE(""1Zpz_ArqUHJZzCwyJqFKkEASeqFw0lZ4HLK4wQdLXj3w
"",""Form Responses 1!B:C""),2,FALSE),)"),8.0)</f>
        <v>8</v>
      </c>
      <c r="N7" s="60">
        <f>IFERROR(__xludf.DUMMYFUNCTION("IFERROR(VLOOKUP(A7,IMPORTRANGE(""1c318JgcKMkTMtHFS6SjH7x3TAnZwddcZMI9Jx-B9VOM
"",""Form Responses 1!B:C""),2,FALSE),)"),21.0)</f>
        <v>21</v>
      </c>
      <c r="O7" s="60">
        <f>IFERROR(__xludf.DUMMYFUNCTION("IFERROR(VLOOKUP(A7,IMPORTRANGE(""1kp8AvADOUteLDy1-i5F9JvR64ee_UwN5UoIn-tH5zPQ
"",""Form Responses 1!B:C""),2,FALSE),)"),15.0)</f>
        <v>15</v>
      </c>
      <c r="P7" s="60">
        <f>IFERROR(__xludf.DUMMYFUNCTION("IFERROR(VLOOKUP(A7,IMPORTRANGE(""1PSjtsRk3dryPdI2Zls_iIpRgVVwBTGQ0ryRujA_ayZ0"",""Form Responses 1!B:C""),2,FALSE),)"),8.0)</f>
        <v>8</v>
      </c>
      <c r="Q7" s="59">
        <f>IFERROR(__xludf.DUMMYFUNCTION("IFERROR(VLOOKUP(TRIM(A7),IMPORTRANGE(""1ciMZmE3_Ia8QatZf9u-RYqeCzLjcP66olwhReBx-Pwc"",""Form Responses 1!B:C""),2,0),"""")"),16.0)</f>
        <v>16</v>
      </c>
      <c r="R7" s="60" t="str">
        <f>IFERROR(__xludf.DUMMYFUNCTION("IFERROR(VLOOKUP(TRIM(A7),IMPORTRANGE(""1dEvtr9f2UAemMjkvEwBFPyuEw3YQPqez4Kgo-0l7vS4"",""Form Responses 1!B:C""),2,0),"""")"),"")</f>
        <v/>
      </c>
      <c r="S7" s="60" t="str">
        <f>IFERROR(__xludf.DUMMYFUNCTION("IFERROR(VLOOKUP(TRIM(A7),IMPORTRANGE(""1B6nP1Ts7cF60F-9DocMTsAaVFKfuimLnUoxweBavHeU"",""Form Responses 1!B:C""),2,0),"""")"),"")</f>
        <v/>
      </c>
      <c r="T7" s="60" t="str">
        <f>IFERROR(__xludf.DUMMYFUNCTION("IFERROR(VLOOKUP(TRIM(A7),IMPORTRANGE(""1Urfs_Vy5SE9U8tp1-UR-7FoEAxcNy8MifWBH8GiFXd8"",""Form Responses 1!B:C""),2,0),"""")"),"")</f>
        <v/>
      </c>
      <c r="U7" s="60" t="str">
        <f>IFERROR(__xludf.DUMMYFUNCTION("IFERROR(VLOOKUP(TRIM(A7),IMPORTRANGE(""1aXWUim-N4mxaoEzA3XAIdaDH-QYLEvzF2WdP7MGXYAE"",""Form Responses 1!B:C""),2,0),"""")"),"")</f>
        <v/>
      </c>
      <c r="V7" s="61">
        <v>62.0</v>
      </c>
      <c r="W7" s="62">
        <f>IFERROR(__xludf.DUMMYFUNCTION("IFERROR(1/(1/MAX(
  IFERROR(VLOOKUP(TRIM(A7),IMPORTRANGE(""1ZA1PTk3mXTxdasMFIUL3_HnhZbSrjlYI0jroyR74oDM"",""Form Responses 1!B:C""),2,0),),
  IFERROR(VLOOKUP(TRIM(A7),IMPORTRANGE(""197C8yvLyfR59JPOCjQdNv3jtQAWqA9lyzhiAtksREXI"",""Form Responses 1!B:C""),2"&amp;",0),)
)),)"),12.0)</f>
        <v>12</v>
      </c>
      <c r="X7" s="62">
        <f>IFERROR(__xludf.DUMMYFUNCTION("IFERROR(VLOOKUP(TRIM(A7),IMPORTRANGE(""1S55NQGXzV1_qOWKXpsQUC871e5j71TNZ9qXJwwhlcsg"",""Form Responses 1!B:C""),2,0),"""")"),10.0)</f>
        <v>10</v>
      </c>
      <c r="Y7" s="62" t="str">
        <f>IFERROR(__xludf.DUMMYFUNCTION("IFERROR(VLOOKUP(TRIM(A7),IMPORTRANGE(""1tpV5_mFhbN6YKRuO1MZvSbUMIPr8PmwiNyIZJpY0iKs"",""Form Responses 1!B:C""),2,0),"""")"),"")</f>
        <v/>
      </c>
      <c r="Z7" s="62" t="str">
        <f>IFERROR(__xludf.DUMMYFUNCTION("IFERROR(VLOOKUP(TRIM(A7),IMPORTRANGE(""1wfMRO2uDQNJ1PCwTpHdQ8iUrPUKVHyvbfqf8TasTViU"",""Form Responses 1!B:C""),2,0),"""")"),"")</f>
        <v/>
      </c>
      <c r="AA7" s="62" t="str">
        <f>IFERROR(__xludf.DUMMYFUNCTION("IFERROR(VLOOKUP(TRIM(A7),IMPORTRANGE(""1ZOlAPpjCs7qXcQpCvrHzmJ4FOraZ9bKV8IEd78oT7sE"",""Form Responses 1!B:C""),2,0),"""")"),"")</f>
        <v/>
      </c>
      <c r="AB7" s="62">
        <f>IFERROR(__xludf.DUMMYFUNCTION("IFERROR(VLOOKUP(TRIM(A7),IMPORTRANGE(""1oPrvVT6QDWEUmx87GoqLd1CXTtfLo6WfrreUocg_I08"",""Form Responses 1!B:C""),2,0),"""")"),12.0)</f>
        <v>12</v>
      </c>
      <c r="AC7" s="62">
        <f>IFERROR(__xludf.DUMMYFUNCTION("IFERROR(VLOOKUP(TRIM(A7),IMPORTRANGE(""1WKNusCM8GAvNDFdV2AjY5sTwyti4BFZk9I1rFa74mxo"",""Form Responses 1!B:C""),2,0),"""")"),20.0)</f>
        <v>20</v>
      </c>
      <c r="AD7" s="62">
        <f>IFERROR(__xludf.DUMMYFUNCTION("IFERROR(VLOOKUP(TRIM(A7),IMPORTRANGE(""1ezPhPfgGBlZIzMnymbnrUr2FhcM_6Sv_nk0hxcbuzTQ"",""Form Responses 1!B:C""),2,0),"""")"),16.0)</f>
        <v>16</v>
      </c>
      <c r="AE7" s="62" t="str">
        <f>IFERROR(__xludf.DUMMYFUNCTION("IFERROR(VLOOKUP(TRIM(A7),IMPORTRANGE(""1nCvx2881PQ64OQinwpUfP8HphDEhFD0vPRxp_AAAdlM"",""Form Responses 1!B:C""),2,0),"""")"),"")</f>
        <v/>
      </c>
      <c r="AF7" s="62" t="str">
        <f>IFERROR(__xludf.DUMMYFUNCTION("IFERROR(VLOOKUP(TRIM(A7),IMPORTRANGE(""1cImVBctl3mh_jlEmJoy6CEEFe_DDCxRGkjB_Jp-qsU8"",""Form Responses 1!B:C""),2,0),"""")"),"")</f>
        <v/>
      </c>
      <c r="AG7" s="57"/>
      <c r="AH7" s="57"/>
      <c r="AI7" s="57"/>
      <c r="AJ7" s="57"/>
      <c r="AK7" s="57"/>
      <c r="AL7" s="57"/>
      <c r="AM7" s="57"/>
      <c r="AN7" s="57"/>
      <c r="AO7" s="57"/>
      <c r="AP7" s="57"/>
      <c r="AQ7" s="57"/>
      <c r="AR7" s="57"/>
      <c r="AS7" s="57"/>
      <c r="AT7" s="57"/>
      <c r="AU7" s="57"/>
      <c r="AV7" s="57"/>
      <c r="AW7" s="57"/>
      <c r="AX7" s="57"/>
      <c r="AY7" s="57"/>
      <c r="AZ7" s="57"/>
    </row>
    <row r="8">
      <c r="A8" s="56" t="s">
        <v>212</v>
      </c>
      <c r="B8" s="57" t="str">
        <f>IFERROR(__xludf.DUMMYFUNCTION("IFERROR(IF(COUNTIF(IMPORTRANGE(""1oiajwiBxoDIOBcD_uKarGHJIrskYi3nXyI9FyWq8IFk"",""Form Responses 1!B:B""),A8)&gt;0,10,),0)"),"")</f>
        <v/>
      </c>
      <c r="C8" s="57" t="str">
        <f>IFERROR(__xludf.DUMMYFUNCTION("IFERROR(VLOOKUP(A8,IMPORTRANGE(""1PRkBNvF7wRBbJGtbM1I7-V_ej5mmlgF4cwmp64ilJGQ"",""Form Responses 1!B:C""),2,FALSE),)"),"")</f>
        <v/>
      </c>
      <c r="D8" s="57" t="str">
        <f>IFERROR(__xludf.DUMMYFUNCTION("IFERROR(VLOOKUP(A8,IMPORTRANGE(""1rSBnjICjC9324bzLIQpakQH2kn1-6by9fz9jLCcefTs"",""Form Responses 1!B:C""),2,FALSE),)"),"")</f>
        <v/>
      </c>
      <c r="E8" s="57" t="str">
        <f>IFERROR(__xludf.DUMMYFUNCTION("IFERROR(VLOOKUP(A8,IMPORTRANGE(""1OvNQShTkB7b8btd44zAgP-KkGS7dJ0BEd6wMgBISDs0"",""Form Responses 1!B:C""),2,FALSE),)"),"")</f>
        <v/>
      </c>
      <c r="F8" s="57" t="str">
        <f>IFERROR(__xludf.DUMMYFUNCTION("IFERROR(IF(COUNTIF(IMPORTRANGE(""13ZZ2q5-JsneAoCxE8QLqs1Ycj8WSgN9hPRza9XUMv_4"",""Form Responses 1!B:B""),A8)&gt;0,20,),)"),"")</f>
        <v/>
      </c>
      <c r="G8" s="58" t="str">
        <f>IFERROR(__xludf.DUMMYFUNCTION("IFERROR(IF(COUNTIF(IMPORTRANGE(""1ljo_MifcmFDCNF59UxR3-3g4XI2XSRJ3WpZcUkp6so8"",""Form Responses 1!B:B""),A8)&gt;0,10,),)"),"")</f>
        <v/>
      </c>
      <c r="H8" s="59" t="str">
        <f>IFERROR(__xludf.DUMMYFUNCTION("IFERROR(VLOOKUP(A8,IMPORTRANGE(""1PBvrHm3dgtcno-UApCGo6dIU4auKbeIJC2SC7k36T64"",""Form Responses 1!B:C""),2,FALSE),)"),"")</f>
        <v/>
      </c>
      <c r="I8" s="60" t="str">
        <f>IFERROR(__xludf.DUMMYFUNCTION("IFERROR(VLOOKUP(A8,IMPORTRANGE(""13P_qT6pKDynUZR0_aswSscwX8dw4UhPyIL8ohovayVc
"",""Form Responses 1!B:C""),2,FALSE),)"),"")</f>
        <v/>
      </c>
      <c r="J8" s="60" t="str">
        <f>IFERROR(__xludf.DUMMYFUNCTION("IFERROR(VLOOKUP(A8,IMPORTRANGE(""16B_HaxNdsb7BY3AQ0xKagDsjOLkfb_DjPkxPwEpn8gc
"",""Form Responses 1!B:C""),2,FALSE),)"),"")</f>
        <v/>
      </c>
      <c r="K8" s="60" t="str">
        <f>IFERROR(__xludf.DUMMYFUNCTION("IFERROR(VLOOKUP(A8,IMPORTRANGE(""1bUO_1Nv9gx3vZE_-m4w6HiuWUM1u8qsaqKByYyla14Q"",""Form Responses 1!B:C""),2,FALSE),)"),"")</f>
        <v/>
      </c>
      <c r="L8" s="59" t="str">
        <f>IFERROR(__xludf.DUMMYFUNCTION("IFERROR(IF(COUNTIF(IMPORTRANGE(""1SG2BnFOinBZsm3_Rx1BzD670E652svXjlzWieKobj9o"",""Form Responses 1!B:B""),A8)&gt;0,10,),0)"),"")</f>
        <v/>
      </c>
      <c r="M8" s="60" t="str">
        <f>IFERROR(__xludf.DUMMYFUNCTION("IFERROR(VLOOKUP(A8,IMPORTRANGE(""1Zpz_ArqUHJZzCwyJqFKkEASeqFw0lZ4HLK4wQdLXj3w
"",""Form Responses 1!B:C""),2,FALSE),)"),"")</f>
        <v/>
      </c>
      <c r="N8" s="60" t="str">
        <f>IFERROR(__xludf.DUMMYFUNCTION("IFERROR(VLOOKUP(A8,IMPORTRANGE(""1c318JgcKMkTMtHFS6SjH7x3TAnZwddcZMI9Jx-B9VOM
"",""Form Responses 1!B:C""),2,FALSE),)"),"")</f>
        <v/>
      </c>
      <c r="O8" s="60" t="str">
        <f>IFERROR(__xludf.DUMMYFUNCTION("IFERROR(VLOOKUP(A8,IMPORTRANGE(""1kp8AvADOUteLDy1-i5F9JvR64ee_UwN5UoIn-tH5zPQ
"",""Form Responses 1!B:C""),2,FALSE),)"),"")</f>
        <v/>
      </c>
      <c r="P8" s="60" t="str">
        <f>IFERROR(__xludf.DUMMYFUNCTION("IFERROR(VLOOKUP(A8,IMPORTRANGE(""1PSjtsRk3dryPdI2Zls_iIpRgVVwBTGQ0ryRujA_ayZ0"",""Form Responses 1!B:C""),2,FALSE),)"),"")</f>
        <v/>
      </c>
      <c r="Q8" s="59" t="str">
        <f>IFERROR(__xludf.DUMMYFUNCTION("IFERROR(VLOOKUP(TRIM(A8),IMPORTRANGE(""1ciMZmE3_Ia8QatZf9u-RYqeCzLjcP66olwhReBx-Pwc"",""Form Responses 1!B:C""),2,0),"""")"),"")</f>
        <v/>
      </c>
      <c r="R8" s="60" t="str">
        <f>IFERROR(__xludf.DUMMYFUNCTION("IFERROR(VLOOKUP(TRIM(A8),IMPORTRANGE(""1dEvtr9f2UAemMjkvEwBFPyuEw3YQPqez4Kgo-0l7vS4"",""Form Responses 1!B:C""),2,0),"""")"),"")</f>
        <v/>
      </c>
      <c r="S8" s="60" t="str">
        <f>IFERROR(__xludf.DUMMYFUNCTION("IFERROR(VLOOKUP(TRIM(A8),IMPORTRANGE(""1B6nP1Ts7cF60F-9DocMTsAaVFKfuimLnUoxweBavHeU"",""Form Responses 1!B:C""),2,0),"""")"),"")</f>
        <v/>
      </c>
      <c r="T8" s="60" t="str">
        <f>IFERROR(__xludf.DUMMYFUNCTION("IFERROR(VLOOKUP(TRIM(A8),IMPORTRANGE(""1Urfs_Vy5SE9U8tp1-UR-7FoEAxcNy8MifWBH8GiFXd8"",""Form Responses 1!B:C""),2,0),"""")"),"")</f>
        <v/>
      </c>
      <c r="U8" s="60" t="str">
        <f>IFERROR(__xludf.DUMMYFUNCTION("IFERROR(VLOOKUP(TRIM(A8),IMPORTRANGE(""1aXWUim-N4mxaoEzA3XAIdaDH-QYLEvzF2WdP7MGXYAE"",""Form Responses 1!B:C""),2,0),"""")"),"")</f>
        <v/>
      </c>
      <c r="V8" s="63"/>
      <c r="W8" s="62" t="str">
        <f>IFERROR(__xludf.DUMMYFUNCTION("IFERROR(1/(1/MAX(
  IFERROR(VLOOKUP(TRIM(A8),IMPORTRANGE(""1ZA1PTk3mXTxdasMFIUL3_HnhZbSrjlYI0jroyR74oDM"",""Form Responses 1!B:C""),2,0),),
  IFERROR(VLOOKUP(TRIM(A8),IMPORTRANGE(""197C8yvLyfR59JPOCjQdNv3jtQAWqA9lyzhiAtksREXI"",""Form Responses 1!B:C""),2"&amp;",0),)
)),)"),"")</f>
        <v/>
      </c>
      <c r="X8" s="62" t="str">
        <f>IFERROR(__xludf.DUMMYFUNCTION("IFERROR(VLOOKUP(TRIM(A8),IMPORTRANGE(""1S55NQGXzV1_qOWKXpsQUC871e5j71TNZ9qXJwwhlcsg"",""Form Responses 1!B:C""),2,0),"""")"),"")</f>
        <v/>
      </c>
      <c r="Y8" s="62" t="str">
        <f>IFERROR(__xludf.DUMMYFUNCTION("IFERROR(VLOOKUP(TRIM(A8),IMPORTRANGE(""1tpV5_mFhbN6YKRuO1MZvSbUMIPr8PmwiNyIZJpY0iKs"",""Form Responses 1!B:C""),2,0),"""")"),"")</f>
        <v/>
      </c>
      <c r="Z8" s="62" t="str">
        <f>IFERROR(__xludf.DUMMYFUNCTION("IFERROR(VLOOKUP(TRIM(A8),IMPORTRANGE(""1wfMRO2uDQNJ1PCwTpHdQ8iUrPUKVHyvbfqf8TasTViU"",""Form Responses 1!B:C""),2,0),"""")"),"")</f>
        <v/>
      </c>
      <c r="AA8" s="62" t="str">
        <f>IFERROR(__xludf.DUMMYFUNCTION("IFERROR(VLOOKUP(TRIM(A8),IMPORTRANGE(""1ZOlAPpjCs7qXcQpCvrHzmJ4FOraZ9bKV8IEd78oT7sE"",""Form Responses 1!B:C""),2,0),"""")"),"")</f>
        <v/>
      </c>
      <c r="AB8" s="62" t="str">
        <f>IFERROR(__xludf.DUMMYFUNCTION("IFERROR(VLOOKUP(TRIM(A8),IMPORTRANGE(""1oPrvVT6QDWEUmx87GoqLd1CXTtfLo6WfrreUocg_I08"",""Form Responses 1!B:C""),2,0),"""")"),"")</f>
        <v/>
      </c>
      <c r="AC8" s="62" t="str">
        <f>IFERROR(__xludf.DUMMYFUNCTION("IFERROR(VLOOKUP(TRIM(A8),IMPORTRANGE(""1WKNusCM8GAvNDFdV2AjY5sTwyti4BFZk9I1rFa74mxo"",""Form Responses 1!B:C""),2,0),"""")"),"")</f>
        <v/>
      </c>
      <c r="AD8" s="62" t="str">
        <f>IFERROR(__xludf.DUMMYFUNCTION("IFERROR(VLOOKUP(TRIM(A8),IMPORTRANGE(""1ezPhPfgGBlZIzMnymbnrUr2FhcM_6Sv_nk0hxcbuzTQ"",""Form Responses 1!B:C""),2,0),"""")"),"")</f>
        <v/>
      </c>
      <c r="AE8" s="62" t="str">
        <f>IFERROR(__xludf.DUMMYFUNCTION("IFERROR(VLOOKUP(TRIM(A8),IMPORTRANGE(""1nCvx2881PQ64OQinwpUfP8HphDEhFD0vPRxp_AAAdlM"",""Form Responses 1!B:C""),2,0),"""")"),"")</f>
        <v/>
      </c>
      <c r="AF8" s="62" t="str">
        <f>IFERROR(__xludf.DUMMYFUNCTION("IFERROR(VLOOKUP(TRIM(A8),IMPORTRANGE(""1cImVBctl3mh_jlEmJoy6CEEFe_DDCxRGkjB_Jp-qsU8"",""Form Responses 1!B:C""),2,0),"""")"),"")</f>
        <v/>
      </c>
      <c r="AG8" s="57"/>
      <c r="AH8" s="57"/>
      <c r="AI8" s="57"/>
      <c r="AJ8" s="57"/>
      <c r="AK8" s="57"/>
      <c r="AL8" s="57"/>
      <c r="AM8" s="57"/>
      <c r="AN8" s="57"/>
      <c r="AO8" s="57"/>
      <c r="AP8" s="57"/>
      <c r="AQ8" s="57"/>
      <c r="AR8" s="57"/>
      <c r="AS8" s="57"/>
      <c r="AT8" s="57"/>
      <c r="AU8" s="57"/>
      <c r="AV8" s="57"/>
      <c r="AW8" s="57"/>
      <c r="AX8" s="57"/>
      <c r="AY8" s="57"/>
      <c r="AZ8" s="57"/>
    </row>
    <row r="9">
      <c r="A9" s="56" t="s">
        <v>213</v>
      </c>
      <c r="B9" s="57" t="str">
        <f>IFERROR(__xludf.DUMMYFUNCTION("IFERROR(IF(COUNTIF(IMPORTRANGE(""1oiajwiBxoDIOBcD_uKarGHJIrskYi3nXyI9FyWq8IFk"",""Form Responses 1!B:B""),A9)&gt;0,10,),0)"),"")</f>
        <v/>
      </c>
      <c r="C9" s="57" t="str">
        <f>IFERROR(__xludf.DUMMYFUNCTION("IFERROR(VLOOKUP(A9,IMPORTRANGE(""1PRkBNvF7wRBbJGtbM1I7-V_ej5mmlgF4cwmp64ilJGQ"",""Form Responses 1!B:C""),2,FALSE),)"),"")</f>
        <v/>
      </c>
      <c r="D9" s="57" t="str">
        <f>IFERROR(__xludf.DUMMYFUNCTION("IFERROR(VLOOKUP(A9,IMPORTRANGE(""1rSBnjICjC9324bzLIQpakQH2kn1-6by9fz9jLCcefTs"",""Form Responses 1!B:C""),2,FALSE),)"),"")</f>
        <v/>
      </c>
      <c r="E9" s="57" t="str">
        <f>IFERROR(__xludf.DUMMYFUNCTION("IFERROR(VLOOKUP(A9,IMPORTRANGE(""1OvNQShTkB7b8btd44zAgP-KkGS7dJ0BEd6wMgBISDs0"",""Form Responses 1!B:C""),2,FALSE),)"),"")</f>
        <v/>
      </c>
      <c r="F9" s="57" t="str">
        <f>IFERROR(__xludf.DUMMYFUNCTION("IFERROR(IF(COUNTIF(IMPORTRANGE(""13ZZ2q5-JsneAoCxE8QLqs1Ycj8WSgN9hPRza9XUMv_4"",""Form Responses 1!B:B""),A9)&gt;0,20,),)"),"")</f>
        <v/>
      </c>
      <c r="G9" s="58" t="str">
        <f>IFERROR(__xludf.DUMMYFUNCTION("IFERROR(IF(COUNTIF(IMPORTRANGE(""1ljo_MifcmFDCNF59UxR3-3g4XI2XSRJ3WpZcUkp6so8"",""Form Responses 1!B:B""),A9)&gt;0,10,),)"),"")</f>
        <v/>
      </c>
      <c r="H9" s="59" t="str">
        <f>IFERROR(__xludf.DUMMYFUNCTION("IFERROR(VLOOKUP(A9,IMPORTRANGE(""1PBvrHm3dgtcno-UApCGo6dIU4auKbeIJC2SC7k36T64"",""Form Responses 1!B:C""),2,FALSE),)"),"")</f>
        <v/>
      </c>
      <c r="I9" s="60" t="str">
        <f>IFERROR(__xludf.DUMMYFUNCTION("IFERROR(VLOOKUP(A9,IMPORTRANGE(""13P_qT6pKDynUZR0_aswSscwX8dw4UhPyIL8ohovayVc
"",""Form Responses 1!B:C""),2,FALSE),)"),"")</f>
        <v/>
      </c>
      <c r="J9" s="60" t="str">
        <f>IFERROR(__xludf.DUMMYFUNCTION("IFERROR(VLOOKUP(A9,IMPORTRANGE(""16B_HaxNdsb7BY3AQ0xKagDsjOLkfb_DjPkxPwEpn8gc
"",""Form Responses 1!B:C""),2,FALSE),)"),"")</f>
        <v/>
      </c>
      <c r="K9" s="60" t="str">
        <f>IFERROR(__xludf.DUMMYFUNCTION("IFERROR(VLOOKUP(A9,IMPORTRANGE(""1bUO_1Nv9gx3vZE_-m4w6HiuWUM1u8qsaqKByYyla14Q"",""Form Responses 1!B:C""),2,FALSE),)"),"")</f>
        <v/>
      </c>
      <c r="L9" s="59" t="str">
        <f>IFERROR(__xludf.DUMMYFUNCTION("IFERROR(IF(COUNTIF(IMPORTRANGE(""1SG2BnFOinBZsm3_Rx1BzD670E652svXjlzWieKobj9o"",""Form Responses 1!B:B""),A9)&gt;0,10,),0)"),"")</f>
        <v/>
      </c>
      <c r="M9" s="60" t="str">
        <f>IFERROR(__xludf.DUMMYFUNCTION("IFERROR(VLOOKUP(A9,IMPORTRANGE(""1Zpz_ArqUHJZzCwyJqFKkEASeqFw0lZ4HLK4wQdLXj3w
"",""Form Responses 1!B:C""),2,FALSE),)"),"")</f>
        <v/>
      </c>
      <c r="N9" s="60" t="str">
        <f>IFERROR(__xludf.DUMMYFUNCTION("IFERROR(VLOOKUP(A9,IMPORTRANGE(""1c318JgcKMkTMtHFS6SjH7x3TAnZwddcZMI9Jx-B9VOM
"",""Form Responses 1!B:C""),2,FALSE),)"),"")</f>
        <v/>
      </c>
      <c r="O9" s="60" t="str">
        <f>IFERROR(__xludf.DUMMYFUNCTION("IFERROR(VLOOKUP(A9,IMPORTRANGE(""1kp8AvADOUteLDy1-i5F9JvR64ee_UwN5UoIn-tH5zPQ
"",""Form Responses 1!B:C""),2,FALSE),)"),"")</f>
        <v/>
      </c>
      <c r="P9" s="60" t="str">
        <f>IFERROR(__xludf.DUMMYFUNCTION("IFERROR(VLOOKUP(A9,IMPORTRANGE(""1PSjtsRk3dryPdI2Zls_iIpRgVVwBTGQ0ryRujA_ayZ0"",""Form Responses 1!B:C""),2,FALSE),)"),"")</f>
        <v/>
      </c>
      <c r="Q9" s="59" t="str">
        <f>IFERROR(__xludf.DUMMYFUNCTION("IFERROR(VLOOKUP(TRIM(A9),IMPORTRANGE(""1ciMZmE3_Ia8QatZf9u-RYqeCzLjcP66olwhReBx-Pwc"",""Form Responses 1!B:C""),2,0),"""")"),"")</f>
        <v/>
      </c>
      <c r="R9" s="60" t="str">
        <f>IFERROR(__xludf.DUMMYFUNCTION("IFERROR(VLOOKUP(TRIM(A9),IMPORTRANGE(""1dEvtr9f2UAemMjkvEwBFPyuEw3YQPqez4Kgo-0l7vS4"",""Form Responses 1!B:C""),2,0),"""")"),"")</f>
        <v/>
      </c>
      <c r="S9" s="60" t="str">
        <f>IFERROR(__xludf.DUMMYFUNCTION("IFERROR(VLOOKUP(TRIM(A9),IMPORTRANGE(""1B6nP1Ts7cF60F-9DocMTsAaVFKfuimLnUoxweBavHeU"",""Form Responses 1!B:C""),2,0),"""")"),"")</f>
        <v/>
      </c>
      <c r="T9" s="60" t="str">
        <f>IFERROR(__xludf.DUMMYFUNCTION("IFERROR(VLOOKUP(TRIM(A9),IMPORTRANGE(""1Urfs_Vy5SE9U8tp1-UR-7FoEAxcNy8MifWBH8GiFXd8"",""Form Responses 1!B:C""),2,0),"""")"),"")</f>
        <v/>
      </c>
      <c r="U9" s="60" t="str">
        <f>IFERROR(__xludf.DUMMYFUNCTION("IFERROR(VLOOKUP(TRIM(A9),IMPORTRANGE(""1aXWUim-N4mxaoEzA3XAIdaDH-QYLEvzF2WdP7MGXYAE"",""Form Responses 1!B:C""),2,0),"""")"),"")</f>
        <v/>
      </c>
      <c r="V9" s="63"/>
      <c r="W9" s="62" t="str">
        <f>IFERROR(__xludf.DUMMYFUNCTION("IFERROR(1/(1/MAX(
  IFERROR(VLOOKUP(TRIM(A9),IMPORTRANGE(""1ZA1PTk3mXTxdasMFIUL3_HnhZbSrjlYI0jroyR74oDM"",""Form Responses 1!B:C""),2,0),),
  IFERROR(VLOOKUP(TRIM(A9),IMPORTRANGE(""197C8yvLyfR59JPOCjQdNv3jtQAWqA9lyzhiAtksREXI"",""Form Responses 1!B:C""),2"&amp;",0),)
)),)"),"")</f>
        <v/>
      </c>
      <c r="X9" s="62" t="str">
        <f>IFERROR(__xludf.DUMMYFUNCTION("IFERROR(VLOOKUP(TRIM(A9),IMPORTRANGE(""1S55NQGXzV1_qOWKXpsQUC871e5j71TNZ9qXJwwhlcsg"",""Form Responses 1!B:C""),2,0),"""")"),"")</f>
        <v/>
      </c>
      <c r="Y9" s="62" t="str">
        <f>IFERROR(__xludf.DUMMYFUNCTION("IFERROR(VLOOKUP(TRIM(A9),IMPORTRANGE(""1tpV5_mFhbN6YKRuO1MZvSbUMIPr8PmwiNyIZJpY0iKs"",""Form Responses 1!B:C""),2,0),"""")"),"")</f>
        <v/>
      </c>
      <c r="Z9" s="62" t="str">
        <f>IFERROR(__xludf.DUMMYFUNCTION("IFERROR(VLOOKUP(TRIM(A9),IMPORTRANGE(""1wfMRO2uDQNJ1PCwTpHdQ8iUrPUKVHyvbfqf8TasTViU"",""Form Responses 1!B:C""),2,0),"""")"),"")</f>
        <v/>
      </c>
      <c r="AA9" s="62" t="str">
        <f>IFERROR(__xludf.DUMMYFUNCTION("IFERROR(VLOOKUP(TRIM(A9),IMPORTRANGE(""1ZOlAPpjCs7qXcQpCvrHzmJ4FOraZ9bKV8IEd78oT7sE"",""Form Responses 1!B:C""),2,0),"""")"),"")</f>
        <v/>
      </c>
      <c r="AB9" s="62" t="str">
        <f>IFERROR(__xludf.DUMMYFUNCTION("IFERROR(VLOOKUP(TRIM(A9),IMPORTRANGE(""1oPrvVT6QDWEUmx87GoqLd1CXTtfLo6WfrreUocg_I08"",""Form Responses 1!B:C""),2,0),"""")"),"")</f>
        <v/>
      </c>
      <c r="AC9" s="62" t="str">
        <f>IFERROR(__xludf.DUMMYFUNCTION("IFERROR(VLOOKUP(TRIM(A9),IMPORTRANGE(""1WKNusCM8GAvNDFdV2AjY5sTwyti4BFZk9I1rFa74mxo"",""Form Responses 1!B:C""),2,0),"""")"),"")</f>
        <v/>
      </c>
      <c r="AD9" s="62" t="str">
        <f>IFERROR(__xludf.DUMMYFUNCTION("IFERROR(VLOOKUP(TRIM(A9),IMPORTRANGE(""1ezPhPfgGBlZIzMnymbnrUr2FhcM_6Sv_nk0hxcbuzTQ"",""Form Responses 1!B:C""),2,0),"""")"),"")</f>
        <v/>
      </c>
      <c r="AE9" s="62" t="str">
        <f>IFERROR(__xludf.DUMMYFUNCTION("IFERROR(VLOOKUP(TRIM(A9),IMPORTRANGE(""1nCvx2881PQ64OQinwpUfP8HphDEhFD0vPRxp_AAAdlM"",""Form Responses 1!B:C""),2,0),"""")"),"")</f>
        <v/>
      </c>
      <c r="AF9" s="62" t="str">
        <f>IFERROR(__xludf.DUMMYFUNCTION("IFERROR(VLOOKUP(TRIM(A9),IMPORTRANGE(""1cImVBctl3mh_jlEmJoy6CEEFe_DDCxRGkjB_Jp-qsU8"",""Form Responses 1!B:C""),2,0),"""")"),"")</f>
        <v/>
      </c>
      <c r="AG9" s="57"/>
      <c r="AH9" s="57"/>
      <c r="AI9" s="57"/>
      <c r="AJ9" s="57"/>
      <c r="AK9" s="57"/>
      <c r="AL9" s="57"/>
      <c r="AM9" s="57"/>
      <c r="AN9" s="57"/>
      <c r="AO9" s="57"/>
      <c r="AP9" s="57"/>
      <c r="AQ9" s="57"/>
      <c r="AR9" s="57"/>
      <c r="AS9" s="57"/>
      <c r="AT9" s="57"/>
      <c r="AU9" s="57"/>
      <c r="AV9" s="57"/>
      <c r="AW9" s="57"/>
      <c r="AX9" s="57"/>
      <c r="AY9" s="57"/>
      <c r="AZ9" s="57"/>
    </row>
    <row r="10">
      <c r="A10" s="56" t="s">
        <v>214</v>
      </c>
      <c r="B10" s="57" t="str">
        <f>IFERROR(__xludf.DUMMYFUNCTION("IFERROR(IF(COUNTIF(IMPORTRANGE(""1oiajwiBxoDIOBcD_uKarGHJIrskYi3nXyI9FyWq8IFk"",""Form Responses 1!B:B""),A10)&gt;0,10,),0)"),"")</f>
        <v/>
      </c>
      <c r="C10" s="57" t="str">
        <f>IFERROR(__xludf.DUMMYFUNCTION("IFERROR(VLOOKUP(A10,IMPORTRANGE(""1PRkBNvF7wRBbJGtbM1I7-V_ej5mmlgF4cwmp64ilJGQ"",""Form Responses 1!B:C""),2,FALSE),)"),"")</f>
        <v/>
      </c>
      <c r="D10" s="57" t="str">
        <f>IFERROR(__xludf.DUMMYFUNCTION("IFERROR(VLOOKUP(A10,IMPORTRANGE(""1rSBnjICjC9324bzLIQpakQH2kn1-6by9fz9jLCcefTs"",""Form Responses 1!B:C""),2,FALSE),)"),"")</f>
        <v/>
      </c>
      <c r="E10" s="57" t="str">
        <f>IFERROR(__xludf.DUMMYFUNCTION("IFERROR(VLOOKUP(A10,IMPORTRANGE(""1OvNQShTkB7b8btd44zAgP-KkGS7dJ0BEd6wMgBISDs0"",""Form Responses 1!B:C""),2,FALSE),)"),"")</f>
        <v/>
      </c>
      <c r="F10" s="57" t="str">
        <f>IFERROR(__xludf.DUMMYFUNCTION("IFERROR(IF(COUNTIF(IMPORTRANGE(""13ZZ2q5-JsneAoCxE8QLqs1Ycj8WSgN9hPRza9XUMv_4"",""Form Responses 1!B:B""),A10)&gt;0,20,),)"),"")</f>
        <v/>
      </c>
      <c r="G10" s="58" t="str">
        <f>IFERROR(__xludf.DUMMYFUNCTION("IFERROR(IF(COUNTIF(IMPORTRANGE(""1ljo_MifcmFDCNF59UxR3-3g4XI2XSRJ3WpZcUkp6so8"",""Form Responses 1!B:B""),A10)&gt;0,10,),)"),"")</f>
        <v/>
      </c>
      <c r="H10" s="59" t="str">
        <f>IFERROR(__xludf.DUMMYFUNCTION("IFERROR(VLOOKUP(A10,IMPORTRANGE(""1PBvrHm3dgtcno-UApCGo6dIU4auKbeIJC2SC7k36T64"",""Form Responses 1!B:C""),2,FALSE),)"),"")</f>
        <v/>
      </c>
      <c r="I10" s="60" t="str">
        <f>IFERROR(__xludf.DUMMYFUNCTION("IFERROR(VLOOKUP(A10,IMPORTRANGE(""13P_qT6pKDynUZR0_aswSscwX8dw4UhPyIL8ohovayVc
"",""Form Responses 1!B:C""),2,FALSE),)"),"")</f>
        <v/>
      </c>
      <c r="J10" s="60" t="str">
        <f>IFERROR(__xludf.DUMMYFUNCTION("IFERROR(VLOOKUP(A10,IMPORTRANGE(""16B_HaxNdsb7BY3AQ0xKagDsjOLkfb_DjPkxPwEpn8gc
"",""Form Responses 1!B:C""),2,FALSE),)"),"")</f>
        <v/>
      </c>
      <c r="K10" s="60" t="str">
        <f>IFERROR(__xludf.DUMMYFUNCTION("IFERROR(VLOOKUP(A10,IMPORTRANGE(""1bUO_1Nv9gx3vZE_-m4w6HiuWUM1u8qsaqKByYyla14Q"",""Form Responses 1!B:C""),2,FALSE),)"),"")</f>
        <v/>
      </c>
      <c r="L10" s="59" t="str">
        <f>IFERROR(__xludf.DUMMYFUNCTION("IFERROR(IF(COUNTIF(IMPORTRANGE(""1SG2BnFOinBZsm3_Rx1BzD670E652svXjlzWieKobj9o"",""Form Responses 1!B:B""),A10)&gt;0,10,),0)"),"")</f>
        <v/>
      </c>
      <c r="M10" s="60" t="str">
        <f>IFERROR(__xludf.DUMMYFUNCTION("IFERROR(VLOOKUP(A10,IMPORTRANGE(""1Zpz_ArqUHJZzCwyJqFKkEASeqFw0lZ4HLK4wQdLXj3w
"",""Form Responses 1!B:C""),2,FALSE),)"),"")</f>
        <v/>
      </c>
      <c r="N10" s="60" t="str">
        <f>IFERROR(__xludf.DUMMYFUNCTION("IFERROR(VLOOKUP(A10,IMPORTRANGE(""1c318JgcKMkTMtHFS6SjH7x3TAnZwddcZMI9Jx-B9VOM
"",""Form Responses 1!B:C""),2,FALSE),)"),"")</f>
        <v/>
      </c>
      <c r="O10" s="60" t="str">
        <f>IFERROR(__xludf.DUMMYFUNCTION("IFERROR(VLOOKUP(A10,IMPORTRANGE(""1kp8AvADOUteLDy1-i5F9JvR64ee_UwN5UoIn-tH5zPQ
"",""Form Responses 1!B:C""),2,FALSE),)"),"")</f>
        <v/>
      </c>
      <c r="P10" s="60" t="str">
        <f>IFERROR(__xludf.DUMMYFUNCTION("IFERROR(VLOOKUP(A10,IMPORTRANGE(""1PSjtsRk3dryPdI2Zls_iIpRgVVwBTGQ0ryRujA_ayZ0"",""Form Responses 1!B:C""),2,FALSE),)"),"")</f>
        <v/>
      </c>
      <c r="Q10" s="59" t="str">
        <f>IFERROR(__xludf.DUMMYFUNCTION("IFERROR(VLOOKUP(TRIM(A10),IMPORTRANGE(""1ciMZmE3_Ia8QatZf9u-RYqeCzLjcP66olwhReBx-Pwc"",""Form Responses 1!B:C""),2,0),"""")"),"")</f>
        <v/>
      </c>
      <c r="R10" s="60" t="str">
        <f>IFERROR(__xludf.DUMMYFUNCTION("IFERROR(VLOOKUP(TRIM(A10),IMPORTRANGE(""1dEvtr9f2UAemMjkvEwBFPyuEw3YQPqez4Kgo-0l7vS4"",""Form Responses 1!B:C""),2,0),"""")"),"")</f>
        <v/>
      </c>
      <c r="S10" s="60" t="str">
        <f>IFERROR(__xludf.DUMMYFUNCTION("IFERROR(VLOOKUP(TRIM(A10),IMPORTRANGE(""1B6nP1Ts7cF60F-9DocMTsAaVFKfuimLnUoxweBavHeU"",""Form Responses 1!B:C""),2,0),"""")"),"")</f>
        <v/>
      </c>
      <c r="T10" s="60" t="str">
        <f>IFERROR(__xludf.DUMMYFUNCTION("IFERROR(VLOOKUP(TRIM(A10),IMPORTRANGE(""1Urfs_Vy5SE9U8tp1-UR-7FoEAxcNy8MifWBH8GiFXd8"",""Form Responses 1!B:C""),2,0),"""")"),"")</f>
        <v/>
      </c>
      <c r="U10" s="60" t="str">
        <f>IFERROR(__xludf.DUMMYFUNCTION("IFERROR(VLOOKUP(TRIM(A10),IMPORTRANGE(""1aXWUim-N4mxaoEzA3XAIdaDH-QYLEvzF2WdP7MGXYAE"",""Form Responses 1!B:C""),2,0),"""")"),"")</f>
        <v/>
      </c>
      <c r="V10" s="63"/>
      <c r="W10" s="62" t="str">
        <f>IFERROR(__xludf.DUMMYFUNCTION("IFERROR(1/(1/MAX(
  IFERROR(VLOOKUP(TRIM(A10),IMPORTRANGE(""1ZA1PTk3mXTxdasMFIUL3_HnhZbSrjlYI0jroyR74oDM"",""Form Responses 1!B:C""),2,0),),
  IFERROR(VLOOKUP(TRIM(A10),IMPORTRANGE(""197C8yvLyfR59JPOCjQdNv3jtQAWqA9lyzhiAtksREXI"",""Form Responses 1!B:C"")"&amp;",2,0),)
)),)"),"")</f>
        <v/>
      </c>
      <c r="X10" s="62" t="str">
        <f>IFERROR(__xludf.DUMMYFUNCTION("IFERROR(VLOOKUP(TRIM(A10),IMPORTRANGE(""1S55NQGXzV1_qOWKXpsQUC871e5j71TNZ9qXJwwhlcsg"",""Form Responses 1!B:C""),2,0),"""")"),"")</f>
        <v/>
      </c>
      <c r="Y10" s="62" t="str">
        <f>IFERROR(__xludf.DUMMYFUNCTION("IFERROR(VLOOKUP(TRIM(A10),IMPORTRANGE(""1tpV5_mFhbN6YKRuO1MZvSbUMIPr8PmwiNyIZJpY0iKs"",""Form Responses 1!B:C""),2,0),"""")"),"")</f>
        <v/>
      </c>
      <c r="Z10" s="62" t="str">
        <f>IFERROR(__xludf.DUMMYFUNCTION("IFERROR(VLOOKUP(TRIM(A10),IMPORTRANGE(""1wfMRO2uDQNJ1PCwTpHdQ8iUrPUKVHyvbfqf8TasTViU"",""Form Responses 1!B:C""),2,0),"""")"),"")</f>
        <v/>
      </c>
      <c r="AA10" s="62" t="str">
        <f>IFERROR(__xludf.DUMMYFUNCTION("IFERROR(VLOOKUP(TRIM(A10),IMPORTRANGE(""1ZOlAPpjCs7qXcQpCvrHzmJ4FOraZ9bKV8IEd78oT7sE"",""Form Responses 1!B:C""),2,0),"""")"),"")</f>
        <v/>
      </c>
      <c r="AB10" s="62" t="str">
        <f>IFERROR(__xludf.DUMMYFUNCTION("IFERROR(VLOOKUP(TRIM(A10),IMPORTRANGE(""1oPrvVT6QDWEUmx87GoqLd1CXTtfLo6WfrreUocg_I08"",""Form Responses 1!B:C""),2,0),"""")"),"")</f>
        <v/>
      </c>
      <c r="AC10" s="62" t="str">
        <f>IFERROR(__xludf.DUMMYFUNCTION("IFERROR(VLOOKUP(TRIM(A10),IMPORTRANGE(""1WKNusCM8GAvNDFdV2AjY5sTwyti4BFZk9I1rFa74mxo"",""Form Responses 1!B:C""),2,0),"""")"),"")</f>
        <v/>
      </c>
      <c r="AD10" s="62" t="str">
        <f>IFERROR(__xludf.DUMMYFUNCTION("IFERROR(VLOOKUP(TRIM(A10),IMPORTRANGE(""1ezPhPfgGBlZIzMnymbnrUr2FhcM_6Sv_nk0hxcbuzTQ"",""Form Responses 1!B:C""),2,0),"""")"),"")</f>
        <v/>
      </c>
      <c r="AE10" s="62" t="str">
        <f>IFERROR(__xludf.DUMMYFUNCTION("IFERROR(VLOOKUP(TRIM(A10),IMPORTRANGE(""1nCvx2881PQ64OQinwpUfP8HphDEhFD0vPRxp_AAAdlM"",""Form Responses 1!B:C""),2,0),"""")"),"")</f>
        <v/>
      </c>
      <c r="AF10" s="62" t="str">
        <f>IFERROR(__xludf.DUMMYFUNCTION("IFERROR(VLOOKUP(TRIM(A10),IMPORTRANGE(""1cImVBctl3mh_jlEmJoy6CEEFe_DDCxRGkjB_Jp-qsU8"",""Form Responses 1!B:C""),2,0),"""")"),"")</f>
        <v/>
      </c>
      <c r="AG10" s="57"/>
      <c r="AH10" s="57"/>
      <c r="AI10" s="57"/>
      <c r="AJ10" s="57"/>
      <c r="AK10" s="57"/>
      <c r="AL10" s="57"/>
      <c r="AM10" s="57"/>
      <c r="AN10" s="57"/>
      <c r="AO10" s="57"/>
      <c r="AP10" s="57"/>
      <c r="AQ10" s="57"/>
      <c r="AR10" s="57"/>
      <c r="AS10" s="57"/>
      <c r="AT10" s="57"/>
      <c r="AU10" s="57"/>
      <c r="AV10" s="57"/>
      <c r="AW10" s="57"/>
      <c r="AX10" s="57"/>
      <c r="AY10" s="57"/>
      <c r="AZ10" s="57"/>
    </row>
    <row r="11">
      <c r="A11" s="56" t="s">
        <v>215</v>
      </c>
      <c r="B11" s="57">
        <f>IFERROR(__xludf.DUMMYFUNCTION("IFERROR(IF(COUNTIF(IMPORTRANGE(""1oiajwiBxoDIOBcD_uKarGHJIrskYi3nXyI9FyWq8IFk"",""Form Responses 1!B:B""),A11)&gt;0,10,),0)"),10.0)</f>
        <v>10</v>
      </c>
      <c r="C11" s="57">
        <f>IFERROR(__xludf.DUMMYFUNCTION("IFERROR(VLOOKUP(A11,IMPORTRANGE(""1PRkBNvF7wRBbJGtbM1I7-V_ej5mmlgF4cwmp64ilJGQ"",""Form Responses 1!B:C""),2,FALSE),)"),20.0)</f>
        <v>20</v>
      </c>
      <c r="D11" s="57">
        <f>IFERROR(__xludf.DUMMYFUNCTION("IFERROR(VLOOKUP(A11,IMPORTRANGE(""1rSBnjICjC9324bzLIQpakQH2kn1-6by9fz9jLCcefTs"",""Form Responses 1!B:C""),2,FALSE),)"),10.0)</f>
        <v>10</v>
      </c>
      <c r="E11" s="57" t="str">
        <f>IFERROR(__xludf.DUMMYFUNCTION("IFERROR(VLOOKUP(A11,IMPORTRANGE(""1OvNQShTkB7b8btd44zAgP-KkGS7dJ0BEd6wMgBISDs0"",""Form Responses 1!B:C""),2,FALSE),)"),"")</f>
        <v/>
      </c>
      <c r="F11" s="57" t="str">
        <f>IFERROR(__xludf.DUMMYFUNCTION("IFERROR(IF(COUNTIF(IMPORTRANGE(""13ZZ2q5-JsneAoCxE8QLqs1Ycj8WSgN9hPRza9XUMv_4"",""Form Responses 1!B:B""),A11)&gt;0,20,),)"),"")</f>
        <v/>
      </c>
      <c r="G11" s="58" t="str">
        <f>IFERROR(__xludf.DUMMYFUNCTION("IFERROR(IF(COUNTIF(IMPORTRANGE(""1ljo_MifcmFDCNF59UxR3-3g4XI2XSRJ3WpZcUkp6so8"",""Form Responses 1!B:B""),A11)&gt;0,10,),)"),"")</f>
        <v/>
      </c>
      <c r="H11" s="59" t="str">
        <f>IFERROR(__xludf.DUMMYFUNCTION("IFERROR(VLOOKUP(A11,IMPORTRANGE(""1PBvrHm3dgtcno-UApCGo6dIU4auKbeIJC2SC7k36T64"",""Form Responses 1!B:C""),2,FALSE),)"),"")</f>
        <v/>
      </c>
      <c r="I11" s="60" t="str">
        <f>IFERROR(__xludf.DUMMYFUNCTION("IFERROR(VLOOKUP(A11,IMPORTRANGE(""13P_qT6pKDynUZR0_aswSscwX8dw4UhPyIL8ohovayVc
"",""Form Responses 1!B:C""),2,FALSE),)"),"")</f>
        <v/>
      </c>
      <c r="J11" s="60" t="str">
        <f>IFERROR(__xludf.DUMMYFUNCTION("IFERROR(VLOOKUP(A11,IMPORTRANGE(""16B_HaxNdsb7BY3AQ0xKagDsjOLkfb_DjPkxPwEpn8gc
"",""Form Responses 1!B:C""),2,FALSE),)"),"")</f>
        <v/>
      </c>
      <c r="K11" s="60" t="str">
        <f>IFERROR(__xludf.DUMMYFUNCTION("IFERROR(VLOOKUP(A11,IMPORTRANGE(""1bUO_1Nv9gx3vZE_-m4w6HiuWUM1u8qsaqKByYyla14Q"",""Form Responses 1!B:C""),2,FALSE),)"),"")</f>
        <v/>
      </c>
      <c r="L11" s="59" t="str">
        <f>IFERROR(__xludf.DUMMYFUNCTION("IFERROR(IF(COUNTIF(IMPORTRANGE(""1SG2BnFOinBZsm3_Rx1BzD670E652svXjlzWieKobj9o"",""Form Responses 1!B:B""),A11)&gt;0,10,),0)"),"")</f>
        <v/>
      </c>
      <c r="M11" s="60" t="str">
        <f>IFERROR(__xludf.DUMMYFUNCTION("IFERROR(VLOOKUP(A11,IMPORTRANGE(""1Zpz_ArqUHJZzCwyJqFKkEASeqFw0lZ4HLK4wQdLXj3w
"",""Form Responses 1!B:C""),2,FALSE),)"),"")</f>
        <v/>
      </c>
      <c r="N11" s="60" t="str">
        <f>IFERROR(__xludf.DUMMYFUNCTION("IFERROR(VLOOKUP(A11,IMPORTRANGE(""1c318JgcKMkTMtHFS6SjH7x3TAnZwddcZMI9Jx-B9VOM
"",""Form Responses 1!B:C""),2,FALSE),)"),"")</f>
        <v/>
      </c>
      <c r="O11" s="60" t="str">
        <f>IFERROR(__xludf.DUMMYFUNCTION("IFERROR(VLOOKUP(A11,IMPORTRANGE(""1kp8AvADOUteLDy1-i5F9JvR64ee_UwN5UoIn-tH5zPQ
"",""Form Responses 1!B:C""),2,FALSE),)"),"")</f>
        <v/>
      </c>
      <c r="P11" s="60" t="str">
        <f>IFERROR(__xludf.DUMMYFUNCTION("IFERROR(VLOOKUP(A11,IMPORTRANGE(""1PSjtsRk3dryPdI2Zls_iIpRgVVwBTGQ0ryRujA_ayZ0"",""Form Responses 1!B:C""),2,FALSE),)"),"")</f>
        <v/>
      </c>
      <c r="Q11" s="59" t="str">
        <f>IFERROR(__xludf.DUMMYFUNCTION("IFERROR(VLOOKUP(TRIM(A11),IMPORTRANGE(""1ciMZmE3_Ia8QatZf9u-RYqeCzLjcP66olwhReBx-Pwc"",""Form Responses 1!B:C""),2,0),"""")"),"")</f>
        <v/>
      </c>
      <c r="R11" s="60" t="str">
        <f>IFERROR(__xludf.DUMMYFUNCTION("IFERROR(VLOOKUP(TRIM(A11),IMPORTRANGE(""1dEvtr9f2UAemMjkvEwBFPyuEw3YQPqez4Kgo-0l7vS4"",""Form Responses 1!B:C""),2,0),"""")"),"")</f>
        <v/>
      </c>
      <c r="S11" s="60" t="str">
        <f>IFERROR(__xludf.DUMMYFUNCTION("IFERROR(VLOOKUP(TRIM(A11),IMPORTRANGE(""1B6nP1Ts7cF60F-9DocMTsAaVFKfuimLnUoxweBavHeU"",""Form Responses 1!B:C""),2,0),"""")"),"")</f>
        <v/>
      </c>
      <c r="T11" s="60" t="str">
        <f>IFERROR(__xludf.DUMMYFUNCTION("IFERROR(VLOOKUP(TRIM(A11),IMPORTRANGE(""1Urfs_Vy5SE9U8tp1-UR-7FoEAxcNy8MifWBH8GiFXd8"",""Form Responses 1!B:C""),2,0),"""")"),"")</f>
        <v/>
      </c>
      <c r="U11" s="60" t="str">
        <f>IFERROR(__xludf.DUMMYFUNCTION("IFERROR(VLOOKUP(TRIM(A11),IMPORTRANGE(""1aXWUim-N4mxaoEzA3XAIdaDH-QYLEvzF2WdP7MGXYAE"",""Form Responses 1!B:C""),2,0),"""")"),"")</f>
        <v/>
      </c>
      <c r="V11" s="63"/>
      <c r="W11" s="62" t="str">
        <f>IFERROR(__xludf.DUMMYFUNCTION("IFERROR(1/(1/MAX(
  IFERROR(VLOOKUP(TRIM(A11),IMPORTRANGE(""1ZA1PTk3mXTxdasMFIUL3_HnhZbSrjlYI0jroyR74oDM"",""Form Responses 1!B:C""),2,0),),
  IFERROR(VLOOKUP(TRIM(A11),IMPORTRANGE(""197C8yvLyfR59JPOCjQdNv3jtQAWqA9lyzhiAtksREXI"",""Form Responses 1!B:C"")"&amp;",2,0),)
)),)"),"")</f>
        <v/>
      </c>
      <c r="X11" s="62" t="str">
        <f>IFERROR(__xludf.DUMMYFUNCTION("IFERROR(VLOOKUP(TRIM(A11),IMPORTRANGE(""1S55NQGXzV1_qOWKXpsQUC871e5j71TNZ9qXJwwhlcsg"",""Form Responses 1!B:C""),2,0),"""")"),"")</f>
        <v/>
      </c>
      <c r="Y11" s="62" t="str">
        <f>IFERROR(__xludf.DUMMYFUNCTION("IFERROR(VLOOKUP(TRIM(A11),IMPORTRANGE(""1tpV5_mFhbN6YKRuO1MZvSbUMIPr8PmwiNyIZJpY0iKs"",""Form Responses 1!B:C""),2,0),"""")"),"")</f>
        <v/>
      </c>
      <c r="Z11" s="62" t="str">
        <f>IFERROR(__xludf.DUMMYFUNCTION("IFERROR(VLOOKUP(TRIM(A11),IMPORTRANGE(""1wfMRO2uDQNJ1PCwTpHdQ8iUrPUKVHyvbfqf8TasTViU"",""Form Responses 1!B:C""),2,0),"""")"),"")</f>
        <v/>
      </c>
      <c r="AA11" s="62" t="str">
        <f>IFERROR(__xludf.DUMMYFUNCTION("IFERROR(VLOOKUP(TRIM(A11),IMPORTRANGE(""1ZOlAPpjCs7qXcQpCvrHzmJ4FOraZ9bKV8IEd78oT7sE"",""Form Responses 1!B:C""),2,0),"""")"),"")</f>
        <v/>
      </c>
      <c r="AB11" s="62" t="str">
        <f>IFERROR(__xludf.DUMMYFUNCTION("IFERROR(VLOOKUP(TRIM(A11),IMPORTRANGE(""1oPrvVT6QDWEUmx87GoqLd1CXTtfLo6WfrreUocg_I08"",""Form Responses 1!B:C""),2,0),"""")"),"")</f>
        <v/>
      </c>
      <c r="AC11" s="62" t="str">
        <f>IFERROR(__xludf.DUMMYFUNCTION("IFERROR(VLOOKUP(TRIM(A11),IMPORTRANGE(""1WKNusCM8GAvNDFdV2AjY5sTwyti4BFZk9I1rFa74mxo"",""Form Responses 1!B:C""),2,0),"""")"),"")</f>
        <v/>
      </c>
      <c r="AD11" s="62" t="str">
        <f>IFERROR(__xludf.DUMMYFUNCTION("IFERROR(VLOOKUP(TRIM(A11),IMPORTRANGE(""1ezPhPfgGBlZIzMnymbnrUr2FhcM_6Sv_nk0hxcbuzTQ"",""Form Responses 1!B:C""),2,0),"""")"),"")</f>
        <v/>
      </c>
      <c r="AE11" s="62" t="str">
        <f>IFERROR(__xludf.DUMMYFUNCTION("IFERROR(VLOOKUP(TRIM(A11),IMPORTRANGE(""1nCvx2881PQ64OQinwpUfP8HphDEhFD0vPRxp_AAAdlM"",""Form Responses 1!B:C""),2,0),"""")"),"")</f>
        <v/>
      </c>
      <c r="AF11" s="62" t="str">
        <f>IFERROR(__xludf.DUMMYFUNCTION("IFERROR(VLOOKUP(TRIM(A11),IMPORTRANGE(""1cImVBctl3mh_jlEmJoy6CEEFe_DDCxRGkjB_Jp-qsU8"",""Form Responses 1!B:C""),2,0),"""")"),"")</f>
        <v/>
      </c>
      <c r="AG11" s="57"/>
      <c r="AH11" s="57"/>
      <c r="AI11" s="57"/>
      <c r="AJ11" s="57"/>
      <c r="AK11" s="57"/>
      <c r="AL11" s="57"/>
      <c r="AM11" s="57"/>
      <c r="AN11" s="57"/>
      <c r="AO11" s="57"/>
      <c r="AP11" s="57"/>
      <c r="AQ11" s="57"/>
      <c r="AR11" s="57"/>
      <c r="AS11" s="57"/>
      <c r="AT11" s="57"/>
      <c r="AU11" s="57"/>
      <c r="AV11" s="57"/>
      <c r="AW11" s="57"/>
      <c r="AX11" s="57"/>
      <c r="AY11" s="57"/>
      <c r="AZ11" s="57"/>
    </row>
    <row r="12">
      <c r="A12" s="56" t="s">
        <v>216</v>
      </c>
      <c r="B12" s="57">
        <f>IFERROR(__xludf.DUMMYFUNCTION("IFERROR(IF(COUNTIF(IMPORTRANGE(""1oiajwiBxoDIOBcD_uKarGHJIrskYi3nXyI9FyWq8IFk"",""Form Responses 1!B:B""),A12)&gt;0,10,),0)"),10.0)</f>
        <v>10</v>
      </c>
      <c r="C12" s="57" t="str">
        <f>IFERROR(__xludf.DUMMYFUNCTION("IFERROR(VLOOKUP(A12,IMPORTRANGE(""1PRkBNvF7wRBbJGtbM1I7-V_ej5mmlgF4cwmp64ilJGQ"",""Form Responses 1!B:C""),2,FALSE),)"),"")</f>
        <v/>
      </c>
      <c r="D12" s="57" t="str">
        <f>IFERROR(__xludf.DUMMYFUNCTION("IFERROR(VLOOKUP(A12,IMPORTRANGE(""1rSBnjICjC9324bzLIQpakQH2kn1-6by9fz9jLCcefTs"",""Form Responses 1!B:C""),2,FALSE),)"),"")</f>
        <v/>
      </c>
      <c r="E12" s="57" t="str">
        <f>IFERROR(__xludf.DUMMYFUNCTION("IFERROR(VLOOKUP(A12,IMPORTRANGE(""1OvNQShTkB7b8btd44zAgP-KkGS7dJ0BEd6wMgBISDs0"",""Form Responses 1!B:C""),2,FALSE),)"),"")</f>
        <v/>
      </c>
      <c r="F12" s="57" t="str">
        <f>IFERROR(__xludf.DUMMYFUNCTION("IFERROR(IF(COUNTIF(IMPORTRANGE(""13ZZ2q5-JsneAoCxE8QLqs1Ycj8WSgN9hPRza9XUMv_4"",""Form Responses 1!B:B""),A12)&gt;0,20,),)"),"")</f>
        <v/>
      </c>
      <c r="G12" s="58" t="str">
        <f>IFERROR(__xludf.DUMMYFUNCTION("IFERROR(IF(COUNTIF(IMPORTRANGE(""1ljo_MifcmFDCNF59UxR3-3g4XI2XSRJ3WpZcUkp6so8"",""Form Responses 1!B:B""),A12)&gt;0,10,),)"),"")</f>
        <v/>
      </c>
      <c r="H12" s="59" t="str">
        <f>IFERROR(__xludf.DUMMYFUNCTION("IFERROR(VLOOKUP(A12,IMPORTRANGE(""1PBvrHm3dgtcno-UApCGo6dIU4auKbeIJC2SC7k36T64"",""Form Responses 1!B:C""),2,FALSE),)"),"")</f>
        <v/>
      </c>
      <c r="I12" s="60" t="str">
        <f>IFERROR(__xludf.DUMMYFUNCTION("IFERROR(VLOOKUP(A12,IMPORTRANGE(""13P_qT6pKDynUZR0_aswSscwX8dw4UhPyIL8ohovayVc
"",""Form Responses 1!B:C""),2,FALSE),)"),"")</f>
        <v/>
      </c>
      <c r="J12" s="60" t="str">
        <f>IFERROR(__xludf.DUMMYFUNCTION("IFERROR(VLOOKUP(A12,IMPORTRANGE(""16B_HaxNdsb7BY3AQ0xKagDsjOLkfb_DjPkxPwEpn8gc
"",""Form Responses 1!B:C""),2,FALSE),)"),"")</f>
        <v/>
      </c>
      <c r="K12" s="60" t="str">
        <f>IFERROR(__xludf.DUMMYFUNCTION("IFERROR(VLOOKUP(A12,IMPORTRANGE(""1bUO_1Nv9gx3vZE_-m4w6HiuWUM1u8qsaqKByYyla14Q"",""Form Responses 1!B:C""),2,FALSE),)"),"")</f>
        <v/>
      </c>
      <c r="L12" s="59">
        <f>IFERROR(__xludf.DUMMYFUNCTION("IFERROR(IF(COUNTIF(IMPORTRANGE(""1SG2BnFOinBZsm3_Rx1BzD670E652svXjlzWieKobj9o"",""Form Responses 1!B:B""),A12)&gt;0,10,),0)"),10.0)</f>
        <v>10</v>
      </c>
      <c r="M12" s="60">
        <f>IFERROR(__xludf.DUMMYFUNCTION("IFERROR(VLOOKUP(A12,IMPORTRANGE(""1Zpz_ArqUHJZzCwyJqFKkEASeqFw0lZ4HLK4wQdLXj3w
"",""Form Responses 1!B:C""),2,FALSE),)"),17.0)</f>
        <v>17</v>
      </c>
      <c r="N12" s="60">
        <f>IFERROR(__xludf.DUMMYFUNCTION("IFERROR(VLOOKUP(A12,IMPORTRANGE(""1c318JgcKMkTMtHFS6SjH7x3TAnZwddcZMI9Jx-B9VOM
"",""Form Responses 1!B:C""),2,FALSE),)"),24.0)</f>
        <v>24</v>
      </c>
      <c r="O12" s="60">
        <f>IFERROR(__xludf.DUMMYFUNCTION("IFERROR(VLOOKUP(A12,IMPORTRANGE(""1kp8AvADOUteLDy1-i5F9JvR64ee_UwN5UoIn-tH5zPQ
"",""Form Responses 1!B:C""),2,FALSE),)"),24.0)</f>
        <v>24</v>
      </c>
      <c r="P12" s="60">
        <f>IFERROR(__xludf.DUMMYFUNCTION("IFERROR(VLOOKUP(A12,IMPORTRANGE(""1PSjtsRk3dryPdI2Zls_iIpRgVVwBTGQ0ryRujA_ayZ0"",""Form Responses 1!B:C""),2,FALSE),)"),14.0)</f>
        <v>14</v>
      </c>
      <c r="Q12" s="59">
        <f>IFERROR(__xludf.DUMMYFUNCTION("IFERROR(VLOOKUP(TRIM(A12),IMPORTRANGE(""1ciMZmE3_Ia8QatZf9u-RYqeCzLjcP66olwhReBx-Pwc"",""Form Responses 1!B:C""),2,0),"""")"),15.0)</f>
        <v>15</v>
      </c>
      <c r="R12" s="60">
        <f>IFERROR(__xludf.DUMMYFUNCTION("IFERROR(VLOOKUP(TRIM(A12),IMPORTRANGE(""1dEvtr9f2UAemMjkvEwBFPyuEw3YQPqez4Kgo-0l7vS4"",""Form Responses 1!B:C""),2,0),"""")"),20.0)</f>
        <v>20</v>
      </c>
      <c r="S12" s="60" t="str">
        <f>IFERROR(__xludf.DUMMYFUNCTION("IFERROR(VLOOKUP(TRIM(A12),IMPORTRANGE(""1B6nP1Ts7cF60F-9DocMTsAaVFKfuimLnUoxweBavHeU"",""Form Responses 1!B:C""),2,0),"""")"),"")</f>
        <v/>
      </c>
      <c r="T12" s="60" t="str">
        <f>IFERROR(__xludf.DUMMYFUNCTION("IFERROR(VLOOKUP(TRIM(A12),IMPORTRANGE(""1Urfs_Vy5SE9U8tp1-UR-7FoEAxcNy8MifWBH8GiFXd8"",""Form Responses 1!B:C""),2,0),"""")"),"")</f>
        <v/>
      </c>
      <c r="U12" s="60" t="str">
        <f>IFERROR(__xludf.DUMMYFUNCTION("IFERROR(VLOOKUP(TRIM(A12),IMPORTRANGE(""1aXWUim-N4mxaoEzA3XAIdaDH-QYLEvzF2WdP7MGXYAE"",""Form Responses 1!B:C""),2,0),"""")"),"")</f>
        <v/>
      </c>
      <c r="V12" s="63"/>
      <c r="W12" s="62">
        <f>IFERROR(__xludf.DUMMYFUNCTION("IFERROR(1/(1/MAX(
  IFERROR(VLOOKUP(TRIM(A12),IMPORTRANGE(""1ZA1PTk3mXTxdasMFIUL3_HnhZbSrjlYI0jroyR74oDM"",""Form Responses 1!B:C""),2,0),),
  IFERROR(VLOOKUP(TRIM(A12),IMPORTRANGE(""197C8yvLyfR59JPOCjQdNv3jtQAWqA9lyzhiAtksREXI"",""Form Responses 1!B:C"")"&amp;",2,0),)
)),)"),8.0)</f>
        <v>8</v>
      </c>
      <c r="X12" s="62" t="str">
        <f>IFERROR(__xludf.DUMMYFUNCTION("IFERROR(VLOOKUP(TRIM(A12),IMPORTRANGE(""1S55NQGXzV1_qOWKXpsQUC871e5j71TNZ9qXJwwhlcsg"",""Form Responses 1!B:C""),2,0),"""")"),"")</f>
        <v/>
      </c>
      <c r="Y12" s="62" t="str">
        <f>IFERROR(__xludf.DUMMYFUNCTION("IFERROR(VLOOKUP(TRIM(A12),IMPORTRANGE(""1tpV5_mFhbN6YKRuO1MZvSbUMIPr8PmwiNyIZJpY0iKs"",""Form Responses 1!B:C""),2,0),"""")"),"")</f>
        <v/>
      </c>
      <c r="Z12" s="62" t="str">
        <f>IFERROR(__xludf.DUMMYFUNCTION("IFERROR(VLOOKUP(TRIM(A12),IMPORTRANGE(""1wfMRO2uDQNJ1PCwTpHdQ8iUrPUKVHyvbfqf8TasTViU"",""Form Responses 1!B:C""),2,0),"""")"),"")</f>
        <v/>
      </c>
      <c r="AA12" s="62" t="str">
        <f>IFERROR(__xludf.DUMMYFUNCTION("IFERROR(VLOOKUP(TRIM(A12),IMPORTRANGE(""1ZOlAPpjCs7qXcQpCvrHzmJ4FOraZ9bKV8IEd78oT7sE"",""Form Responses 1!B:C""),2,0),"""")"),"")</f>
        <v/>
      </c>
      <c r="AB12" s="62" t="str">
        <f>IFERROR(__xludf.DUMMYFUNCTION("IFERROR(VLOOKUP(TRIM(A12),IMPORTRANGE(""1oPrvVT6QDWEUmx87GoqLd1CXTtfLo6WfrreUocg_I08"",""Form Responses 1!B:C""),2,0),"""")"),"")</f>
        <v/>
      </c>
      <c r="AC12" s="62" t="str">
        <f>IFERROR(__xludf.DUMMYFUNCTION("IFERROR(VLOOKUP(TRIM(A12),IMPORTRANGE(""1WKNusCM8GAvNDFdV2AjY5sTwyti4BFZk9I1rFa74mxo"",""Form Responses 1!B:C""),2,0),"""")"),"")</f>
        <v/>
      </c>
      <c r="AD12" s="62" t="str">
        <f>IFERROR(__xludf.DUMMYFUNCTION("IFERROR(VLOOKUP(TRIM(A12),IMPORTRANGE(""1ezPhPfgGBlZIzMnymbnrUr2FhcM_6Sv_nk0hxcbuzTQ"",""Form Responses 1!B:C""),2,0),"""")"),"")</f>
        <v/>
      </c>
      <c r="AE12" s="62" t="str">
        <f>IFERROR(__xludf.DUMMYFUNCTION("IFERROR(VLOOKUP(TRIM(A12),IMPORTRANGE(""1nCvx2881PQ64OQinwpUfP8HphDEhFD0vPRxp_AAAdlM"",""Form Responses 1!B:C""),2,0),"""")"),"")</f>
        <v/>
      </c>
      <c r="AF12" s="62" t="str">
        <f>IFERROR(__xludf.DUMMYFUNCTION("IFERROR(VLOOKUP(TRIM(A12),IMPORTRANGE(""1cImVBctl3mh_jlEmJoy6CEEFe_DDCxRGkjB_Jp-qsU8"",""Form Responses 1!B:C""),2,0),"""")"),"")</f>
        <v/>
      </c>
      <c r="AG12" s="57"/>
      <c r="AH12" s="57"/>
      <c r="AI12" s="57"/>
      <c r="AJ12" s="57"/>
      <c r="AK12" s="57"/>
      <c r="AL12" s="57"/>
      <c r="AM12" s="57"/>
      <c r="AN12" s="57"/>
      <c r="AO12" s="57"/>
      <c r="AP12" s="57"/>
      <c r="AQ12" s="57"/>
      <c r="AR12" s="57"/>
      <c r="AS12" s="57"/>
      <c r="AT12" s="57"/>
      <c r="AU12" s="57"/>
      <c r="AV12" s="57"/>
      <c r="AW12" s="57"/>
      <c r="AX12" s="57"/>
      <c r="AY12" s="57"/>
      <c r="AZ12" s="57"/>
    </row>
    <row r="13">
      <c r="A13" s="56" t="s">
        <v>217</v>
      </c>
      <c r="B13" s="57" t="str">
        <f>IFERROR(__xludf.DUMMYFUNCTION("IFERROR(IF(COUNTIF(IMPORTRANGE(""1oiajwiBxoDIOBcD_uKarGHJIrskYi3nXyI9FyWq8IFk"",""Form Responses 1!B:B""),A13)&gt;0,10,),0)"),"")</f>
        <v/>
      </c>
      <c r="C13" s="57" t="str">
        <f>IFERROR(__xludf.DUMMYFUNCTION("IFERROR(VLOOKUP(A13,IMPORTRANGE(""1PRkBNvF7wRBbJGtbM1I7-V_ej5mmlgF4cwmp64ilJGQ"",""Form Responses 1!B:C""),2,FALSE),)"),"")</f>
        <v/>
      </c>
      <c r="D13" s="57" t="str">
        <f>IFERROR(__xludf.DUMMYFUNCTION("IFERROR(VLOOKUP(A13,IMPORTRANGE(""1rSBnjICjC9324bzLIQpakQH2kn1-6by9fz9jLCcefTs"",""Form Responses 1!B:C""),2,FALSE),)"),"")</f>
        <v/>
      </c>
      <c r="E13" s="57" t="str">
        <f>IFERROR(__xludf.DUMMYFUNCTION("IFERROR(VLOOKUP(A13,IMPORTRANGE(""1OvNQShTkB7b8btd44zAgP-KkGS7dJ0BEd6wMgBISDs0"",""Form Responses 1!B:C""),2,FALSE),)"),"")</f>
        <v/>
      </c>
      <c r="F13" s="57" t="str">
        <f>IFERROR(__xludf.DUMMYFUNCTION("IFERROR(IF(COUNTIF(IMPORTRANGE(""13ZZ2q5-JsneAoCxE8QLqs1Ycj8WSgN9hPRza9XUMv_4"",""Form Responses 1!B:B""),A13)&gt;0,20,),)"),"")</f>
        <v/>
      </c>
      <c r="G13" s="58" t="str">
        <f>IFERROR(__xludf.DUMMYFUNCTION("IFERROR(IF(COUNTIF(IMPORTRANGE(""1ljo_MifcmFDCNF59UxR3-3g4XI2XSRJ3WpZcUkp6so8"",""Form Responses 1!B:B""),A13)&gt;0,10,),)"),"")</f>
        <v/>
      </c>
      <c r="H13" s="59" t="str">
        <f>IFERROR(__xludf.DUMMYFUNCTION("IFERROR(VLOOKUP(A13,IMPORTRANGE(""1PBvrHm3dgtcno-UApCGo6dIU4auKbeIJC2SC7k36T64"",""Form Responses 1!B:C""),2,FALSE),)"),"")</f>
        <v/>
      </c>
      <c r="I13" s="60" t="str">
        <f>IFERROR(__xludf.DUMMYFUNCTION("IFERROR(VLOOKUP(A13,IMPORTRANGE(""13P_qT6pKDynUZR0_aswSscwX8dw4UhPyIL8ohovayVc
"",""Form Responses 1!B:C""),2,FALSE),)"),"")</f>
        <v/>
      </c>
      <c r="J13" s="60" t="str">
        <f>IFERROR(__xludf.DUMMYFUNCTION("IFERROR(VLOOKUP(A13,IMPORTRANGE(""16B_HaxNdsb7BY3AQ0xKagDsjOLkfb_DjPkxPwEpn8gc
"",""Form Responses 1!B:C""),2,FALSE),)"),"")</f>
        <v/>
      </c>
      <c r="K13" s="60" t="str">
        <f>IFERROR(__xludf.DUMMYFUNCTION("IFERROR(VLOOKUP(A13,IMPORTRANGE(""1bUO_1Nv9gx3vZE_-m4w6HiuWUM1u8qsaqKByYyla14Q"",""Form Responses 1!B:C""),2,FALSE),)"),"")</f>
        <v/>
      </c>
      <c r="L13" s="59" t="str">
        <f>IFERROR(__xludf.DUMMYFUNCTION("IFERROR(IF(COUNTIF(IMPORTRANGE(""1SG2BnFOinBZsm3_Rx1BzD670E652svXjlzWieKobj9o"",""Form Responses 1!B:B""),A13)&gt;0,10,),0)"),"")</f>
        <v/>
      </c>
      <c r="M13" s="60" t="str">
        <f>IFERROR(__xludf.DUMMYFUNCTION("IFERROR(VLOOKUP(A13,IMPORTRANGE(""1Zpz_ArqUHJZzCwyJqFKkEASeqFw0lZ4HLK4wQdLXj3w
"",""Form Responses 1!B:C""),2,FALSE),)"),"")</f>
        <v/>
      </c>
      <c r="N13" s="60" t="str">
        <f>IFERROR(__xludf.DUMMYFUNCTION("IFERROR(VLOOKUP(A13,IMPORTRANGE(""1c318JgcKMkTMtHFS6SjH7x3TAnZwddcZMI9Jx-B9VOM
"",""Form Responses 1!B:C""),2,FALSE),)"),"")</f>
        <v/>
      </c>
      <c r="O13" s="60" t="str">
        <f>IFERROR(__xludf.DUMMYFUNCTION("IFERROR(VLOOKUP(A13,IMPORTRANGE(""1kp8AvADOUteLDy1-i5F9JvR64ee_UwN5UoIn-tH5zPQ
"",""Form Responses 1!B:C""),2,FALSE),)"),"")</f>
        <v/>
      </c>
      <c r="P13" s="60" t="str">
        <f>IFERROR(__xludf.DUMMYFUNCTION("IFERROR(VLOOKUP(A13,IMPORTRANGE(""1PSjtsRk3dryPdI2Zls_iIpRgVVwBTGQ0ryRujA_ayZ0"",""Form Responses 1!B:C""),2,FALSE),)"),"")</f>
        <v/>
      </c>
      <c r="Q13" s="59" t="str">
        <f>IFERROR(__xludf.DUMMYFUNCTION("IFERROR(VLOOKUP(TRIM(A13),IMPORTRANGE(""1ciMZmE3_Ia8QatZf9u-RYqeCzLjcP66olwhReBx-Pwc"",""Form Responses 1!B:C""),2,0),"""")"),"")</f>
        <v/>
      </c>
      <c r="R13" s="60" t="str">
        <f>IFERROR(__xludf.DUMMYFUNCTION("IFERROR(VLOOKUP(TRIM(A13),IMPORTRANGE(""1dEvtr9f2UAemMjkvEwBFPyuEw3YQPqez4Kgo-0l7vS4"",""Form Responses 1!B:C""),2,0),"""")"),"")</f>
        <v/>
      </c>
      <c r="S13" s="60" t="str">
        <f>IFERROR(__xludf.DUMMYFUNCTION("IFERROR(VLOOKUP(TRIM(A13),IMPORTRANGE(""1B6nP1Ts7cF60F-9DocMTsAaVFKfuimLnUoxweBavHeU"",""Form Responses 1!B:C""),2,0),"""")"),"")</f>
        <v/>
      </c>
      <c r="T13" s="60" t="str">
        <f>IFERROR(__xludf.DUMMYFUNCTION("IFERROR(VLOOKUP(TRIM(A13),IMPORTRANGE(""1Urfs_Vy5SE9U8tp1-UR-7FoEAxcNy8MifWBH8GiFXd8"",""Form Responses 1!B:C""),2,0),"""")"),"")</f>
        <v/>
      </c>
      <c r="U13" s="60" t="str">
        <f>IFERROR(__xludf.DUMMYFUNCTION("IFERROR(VLOOKUP(TRIM(A13),IMPORTRANGE(""1aXWUim-N4mxaoEzA3XAIdaDH-QYLEvzF2WdP7MGXYAE"",""Form Responses 1!B:C""),2,0),"""")"),"")</f>
        <v/>
      </c>
      <c r="V13" s="63"/>
      <c r="W13" s="62" t="str">
        <f>IFERROR(__xludf.DUMMYFUNCTION("IFERROR(1/(1/MAX(
  IFERROR(VLOOKUP(TRIM(A13),IMPORTRANGE(""1ZA1PTk3mXTxdasMFIUL3_HnhZbSrjlYI0jroyR74oDM"",""Form Responses 1!B:C""),2,0),),
  IFERROR(VLOOKUP(TRIM(A13),IMPORTRANGE(""197C8yvLyfR59JPOCjQdNv3jtQAWqA9lyzhiAtksREXI"",""Form Responses 1!B:C"")"&amp;",2,0),)
)),)"),"")</f>
        <v/>
      </c>
      <c r="X13" s="62" t="str">
        <f>IFERROR(__xludf.DUMMYFUNCTION("IFERROR(VLOOKUP(TRIM(A13),IMPORTRANGE(""1S55NQGXzV1_qOWKXpsQUC871e5j71TNZ9qXJwwhlcsg"",""Form Responses 1!B:C""),2,0),"""")"),"")</f>
        <v/>
      </c>
      <c r="Y13" s="62" t="str">
        <f>IFERROR(__xludf.DUMMYFUNCTION("IFERROR(VLOOKUP(TRIM(A13),IMPORTRANGE(""1tpV5_mFhbN6YKRuO1MZvSbUMIPr8PmwiNyIZJpY0iKs"",""Form Responses 1!B:C""),2,0),"""")"),"")</f>
        <v/>
      </c>
      <c r="Z13" s="62" t="str">
        <f>IFERROR(__xludf.DUMMYFUNCTION("IFERROR(VLOOKUP(TRIM(A13),IMPORTRANGE(""1wfMRO2uDQNJ1PCwTpHdQ8iUrPUKVHyvbfqf8TasTViU"",""Form Responses 1!B:C""),2,0),"""")"),"")</f>
        <v/>
      </c>
      <c r="AA13" s="62" t="str">
        <f>IFERROR(__xludf.DUMMYFUNCTION("IFERROR(VLOOKUP(TRIM(A13),IMPORTRANGE(""1ZOlAPpjCs7qXcQpCvrHzmJ4FOraZ9bKV8IEd78oT7sE"",""Form Responses 1!B:C""),2,0),"""")"),"")</f>
        <v/>
      </c>
      <c r="AB13" s="62" t="str">
        <f>IFERROR(__xludf.DUMMYFUNCTION("IFERROR(VLOOKUP(TRIM(A13),IMPORTRANGE(""1oPrvVT6QDWEUmx87GoqLd1CXTtfLo6WfrreUocg_I08"",""Form Responses 1!B:C""),2,0),"""")"),"")</f>
        <v/>
      </c>
      <c r="AC13" s="62" t="str">
        <f>IFERROR(__xludf.DUMMYFUNCTION("IFERROR(VLOOKUP(TRIM(A13),IMPORTRANGE(""1WKNusCM8GAvNDFdV2AjY5sTwyti4BFZk9I1rFa74mxo"",""Form Responses 1!B:C""),2,0),"""")"),"")</f>
        <v/>
      </c>
      <c r="AD13" s="62" t="str">
        <f>IFERROR(__xludf.DUMMYFUNCTION("IFERROR(VLOOKUP(TRIM(A13),IMPORTRANGE(""1ezPhPfgGBlZIzMnymbnrUr2FhcM_6Sv_nk0hxcbuzTQ"",""Form Responses 1!B:C""),2,0),"""")"),"")</f>
        <v/>
      </c>
      <c r="AE13" s="62" t="str">
        <f>IFERROR(__xludf.DUMMYFUNCTION("IFERROR(VLOOKUP(TRIM(A13),IMPORTRANGE(""1nCvx2881PQ64OQinwpUfP8HphDEhFD0vPRxp_AAAdlM"",""Form Responses 1!B:C""),2,0),"""")"),"")</f>
        <v/>
      </c>
      <c r="AF13" s="62" t="str">
        <f>IFERROR(__xludf.DUMMYFUNCTION("IFERROR(VLOOKUP(TRIM(A13),IMPORTRANGE(""1cImVBctl3mh_jlEmJoy6CEEFe_DDCxRGkjB_Jp-qsU8"",""Form Responses 1!B:C""),2,0),"""")"),"")</f>
        <v/>
      </c>
      <c r="AG13" s="57"/>
      <c r="AH13" s="57"/>
      <c r="AI13" s="57"/>
      <c r="AJ13" s="57"/>
      <c r="AK13" s="57"/>
      <c r="AL13" s="57"/>
      <c r="AM13" s="57"/>
      <c r="AN13" s="57"/>
      <c r="AO13" s="57"/>
      <c r="AP13" s="57"/>
      <c r="AQ13" s="57"/>
      <c r="AR13" s="57"/>
      <c r="AS13" s="57"/>
      <c r="AT13" s="57"/>
      <c r="AU13" s="57"/>
      <c r="AV13" s="57"/>
      <c r="AW13" s="57"/>
      <c r="AX13" s="57"/>
      <c r="AY13" s="57"/>
      <c r="AZ13" s="57"/>
    </row>
    <row r="14">
      <c r="A14" s="56" t="s">
        <v>218</v>
      </c>
      <c r="B14" s="57" t="str">
        <f>IFERROR(__xludf.DUMMYFUNCTION("IFERROR(IF(COUNTIF(IMPORTRANGE(""1oiajwiBxoDIOBcD_uKarGHJIrskYi3nXyI9FyWq8IFk"",""Form Responses 1!B:B""),A14)&gt;0,10,),0)"),"")</f>
        <v/>
      </c>
      <c r="C14" s="57" t="str">
        <f>IFERROR(__xludf.DUMMYFUNCTION("IFERROR(VLOOKUP(A14,IMPORTRANGE(""1PRkBNvF7wRBbJGtbM1I7-V_ej5mmlgF4cwmp64ilJGQ"",""Form Responses 1!B:C""),2,FALSE),)"),"")</f>
        <v/>
      </c>
      <c r="D14" s="57" t="str">
        <f>IFERROR(__xludf.DUMMYFUNCTION("IFERROR(VLOOKUP(A14,IMPORTRANGE(""1rSBnjICjC9324bzLIQpakQH2kn1-6by9fz9jLCcefTs"",""Form Responses 1!B:C""),2,FALSE),)"),"")</f>
        <v/>
      </c>
      <c r="E14" s="57" t="str">
        <f>IFERROR(__xludf.DUMMYFUNCTION("IFERROR(VLOOKUP(A14,IMPORTRANGE(""1OvNQShTkB7b8btd44zAgP-KkGS7dJ0BEd6wMgBISDs0"",""Form Responses 1!B:C""),2,FALSE),)"),"")</f>
        <v/>
      </c>
      <c r="F14" s="57" t="str">
        <f>IFERROR(__xludf.DUMMYFUNCTION("IFERROR(IF(COUNTIF(IMPORTRANGE(""13ZZ2q5-JsneAoCxE8QLqs1Ycj8WSgN9hPRza9XUMv_4"",""Form Responses 1!B:B""),A14)&gt;0,20,),)"),"")</f>
        <v/>
      </c>
      <c r="G14" s="58" t="str">
        <f>IFERROR(__xludf.DUMMYFUNCTION("IFERROR(IF(COUNTIF(IMPORTRANGE(""1ljo_MifcmFDCNF59UxR3-3g4XI2XSRJ3WpZcUkp6so8"",""Form Responses 1!B:B""),A14)&gt;0,10,),)"),"")</f>
        <v/>
      </c>
      <c r="H14" s="59" t="str">
        <f>IFERROR(__xludf.DUMMYFUNCTION("IFERROR(VLOOKUP(A14,IMPORTRANGE(""1PBvrHm3dgtcno-UApCGo6dIU4auKbeIJC2SC7k36T64"",""Form Responses 1!B:C""),2,FALSE),)"),"")</f>
        <v/>
      </c>
      <c r="I14" s="60" t="str">
        <f>IFERROR(__xludf.DUMMYFUNCTION("IFERROR(VLOOKUP(A14,IMPORTRANGE(""13P_qT6pKDynUZR0_aswSscwX8dw4UhPyIL8ohovayVc
"",""Form Responses 1!B:C""),2,FALSE),)"),"")</f>
        <v/>
      </c>
      <c r="J14" s="60" t="str">
        <f>IFERROR(__xludf.DUMMYFUNCTION("IFERROR(VLOOKUP(A14,IMPORTRANGE(""16B_HaxNdsb7BY3AQ0xKagDsjOLkfb_DjPkxPwEpn8gc
"",""Form Responses 1!B:C""),2,FALSE),)"),"")</f>
        <v/>
      </c>
      <c r="K14" s="60" t="str">
        <f>IFERROR(__xludf.DUMMYFUNCTION("IFERROR(VLOOKUP(A14,IMPORTRANGE(""1bUO_1Nv9gx3vZE_-m4w6HiuWUM1u8qsaqKByYyla14Q"",""Form Responses 1!B:C""),2,FALSE),)"),"")</f>
        <v/>
      </c>
      <c r="L14" s="59" t="str">
        <f>IFERROR(__xludf.DUMMYFUNCTION("IFERROR(IF(COUNTIF(IMPORTRANGE(""1SG2BnFOinBZsm3_Rx1BzD670E652svXjlzWieKobj9o"",""Form Responses 1!B:B""),A14)&gt;0,10,),0)"),"")</f>
        <v/>
      </c>
      <c r="M14" s="60" t="str">
        <f>IFERROR(__xludf.DUMMYFUNCTION("IFERROR(VLOOKUP(A14,IMPORTRANGE(""1Zpz_ArqUHJZzCwyJqFKkEASeqFw0lZ4HLK4wQdLXj3w
"",""Form Responses 1!B:C""),2,FALSE),)"),"")</f>
        <v/>
      </c>
      <c r="N14" s="60" t="str">
        <f>IFERROR(__xludf.DUMMYFUNCTION("IFERROR(VLOOKUP(A14,IMPORTRANGE(""1c318JgcKMkTMtHFS6SjH7x3TAnZwddcZMI9Jx-B9VOM
"",""Form Responses 1!B:C""),2,FALSE),)"),"")</f>
        <v/>
      </c>
      <c r="O14" s="60" t="str">
        <f>IFERROR(__xludf.DUMMYFUNCTION("IFERROR(VLOOKUP(A14,IMPORTRANGE(""1kp8AvADOUteLDy1-i5F9JvR64ee_UwN5UoIn-tH5zPQ
"",""Form Responses 1!B:C""),2,FALSE),)"),"")</f>
        <v/>
      </c>
      <c r="P14" s="60" t="str">
        <f>IFERROR(__xludf.DUMMYFUNCTION("IFERROR(VLOOKUP(A14,IMPORTRANGE(""1PSjtsRk3dryPdI2Zls_iIpRgVVwBTGQ0ryRujA_ayZ0"",""Form Responses 1!B:C""),2,FALSE),)"),"")</f>
        <v/>
      </c>
      <c r="Q14" s="59" t="str">
        <f>IFERROR(__xludf.DUMMYFUNCTION("IFERROR(VLOOKUP(TRIM(A14),IMPORTRANGE(""1ciMZmE3_Ia8QatZf9u-RYqeCzLjcP66olwhReBx-Pwc"",""Form Responses 1!B:C""),2,0),"""")"),"")</f>
        <v/>
      </c>
      <c r="R14" s="60" t="str">
        <f>IFERROR(__xludf.DUMMYFUNCTION("IFERROR(VLOOKUP(TRIM(A14),IMPORTRANGE(""1dEvtr9f2UAemMjkvEwBFPyuEw3YQPqez4Kgo-0l7vS4"",""Form Responses 1!B:C""),2,0),"""")"),"")</f>
        <v/>
      </c>
      <c r="S14" s="60" t="str">
        <f>IFERROR(__xludf.DUMMYFUNCTION("IFERROR(VLOOKUP(TRIM(A14),IMPORTRANGE(""1B6nP1Ts7cF60F-9DocMTsAaVFKfuimLnUoxweBavHeU"",""Form Responses 1!B:C""),2,0),"""")"),"")</f>
        <v/>
      </c>
      <c r="T14" s="60" t="str">
        <f>IFERROR(__xludf.DUMMYFUNCTION("IFERROR(VLOOKUP(TRIM(A14),IMPORTRANGE(""1Urfs_Vy5SE9U8tp1-UR-7FoEAxcNy8MifWBH8GiFXd8"",""Form Responses 1!B:C""),2,0),"""")"),"")</f>
        <v/>
      </c>
      <c r="U14" s="60" t="str">
        <f>IFERROR(__xludf.DUMMYFUNCTION("IFERROR(VLOOKUP(TRIM(A14),IMPORTRANGE(""1aXWUim-N4mxaoEzA3XAIdaDH-QYLEvzF2WdP7MGXYAE"",""Form Responses 1!B:C""),2,0),"""")"),"")</f>
        <v/>
      </c>
      <c r="V14" s="63"/>
      <c r="W14" s="62" t="str">
        <f>IFERROR(__xludf.DUMMYFUNCTION("IFERROR(1/(1/MAX(
  IFERROR(VLOOKUP(TRIM(A14),IMPORTRANGE(""1ZA1PTk3mXTxdasMFIUL3_HnhZbSrjlYI0jroyR74oDM"",""Form Responses 1!B:C""),2,0),),
  IFERROR(VLOOKUP(TRIM(A14),IMPORTRANGE(""197C8yvLyfR59JPOCjQdNv3jtQAWqA9lyzhiAtksREXI"",""Form Responses 1!B:C"")"&amp;",2,0),)
)),)"),"")</f>
        <v/>
      </c>
      <c r="X14" s="62" t="str">
        <f>IFERROR(__xludf.DUMMYFUNCTION("IFERROR(VLOOKUP(TRIM(A14),IMPORTRANGE(""1S55NQGXzV1_qOWKXpsQUC871e5j71TNZ9qXJwwhlcsg"",""Form Responses 1!B:C""),2,0),"""")"),"")</f>
        <v/>
      </c>
      <c r="Y14" s="62" t="str">
        <f>IFERROR(__xludf.DUMMYFUNCTION("IFERROR(VLOOKUP(TRIM(A14),IMPORTRANGE(""1tpV5_mFhbN6YKRuO1MZvSbUMIPr8PmwiNyIZJpY0iKs"",""Form Responses 1!B:C""),2,0),"""")"),"")</f>
        <v/>
      </c>
      <c r="Z14" s="62" t="str">
        <f>IFERROR(__xludf.DUMMYFUNCTION("IFERROR(VLOOKUP(TRIM(A14),IMPORTRANGE(""1wfMRO2uDQNJ1PCwTpHdQ8iUrPUKVHyvbfqf8TasTViU"",""Form Responses 1!B:C""),2,0),"""")"),"")</f>
        <v/>
      </c>
      <c r="AA14" s="62" t="str">
        <f>IFERROR(__xludf.DUMMYFUNCTION("IFERROR(VLOOKUP(TRIM(A14),IMPORTRANGE(""1ZOlAPpjCs7qXcQpCvrHzmJ4FOraZ9bKV8IEd78oT7sE"",""Form Responses 1!B:C""),2,0),"""")"),"")</f>
        <v/>
      </c>
      <c r="AB14" s="62" t="str">
        <f>IFERROR(__xludf.DUMMYFUNCTION("IFERROR(VLOOKUP(TRIM(A14),IMPORTRANGE(""1oPrvVT6QDWEUmx87GoqLd1CXTtfLo6WfrreUocg_I08"",""Form Responses 1!B:C""),2,0),"""")"),"")</f>
        <v/>
      </c>
      <c r="AC14" s="62" t="str">
        <f>IFERROR(__xludf.DUMMYFUNCTION("IFERROR(VLOOKUP(TRIM(A14),IMPORTRANGE(""1WKNusCM8GAvNDFdV2AjY5sTwyti4BFZk9I1rFa74mxo"",""Form Responses 1!B:C""),2,0),"""")"),"")</f>
        <v/>
      </c>
      <c r="AD14" s="62" t="str">
        <f>IFERROR(__xludf.DUMMYFUNCTION("IFERROR(VLOOKUP(TRIM(A14),IMPORTRANGE(""1ezPhPfgGBlZIzMnymbnrUr2FhcM_6Sv_nk0hxcbuzTQ"",""Form Responses 1!B:C""),2,0),"""")"),"")</f>
        <v/>
      </c>
      <c r="AE14" s="62" t="str">
        <f>IFERROR(__xludf.DUMMYFUNCTION("IFERROR(VLOOKUP(TRIM(A14),IMPORTRANGE(""1nCvx2881PQ64OQinwpUfP8HphDEhFD0vPRxp_AAAdlM"",""Form Responses 1!B:C""),2,0),"""")"),"")</f>
        <v/>
      </c>
      <c r="AF14" s="62" t="str">
        <f>IFERROR(__xludf.DUMMYFUNCTION("IFERROR(VLOOKUP(TRIM(A14),IMPORTRANGE(""1cImVBctl3mh_jlEmJoy6CEEFe_DDCxRGkjB_Jp-qsU8"",""Form Responses 1!B:C""),2,0),"""")"),"")</f>
        <v/>
      </c>
      <c r="AG14" s="57"/>
      <c r="AH14" s="57"/>
      <c r="AI14" s="57"/>
      <c r="AJ14" s="57"/>
      <c r="AK14" s="57"/>
      <c r="AL14" s="57"/>
      <c r="AM14" s="57"/>
      <c r="AN14" s="57"/>
      <c r="AO14" s="57"/>
      <c r="AP14" s="57"/>
      <c r="AQ14" s="57"/>
      <c r="AR14" s="57"/>
      <c r="AS14" s="57"/>
      <c r="AT14" s="57"/>
      <c r="AU14" s="57"/>
      <c r="AV14" s="57"/>
      <c r="AW14" s="57"/>
      <c r="AX14" s="57"/>
      <c r="AY14" s="57"/>
      <c r="AZ14" s="57"/>
    </row>
    <row r="15">
      <c r="A15" s="56" t="s">
        <v>219</v>
      </c>
      <c r="B15" s="57">
        <f>IFERROR(__xludf.DUMMYFUNCTION("IFERROR(IF(COUNTIF(IMPORTRANGE(""1oiajwiBxoDIOBcD_uKarGHJIrskYi3nXyI9FyWq8IFk"",""Form Responses 1!B:B""),A15)&gt;0,10,),0)"),10.0)</f>
        <v>10</v>
      </c>
      <c r="C15" s="57">
        <f>IFERROR(__xludf.DUMMYFUNCTION("IFERROR(VLOOKUP(A15,IMPORTRANGE(""1PRkBNvF7wRBbJGtbM1I7-V_ej5mmlgF4cwmp64ilJGQ"",""Form Responses 1!B:C""),2,FALSE),)"),5.0)</f>
        <v>5</v>
      </c>
      <c r="D15" s="57" t="str">
        <f>IFERROR(__xludf.DUMMYFUNCTION("IFERROR(VLOOKUP(A15,IMPORTRANGE(""1rSBnjICjC9324bzLIQpakQH2kn1-6by9fz9jLCcefTs"",""Form Responses 1!B:C""),2,FALSE),)"),"")</f>
        <v/>
      </c>
      <c r="E15" s="57" t="str">
        <f>IFERROR(__xludf.DUMMYFUNCTION("IFERROR(VLOOKUP(A15,IMPORTRANGE(""1OvNQShTkB7b8btd44zAgP-KkGS7dJ0BEd6wMgBISDs0"",""Form Responses 1!B:C""),2,FALSE),)"),"")</f>
        <v/>
      </c>
      <c r="F15" s="57" t="str">
        <f>IFERROR(__xludf.DUMMYFUNCTION("IFERROR(IF(COUNTIF(IMPORTRANGE(""13ZZ2q5-JsneAoCxE8QLqs1Ycj8WSgN9hPRza9XUMv_4"",""Form Responses 1!B:B""),A15)&gt;0,20,),)"),"")</f>
        <v/>
      </c>
      <c r="G15" s="58" t="str">
        <f>IFERROR(__xludf.DUMMYFUNCTION("IFERROR(IF(COUNTIF(IMPORTRANGE(""1ljo_MifcmFDCNF59UxR3-3g4XI2XSRJ3WpZcUkp6so8"",""Form Responses 1!B:B""),A15)&gt;0,10,),)"),"")</f>
        <v/>
      </c>
      <c r="H15" s="59" t="str">
        <f>IFERROR(__xludf.DUMMYFUNCTION("IFERROR(VLOOKUP(A15,IMPORTRANGE(""1PBvrHm3dgtcno-UApCGo6dIU4auKbeIJC2SC7k36T64"",""Form Responses 1!B:C""),2,FALSE),)"),"")</f>
        <v/>
      </c>
      <c r="I15" s="60" t="str">
        <f>IFERROR(__xludf.DUMMYFUNCTION("IFERROR(VLOOKUP(A15,IMPORTRANGE(""13P_qT6pKDynUZR0_aswSscwX8dw4UhPyIL8ohovayVc
"",""Form Responses 1!B:C""),2,FALSE),)"),"")</f>
        <v/>
      </c>
      <c r="J15" s="60" t="str">
        <f>IFERROR(__xludf.DUMMYFUNCTION("IFERROR(VLOOKUP(A15,IMPORTRANGE(""16B_HaxNdsb7BY3AQ0xKagDsjOLkfb_DjPkxPwEpn8gc
"",""Form Responses 1!B:C""),2,FALSE),)"),"")</f>
        <v/>
      </c>
      <c r="K15" s="60" t="str">
        <f>IFERROR(__xludf.DUMMYFUNCTION("IFERROR(VLOOKUP(A15,IMPORTRANGE(""1bUO_1Nv9gx3vZE_-m4w6HiuWUM1u8qsaqKByYyla14Q"",""Form Responses 1!B:C""),2,FALSE),)"),"")</f>
        <v/>
      </c>
      <c r="L15" s="59">
        <f>IFERROR(__xludf.DUMMYFUNCTION("IFERROR(IF(COUNTIF(IMPORTRANGE(""1SG2BnFOinBZsm3_Rx1BzD670E652svXjlzWieKobj9o"",""Form Responses 1!B:B""),A15)&gt;0,10,),0)"),10.0)</f>
        <v>10</v>
      </c>
      <c r="M15" s="60">
        <f>IFERROR(__xludf.DUMMYFUNCTION("IFERROR(VLOOKUP(A15,IMPORTRANGE(""1Zpz_ArqUHJZzCwyJqFKkEASeqFw0lZ4HLK4wQdLXj3w
"",""Form Responses 1!B:C""),2,FALSE),)"),14.0)</f>
        <v>14</v>
      </c>
      <c r="N15" s="60" t="str">
        <f>IFERROR(__xludf.DUMMYFUNCTION("IFERROR(VLOOKUP(A15,IMPORTRANGE(""1c318JgcKMkTMtHFS6SjH7x3TAnZwddcZMI9Jx-B9VOM
"",""Form Responses 1!B:C""),2,FALSE),)"),"")</f>
        <v/>
      </c>
      <c r="O15" s="60" t="str">
        <f>IFERROR(__xludf.DUMMYFUNCTION("IFERROR(VLOOKUP(A15,IMPORTRANGE(""1kp8AvADOUteLDy1-i5F9JvR64ee_UwN5UoIn-tH5zPQ
"",""Form Responses 1!B:C""),2,FALSE),)"),"")</f>
        <v/>
      </c>
      <c r="P15" s="60">
        <f>IFERROR(__xludf.DUMMYFUNCTION("IFERROR(VLOOKUP(A15,IMPORTRANGE(""1PSjtsRk3dryPdI2Zls_iIpRgVVwBTGQ0ryRujA_ayZ0"",""Form Responses 1!B:C""),2,FALSE),)"),6.0)</f>
        <v>6</v>
      </c>
      <c r="Q15" s="59">
        <f>IFERROR(__xludf.DUMMYFUNCTION("IFERROR(VLOOKUP(TRIM(A15),IMPORTRANGE(""1ciMZmE3_Ia8QatZf9u-RYqeCzLjcP66olwhReBx-Pwc"",""Form Responses 1!B:C""),2,0),"""")"),8.0)</f>
        <v>8</v>
      </c>
      <c r="R15" s="60" t="str">
        <f>IFERROR(__xludf.DUMMYFUNCTION("IFERROR(VLOOKUP(TRIM(A15),IMPORTRANGE(""1dEvtr9f2UAemMjkvEwBFPyuEw3YQPqez4Kgo-0l7vS4"",""Form Responses 1!B:C""),2,0),"""")"),"")</f>
        <v/>
      </c>
      <c r="S15" s="60" t="str">
        <f>IFERROR(__xludf.DUMMYFUNCTION("IFERROR(VLOOKUP(TRIM(A15),IMPORTRANGE(""1B6nP1Ts7cF60F-9DocMTsAaVFKfuimLnUoxweBavHeU"",""Form Responses 1!B:C""),2,0),"""")"),"")</f>
        <v/>
      </c>
      <c r="T15" s="60" t="str">
        <f>IFERROR(__xludf.DUMMYFUNCTION("IFERROR(VLOOKUP(TRIM(A15),IMPORTRANGE(""1Urfs_Vy5SE9U8tp1-UR-7FoEAxcNy8MifWBH8GiFXd8"",""Form Responses 1!B:C""),2,0),"""")"),"")</f>
        <v/>
      </c>
      <c r="U15" s="60" t="str">
        <f>IFERROR(__xludf.DUMMYFUNCTION("IFERROR(VLOOKUP(TRIM(A15),IMPORTRANGE(""1aXWUim-N4mxaoEzA3XAIdaDH-QYLEvzF2WdP7MGXYAE"",""Form Responses 1!B:C""),2,0),"""")"),"")</f>
        <v/>
      </c>
      <c r="V15" s="63"/>
      <c r="W15" s="62" t="str">
        <f>IFERROR(__xludf.DUMMYFUNCTION("IFERROR(1/(1/MAX(
  IFERROR(VLOOKUP(TRIM(A15),IMPORTRANGE(""1ZA1PTk3mXTxdasMFIUL3_HnhZbSrjlYI0jroyR74oDM"",""Form Responses 1!B:C""),2,0),),
  IFERROR(VLOOKUP(TRIM(A15),IMPORTRANGE(""197C8yvLyfR59JPOCjQdNv3jtQAWqA9lyzhiAtksREXI"",""Form Responses 1!B:C"")"&amp;",2,0),)
)),)"),"")</f>
        <v/>
      </c>
      <c r="X15" s="62" t="str">
        <f>IFERROR(__xludf.DUMMYFUNCTION("IFERROR(VLOOKUP(TRIM(A15),IMPORTRANGE(""1S55NQGXzV1_qOWKXpsQUC871e5j71TNZ9qXJwwhlcsg"",""Form Responses 1!B:C""),2,0),"""")"),"")</f>
        <v/>
      </c>
      <c r="Y15" s="62" t="str">
        <f>IFERROR(__xludf.DUMMYFUNCTION("IFERROR(VLOOKUP(TRIM(A15),IMPORTRANGE(""1tpV5_mFhbN6YKRuO1MZvSbUMIPr8PmwiNyIZJpY0iKs"",""Form Responses 1!B:C""),2,0),"""")"),"")</f>
        <v/>
      </c>
      <c r="Z15" s="62" t="str">
        <f>IFERROR(__xludf.DUMMYFUNCTION("IFERROR(VLOOKUP(TRIM(A15),IMPORTRANGE(""1wfMRO2uDQNJ1PCwTpHdQ8iUrPUKVHyvbfqf8TasTViU"",""Form Responses 1!B:C""),2,0),"""")"),"")</f>
        <v/>
      </c>
      <c r="AA15" s="62" t="str">
        <f>IFERROR(__xludf.DUMMYFUNCTION("IFERROR(VLOOKUP(TRIM(A15),IMPORTRANGE(""1ZOlAPpjCs7qXcQpCvrHzmJ4FOraZ9bKV8IEd78oT7sE"",""Form Responses 1!B:C""),2,0),"""")"),"")</f>
        <v/>
      </c>
      <c r="AB15" s="62" t="str">
        <f>IFERROR(__xludf.DUMMYFUNCTION("IFERROR(VLOOKUP(TRIM(A15),IMPORTRANGE(""1oPrvVT6QDWEUmx87GoqLd1CXTtfLo6WfrreUocg_I08"",""Form Responses 1!B:C""),2,0),"""")"),"")</f>
        <v/>
      </c>
      <c r="AC15" s="62" t="str">
        <f>IFERROR(__xludf.DUMMYFUNCTION("IFERROR(VLOOKUP(TRIM(A15),IMPORTRANGE(""1WKNusCM8GAvNDFdV2AjY5sTwyti4BFZk9I1rFa74mxo"",""Form Responses 1!B:C""),2,0),"""")"),"")</f>
        <v/>
      </c>
      <c r="AD15" s="62" t="str">
        <f>IFERROR(__xludf.DUMMYFUNCTION("IFERROR(VLOOKUP(TRIM(A15),IMPORTRANGE(""1ezPhPfgGBlZIzMnymbnrUr2FhcM_6Sv_nk0hxcbuzTQ"",""Form Responses 1!B:C""),2,0),"""")"),"")</f>
        <v/>
      </c>
      <c r="AE15" s="62" t="str">
        <f>IFERROR(__xludf.DUMMYFUNCTION("IFERROR(VLOOKUP(TRIM(A15),IMPORTRANGE(""1nCvx2881PQ64OQinwpUfP8HphDEhFD0vPRxp_AAAdlM"",""Form Responses 1!B:C""),2,0),"""")"),"")</f>
        <v/>
      </c>
      <c r="AF15" s="62" t="str">
        <f>IFERROR(__xludf.DUMMYFUNCTION("IFERROR(VLOOKUP(TRIM(A15),IMPORTRANGE(""1cImVBctl3mh_jlEmJoy6CEEFe_DDCxRGkjB_Jp-qsU8"",""Form Responses 1!B:C""),2,0),"""")"),"")</f>
        <v/>
      </c>
      <c r="AG15" s="57"/>
      <c r="AH15" s="57"/>
      <c r="AI15" s="57"/>
      <c r="AJ15" s="57"/>
      <c r="AK15" s="57"/>
      <c r="AL15" s="57"/>
      <c r="AM15" s="57"/>
      <c r="AN15" s="57"/>
      <c r="AO15" s="57"/>
      <c r="AP15" s="57"/>
      <c r="AQ15" s="57"/>
      <c r="AR15" s="57"/>
      <c r="AS15" s="57"/>
      <c r="AT15" s="57"/>
      <c r="AU15" s="57"/>
      <c r="AV15" s="57"/>
      <c r="AW15" s="57"/>
      <c r="AX15" s="57"/>
      <c r="AY15" s="57"/>
      <c r="AZ15" s="57"/>
    </row>
    <row r="16">
      <c r="A16" s="56" t="s">
        <v>220</v>
      </c>
      <c r="B16" s="57">
        <f>IFERROR(__xludf.DUMMYFUNCTION("IFERROR(IF(COUNTIF(IMPORTRANGE(""1oiajwiBxoDIOBcD_uKarGHJIrskYi3nXyI9FyWq8IFk"",""Form Responses 1!B:B""),A16)&gt;0,10,),0)"),10.0)</f>
        <v>10</v>
      </c>
      <c r="C16" s="57" t="str">
        <f>IFERROR(__xludf.DUMMYFUNCTION("IFERROR(VLOOKUP(A16,IMPORTRANGE(""1PRkBNvF7wRBbJGtbM1I7-V_ej5mmlgF4cwmp64ilJGQ"",""Form Responses 1!B:C""),2,FALSE),)"),"")</f>
        <v/>
      </c>
      <c r="D16" s="57">
        <f>IFERROR(__xludf.DUMMYFUNCTION("IFERROR(VLOOKUP(A16,IMPORTRANGE(""1rSBnjICjC9324bzLIQpakQH2kn1-6by9fz9jLCcefTs"",""Form Responses 1!B:C""),2,FALSE),)"),30.0)</f>
        <v>30</v>
      </c>
      <c r="E16" s="57" t="str">
        <f>IFERROR(__xludf.DUMMYFUNCTION("IFERROR(VLOOKUP(A16,IMPORTRANGE(""1OvNQShTkB7b8btd44zAgP-KkGS7dJ0BEd6wMgBISDs0"",""Form Responses 1!B:C""),2,FALSE),)"),"")</f>
        <v/>
      </c>
      <c r="F16" s="57" t="str">
        <f>IFERROR(__xludf.DUMMYFUNCTION("IFERROR(IF(COUNTIF(IMPORTRANGE(""13ZZ2q5-JsneAoCxE8QLqs1Ycj8WSgN9hPRza9XUMv_4"",""Form Responses 1!B:B""),A16)&gt;0,20,),)"),"")</f>
        <v/>
      </c>
      <c r="G16" s="58" t="str">
        <f>IFERROR(__xludf.DUMMYFUNCTION("IFERROR(IF(COUNTIF(IMPORTRANGE(""1ljo_MifcmFDCNF59UxR3-3g4XI2XSRJ3WpZcUkp6so8"",""Form Responses 1!B:B""),A16)&gt;0,10,),)"),"")</f>
        <v/>
      </c>
      <c r="H16" s="59" t="str">
        <f>IFERROR(__xludf.DUMMYFUNCTION("IFERROR(VLOOKUP(A16,IMPORTRANGE(""1PBvrHm3dgtcno-UApCGo6dIU4auKbeIJC2SC7k36T64"",""Form Responses 1!B:C""),2,FALSE),)"),"")</f>
        <v/>
      </c>
      <c r="I16" s="60" t="str">
        <f>IFERROR(__xludf.DUMMYFUNCTION("IFERROR(VLOOKUP(A16,IMPORTRANGE(""13P_qT6pKDynUZR0_aswSscwX8dw4UhPyIL8ohovayVc
"",""Form Responses 1!B:C""),2,FALSE),)"),"")</f>
        <v/>
      </c>
      <c r="J16" s="60" t="str">
        <f>IFERROR(__xludf.DUMMYFUNCTION("IFERROR(VLOOKUP(A16,IMPORTRANGE(""16B_HaxNdsb7BY3AQ0xKagDsjOLkfb_DjPkxPwEpn8gc
"",""Form Responses 1!B:C""),2,FALSE),)"),"")</f>
        <v/>
      </c>
      <c r="K16" s="60" t="str">
        <f>IFERROR(__xludf.DUMMYFUNCTION("IFERROR(VLOOKUP(A16,IMPORTRANGE(""1bUO_1Nv9gx3vZE_-m4w6HiuWUM1u8qsaqKByYyla14Q"",""Form Responses 1!B:C""),2,FALSE),)"),"")</f>
        <v/>
      </c>
      <c r="L16" s="59" t="str">
        <f>IFERROR(__xludf.DUMMYFUNCTION("IFERROR(IF(COUNTIF(IMPORTRANGE(""1SG2BnFOinBZsm3_Rx1BzD670E652svXjlzWieKobj9o"",""Form Responses 1!B:B""),A16)&gt;0,10,),0)"),"")</f>
        <v/>
      </c>
      <c r="M16" s="60" t="str">
        <f>IFERROR(__xludf.DUMMYFUNCTION("IFERROR(VLOOKUP(A16,IMPORTRANGE(""1Zpz_ArqUHJZzCwyJqFKkEASeqFw0lZ4HLK4wQdLXj3w
"",""Form Responses 1!B:C""),2,FALSE),)"),"")</f>
        <v/>
      </c>
      <c r="N16" s="60" t="str">
        <f>IFERROR(__xludf.DUMMYFUNCTION("IFERROR(VLOOKUP(A16,IMPORTRANGE(""1c318JgcKMkTMtHFS6SjH7x3TAnZwddcZMI9Jx-B9VOM
"",""Form Responses 1!B:C""),2,FALSE),)"),"")</f>
        <v/>
      </c>
      <c r="O16" s="60" t="str">
        <f>IFERROR(__xludf.DUMMYFUNCTION("IFERROR(VLOOKUP(A16,IMPORTRANGE(""1kp8AvADOUteLDy1-i5F9JvR64ee_UwN5UoIn-tH5zPQ
"",""Form Responses 1!B:C""),2,FALSE),)"),"")</f>
        <v/>
      </c>
      <c r="P16" s="60" t="str">
        <f>IFERROR(__xludf.DUMMYFUNCTION("IFERROR(VLOOKUP(A16,IMPORTRANGE(""1PSjtsRk3dryPdI2Zls_iIpRgVVwBTGQ0ryRujA_ayZ0"",""Form Responses 1!B:C""),2,FALSE),)"),"")</f>
        <v/>
      </c>
      <c r="Q16" s="59" t="str">
        <f>IFERROR(__xludf.DUMMYFUNCTION("IFERROR(VLOOKUP(TRIM(A16),IMPORTRANGE(""1ciMZmE3_Ia8QatZf9u-RYqeCzLjcP66olwhReBx-Pwc"",""Form Responses 1!B:C""),2,0),"""")"),"")</f>
        <v/>
      </c>
      <c r="R16" s="60" t="str">
        <f>IFERROR(__xludf.DUMMYFUNCTION("IFERROR(VLOOKUP(TRIM(A16),IMPORTRANGE(""1dEvtr9f2UAemMjkvEwBFPyuEw3YQPqez4Kgo-0l7vS4"",""Form Responses 1!B:C""),2,0),"""")"),"")</f>
        <v/>
      </c>
      <c r="S16" s="60" t="str">
        <f>IFERROR(__xludf.DUMMYFUNCTION("IFERROR(VLOOKUP(TRIM(A16),IMPORTRANGE(""1B6nP1Ts7cF60F-9DocMTsAaVFKfuimLnUoxweBavHeU"",""Form Responses 1!B:C""),2,0),"""")"),"")</f>
        <v/>
      </c>
      <c r="T16" s="60" t="str">
        <f>IFERROR(__xludf.DUMMYFUNCTION("IFERROR(VLOOKUP(TRIM(A16),IMPORTRANGE(""1Urfs_Vy5SE9U8tp1-UR-7FoEAxcNy8MifWBH8GiFXd8"",""Form Responses 1!B:C""),2,0),"""")"),"")</f>
        <v/>
      </c>
      <c r="U16" s="60" t="str">
        <f>IFERROR(__xludf.DUMMYFUNCTION("IFERROR(VLOOKUP(TRIM(A16),IMPORTRANGE(""1aXWUim-N4mxaoEzA3XAIdaDH-QYLEvzF2WdP7MGXYAE"",""Form Responses 1!B:C""),2,0),"""")"),"")</f>
        <v/>
      </c>
      <c r="V16" s="63"/>
      <c r="W16" s="62" t="str">
        <f>IFERROR(__xludf.DUMMYFUNCTION("IFERROR(1/(1/MAX(
  IFERROR(VLOOKUP(TRIM(A16),IMPORTRANGE(""1ZA1PTk3mXTxdasMFIUL3_HnhZbSrjlYI0jroyR74oDM"",""Form Responses 1!B:C""),2,0),),
  IFERROR(VLOOKUP(TRIM(A16),IMPORTRANGE(""197C8yvLyfR59JPOCjQdNv3jtQAWqA9lyzhiAtksREXI"",""Form Responses 1!B:C"")"&amp;",2,0),)
)),)"),"")</f>
        <v/>
      </c>
      <c r="X16" s="62" t="str">
        <f>IFERROR(__xludf.DUMMYFUNCTION("IFERROR(VLOOKUP(TRIM(A16),IMPORTRANGE(""1S55NQGXzV1_qOWKXpsQUC871e5j71TNZ9qXJwwhlcsg"",""Form Responses 1!B:C""),2,0),"""")"),"")</f>
        <v/>
      </c>
      <c r="Y16" s="62" t="str">
        <f>IFERROR(__xludf.DUMMYFUNCTION("IFERROR(VLOOKUP(TRIM(A16),IMPORTRANGE(""1tpV5_mFhbN6YKRuO1MZvSbUMIPr8PmwiNyIZJpY0iKs"",""Form Responses 1!B:C""),2,0),"""")"),"")</f>
        <v/>
      </c>
      <c r="Z16" s="62" t="str">
        <f>IFERROR(__xludf.DUMMYFUNCTION("IFERROR(VLOOKUP(TRIM(A16),IMPORTRANGE(""1wfMRO2uDQNJ1PCwTpHdQ8iUrPUKVHyvbfqf8TasTViU"",""Form Responses 1!B:C""),2,0),"""")"),"")</f>
        <v/>
      </c>
      <c r="AA16" s="62" t="str">
        <f>IFERROR(__xludf.DUMMYFUNCTION("IFERROR(VLOOKUP(TRIM(A16),IMPORTRANGE(""1ZOlAPpjCs7qXcQpCvrHzmJ4FOraZ9bKV8IEd78oT7sE"",""Form Responses 1!B:C""),2,0),"""")"),"")</f>
        <v/>
      </c>
      <c r="AB16" s="62" t="str">
        <f>IFERROR(__xludf.DUMMYFUNCTION("IFERROR(VLOOKUP(TRIM(A16),IMPORTRANGE(""1oPrvVT6QDWEUmx87GoqLd1CXTtfLo6WfrreUocg_I08"",""Form Responses 1!B:C""),2,0),"""")"),"")</f>
        <v/>
      </c>
      <c r="AC16" s="62" t="str">
        <f>IFERROR(__xludf.DUMMYFUNCTION("IFERROR(VLOOKUP(TRIM(A16),IMPORTRANGE(""1WKNusCM8GAvNDFdV2AjY5sTwyti4BFZk9I1rFa74mxo"",""Form Responses 1!B:C""),2,0),"""")"),"")</f>
        <v/>
      </c>
      <c r="AD16" s="62" t="str">
        <f>IFERROR(__xludf.DUMMYFUNCTION("IFERROR(VLOOKUP(TRIM(A16),IMPORTRANGE(""1ezPhPfgGBlZIzMnymbnrUr2FhcM_6Sv_nk0hxcbuzTQ"",""Form Responses 1!B:C""),2,0),"""")"),"")</f>
        <v/>
      </c>
      <c r="AE16" s="62" t="str">
        <f>IFERROR(__xludf.DUMMYFUNCTION("IFERROR(VLOOKUP(TRIM(A16),IMPORTRANGE(""1nCvx2881PQ64OQinwpUfP8HphDEhFD0vPRxp_AAAdlM"",""Form Responses 1!B:C""),2,0),"""")"),"")</f>
        <v/>
      </c>
      <c r="AF16" s="62" t="str">
        <f>IFERROR(__xludf.DUMMYFUNCTION("IFERROR(VLOOKUP(TRIM(A16),IMPORTRANGE(""1cImVBctl3mh_jlEmJoy6CEEFe_DDCxRGkjB_Jp-qsU8"",""Form Responses 1!B:C""),2,0),"""")"),"")</f>
        <v/>
      </c>
      <c r="AG16" s="57"/>
      <c r="AH16" s="57"/>
      <c r="AI16" s="57"/>
      <c r="AJ16" s="57"/>
      <c r="AK16" s="57"/>
      <c r="AL16" s="57"/>
      <c r="AM16" s="57"/>
      <c r="AN16" s="57"/>
      <c r="AO16" s="57"/>
      <c r="AP16" s="57"/>
      <c r="AQ16" s="57"/>
      <c r="AR16" s="57"/>
      <c r="AS16" s="57"/>
      <c r="AT16" s="57"/>
      <c r="AU16" s="57"/>
      <c r="AV16" s="57"/>
      <c r="AW16" s="57"/>
      <c r="AX16" s="57"/>
      <c r="AY16" s="57"/>
      <c r="AZ16" s="57"/>
    </row>
    <row r="17">
      <c r="A17" s="56" t="s">
        <v>221</v>
      </c>
      <c r="B17" s="57">
        <f>IFERROR(__xludf.DUMMYFUNCTION("IFERROR(IF(COUNTIF(IMPORTRANGE(""1oiajwiBxoDIOBcD_uKarGHJIrskYi3nXyI9FyWq8IFk"",""Form Responses 1!B:B""),A17)&gt;0,10,),0)"),10.0)</f>
        <v>10</v>
      </c>
      <c r="C17" s="57">
        <f>IFERROR(__xludf.DUMMYFUNCTION("IFERROR(VLOOKUP(A17,IMPORTRANGE(""1PRkBNvF7wRBbJGtbM1I7-V_ej5mmlgF4cwmp64ilJGQ"",""Form Responses 1!B:C""),2,FALSE),)"),0.0)</f>
        <v>0</v>
      </c>
      <c r="D17" s="57">
        <f>IFERROR(__xludf.DUMMYFUNCTION("IFERROR(VLOOKUP(A17,IMPORTRANGE(""1rSBnjICjC9324bzLIQpakQH2kn1-6by9fz9jLCcefTs"",""Form Responses 1!B:C""),2,FALSE),)"),0.0)</f>
        <v>0</v>
      </c>
      <c r="E17" s="57" t="str">
        <f>IFERROR(__xludf.DUMMYFUNCTION("IFERROR(VLOOKUP(A17,IMPORTRANGE(""1OvNQShTkB7b8btd44zAgP-KkGS7dJ0BEd6wMgBISDs0"",""Form Responses 1!B:C""),2,FALSE),)"),"")</f>
        <v/>
      </c>
      <c r="F17" s="57" t="str">
        <f>IFERROR(__xludf.DUMMYFUNCTION("IFERROR(IF(COUNTIF(IMPORTRANGE(""13ZZ2q5-JsneAoCxE8QLqs1Ycj8WSgN9hPRza9XUMv_4"",""Form Responses 1!B:B""),A17)&gt;0,20,),)"),"")</f>
        <v/>
      </c>
      <c r="G17" s="58" t="str">
        <f>IFERROR(__xludf.DUMMYFUNCTION("IFERROR(IF(COUNTIF(IMPORTRANGE(""1ljo_MifcmFDCNF59UxR3-3g4XI2XSRJ3WpZcUkp6so8"",""Form Responses 1!B:B""),A17)&gt;0,10,),)"),"")</f>
        <v/>
      </c>
      <c r="H17" s="59">
        <f>IFERROR(__xludf.DUMMYFUNCTION("IFERROR(VLOOKUP(A17,IMPORTRANGE(""1PBvrHm3dgtcno-UApCGo6dIU4auKbeIJC2SC7k36T64"",""Form Responses 1!B:C""),2,FALSE),)"),14.0)</f>
        <v>14</v>
      </c>
      <c r="I17" s="60">
        <f>IFERROR(__xludf.DUMMYFUNCTION("IFERROR(VLOOKUP(A17,IMPORTRANGE(""13P_qT6pKDynUZR0_aswSscwX8dw4UhPyIL8ohovayVc
"",""Form Responses 1!B:C""),2,FALSE),)"),5.0)</f>
        <v>5</v>
      </c>
      <c r="J17" s="60">
        <f>IFERROR(__xludf.DUMMYFUNCTION("IFERROR(VLOOKUP(A17,IMPORTRANGE(""16B_HaxNdsb7BY3AQ0xKagDsjOLkfb_DjPkxPwEpn8gc
"",""Form Responses 1!B:C""),2,FALSE),)"),12.0)</f>
        <v>12</v>
      </c>
      <c r="K17" s="60" t="str">
        <f>IFERROR(__xludf.DUMMYFUNCTION("IFERROR(VLOOKUP(A17,IMPORTRANGE(""1bUO_1Nv9gx3vZE_-m4w6HiuWUM1u8qsaqKByYyla14Q"",""Form Responses 1!B:C""),2,FALSE),)"),"")</f>
        <v/>
      </c>
      <c r="L17" s="59">
        <f>IFERROR(__xludf.DUMMYFUNCTION("IFERROR(IF(COUNTIF(IMPORTRANGE(""1SG2BnFOinBZsm3_Rx1BzD670E652svXjlzWieKobj9o"",""Form Responses 1!B:B""),A17)&gt;0,10,),0)"),10.0)</f>
        <v>10</v>
      </c>
      <c r="M17" s="60">
        <f>IFERROR(__xludf.DUMMYFUNCTION("IFERROR(VLOOKUP(A17,IMPORTRANGE(""1Zpz_ArqUHJZzCwyJqFKkEASeqFw0lZ4HLK4wQdLXj3w
"",""Form Responses 1!B:C""),2,FALSE),)"),8.0)</f>
        <v>8</v>
      </c>
      <c r="N17" s="60">
        <f>IFERROR(__xludf.DUMMYFUNCTION("IFERROR(VLOOKUP(A17,IMPORTRANGE(""1c318JgcKMkTMtHFS6SjH7x3TAnZwddcZMI9Jx-B9VOM
"",""Form Responses 1!B:C""),2,FALSE),)"),10.0)</f>
        <v>10</v>
      </c>
      <c r="O17" s="60" t="str">
        <f>IFERROR(__xludf.DUMMYFUNCTION("IFERROR(VLOOKUP(A17,IMPORTRANGE(""1kp8AvADOUteLDy1-i5F9JvR64ee_UwN5UoIn-tH5zPQ
"",""Form Responses 1!B:C""),2,FALSE),)"),"")</f>
        <v/>
      </c>
      <c r="P17" s="60">
        <f>IFERROR(__xludf.DUMMYFUNCTION("IFERROR(VLOOKUP(A17,IMPORTRANGE(""1PSjtsRk3dryPdI2Zls_iIpRgVVwBTGQ0ryRujA_ayZ0"",""Form Responses 1!B:C""),2,FALSE),)"),6.0)</f>
        <v>6</v>
      </c>
      <c r="Q17" s="59">
        <f>IFERROR(__xludf.DUMMYFUNCTION("IFERROR(VLOOKUP(TRIM(A17),IMPORTRANGE(""1ciMZmE3_Ia8QatZf9u-RYqeCzLjcP66olwhReBx-Pwc"",""Form Responses 1!B:C""),2,0),"""")"),15.0)</f>
        <v>15</v>
      </c>
      <c r="R17" s="60">
        <f>IFERROR(__xludf.DUMMYFUNCTION("IFERROR(VLOOKUP(TRIM(A17),IMPORTRANGE(""1dEvtr9f2UAemMjkvEwBFPyuEw3YQPqez4Kgo-0l7vS4"",""Form Responses 1!B:C""),2,0),"""")"),5.0)</f>
        <v>5</v>
      </c>
      <c r="S17" s="60" t="str">
        <f>IFERROR(__xludf.DUMMYFUNCTION("IFERROR(VLOOKUP(TRIM(A17),IMPORTRANGE(""1B6nP1Ts7cF60F-9DocMTsAaVFKfuimLnUoxweBavHeU"",""Form Responses 1!B:C""),2,0),"""")"),"")</f>
        <v/>
      </c>
      <c r="T17" s="60" t="str">
        <f>IFERROR(__xludf.DUMMYFUNCTION("IFERROR(VLOOKUP(TRIM(A17),IMPORTRANGE(""1Urfs_Vy5SE9U8tp1-UR-7FoEAxcNy8MifWBH8GiFXd8"",""Form Responses 1!B:C""),2,0),"""")"),"")</f>
        <v/>
      </c>
      <c r="U17" s="60" t="str">
        <f>IFERROR(__xludf.DUMMYFUNCTION("IFERROR(VLOOKUP(TRIM(A17),IMPORTRANGE(""1aXWUim-N4mxaoEzA3XAIdaDH-QYLEvzF2WdP7MGXYAE"",""Form Responses 1!B:C""),2,0),"""")"),"")</f>
        <v/>
      </c>
      <c r="V17" s="61">
        <v>23.0</v>
      </c>
      <c r="W17" s="62" t="str">
        <f>IFERROR(__xludf.DUMMYFUNCTION("IFERROR(1/(1/MAX(
  IFERROR(VLOOKUP(TRIM(A17),IMPORTRANGE(""1ZA1PTk3mXTxdasMFIUL3_HnhZbSrjlYI0jroyR74oDM"",""Form Responses 1!B:C""),2,0),),
  IFERROR(VLOOKUP(TRIM(A17),IMPORTRANGE(""197C8yvLyfR59JPOCjQdNv3jtQAWqA9lyzhiAtksREXI"",""Form Responses 1!B:C"")"&amp;",2,0),)
)),)"),"")</f>
        <v/>
      </c>
      <c r="X17" s="62" t="str">
        <f>IFERROR(__xludf.DUMMYFUNCTION("IFERROR(VLOOKUP(TRIM(A17),IMPORTRANGE(""1S55NQGXzV1_qOWKXpsQUC871e5j71TNZ9qXJwwhlcsg"",""Form Responses 1!B:C""),2,0),"""")"),"")</f>
        <v/>
      </c>
      <c r="Y17" s="62" t="str">
        <f>IFERROR(__xludf.DUMMYFUNCTION("IFERROR(VLOOKUP(TRIM(A17),IMPORTRANGE(""1tpV5_mFhbN6YKRuO1MZvSbUMIPr8PmwiNyIZJpY0iKs"",""Form Responses 1!B:C""),2,0),"""")"),"")</f>
        <v/>
      </c>
      <c r="Z17" s="62" t="str">
        <f>IFERROR(__xludf.DUMMYFUNCTION("IFERROR(VLOOKUP(TRIM(A17),IMPORTRANGE(""1wfMRO2uDQNJ1PCwTpHdQ8iUrPUKVHyvbfqf8TasTViU"",""Form Responses 1!B:C""),2,0),"""")"),"")</f>
        <v/>
      </c>
      <c r="AA17" s="62" t="str">
        <f>IFERROR(__xludf.DUMMYFUNCTION("IFERROR(VLOOKUP(TRIM(A17),IMPORTRANGE(""1ZOlAPpjCs7qXcQpCvrHzmJ4FOraZ9bKV8IEd78oT7sE"",""Form Responses 1!B:C""),2,0),"""")"),"")</f>
        <v/>
      </c>
      <c r="AB17" s="62">
        <f>IFERROR(__xludf.DUMMYFUNCTION("IFERROR(VLOOKUP(TRIM(A17),IMPORTRANGE(""1oPrvVT6QDWEUmx87GoqLd1CXTtfLo6WfrreUocg_I08"",""Form Responses 1!B:C""),2,0),"""")"),12.0)</f>
        <v>12</v>
      </c>
      <c r="AC17" s="62" t="str">
        <f>IFERROR(__xludf.DUMMYFUNCTION("IFERROR(VLOOKUP(TRIM(A17),IMPORTRANGE(""1WKNusCM8GAvNDFdV2AjY5sTwyti4BFZk9I1rFa74mxo"",""Form Responses 1!B:C""),2,0),"""")"),"")</f>
        <v/>
      </c>
      <c r="AD17" s="62" t="str">
        <f>IFERROR(__xludf.DUMMYFUNCTION("IFERROR(VLOOKUP(TRIM(A17),IMPORTRANGE(""1ezPhPfgGBlZIzMnymbnrUr2FhcM_6Sv_nk0hxcbuzTQ"",""Form Responses 1!B:C""),2,0),"""")"),"")</f>
        <v/>
      </c>
      <c r="AE17" s="62" t="str">
        <f>IFERROR(__xludf.DUMMYFUNCTION("IFERROR(VLOOKUP(TRIM(A17),IMPORTRANGE(""1nCvx2881PQ64OQinwpUfP8HphDEhFD0vPRxp_AAAdlM"",""Form Responses 1!B:C""),2,0),"""")"),"")</f>
        <v/>
      </c>
      <c r="AF17" s="62" t="str">
        <f>IFERROR(__xludf.DUMMYFUNCTION("IFERROR(VLOOKUP(TRIM(A17),IMPORTRANGE(""1cImVBctl3mh_jlEmJoy6CEEFe_DDCxRGkjB_Jp-qsU8"",""Form Responses 1!B:C""),2,0),"""")"),"")</f>
        <v/>
      </c>
      <c r="AG17" s="57"/>
      <c r="AH17" s="57"/>
      <c r="AI17" s="57"/>
      <c r="AJ17" s="57"/>
      <c r="AK17" s="57"/>
      <c r="AL17" s="57"/>
      <c r="AM17" s="57"/>
      <c r="AN17" s="57"/>
      <c r="AO17" s="57"/>
      <c r="AP17" s="57"/>
      <c r="AQ17" s="57"/>
      <c r="AR17" s="57"/>
      <c r="AS17" s="57"/>
      <c r="AT17" s="57"/>
      <c r="AU17" s="57"/>
      <c r="AV17" s="57"/>
      <c r="AW17" s="57"/>
      <c r="AX17" s="57"/>
      <c r="AY17" s="57"/>
      <c r="AZ17" s="57"/>
    </row>
    <row r="18">
      <c r="A18" s="56" t="s">
        <v>222</v>
      </c>
      <c r="B18" s="57">
        <f>IFERROR(__xludf.DUMMYFUNCTION("IFERROR(IF(COUNTIF(IMPORTRANGE(""1oiajwiBxoDIOBcD_uKarGHJIrskYi3nXyI9FyWq8IFk"",""Form Responses 1!B:B""),A18)&gt;0,10,),0)"),10.0)</f>
        <v>10</v>
      </c>
      <c r="C18" s="57">
        <f>IFERROR(__xludf.DUMMYFUNCTION("IFERROR(VLOOKUP(A18,IMPORTRANGE(""1PRkBNvF7wRBbJGtbM1I7-V_ej5mmlgF4cwmp64ilJGQ"",""Form Responses 1!B:C""),2,FALSE),)"),10.0)</f>
        <v>10</v>
      </c>
      <c r="D18" s="57">
        <f>IFERROR(__xludf.DUMMYFUNCTION("IFERROR(VLOOKUP(A18,IMPORTRANGE(""1rSBnjICjC9324bzLIQpakQH2kn1-6by9fz9jLCcefTs"",""Form Responses 1!B:C""),2,FALSE),)"),30.0)</f>
        <v>30</v>
      </c>
      <c r="E18" s="57">
        <f>IFERROR(__xludf.DUMMYFUNCTION("IFERROR(VLOOKUP(A18,IMPORTRANGE(""1OvNQShTkB7b8btd44zAgP-KkGS7dJ0BEd6wMgBISDs0"",""Form Responses 1!B:C""),2,FALSE),)"),0.0)</f>
        <v>0</v>
      </c>
      <c r="F18" s="57">
        <f>IFERROR(__xludf.DUMMYFUNCTION("IFERROR(IF(COUNTIF(IMPORTRANGE(""13ZZ2q5-JsneAoCxE8QLqs1Ycj8WSgN9hPRza9XUMv_4"",""Form Responses 1!B:B""),A18)&gt;0,20,),)"),20.0)</f>
        <v>20</v>
      </c>
      <c r="G18" s="58" t="str">
        <f>IFERROR(__xludf.DUMMYFUNCTION("IFERROR(IF(COUNTIF(IMPORTRANGE(""1ljo_MifcmFDCNF59UxR3-3g4XI2XSRJ3WpZcUkp6so8"",""Form Responses 1!B:B""),A18)&gt;0,10,),)"),"")</f>
        <v/>
      </c>
      <c r="H18" s="59">
        <f>IFERROR(__xludf.DUMMYFUNCTION("IFERROR(VLOOKUP(A18,IMPORTRANGE(""1PBvrHm3dgtcno-UApCGo6dIU4auKbeIJC2SC7k36T64"",""Form Responses 1!B:C""),2,FALSE),)"),20.0)</f>
        <v>20</v>
      </c>
      <c r="I18" s="60">
        <f>IFERROR(__xludf.DUMMYFUNCTION("IFERROR(VLOOKUP(A18,IMPORTRANGE(""13P_qT6pKDynUZR0_aswSscwX8dw4UhPyIL8ohovayVc
"",""Form Responses 1!B:C""),2,FALSE),)"),14.0)</f>
        <v>14</v>
      </c>
      <c r="J18" s="60" t="str">
        <f>IFERROR(__xludf.DUMMYFUNCTION("IFERROR(VLOOKUP(A18,IMPORTRANGE(""16B_HaxNdsb7BY3AQ0xKagDsjOLkfb_DjPkxPwEpn8gc
"",""Form Responses 1!B:C""),2,FALSE),)"),"")</f>
        <v/>
      </c>
      <c r="K18" s="60" t="str">
        <f>IFERROR(__xludf.DUMMYFUNCTION("IFERROR(VLOOKUP(A18,IMPORTRANGE(""1bUO_1Nv9gx3vZE_-m4w6HiuWUM1u8qsaqKByYyla14Q"",""Form Responses 1!B:C""),2,FALSE),)"),"")</f>
        <v/>
      </c>
      <c r="L18" s="59" t="str">
        <f>IFERROR(__xludf.DUMMYFUNCTION("IFERROR(IF(COUNTIF(IMPORTRANGE(""1SG2BnFOinBZsm3_Rx1BzD670E652svXjlzWieKobj9o"",""Form Responses 1!B:B""),A18)&gt;0,10,),0)"),"")</f>
        <v/>
      </c>
      <c r="M18" s="60" t="str">
        <f>IFERROR(__xludf.DUMMYFUNCTION("IFERROR(VLOOKUP(A18,IMPORTRANGE(""1Zpz_ArqUHJZzCwyJqFKkEASeqFw0lZ4HLK4wQdLXj3w
"",""Form Responses 1!B:C""),2,FALSE),)"),"")</f>
        <v/>
      </c>
      <c r="N18" s="60" t="str">
        <f>IFERROR(__xludf.DUMMYFUNCTION("IFERROR(VLOOKUP(A18,IMPORTRANGE(""1c318JgcKMkTMtHFS6SjH7x3TAnZwddcZMI9Jx-B9VOM
"",""Form Responses 1!B:C""),2,FALSE),)"),"")</f>
        <v/>
      </c>
      <c r="O18" s="60" t="str">
        <f>IFERROR(__xludf.DUMMYFUNCTION("IFERROR(VLOOKUP(A18,IMPORTRANGE(""1kp8AvADOUteLDy1-i5F9JvR64ee_UwN5UoIn-tH5zPQ
"",""Form Responses 1!B:C""),2,FALSE),)"),"")</f>
        <v/>
      </c>
      <c r="P18" s="60" t="str">
        <f>IFERROR(__xludf.DUMMYFUNCTION("IFERROR(VLOOKUP(A18,IMPORTRANGE(""1PSjtsRk3dryPdI2Zls_iIpRgVVwBTGQ0ryRujA_ayZ0"",""Form Responses 1!B:C""),2,FALSE),)"),"")</f>
        <v/>
      </c>
      <c r="Q18" s="59" t="str">
        <f>IFERROR(__xludf.DUMMYFUNCTION("IFERROR(VLOOKUP(TRIM(A18),IMPORTRANGE(""1ciMZmE3_Ia8QatZf9u-RYqeCzLjcP66olwhReBx-Pwc"",""Form Responses 1!B:C""),2,0),"""")"),"")</f>
        <v/>
      </c>
      <c r="R18" s="60" t="str">
        <f>IFERROR(__xludf.DUMMYFUNCTION("IFERROR(VLOOKUP(TRIM(A18),IMPORTRANGE(""1dEvtr9f2UAemMjkvEwBFPyuEw3YQPqez4Kgo-0l7vS4"",""Form Responses 1!B:C""),2,0),"""")"),"")</f>
        <v/>
      </c>
      <c r="S18" s="60" t="str">
        <f>IFERROR(__xludf.DUMMYFUNCTION("IFERROR(VLOOKUP(TRIM(A18),IMPORTRANGE(""1B6nP1Ts7cF60F-9DocMTsAaVFKfuimLnUoxweBavHeU"",""Form Responses 1!B:C""),2,0),"""")"),"")</f>
        <v/>
      </c>
      <c r="T18" s="60" t="str">
        <f>IFERROR(__xludf.DUMMYFUNCTION("IFERROR(VLOOKUP(TRIM(A18),IMPORTRANGE(""1Urfs_Vy5SE9U8tp1-UR-7FoEAxcNy8MifWBH8GiFXd8"",""Form Responses 1!B:C""),2,0),"""")"),"")</f>
        <v/>
      </c>
      <c r="U18" s="60" t="str">
        <f>IFERROR(__xludf.DUMMYFUNCTION("IFERROR(VLOOKUP(TRIM(A18),IMPORTRANGE(""1aXWUim-N4mxaoEzA3XAIdaDH-QYLEvzF2WdP7MGXYAE"",""Form Responses 1!B:C""),2,0),"""")"),"")</f>
        <v/>
      </c>
      <c r="V18" s="61">
        <v>22.0</v>
      </c>
      <c r="W18" s="62">
        <f>IFERROR(__xludf.DUMMYFUNCTION("IFERROR(1/(1/MAX(
  IFERROR(VLOOKUP(TRIM(A18),IMPORTRANGE(""1ZA1PTk3mXTxdasMFIUL3_HnhZbSrjlYI0jroyR74oDM"",""Form Responses 1!B:C""),2,0),),
  IFERROR(VLOOKUP(TRIM(A18),IMPORTRANGE(""197C8yvLyfR59JPOCjQdNv3jtQAWqA9lyzhiAtksREXI"",""Form Responses 1!B:C"")"&amp;",2,0),)
)),)"),3.0)</f>
        <v>3</v>
      </c>
      <c r="X18" s="62" t="str">
        <f>IFERROR(__xludf.DUMMYFUNCTION("IFERROR(VLOOKUP(TRIM(A18),IMPORTRANGE(""1S55NQGXzV1_qOWKXpsQUC871e5j71TNZ9qXJwwhlcsg"",""Form Responses 1!B:C""),2,0),"""")"),"")</f>
        <v/>
      </c>
      <c r="Y18" s="62" t="str">
        <f>IFERROR(__xludf.DUMMYFUNCTION("IFERROR(VLOOKUP(TRIM(A18),IMPORTRANGE(""1tpV5_mFhbN6YKRuO1MZvSbUMIPr8PmwiNyIZJpY0iKs"",""Form Responses 1!B:C""),2,0),"""")"),"")</f>
        <v/>
      </c>
      <c r="Z18" s="62" t="str">
        <f>IFERROR(__xludf.DUMMYFUNCTION("IFERROR(VLOOKUP(TRIM(A18),IMPORTRANGE(""1wfMRO2uDQNJ1PCwTpHdQ8iUrPUKVHyvbfqf8TasTViU"",""Form Responses 1!B:C""),2,0),"""")"),"")</f>
        <v/>
      </c>
      <c r="AA18" s="62" t="str">
        <f>IFERROR(__xludf.DUMMYFUNCTION("IFERROR(VLOOKUP(TRIM(A18),IMPORTRANGE(""1ZOlAPpjCs7qXcQpCvrHzmJ4FOraZ9bKV8IEd78oT7sE"",""Form Responses 1!B:C""),2,0),"""")"),"")</f>
        <v/>
      </c>
      <c r="AB18" s="62">
        <f>IFERROR(__xludf.DUMMYFUNCTION("IFERROR(VLOOKUP(TRIM(A18),IMPORTRANGE(""1oPrvVT6QDWEUmx87GoqLd1CXTtfLo6WfrreUocg_I08"",""Form Responses 1!B:C""),2,0),"""")"),6.0)</f>
        <v>6</v>
      </c>
      <c r="AC18" s="62" t="str">
        <f>IFERROR(__xludf.DUMMYFUNCTION("IFERROR(VLOOKUP(TRIM(A18),IMPORTRANGE(""1WKNusCM8GAvNDFdV2AjY5sTwyti4BFZk9I1rFa74mxo"",""Form Responses 1!B:C""),2,0),"""")"),"")</f>
        <v/>
      </c>
      <c r="AD18" s="62" t="str">
        <f>IFERROR(__xludf.DUMMYFUNCTION("IFERROR(VLOOKUP(TRIM(A18),IMPORTRANGE(""1ezPhPfgGBlZIzMnymbnrUr2FhcM_6Sv_nk0hxcbuzTQ"",""Form Responses 1!B:C""),2,0),"""")"),"")</f>
        <v/>
      </c>
      <c r="AE18" s="62" t="str">
        <f>IFERROR(__xludf.DUMMYFUNCTION("IFERROR(VLOOKUP(TRIM(A18),IMPORTRANGE(""1nCvx2881PQ64OQinwpUfP8HphDEhFD0vPRxp_AAAdlM"",""Form Responses 1!B:C""),2,0),"""")"),"")</f>
        <v/>
      </c>
      <c r="AF18" s="62" t="str">
        <f>IFERROR(__xludf.DUMMYFUNCTION("IFERROR(VLOOKUP(TRIM(A18),IMPORTRANGE(""1cImVBctl3mh_jlEmJoy6CEEFe_DDCxRGkjB_Jp-qsU8"",""Form Responses 1!B:C""),2,0),"""")"),"")</f>
        <v/>
      </c>
      <c r="AG18" s="57"/>
      <c r="AH18" s="57"/>
      <c r="AI18" s="57"/>
      <c r="AJ18" s="57"/>
      <c r="AK18" s="57"/>
      <c r="AL18" s="57"/>
      <c r="AM18" s="57"/>
      <c r="AN18" s="57"/>
      <c r="AO18" s="57"/>
      <c r="AP18" s="57"/>
      <c r="AQ18" s="57"/>
      <c r="AR18" s="57"/>
      <c r="AS18" s="57"/>
      <c r="AT18" s="57"/>
      <c r="AU18" s="57"/>
      <c r="AV18" s="57"/>
      <c r="AW18" s="57"/>
      <c r="AX18" s="57"/>
      <c r="AY18" s="57"/>
      <c r="AZ18" s="57"/>
    </row>
    <row r="19">
      <c r="A19" s="56" t="s">
        <v>223</v>
      </c>
      <c r="B19" s="57" t="str">
        <f>IFERROR(__xludf.DUMMYFUNCTION("IFERROR(IF(COUNTIF(IMPORTRANGE(""1oiajwiBxoDIOBcD_uKarGHJIrskYi3nXyI9FyWq8IFk"",""Form Responses 1!B:B""),A19)&gt;0,10,),0)"),"")</f>
        <v/>
      </c>
      <c r="C19" s="57" t="str">
        <f>IFERROR(__xludf.DUMMYFUNCTION("IFERROR(VLOOKUP(A19,IMPORTRANGE(""1PRkBNvF7wRBbJGtbM1I7-V_ej5mmlgF4cwmp64ilJGQ"",""Form Responses 1!B:C""),2,FALSE),)"),"")</f>
        <v/>
      </c>
      <c r="D19" s="57" t="str">
        <f>IFERROR(__xludf.DUMMYFUNCTION("IFERROR(VLOOKUP(A19,IMPORTRANGE(""1rSBnjICjC9324bzLIQpakQH2kn1-6by9fz9jLCcefTs"",""Form Responses 1!B:C""),2,FALSE),)"),"")</f>
        <v/>
      </c>
      <c r="E19" s="57" t="str">
        <f>IFERROR(__xludf.DUMMYFUNCTION("IFERROR(VLOOKUP(A19,IMPORTRANGE(""1OvNQShTkB7b8btd44zAgP-KkGS7dJ0BEd6wMgBISDs0"",""Form Responses 1!B:C""),2,FALSE),)"),"")</f>
        <v/>
      </c>
      <c r="F19" s="57" t="str">
        <f>IFERROR(__xludf.DUMMYFUNCTION("IFERROR(IF(COUNTIF(IMPORTRANGE(""13ZZ2q5-JsneAoCxE8QLqs1Ycj8WSgN9hPRza9XUMv_4"",""Form Responses 1!B:B""),A19)&gt;0,20,),)"),"")</f>
        <v/>
      </c>
      <c r="G19" s="58" t="str">
        <f>IFERROR(__xludf.DUMMYFUNCTION("IFERROR(IF(COUNTIF(IMPORTRANGE(""1ljo_MifcmFDCNF59UxR3-3g4XI2XSRJ3WpZcUkp6so8"",""Form Responses 1!B:B""),A19)&gt;0,10,),)"),"")</f>
        <v/>
      </c>
      <c r="H19" s="59" t="str">
        <f>IFERROR(__xludf.DUMMYFUNCTION("IFERROR(VLOOKUP(A19,IMPORTRANGE(""1PBvrHm3dgtcno-UApCGo6dIU4auKbeIJC2SC7k36T64"",""Form Responses 1!B:C""),2,FALSE),)"),"")</f>
        <v/>
      </c>
      <c r="I19" s="60" t="str">
        <f>IFERROR(__xludf.DUMMYFUNCTION("IFERROR(VLOOKUP(A19,IMPORTRANGE(""13P_qT6pKDynUZR0_aswSscwX8dw4UhPyIL8ohovayVc
"",""Form Responses 1!B:C""),2,FALSE),)"),"")</f>
        <v/>
      </c>
      <c r="J19" s="60" t="str">
        <f>IFERROR(__xludf.DUMMYFUNCTION("IFERROR(VLOOKUP(A19,IMPORTRANGE(""16B_HaxNdsb7BY3AQ0xKagDsjOLkfb_DjPkxPwEpn8gc
"",""Form Responses 1!B:C""),2,FALSE),)"),"")</f>
        <v/>
      </c>
      <c r="K19" s="60" t="str">
        <f>IFERROR(__xludf.DUMMYFUNCTION("IFERROR(VLOOKUP(A19,IMPORTRANGE(""1bUO_1Nv9gx3vZE_-m4w6HiuWUM1u8qsaqKByYyla14Q"",""Form Responses 1!B:C""),2,FALSE),)"),"")</f>
        <v/>
      </c>
      <c r="L19" s="59" t="str">
        <f>IFERROR(__xludf.DUMMYFUNCTION("IFERROR(IF(COUNTIF(IMPORTRANGE(""1SG2BnFOinBZsm3_Rx1BzD670E652svXjlzWieKobj9o"",""Form Responses 1!B:B""),A19)&gt;0,10,),0)"),"")</f>
        <v/>
      </c>
      <c r="M19" s="60" t="str">
        <f>IFERROR(__xludf.DUMMYFUNCTION("IFERROR(VLOOKUP(A19,IMPORTRANGE(""1Zpz_ArqUHJZzCwyJqFKkEASeqFw0lZ4HLK4wQdLXj3w
"",""Form Responses 1!B:C""),2,FALSE),)"),"")</f>
        <v/>
      </c>
      <c r="N19" s="60" t="str">
        <f>IFERROR(__xludf.DUMMYFUNCTION("IFERROR(VLOOKUP(A19,IMPORTRANGE(""1c318JgcKMkTMtHFS6SjH7x3TAnZwddcZMI9Jx-B9VOM
"",""Form Responses 1!B:C""),2,FALSE),)"),"")</f>
        <v/>
      </c>
      <c r="O19" s="60" t="str">
        <f>IFERROR(__xludf.DUMMYFUNCTION("IFERROR(VLOOKUP(A19,IMPORTRANGE(""1kp8AvADOUteLDy1-i5F9JvR64ee_UwN5UoIn-tH5zPQ
"",""Form Responses 1!B:C""),2,FALSE),)"),"")</f>
        <v/>
      </c>
      <c r="P19" s="60" t="str">
        <f>IFERROR(__xludf.DUMMYFUNCTION("IFERROR(VLOOKUP(A19,IMPORTRANGE(""1PSjtsRk3dryPdI2Zls_iIpRgVVwBTGQ0ryRujA_ayZ0"",""Form Responses 1!B:C""),2,FALSE),)"),"")</f>
        <v/>
      </c>
      <c r="Q19" s="59" t="str">
        <f>IFERROR(__xludf.DUMMYFUNCTION("IFERROR(VLOOKUP(TRIM(A19),IMPORTRANGE(""1ciMZmE3_Ia8QatZf9u-RYqeCzLjcP66olwhReBx-Pwc"",""Form Responses 1!B:C""),2,0),"""")"),"")</f>
        <v/>
      </c>
      <c r="R19" s="60" t="str">
        <f>IFERROR(__xludf.DUMMYFUNCTION("IFERROR(VLOOKUP(TRIM(A19),IMPORTRANGE(""1dEvtr9f2UAemMjkvEwBFPyuEw3YQPqez4Kgo-0l7vS4"",""Form Responses 1!B:C""),2,0),"""")"),"")</f>
        <v/>
      </c>
      <c r="S19" s="60" t="str">
        <f>IFERROR(__xludf.DUMMYFUNCTION("IFERROR(VLOOKUP(TRIM(A19),IMPORTRANGE(""1B6nP1Ts7cF60F-9DocMTsAaVFKfuimLnUoxweBavHeU"",""Form Responses 1!B:C""),2,0),"""")"),"")</f>
        <v/>
      </c>
      <c r="T19" s="60" t="str">
        <f>IFERROR(__xludf.DUMMYFUNCTION("IFERROR(VLOOKUP(TRIM(A19),IMPORTRANGE(""1Urfs_Vy5SE9U8tp1-UR-7FoEAxcNy8MifWBH8GiFXd8"",""Form Responses 1!B:C""),2,0),"""")"),"")</f>
        <v/>
      </c>
      <c r="U19" s="60" t="str">
        <f>IFERROR(__xludf.DUMMYFUNCTION("IFERROR(VLOOKUP(TRIM(A19),IMPORTRANGE(""1aXWUim-N4mxaoEzA3XAIdaDH-QYLEvzF2WdP7MGXYAE"",""Form Responses 1!B:C""),2,0),"""")"),"")</f>
        <v/>
      </c>
      <c r="V19" s="63"/>
      <c r="W19" s="62" t="str">
        <f>IFERROR(__xludf.DUMMYFUNCTION("IFERROR(1/(1/MAX(
  IFERROR(VLOOKUP(TRIM(A19),IMPORTRANGE(""1ZA1PTk3mXTxdasMFIUL3_HnhZbSrjlYI0jroyR74oDM"",""Form Responses 1!B:C""),2,0),),
  IFERROR(VLOOKUP(TRIM(A19),IMPORTRANGE(""197C8yvLyfR59JPOCjQdNv3jtQAWqA9lyzhiAtksREXI"",""Form Responses 1!B:C"")"&amp;",2,0),)
)),)"),"")</f>
        <v/>
      </c>
      <c r="X19" s="62" t="str">
        <f>IFERROR(__xludf.DUMMYFUNCTION("IFERROR(VLOOKUP(TRIM(A19),IMPORTRANGE(""1S55NQGXzV1_qOWKXpsQUC871e5j71TNZ9qXJwwhlcsg"",""Form Responses 1!B:C""),2,0),"""")"),"")</f>
        <v/>
      </c>
      <c r="Y19" s="62" t="str">
        <f>IFERROR(__xludf.DUMMYFUNCTION("IFERROR(VLOOKUP(TRIM(A19),IMPORTRANGE(""1tpV5_mFhbN6YKRuO1MZvSbUMIPr8PmwiNyIZJpY0iKs"",""Form Responses 1!B:C""),2,0),"""")"),"")</f>
        <v/>
      </c>
      <c r="Z19" s="62" t="str">
        <f>IFERROR(__xludf.DUMMYFUNCTION("IFERROR(VLOOKUP(TRIM(A19),IMPORTRANGE(""1wfMRO2uDQNJ1PCwTpHdQ8iUrPUKVHyvbfqf8TasTViU"",""Form Responses 1!B:C""),2,0),"""")"),"")</f>
        <v/>
      </c>
      <c r="AA19" s="62" t="str">
        <f>IFERROR(__xludf.DUMMYFUNCTION("IFERROR(VLOOKUP(TRIM(A19),IMPORTRANGE(""1ZOlAPpjCs7qXcQpCvrHzmJ4FOraZ9bKV8IEd78oT7sE"",""Form Responses 1!B:C""),2,0),"""")"),"")</f>
        <v/>
      </c>
      <c r="AB19" s="62" t="str">
        <f>IFERROR(__xludf.DUMMYFUNCTION("IFERROR(VLOOKUP(TRIM(A19),IMPORTRANGE(""1oPrvVT6QDWEUmx87GoqLd1CXTtfLo6WfrreUocg_I08"",""Form Responses 1!B:C""),2,0),"""")"),"")</f>
        <v/>
      </c>
      <c r="AC19" s="62" t="str">
        <f>IFERROR(__xludf.DUMMYFUNCTION("IFERROR(VLOOKUP(TRIM(A19),IMPORTRANGE(""1WKNusCM8GAvNDFdV2AjY5sTwyti4BFZk9I1rFa74mxo"",""Form Responses 1!B:C""),2,0),"""")"),"")</f>
        <v/>
      </c>
      <c r="AD19" s="62" t="str">
        <f>IFERROR(__xludf.DUMMYFUNCTION("IFERROR(VLOOKUP(TRIM(A19),IMPORTRANGE(""1ezPhPfgGBlZIzMnymbnrUr2FhcM_6Sv_nk0hxcbuzTQ"",""Form Responses 1!B:C""),2,0),"""")"),"")</f>
        <v/>
      </c>
      <c r="AE19" s="62" t="str">
        <f>IFERROR(__xludf.DUMMYFUNCTION("IFERROR(VLOOKUP(TRIM(A19),IMPORTRANGE(""1nCvx2881PQ64OQinwpUfP8HphDEhFD0vPRxp_AAAdlM"",""Form Responses 1!B:C""),2,0),"""")"),"")</f>
        <v/>
      </c>
      <c r="AF19" s="62" t="str">
        <f>IFERROR(__xludf.DUMMYFUNCTION("IFERROR(VLOOKUP(TRIM(A19),IMPORTRANGE(""1cImVBctl3mh_jlEmJoy6CEEFe_DDCxRGkjB_Jp-qsU8"",""Form Responses 1!B:C""),2,0),"""")"),"")</f>
        <v/>
      </c>
      <c r="AG19" s="57"/>
      <c r="AH19" s="57"/>
      <c r="AI19" s="57"/>
      <c r="AJ19" s="57"/>
      <c r="AK19" s="57"/>
      <c r="AL19" s="57"/>
      <c r="AM19" s="57"/>
      <c r="AN19" s="57"/>
      <c r="AO19" s="57"/>
      <c r="AP19" s="57"/>
      <c r="AQ19" s="57"/>
      <c r="AR19" s="57"/>
      <c r="AS19" s="57"/>
      <c r="AT19" s="57"/>
      <c r="AU19" s="57"/>
      <c r="AV19" s="57"/>
      <c r="AW19" s="57"/>
      <c r="AX19" s="57"/>
      <c r="AY19" s="57"/>
      <c r="AZ19" s="57"/>
    </row>
    <row r="20">
      <c r="A20" s="56" t="s">
        <v>224</v>
      </c>
      <c r="B20" s="57">
        <f>IFERROR(__xludf.DUMMYFUNCTION("IFERROR(IF(COUNTIF(IMPORTRANGE(""1oiajwiBxoDIOBcD_uKarGHJIrskYi3nXyI9FyWq8IFk"",""Form Responses 1!B:B""),A20)&gt;0,10,),0)"),10.0)</f>
        <v>10</v>
      </c>
      <c r="C20" s="57">
        <f>IFERROR(__xludf.DUMMYFUNCTION("IFERROR(VLOOKUP(A20,IMPORTRANGE(""1PRkBNvF7wRBbJGtbM1I7-V_ej5mmlgF4cwmp64ilJGQ"",""Form Responses 1!B:C""),2,FALSE),)"),15.0)</f>
        <v>15</v>
      </c>
      <c r="D20" s="57">
        <f>IFERROR(__xludf.DUMMYFUNCTION("IFERROR(VLOOKUP(A20,IMPORTRANGE(""1rSBnjICjC9324bzLIQpakQH2kn1-6by9fz9jLCcefTs"",""Form Responses 1!B:C""),2,FALSE),)"),30.0)</f>
        <v>30</v>
      </c>
      <c r="E20" s="57">
        <f>IFERROR(__xludf.DUMMYFUNCTION("IFERROR(VLOOKUP(A20,IMPORTRANGE(""1OvNQShTkB7b8btd44zAgP-KkGS7dJ0BEd6wMgBISDs0"",""Form Responses 1!B:C""),2,FALSE),)"),10.0)</f>
        <v>10</v>
      </c>
      <c r="F20" s="57">
        <f>IFERROR(__xludf.DUMMYFUNCTION("IFERROR(IF(COUNTIF(IMPORTRANGE(""13ZZ2q5-JsneAoCxE8QLqs1Ycj8WSgN9hPRza9XUMv_4"",""Form Responses 1!B:B""),A20)&gt;0,20,),)"),20.0)</f>
        <v>20</v>
      </c>
      <c r="G20" s="58" t="str">
        <f>IFERROR(__xludf.DUMMYFUNCTION("IFERROR(IF(COUNTIF(IMPORTRANGE(""1ljo_MifcmFDCNF59UxR3-3g4XI2XSRJ3WpZcUkp6so8"",""Form Responses 1!B:B""),A20)&gt;0,10,),)"),"")</f>
        <v/>
      </c>
      <c r="H20" s="59">
        <f>IFERROR(__xludf.DUMMYFUNCTION("IFERROR(VLOOKUP(A20,IMPORTRANGE(""1PBvrHm3dgtcno-UApCGo6dIU4auKbeIJC2SC7k36T64"",""Form Responses 1!B:C""),2,FALSE),)"),20.0)</f>
        <v>20</v>
      </c>
      <c r="I20" s="60">
        <f>IFERROR(__xludf.DUMMYFUNCTION("IFERROR(VLOOKUP(A20,IMPORTRANGE(""13P_qT6pKDynUZR0_aswSscwX8dw4UhPyIL8ohovayVc
"",""Form Responses 1!B:C""),2,FALSE),)"),14.0)</f>
        <v>14</v>
      </c>
      <c r="J20" s="60">
        <f>IFERROR(__xludf.DUMMYFUNCTION("IFERROR(VLOOKUP(A20,IMPORTRANGE(""16B_HaxNdsb7BY3AQ0xKagDsjOLkfb_DjPkxPwEpn8gc
"",""Form Responses 1!B:C""),2,FALSE),)"),12.0)</f>
        <v>12</v>
      </c>
      <c r="K20" s="60">
        <f>IFERROR(__xludf.DUMMYFUNCTION("IFERROR(VLOOKUP(A20,IMPORTRANGE(""1bUO_1Nv9gx3vZE_-m4w6HiuWUM1u8qsaqKByYyla14Q"",""Form Responses 1!B:C""),2,FALSE),)"),8.0)</f>
        <v>8</v>
      </c>
      <c r="L20" s="59">
        <f>IFERROR(__xludf.DUMMYFUNCTION("IFERROR(IF(COUNTIF(IMPORTRANGE(""1SG2BnFOinBZsm3_Rx1BzD670E652svXjlzWieKobj9o"",""Form Responses 1!B:B""),A20)&gt;0,10,),0)"),10.0)</f>
        <v>10</v>
      </c>
      <c r="M20" s="60">
        <f>IFERROR(__xludf.DUMMYFUNCTION("IFERROR(VLOOKUP(A20,IMPORTRANGE(""1Zpz_ArqUHJZzCwyJqFKkEASeqFw0lZ4HLK4wQdLXj3w
"",""Form Responses 1!B:C""),2,FALSE),)"),20.0)</f>
        <v>20</v>
      </c>
      <c r="N20" s="60">
        <f>IFERROR(__xludf.DUMMYFUNCTION("IFERROR(VLOOKUP(A20,IMPORTRANGE(""1c318JgcKMkTMtHFS6SjH7x3TAnZwddcZMI9Jx-B9VOM
"",""Form Responses 1!B:C""),2,FALSE),)"),20.0)</f>
        <v>20</v>
      </c>
      <c r="O20" s="60">
        <f>IFERROR(__xludf.DUMMYFUNCTION("IFERROR(VLOOKUP(A20,IMPORTRANGE(""1kp8AvADOUteLDy1-i5F9JvR64ee_UwN5UoIn-tH5zPQ
"",""Form Responses 1!B:C""),2,FALSE),)"),20.0)</f>
        <v>20</v>
      </c>
      <c r="P20" s="60">
        <f>IFERROR(__xludf.DUMMYFUNCTION("IFERROR(VLOOKUP(A20,IMPORTRANGE(""1PSjtsRk3dryPdI2Zls_iIpRgVVwBTGQ0ryRujA_ayZ0"",""Form Responses 1!B:C""),2,FALSE),)"),18.0)</f>
        <v>18</v>
      </c>
      <c r="Q20" s="59">
        <f>IFERROR(__xludf.DUMMYFUNCTION("IFERROR(VLOOKUP(TRIM(A20),IMPORTRANGE(""1ciMZmE3_Ia8QatZf9u-RYqeCzLjcP66olwhReBx-Pwc"",""Form Responses 1!B:C""),2,0),"""")"),18.0)</f>
        <v>18</v>
      </c>
      <c r="R20" s="60" t="str">
        <f>IFERROR(__xludf.DUMMYFUNCTION("IFERROR(VLOOKUP(TRIM(A20),IMPORTRANGE(""1dEvtr9f2UAemMjkvEwBFPyuEw3YQPqez4Kgo-0l7vS4"",""Form Responses 1!B:C""),2,0),"""")"),"")</f>
        <v/>
      </c>
      <c r="S20" s="60" t="str">
        <f>IFERROR(__xludf.DUMMYFUNCTION("IFERROR(VLOOKUP(TRIM(A20),IMPORTRANGE(""1B6nP1Ts7cF60F-9DocMTsAaVFKfuimLnUoxweBavHeU"",""Form Responses 1!B:C""),2,0),"""")"),"")</f>
        <v/>
      </c>
      <c r="T20" s="60" t="str">
        <f>IFERROR(__xludf.DUMMYFUNCTION("IFERROR(VLOOKUP(TRIM(A20),IMPORTRANGE(""1Urfs_Vy5SE9U8tp1-UR-7FoEAxcNy8MifWBH8GiFXd8"",""Form Responses 1!B:C""),2,0),"""")"),"")</f>
        <v/>
      </c>
      <c r="U20" s="60" t="str">
        <f>IFERROR(__xludf.DUMMYFUNCTION("IFERROR(VLOOKUP(TRIM(A20),IMPORTRANGE(""1aXWUim-N4mxaoEzA3XAIdaDH-QYLEvzF2WdP7MGXYAE"",""Form Responses 1!B:C""),2,0),"""")"),"")</f>
        <v/>
      </c>
      <c r="V20" s="61">
        <v>54.0</v>
      </c>
      <c r="W20" s="62">
        <f>IFERROR(__xludf.DUMMYFUNCTION("IFERROR(1/(1/MAX(
  IFERROR(VLOOKUP(TRIM(A20),IMPORTRANGE(""1ZA1PTk3mXTxdasMFIUL3_HnhZbSrjlYI0jroyR74oDM"",""Form Responses 1!B:C""),2,0),),
  IFERROR(VLOOKUP(TRIM(A20),IMPORTRANGE(""197C8yvLyfR59JPOCjQdNv3jtQAWqA9lyzhiAtksREXI"",""Form Responses 1!B:C"")"&amp;",2,0),)
)),)"),12.0)</f>
        <v>12</v>
      </c>
      <c r="X20" s="62" t="str">
        <f>IFERROR(__xludf.DUMMYFUNCTION("IFERROR(VLOOKUP(TRIM(A20),IMPORTRANGE(""1S55NQGXzV1_qOWKXpsQUC871e5j71TNZ9qXJwwhlcsg"",""Form Responses 1!B:C""),2,0),"""")"),"")</f>
        <v/>
      </c>
      <c r="Y20" s="62">
        <f>IFERROR(__xludf.DUMMYFUNCTION("IFERROR(VLOOKUP(TRIM(A20),IMPORTRANGE(""1tpV5_mFhbN6YKRuO1MZvSbUMIPr8PmwiNyIZJpY0iKs"",""Form Responses 1!B:C""),2,0),"""")"),8.0)</f>
        <v>8</v>
      </c>
      <c r="Z20" s="62">
        <f>IFERROR(__xludf.DUMMYFUNCTION("IFERROR(VLOOKUP(TRIM(A20),IMPORTRANGE(""1wfMRO2uDQNJ1PCwTpHdQ8iUrPUKVHyvbfqf8TasTViU"",""Form Responses 1!B:C""),2,0),"""")"),0.0)</f>
        <v>0</v>
      </c>
      <c r="AA20" s="62" t="str">
        <f>IFERROR(__xludf.DUMMYFUNCTION("IFERROR(VLOOKUP(TRIM(A20),IMPORTRANGE(""1ZOlAPpjCs7qXcQpCvrHzmJ4FOraZ9bKV8IEd78oT7sE"",""Form Responses 1!B:C""),2,0),"""")"),"")</f>
        <v/>
      </c>
      <c r="AB20" s="62" t="str">
        <f>IFERROR(__xludf.DUMMYFUNCTION("IFERROR(VLOOKUP(TRIM(A20),IMPORTRANGE(""1oPrvVT6QDWEUmx87GoqLd1CXTtfLo6WfrreUocg_I08"",""Form Responses 1!B:C""),2,0),"""")"),"")</f>
        <v/>
      </c>
      <c r="AC20" s="62" t="str">
        <f>IFERROR(__xludf.DUMMYFUNCTION("IFERROR(VLOOKUP(TRIM(A20),IMPORTRANGE(""1WKNusCM8GAvNDFdV2AjY5sTwyti4BFZk9I1rFa74mxo"",""Form Responses 1!B:C""),2,0),"""")"),"")</f>
        <v/>
      </c>
      <c r="AD20" s="62" t="str">
        <f>IFERROR(__xludf.DUMMYFUNCTION("IFERROR(VLOOKUP(TRIM(A20),IMPORTRANGE(""1ezPhPfgGBlZIzMnymbnrUr2FhcM_6Sv_nk0hxcbuzTQ"",""Form Responses 1!B:C""),2,0),"""")"),"")</f>
        <v/>
      </c>
      <c r="AE20" s="62" t="str">
        <f>IFERROR(__xludf.DUMMYFUNCTION("IFERROR(VLOOKUP(TRIM(A20),IMPORTRANGE(""1nCvx2881PQ64OQinwpUfP8HphDEhFD0vPRxp_AAAdlM"",""Form Responses 1!B:C""),2,0),"""")"),"")</f>
        <v/>
      </c>
      <c r="AF20" s="62" t="str">
        <f>IFERROR(__xludf.DUMMYFUNCTION("IFERROR(VLOOKUP(TRIM(A20),IMPORTRANGE(""1cImVBctl3mh_jlEmJoy6CEEFe_DDCxRGkjB_Jp-qsU8"",""Form Responses 1!B:C""),2,0),"""")"),"")</f>
        <v/>
      </c>
      <c r="AG20" s="57"/>
      <c r="AH20" s="57"/>
      <c r="AI20" s="57"/>
      <c r="AJ20" s="57"/>
      <c r="AK20" s="57"/>
      <c r="AL20" s="57"/>
      <c r="AM20" s="57"/>
      <c r="AN20" s="57"/>
      <c r="AO20" s="57"/>
      <c r="AP20" s="57"/>
      <c r="AQ20" s="57"/>
      <c r="AR20" s="57"/>
      <c r="AS20" s="57"/>
      <c r="AT20" s="57"/>
      <c r="AU20" s="57"/>
      <c r="AV20" s="57"/>
      <c r="AW20" s="57"/>
      <c r="AX20" s="57"/>
      <c r="AY20" s="57"/>
      <c r="AZ20" s="57"/>
    </row>
    <row r="21">
      <c r="A21" s="56" t="s">
        <v>225</v>
      </c>
      <c r="B21" s="57" t="str">
        <f>IFERROR(__xludf.DUMMYFUNCTION("IFERROR(IF(COUNTIF(IMPORTRANGE(""1oiajwiBxoDIOBcD_uKarGHJIrskYi3nXyI9FyWq8IFk"",""Form Responses 1!B:B""),A21)&gt;0,10,),0)"),"")</f>
        <v/>
      </c>
      <c r="C21" s="57" t="str">
        <f>IFERROR(__xludf.DUMMYFUNCTION("IFERROR(VLOOKUP(A21,IMPORTRANGE(""1PRkBNvF7wRBbJGtbM1I7-V_ej5mmlgF4cwmp64ilJGQ"",""Form Responses 1!B:C""),2,FALSE),)"),"")</f>
        <v/>
      </c>
      <c r="D21" s="57" t="str">
        <f>IFERROR(__xludf.DUMMYFUNCTION("IFERROR(VLOOKUP(A21,IMPORTRANGE(""1rSBnjICjC9324bzLIQpakQH2kn1-6by9fz9jLCcefTs"",""Form Responses 1!B:C""),2,FALSE),)"),"")</f>
        <v/>
      </c>
      <c r="E21" s="57" t="str">
        <f>IFERROR(__xludf.DUMMYFUNCTION("IFERROR(VLOOKUP(A21,IMPORTRANGE(""1OvNQShTkB7b8btd44zAgP-KkGS7dJ0BEd6wMgBISDs0"",""Form Responses 1!B:C""),2,FALSE),)"),"")</f>
        <v/>
      </c>
      <c r="F21" s="57" t="str">
        <f>IFERROR(__xludf.DUMMYFUNCTION("IFERROR(IF(COUNTIF(IMPORTRANGE(""13ZZ2q5-JsneAoCxE8QLqs1Ycj8WSgN9hPRza9XUMv_4"",""Form Responses 1!B:B""),A21)&gt;0,20,),)"),"")</f>
        <v/>
      </c>
      <c r="G21" s="58" t="str">
        <f>IFERROR(__xludf.DUMMYFUNCTION("IFERROR(IF(COUNTIF(IMPORTRANGE(""1ljo_MifcmFDCNF59UxR3-3g4XI2XSRJ3WpZcUkp6so8"",""Form Responses 1!B:B""),A21)&gt;0,10,),)"),"")</f>
        <v/>
      </c>
      <c r="H21" s="59" t="str">
        <f>IFERROR(__xludf.DUMMYFUNCTION("IFERROR(VLOOKUP(A21,IMPORTRANGE(""1PBvrHm3dgtcno-UApCGo6dIU4auKbeIJC2SC7k36T64"",""Form Responses 1!B:C""),2,FALSE),)"),"")</f>
        <v/>
      </c>
      <c r="I21" s="60" t="str">
        <f>IFERROR(__xludf.DUMMYFUNCTION("IFERROR(VLOOKUP(A21,IMPORTRANGE(""13P_qT6pKDynUZR0_aswSscwX8dw4UhPyIL8ohovayVc
"",""Form Responses 1!B:C""),2,FALSE),)"),"")</f>
        <v/>
      </c>
      <c r="J21" s="60" t="str">
        <f>IFERROR(__xludf.DUMMYFUNCTION("IFERROR(VLOOKUP(A21,IMPORTRANGE(""16B_HaxNdsb7BY3AQ0xKagDsjOLkfb_DjPkxPwEpn8gc
"",""Form Responses 1!B:C""),2,FALSE),)"),"")</f>
        <v/>
      </c>
      <c r="K21" s="60" t="str">
        <f>IFERROR(__xludf.DUMMYFUNCTION("IFERROR(VLOOKUP(A21,IMPORTRANGE(""1bUO_1Nv9gx3vZE_-m4w6HiuWUM1u8qsaqKByYyla14Q"",""Form Responses 1!B:C""),2,FALSE),)"),"")</f>
        <v/>
      </c>
      <c r="L21" s="59" t="str">
        <f>IFERROR(__xludf.DUMMYFUNCTION("IFERROR(IF(COUNTIF(IMPORTRANGE(""1SG2BnFOinBZsm3_Rx1BzD670E652svXjlzWieKobj9o"",""Form Responses 1!B:B""),A21)&gt;0,10,),0)"),"")</f>
        <v/>
      </c>
      <c r="M21" s="60" t="str">
        <f>IFERROR(__xludf.DUMMYFUNCTION("IFERROR(VLOOKUP(A21,IMPORTRANGE(""1Zpz_ArqUHJZzCwyJqFKkEASeqFw0lZ4HLK4wQdLXj3w
"",""Form Responses 1!B:C""),2,FALSE),)"),"")</f>
        <v/>
      </c>
      <c r="N21" s="60" t="str">
        <f>IFERROR(__xludf.DUMMYFUNCTION("IFERROR(VLOOKUP(A21,IMPORTRANGE(""1c318JgcKMkTMtHFS6SjH7x3TAnZwddcZMI9Jx-B9VOM
"",""Form Responses 1!B:C""),2,FALSE),)"),"")</f>
        <v/>
      </c>
      <c r="O21" s="60" t="str">
        <f>IFERROR(__xludf.DUMMYFUNCTION("IFERROR(VLOOKUP(A21,IMPORTRANGE(""1kp8AvADOUteLDy1-i5F9JvR64ee_UwN5UoIn-tH5zPQ
"",""Form Responses 1!B:C""),2,FALSE),)"),"")</f>
        <v/>
      </c>
      <c r="P21" s="60" t="str">
        <f>IFERROR(__xludf.DUMMYFUNCTION("IFERROR(VLOOKUP(A21,IMPORTRANGE(""1PSjtsRk3dryPdI2Zls_iIpRgVVwBTGQ0ryRujA_ayZ0"",""Form Responses 1!B:C""),2,FALSE),)"),"")</f>
        <v/>
      </c>
      <c r="Q21" s="59" t="str">
        <f>IFERROR(__xludf.DUMMYFUNCTION("IFERROR(VLOOKUP(TRIM(A21),IMPORTRANGE(""1ciMZmE3_Ia8QatZf9u-RYqeCzLjcP66olwhReBx-Pwc"",""Form Responses 1!B:C""),2,0),"""")"),"")</f>
        <v/>
      </c>
      <c r="R21" s="60" t="str">
        <f>IFERROR(__xludf.DUMMYFUNCTION("IFERROR(VLOOKUP(TRIM(A21),IMPORTRANGE(""1dEvtr9f2UAemMjkvEwBFPyuEw3YQPqez4Kgo-0l7vS4"",""Form Responses 1!B:C""),2,0),"""")"),"")</f>
        <v/>
      </c>
      <c r="S21" s="60" t="str">
        <f>IFERROR(__xludf.DUMMYFUNCTION("IFERROR(VLOOKUP(TRIM(A21),IMPORTRANGE(""1B6nP1Ts7cF60F-9DocMTsAaVFKfuimLnUoxweBavHeU"",""Form Responses 1!B:C""),2,0),"""")"),"")</f>
        <v/>
      </c>
      <c r="T21" s="60" t="str">
        <f>IFERROR(__xludf.DUMMYFUNCTION("IFERROR(VLOOKUP(TRIM(A21),IMPORTRANGE(""1Urfs_Vy5SE9U8tp1-UR-7FoEAxcNy8MifWBH8GiFXd8"",""Form Responses 1!B:C""),2,0),"""")"),"")</f>
        <v/>
      </c>
      <c r="U21" s="60" t="str">
        <f>IFERROR(__xludf.DUMMYFUNCTION("IFERROR(VLOOKUP(TRIM(A21),IMPORTRANGE(""1aXWUim-N4mxaoEzA3XAIdaDH-QYLEvzF2WdP7MGXYAE"",""Form Responses 1!B:C""),2,0),"""")"),"")</f>
        <v/>
      </c>
      <c r="V21" s="63"/>
      <c r="W21" s="62" t="str">
        <f>IFERROR(__xludf.DUMMYFUNCTION("IFERROR(1/(1/MAX(
  IFERROR(VLOOKUP(TRIM(A21),IMPORTRANGE(""1ZA1PTk3mXTxdasMFIUL3_HnhZbSrjlYI0jroyR74oDM"",""Form Responses 1!B:C""),2,0),),
  IFERROR(VLOOKUP(TRIM(A21),IMPORTRANGE(""197C8yvLyfR59JPOCjQdNv3jtQAWqA9lyzhiAtksREXI"",""Form Responses 1!B:C"")"&amp;",2,0),)
)),)"),"")</f>
        <v/>
      </c>
      <c r="X21" s="62" t="str">
        <f>IFERROR(__xludf.DUMMYFUNCTION("IFERROR(VLOOKUP(TRIM(A21),IMPORTRANGE(""1S55NQGXzV1_qOWKXpsQUC871e5j71TNZ9qXJwwhlcsg"",""Form Responses 1!B:C""),2,0),"""")"),"")</f>
        <v/>
      </c>
      <c r="Y21" s="62" t="str">
        <f>IFERROR(__xludf.DUMMYFUNCTION("IFERROR(VLOOKUP(TRIM(A21),IMPORTRANGE(""1tpV5_mFhbN6YKRuO1MZvSbUMIPr8PmwiNyIZJpY0iKs"",""Form Responses 1!B:C""),2,0),"""")"),"")</f>
        <v/>
      </c>
      <c r="Z21" s="62" t="str">
        <f>IFERROR(__xludf.DUMMYFUNCTION("IFERROR(VLOOKUP(TRIM(A21),IMPORTRANGE(""1wfMRO2uDQNJ1PCwTpHdQ8iUrPUKVHyvbfqf8TasTViU"",""Form Responses 1!B:C""),2,0),"""")"),"")</f>
        <v/>
      </c>
      <c r="AA21" s="62" t="str">
        <f>IFERROR(__xludf.DUMMYFUNCTION("IFERROR(VLOOKUP(TRIM(A21),IMPORTRANGE(""1ZOlAPpjCs7qXcQpCvrHzmJ4FOraZ9bKV8IEd78oT7sE"",""Form Responses 1!B:C""),2,0),"""")"),"")</f>
        <v/>
      </c>
      <c r="AB21" s="62" t="str">
        <f>IFERROR(__xludf.DUMMYFUNCTION("IFERROR(VLOOKUP(TRIM(A21),IMPORTRANGE(""1oPrvVT6QDWEUmx87GoqLd1CXTtfLo6WfrreUocg_I08"",""Form Responses 1!B:C""),2,0),"""")"),"")</f>
        <v/>
      </c>
      <c r="AC21" s="62" t="str">
        <f>IFERROR(__xludf.DUMMYFUNCTION("IFERROR(VLOOKUP(TRIM(A21),IMPORTRANGE(""1WKNusCM8GAvNDFdV2AjY5sTwyti4BFZk9I1rFa74mxo"",""Form Responses 1!B:C""),2,0),"""")"),"")</f>
        <v/>
      </c>
      <c r="AD21" s="62" t="str">
        <f>IFERROR(__xludf.DUMMYFUNCTION("IFERROR(VLOOKUP(TRIM(A21),IMPORTRANGE(""1ezPhPfgGBlZIzMnymbnrUr2FhcM_6Sv_nk0hxcbuzTQ"",""Form Responses 1!B:C""),2,0),"""")"),"")</f>
        <v/>
      </c>
      <c r="AE21" s="62" t="str">
        <f>IFERROR(__xludf.DUMMYFUNCTION("IFERROR(VLOOKUP(TRIM(A21),IMPORTRANGE(""1nCvx2881PQ64OQinwpUfP8HphDEhFD0vPRxp_AAAdlM"",""Form Responses 1!B:C""),2,0),"""")"),"")</f>
        <v/>
      </c>
      <c r="AF21" s="62" t="str">
        <f>IFERROR(__xludf.DUMMYFUNCTION("IFERROR(VLOOKUP(TRIM(A21),IMPORTRANGE(""1cImVBctl3mh_jlEmJoy6CEEFe_DDCxRGkjB_Jp-qsU8"",""Form Responses 1!B:C""),2,0),"""")"),"")</f>
        <v/>
      </c>
      <c r="AG21" s="57"/>
      <c r="AH21" s="57"/>
      <c r="AI21" s="57"/>
      <c r="AJ21" s="57"/>
      <c r="AK21" s="57"/>
      <c r="AL21" s="57"/>
      <c r="AM21" s="57"/>
      <c r="AN21" s="57"/>
      <c r="AO21" s="57"/>
      <c r="AP21" s="57"/>
      <c r="AQ21" s="57"/>
      <c r="AR21" s="57"/>
      <c r="AS21" s="57"/>
      <c r="AT21" s="57"/>
      <c r="AU21" s="57"/>
      <c r="AV21" s="57"/>
      <c r="AW21" s="57"/>
      <c r="AX21" s="57"/>
      <c r="AY21" s="57"/>
      <c r="AZ21" s="57"/>
    </row>
    <row r="22">
      <c r="A22" s="56" t="s">
        <v>226</v>
      </c>
      <c r="B22" s="57">
        <f>IFERROR(__xludf.DUMMYFUNCTION("IFERROR(IF(COUNTIF(IMPORTRANGE(""1oiajwiBxoDIOBcD_uKarGHJIrskYi3nXyI9FyWq8IFk"",""Form Responses 1!B:B""),A22)&gt;0,10,),0)"),10.0)</f>
        <v>10</v>
      </c>
      <c r="C22" s="57">
        <f>IFERROR(__xludf.DUMMYFUNCTION("IFERROR(VLOOKUP(A22,IMPORTRANGE(""1PRkBNvF7wRBbJGtbM1I7-V_ej5mmlgF4cwmp64ilJGQ"",""Form Responses 1!B:C""),2,FALSE),)"),0.0)</f>
        <v>0</v>
      </c>
      <c r="D22" s="57">
        <f>IFERROR(__xludf.DUMMYFUNCTION("IFERROR(VLOOKUP(A22,IMPORTRANGE(""1rSBnjICjC9324bzLIQpakQH2kn1-6by9fz9jLCcefTs"",""Form Responses 1!B:C""),2,FALSE),)"),30.0)</f>
        <v>30</v>
      </c>
      <c r="E22" s="57">
        <f>IFERROR(__xludf.DUMMYFUNCTION("IFERROR(VLOOKUP(A22,IMPORTRANGE(""1OvNQShTkB7b8btd44zAgP-KkGS7dJ0BEd6wMgBISDs0"",""Form Responses 1!B:C""),2,FALSE),)"),25.0)</f>
        <v>25</v>
      </c>
      <c r="F22" s="57">
        <f>IFERROR(__xludf.DUMMYFUNCTION("IFERROR(IF(COUNTIF(IMPORTRANGE(""13ZZ2q5-JsneAoCxE8QLqs1Ycj8WSgN9hPRza9XUMv_4"",""Form Responses 1!B:B""),A22)&gt;0,20,),)"),20.0)</f>
        <v>20</v>
      </c>
      <c r="G22" s="58" t="str">
        <f>IFERROR(__xludf.DUMMYFUNCTION("IFERROR(IF(COUNTIF(IMPORTRANGE(""1ljo_MifcmFDCNF59UxR3-3g4XI2XSRJ3WpZcUkp6so8"",""Form Responses 1!B:B""),A22)&gt;0,10,),)"),"")</f>
        <v/>
      </c>
      <c r="H22" s="59">
        <f>IFERROR(__xludf.DUMMYFUNCTION("IFERROR(VLOOKUP(A22,IMPORTRANGE(""1PBvrHm3dgtcno-UApCGo6dIU4auKbeIJC2SC7k36T64"",""Form Responses 1!B:C""),2,FALSE),)"),6.0)</f>
        <v>6</v>
      </c>
      <c r="I22" s="60">
        <f>IFERROR(__xludf.DUMMYFUNCTION("IFERROR(VLOOKUP(A22,IMPORTRANGE(""13P_qT6pKDynUZR0_aswSscwX8dw4UhPyIL8ohovayVc
"",""Form Responses 1!B:C""),2,FALSE),)"),3.0)</f>
        <v>3</v>
      </c>
      <c r="J22" s="60">
        <f>IFERROR(__xludf.DUMMYFUNCTION("IFERROR(VLOOKUP(A22,IMPORTRANGE(""16B_HaxNdsb7BY3AQ0xKagDsjOLkfb_DjPkxPwEpn8gc
"",""Form Responses 1!B:C""),2,FALSE),)"),0.0)</f>
        <v>0</v>
      </c>
      <c r="K22" s="60" t="str">
        <f>IFERROR(__xludf.DUMMYFUNCTION("IFERROR(VLOOKUP(A22,IMPORTRANGE(""1bUO_1Nv9gx3vZE_-m4w6HiuWUM1u8qsaqKByYyla14Q"",""Form Responses 1!B:C""),2,FALSE),)"),"")</f>
        <v/>
      </c>
      <c r="L22" s="59">
        <f>IFERROR(__xludf.DUMMYFUNCTION("IFERROR(IF(COUNTIF(IMPORTRANGE(""1SG2BnFOinBZsm3_Rx1BzD670E652svXjlzWieKobj9o"",""Form Responses 1!B:B""),A22)&gt;0,10,),0)"),10.0)</f>
        <v>10</v>
      </c>
      <c r="M22" s="60">
        <f>IFERROR(__xludf.DUMMYFUNCTION("IFERROR(VLOOKUP(A22,IMPORTRANGE(""1Zpz_ArqUHJZzCwyJqFKkEASeqFw0lZ4HLK4wQdLXj3w
"",""Form Responses 1!B:C""),2,FALSE),)"),6.0)</f>
        <v>6</v>
      </c>
      <c r="N22" s="60">
        <f>IFERROR(__xludf.DUMMYFUNCTION("IFERROR(VLOOKUP(A22,IMPORTRANGE(""1c318JgcKMkTMtHFS6SjH7x3TAnZwddcZMI9Jx-B9VOM
"",""Form Responses 1!B:C""),2,FALSE),)"),9.0)</f>
        <v>9</v>
      </c>
      <c r="O22" s="60">
        <f>IFERROR(__xludf.DUMMYFUNCTION("IFERROR(VLOOKUP(A22,IMPORTRANGE(""1kp8AvADOUteLDy1-i5F9JvR64ee_UwN5UoIn-tH5zPQ
"",""Form Responses 1!B:C""),2,FALSE),)"),6.0)</f>
        <v>6</v>
      </c>
      <c r="P22" s="60">
        <f>IFERROR(__xludf.DUMMYFUNCTION("IFERROR(VLOOKUP(A22,IMPORTRANGE(""1PSjtsRk3dryPdI2Zls_iIpRgVVwBTGQ0ryRujA_ayZ0"",""Form Responses 1!B:C""),2,FALSE),)"),14.0)</f>
        <v>14</v>
      </c>
      <c r="Q22" s="59">
        <f>IFERROR(__xludf.DUMMYFUNCTION("IFERROR(VLOOKUP(TRIM(A22),IMPORTRANGE(""1ciMZmE3_Ia8QatZf9u-RYqeCzLjcP66olwhReBx-Pwc"",""Form Responses 1!B:C""),2,0),"""")"),3.0)</f>
        <v>3</v>
      </c>
      <c r="R22" s="60" t="str">
        <f>IFERROR(__xludf.DUMMYFUNCTION("IFERROR(VLOOKUP(TRIM(A22),IMPORTRANGE(""1dEvtr9f2UAemMjkvEwBFPyuEw3YQPqez4Kgo-0l7vS4"",""Form Responses 1!B:C""),2,0),"""")"),"")</f>
        <v/>
      </c>
      <c r="S22" s="60" t="str">
        <f>IFERROR(__xludf.DUMMYFUNCTION("IFERROR(VLOOKUP(TRIM(A22),IMPORTRANGE(""1B6nP1Ts7cF60F-9DocMTsAaVFKfuimLnUoxweBavHeU"",""Form Responses 1!B:C""),2,0),"""")"),"")</f>
        <v/>
      </c>
      <c r="T22" s="60" t="str">
        <f>IFERROR(__xludf.DUMMYFUNCTION("IFERROR(VLOOKUP(TRIM(A22),IMPORTRANGE(""1Urfs_Vy5SE9U8tp1-UR-7FoEAxcNy8MifWBH8GiFXd8"",""Form Responses 1!B:C""),2,0),"""")"),"")</f>
        <v/>
      </c>
      <c r="U22" s="60" t="str">
        <f>IFERROR(__xludf.DUMMYFUNCTION("IFERROR(VLOOKUP(TRIM(A22),IMPORTRANGE(""1aXWUim-N4mxaoEzA3XAIdaDH-QYLEvzF2WdP7MGXYAE"",""Form Responses 1!B:C""),2,0),"""")"),"")</f>
        <v/>
      </c>
      <c r="V22" s="63"/>
      <c r="W22" s="62">
        <f>IFERROR(__xludf.DUMMYFUNCTION("IFERROR(1/(1/MAX(
  IFERROR(VLOOKUP(TRIM(A22),IMPORTRANGE(""1ZA1PTk3mXTxdasMFIUL3_HnhZbSrjlYI0jroyR74oDM"",""Form Responses 1!B:C""),2,0),),
  IFERROR(VLOOKUP(TRIM(A22),IMPORTRANGE(""197C8yvLyfR59JPOCjQdNv3jtQAWqA9lyzhiAtksREXI"",""Form Responses 1!B:C"")"&amp;",2,0),)
)),)"),9.0)</f>
        <v>9</v>
      </c>
      <c r="X22" s="62" t="str">
        <f>IFERROR(__xludf.DUMMYFUNCTION("IFERROR(VLOOKUP(TRIM(A22),IMPORTRANGE(""1S55NQGXzV1_qOWKXpsQUC871e5j71TNZ9qXJwwhlcsg"",""Form Responses 1!B:C""),2,0),"""")"),"")</f>
        <v/>
      </c>
      <c r="Y22" s="62" t="str">
        <f>IFERROR(__xludf.DUMMYFUNCTION("IFERROR(VLOOKUP(TRIM(A22),IMPORTRANGE(""1tpV5_mFhbN6YKRuO1MZvSbUMIPr8PmwiNyIZJpY0iKs"",""Form Responses 1!B:C""),2,0),"""")"),"")</f>
        <v/>
      </c>
      <c r="Z22" s="62" t="str">
        <f>IFERROR(__xludf.DUMMYFUNCTION("IFERROR(VLOOKUP(TRIM(A22),IMPORTRANGE(""1wfMRO2uDQNJ1PCwTpHdQ8iUrPUKVHyvbfqf8TasTViU"",""Form Responses 1!B:C""),2,0),"""")"),"")</f>
        <v/>
      </c>
      <c r="AA22" s="62" t="str">
        <f>IFERROR(__xludf.DUMMYFUNCTION("IFERROR(VLOOKUP(TRIM(A22),IMPORTRANGE(""1ZOlAPpjCs7qXcQpCvrHzmJ4FOraZ9bKV8IEd78oT7sE"",""Form Responses 1!B:C""),2,0),"""")"),"")</f>
        <v/>
      </c>
      <c r="AB22" s="62" t="str">
        <f>IFERROR(__xludf.DUMMYFUNCTION("IFERROR(VLOOKUP(TRIM(A22),IMPORTRANGE(""1oPrvVT6QDWEUmx87GoqLd1CXTtfLo6WfrreUocg_I08"",""Form Responses 1!B:C""),2,0),"""")"),"")</f>
        <v/>
      </c>
      <c r="AC22" s="62" t="str">
        <f>IFERROR(__xludf.DUMMYFUNCTION("IFERROR(VLOOKUP(TRIM(A22),IMPORTRANGE(""1WKNusCM8GAvNDFdV2AjY5sTwyti4BFZk9I1rFa74mxo"",""Form Responses 1!B:C""),2,0),"""")"),"")</f>
        <v/>
      </c>
      <c r="AD22" s="62" t="str">
        <f>IFERROR(__xludf.DUMMYFUNCTION("IFERROR(VLOOKUP(TRIM(A22),IMPORTRANGE(""1ezPhPfgGBlZIzMnymbnrUr2FhcM_6Sv_nk0hxcbuzTQ"",""Form Responses 1!B:C""),2,0),"""")"),"")</f>
        <v/>
      </c>
      <c r="AE22" s="62" t="str">
        <f>IFERROR(__xludf.DUMMYFUNCTION("IFERROR(VLOOKUP(TRIM(A22),IMPORTRANGE(""1nCvx2881PQ64OQinwpUfP8HphDEhFD0vPRxp_AAAdlM"",""Form Responses 1!B:C""),2,0),"""")"),"")</f>
        <v/>
      </c>
      <c r="AF22" s="62" t="str">
        <f>IFERROR(__xludf.DUMMYFUNCTION("IFERROR(VLOOKUP(TRIM(A22),IMPORTRANGE(""1cImVBctl3mh_jlEmJoy6CEEFe_DDCxRGkjB_Jp-qsU8"",""Form Responses 1!B:C""),2,0),"""")"),"")</f>
        <v/>
      </c>
      <c r="AG22" s="57"/>
      <c r="AH22" s="57"/>
      <c r="AI22" s="57"/>
      <c r="AJ22" s="57"/>
      <c r="AK22" s="57"/>
      <c r="AL22" s="57"/>
      <c r="AM22" s="57"/>
      <c r="AN22" s="57"/>
      <c r="AO22" s="57"/>
      <c r="AP22" s="57"/>
      <c r="AQ22" s="57"/>
      <c r="AR22" s="57"/>
      <c r="AS22" s="57"/>
      <c r="AT22" s="57"/>
      <c r="AU22" s="57"/>
      <c r="AV22" s="57"/>
      <c r="AW22" s="57"/>
      <c r="AX22" s="57"/>
      <c r="AY22" s="57"/>
      <c r="AZ22" s="57"/>
    </row>
    <row r="23">
      <c r="A23" s="56" t="s">
        <v>227</v>
      </c>
      <c r="B23" s="57">
        <f>IFERROR(__xludf.DUMMYFUNCTION("IFERROR(IF(COUNTIF(IMPORTRANGE(""1oiajwiBxoDIOBcD_uKarGHJIrskYi3nXyI9FyWq8IFk"",""Form Responses 1!B:B""),A23)&gt;0,10,),0)"),10.0)</f>
        <v>10</v>
      </c>
      <c r="C23" s="57">
        <f>IFERROR(__xludf.DUMMYFUNCTION("IFERROR(VLOOKUP(A23,IMPORTRANGE(""1PRkBNvF7wRBbJGtbM1I7-V_ej5mmlgF4cwmp64ilJGQ"",""Form Responses 1!B:C""),2,FALSE),)"),0.0)</f>
        <v>0</v>
      </c>
      <c r="D23" s="57">
        <f>IFERROR(__xludf.DUMMYFUNCTION("IFERROR(VLOOKUP(A23,IMPORTRANGE(""1rSBnjICjC9324bzLIQpakQH2kn1-6by9fz9jLCcefTs"",""Form Responses 1!B:C""),2,FALSE),)"),10.0)</f>
        <v>10</v>
      </c>
      <c r="E23" s="57" t="str">
        <f>IFERROR(__xludf.DUMMYFUNCTION("IFERROR(VLOOKUP(A23,IMPORTRANGE(""1OvNQShTkB7b8btd44zAgP-KkGS7dJ0BEd6wMgBISDs0"",""Form Responses 1!B:C""),2,FALSE),)"),"")</f>
        <v/>
      </c>
      <c r="F23" s="57" t="str">
        <f>IFERROR(__xludf.DUMMYFUNCTION("IFERROR(IF(COUNTIF(IMPORTRANGE(""13ZZ2q5-JsneAoCxE8QLqs1Ycj8WSgN9hPRza9XUMv_4"",""Form Responses 1!B:B""),A23)&gt;0,20,),)"),"")</f>
        <v/>
      </c>
      <c r="G23" s="58" t="str">
        <f>IFERROR(__xludf.DUMMYFUNCTION("IFERROR(IF(COUNTIF(IMPORTRANGE(""1ljo_MifcmFDCNF59UxR3-3g4XI2XSRJ3WpZcUkp6so8"",""Form Responses 1!B:B""),A23)&gt;0,10,),)"),"")</f>
        <v/>
      </c>
      <c r="H23" s="59">
        <f>IFERROR(__xludf.DUMMYFUNCTION("IFERROR(VLOOKUP(A23,IMPORTRANGE(""1PBvrHm3dgtcno-UApCGo6dIU4auKbeIJC2SC7k36T64"",""Form Responses 1!B:C""),2,FALSE),)"),0.0)</f>
        <v>0</v>
      </c>
      <c r="I23" s="60" t="str">
        <f>IFERROR(__xludf.DUMMYFUNCTION("IFERROR(VLOOKUP(A23,IMPORTRANGE(""13P_qT6pKDynUZR0_aswSscwX8dw4UhPyIL8ohovayVc
"",""Form Responses 1!B:C""),2,FALSE),)"),"")</f>
        <v/>
      </c>
      <c r="J23" s="60" t="str">
        <f>IFERROR(__xludf.DUMMYFUNCTION("IFERROR(VLOOKUP(A23,IMPORTRANGE(""16B_HaxNdsb7BY3AQ0xKagDsjOLkfb_DjPkxPwEpn8gc
"",""Form Responses 1!B:C""),2,FALSE),)"),"")</f>
        <v/>
      </c>
      <c r="K23" s="60" t="str">
        <f>IFERROR(__xludf.DUMMYFUNCTION("IFERROR(VLOOKUP(A23,IMPORTRANGE(""1bUO_1Nv9gx3vZE_-m4w6HiuWUM1u8qsaqKByYyla14Q"",""Form Responses 1!B:C""),2,FALSE),)"),"")</f>
        <v/>
      </c>
      <c r="L23" s="59">
        <f>IFERROR(__xludf.DUMMYFUNCTION("IFERROR(IF(COUNTIF(IMPORTRANGE(""1SG2BnFOinBZsm3_Rx1BzD670E652svXjlzWieKobj9o"",""Form Responses 1!B:B""),A23)&gt;0,10,),0)"),10.0)</f>
        <v>10</v>
      </c>
      <c r="M23" s="60" t="str">
        <f>IFERROR(__xludf.DUMMYFUNCTION("IFERROR(VLOOKUP(A23,IMPORTRANGE(""1Zpz_ArqUHJZzCwyJqFKkEASeqFw0lZ4HLK4wQdLXj3w
"",""Form Responses 1!B:C""),2,FALSE),)"),"")</f>
        <v/>
      </c>
      <c r="N23" s="60" t="str">
        <f>IFERROR(__xludf.DUMMYFUNCTION("IFERROR(VLOOKUP(A23,IMPORTRANGE(""1c318JgcKMkTMtHFS6SjH7x3TAnZwddcZMI9Jx-B9VOM
"",""Form Responses 1!B:C""),2,FALSE),)"),"")</f>
        <v/>
      </c>
      <c r="O23" s="60" t="str">
        <f>IFERROR(__xludf.DUMMYFUNCTION("IFERROR(VLOOKUP(A23,IMPORTRANGE(""1kp8AvADOUteLDy1-i5F9JvR64ee_UwN5UoIn-tH5zPQ
"",""Form Responses 1!B:C""),2,FALSE),)"),"")</f>
        <v/>
      </c>
      <c r="P23" s="60">
        <f>IFERROR(__xludf.DUMMYFUNCTION("IFERROR(VLOOKUP(A23,IMPORTRANGE(""1PSjtsRk3dryPdI2Zls_iIpRgVVwBTGQ0ryRujA_ayZ0"",""Form Responses 1!B:C""),2,FALSE),)"),3.0)</f>
        <v>3</v>
      </c>
      <c r="Q23" s="59">
        <f>IFERROR(__xludf.DUMMYFUNCTION("IFERROR(VLOOKUP(TRIM(A23),IMPORTRANGE(""1ciMZmE3_Ia8QatZf9u-RYqeCzLjcP66olwhReBx-Pwc"",""Form Responses 1!B:C""),2,0),"""")"),4.0)</f>
        <v>4</v>
      </c>
      <c r="R23" s="60">
        <f>IFERROR(__xludf.DUMMYFUNCTION("IFERROR(VLOOKUP(TRIM(A23),IMPORTRANGE(""1dEvtr9f2UAemMjkvEwBFPyuEw3YQPqez4Kgo-0l7vS4"",""Form Responses 1!B:C""),2,0),"""")"),0.0)</f>
        <v>0</v>
      </c>
      <c r="S23" s="60">
        <f>IFERROR(__xludf.DUMMYFUNCTION("IFERROR(VLOOKUP(TRIM(A23),IMPORTRANGE(""1B6nP1Ts7cF60F-9DocMTsAaVFKfuimLnUoxweBavHeU"",""Form Responses 1!B:C""),2,0),"""")"),2.0)</f>
        <v>2</v>
      </c>
      <c r="T23" s="60">
        <f>IFERROR(__xludf.DUMMYFUNCTION("IFERROR(VLOOKUP(TRIM(A23),IMPORTRANGE(""1Urfs_Vy5SE9U8tp1-UR-7FoEAxcNy8MifWBH8GiFXd8"",""Form Responses 1!B:C""),2,0),"""")"),0.0)</f>
        <v>0</v>
      </c>
      <c r="U23" s="60">
        <f>IFERROR(__xludf.DUMMYFUNCTION("IFERROR(VLOOKUP(TRIM(A23),IMPORTRANGE(""1aXWUim-N4mxaoEzA3XAIdaDH-QYLEvzF2WdP7MGXYAE"",""Form Responses 1!B:C""),2,0),"""")"),3.0)</f>
        <v>3</v>
      </c>
      <c r="V23" s="63"/>
      <c r="W23" s="62" t="str">
        <f>IFERROR(__xludf.DUMMYFUNCTION("IFERROR(1/(1/MAX(
  IFERROR(VLOOKUP(TRIM(A23),IMPORTRANGE(""1ZA1PTk3mXTxdasMFIUL3_HnhZbSrjlYI0jroyR74oDM"",""Form Responses 1!B:C""),2,0),),
  IFERROR(VLOOKUP(TRIM(A23),IMPORTRANGE(""197C8yvLyfR59JPOCjQdNv3jtQAWqA9lyzhiAtksREXI"",""Form Responses 1!B:C"")"&amp;",2,0),)
)),)"),"")</f>
        <v/>
      </c>
      <c r="X23" s="62">
        <f>IFERROR(__xludf.DUMMYFUNCTION("IFERROR(VLOOKUP(TRIM(A23),IMPORTRANGE(""1S55NQGXzV1_qOWKXpsQUC871e5j71TNZ9qXJwwhlcsg"",""Form Responses 1!B:C""),2,0),"""")"),5.0)</f>
        <v>5</v>
      </c>
      <c r="Y23" s="62">
        <f>IFERROR(__xludf.DUMMYFUNCTION("IFERROR(VLOOKUP(TRIM(A23),IMPORTRANGE(""1tpV5_mFhbN6YKRuO1MZvSbUMIPr8PmwiNyIZJpY0iKs"",""Form Responses 1!B:C""),2,0),"""")"),0.0)</f>
        <v>0</v>
      </c>
      <c r="Z23" s="62" t="str">
        <f>IFERROR(__xludf.DUMMYFUNCTION("IFERROR(VLOOKUP(TRIM(A23),IMPORTRANGE(""1wfMRO2uDQNJ1PCwTpHdQ8iUrPUKVHyvbfqf8TasTViU"",""Form Responses 1!B:C""),2,0),"""")"),"")</f>
        <v/>
      </c>
      <c r="AA23" s="62" t="str">
        <f>IFERROR(__xludf.DUMMYFUNCTION("IFERROR(VLOOKUP(TRIM(A23),IMPORTRANGE(""1ZOlAPpjCs7qXcQpCvrHzmJ4FOraZ9bKV8IEd78oT7sE"",""Form Responses 1!B:C""),2,0),"""")"),"")</f>
        <v/>
      </c>
      <c r="AB23" s="62">
        <f>IFERROR(__xludf.DUMMYFUNCTION("IFERROR(VLOOKUP(TRIM(A23),IMPORTRANGE(""1oPrvVT6QDWEUmx87GoqLd1CXTtfLo6WfrreUocg_I08"",""Form Responses 1!B:C""),2,0),"""")"),6.0)</f>
        <v>6</v>
      </c>
      <c r="AC23" s="62">
        <f>IFERROR(__xludf.DUMMYFUNCTION("IFERROR(VLOOKUP(TRIM(A23),IMPORTRANGE(""1WKNusCM8GAvNDFdV2AjY5sTwyti4BFZk9I1rFa74mxo"",""Form Responses 1!B:C""),2,0),"""")"),0.0)</f>
        <v>0</v>
      </c>
      <c r="AD23" s="62">
        <f>IFERROR(__xludf.DUMMYFUNCTION("IFERROR(VLOOKUP(TRIM(A23),IMPORTRANGE(""1ezPhPfgGBlZIzMnymbnrUr2FhcM_6Sv_nk0hxcbuzTQ"",""Form Responses 1!B:C""),2,0),"""")"),5.0)</f>
        <v>5</v>
      </c>
      <c r="AE23" s="62" t="str">
        <f>IFERROR(__xludf.DUMMYFUNCTION("IFERROR(VLOOKUP(TRIM(A23),IMPORTRANGE(""1nCvx2881PQ64OQinwpUfP8HphDEhFD0vPRxp_AAAdlM"",""Form Responses 1!B:C""),2,0),"""")"),"")</f>
        <v/>
      </c>
      <c r="AF23" s="62" t="str">
        <f>IFERROR(__xludf.DUMMYFUNCTION("IFERROR(VLOOKUP(TRIM(A23),IMPORTRANGE(""1cImVBctl3mh_jlEmJoy6CEEFe_DDCxRGkjB_Jp-qsU8"",""Form Responses 1!B:C""),2,0),"""")"),"")</f>
        <v/>
      </c>
      <c r="AG23" s="57"/>
      <c r="AH23" s="57"/>
      <c r="AI23" s="57"/>
      <c r="AJ23" s="57"/>
      <c r="AK23" s="57"/>
      <c r="AL23" s="57"/>
      <c r="AM23" s="57"/>
      <c r="AN23" s="57"/>
      <c r="AO23" s="57"/>
      <c r="AP23" s="57"/>
      <c r="AQ23" s="57"/>
      <c r="AR23" s="57"/>
      <c r="AS23" s="57"/>
      <c r="AT23" s="57"/>
      <c r="AU23" s="57"/>
      <c r="AV23" s="57"/>
      <c r="AW23" s="57"/>
      <c r="AX23" s="57"/>
      <c r="AY23" s="57"/>
      <c r="AZ23" s="57"/>
    </row>
    <row r="24">
      <c r="A24" s="56" t="s">
        <v>228</v>
      </c>
      <c r="B24" s="57">
        <f>IFERROR(__xludf.DUMMYFUNCTION("IFERROR(IF(COUNTIF(IMPORTRANGE(""1oiajwiBxoDIOBcD_uKarGHJIrskYi3nXyI9FyWq8IFk"",""Form Responses 1!B:B""),A24)&gt;0,10,),0)"),10.0)</f>
        <v>10</v>
      </c>
      <c r="C24" s="57">
        <f>IFERROR(__xludf.DUMMYFUNCTION("IFERROR(VLOOKUP(A24,IMPORTRANGE(""1PRkBNvF7wRBbJGtbM1I7-V_ej5mmlgF4cwmp64ilJGQ"",""Form Responses 1!B:C""),2,FALSE),)"),0.0)</f>
        <v>0</v>
      </c>
      <c r="D24" s="57">
        <f>IFERROR(__xludf.DUMMYFUNCTION("IFERROR(VLOOKUP(A24,IMPORTRANGE(""1rSBnjICjC9324bzLIQpakQH2kn1-6by9fz9jLCcefTs"",""Form Responses 1!B:C""),2,FALSE),)"),30.0)</f>
        <v>30</v>
      </c>
      <c r="E24" s="57" t="str">
        <f>IFERROR(__xludf.DUMMYFUNCTION("IFERROR(VLOOKUP(A24,IMPORTRANGE(""1OvNQShTkB7b8btd44zAgP-KkGS7dJ0BEd6wMgBISDs0"",""Form Responses 1!B:C""),2,FALSE),)"),"")</f>
        <v/>
      </c>
      <c r="F24" s="57">
        <f>IFERROR(__xludf.DUMMYFUNCTION("IFERROR(IF(COUNTIF(IMPORTRANGE(""13ZZ2q5-JsneAoCxE8QLqs1Ycj8WSgN9hPRza9XUMv_4"",""Form Responses 1!B:B""),A24)&gt;0,20,),)"),20.0)</f>
        <v>20</v>
      </c>
      <c r="G24" s="58" t="str">
        <f>IFERROR(__xludf.DUMMYFUNCTION("IFERROR(IF(COUNTIF(IMPORTRANGE(""1ljo_MifcmFDCNF59UxR3-3g4XI2XSRJ3WpZcUkp6so8"",""Form Responses 1!B:B""),A24)&gt;0,10,),)"),"")</f>
        <v/>
      </c>
      <c r="H24" s="59" t="str">
        <f>IFERROR(__xludf.DUMMYFUNCTION("IFERROR(VLOOKUP(A24,IMPORTRANGE(""1PBvrHm3dgtcno-UApCGo6dIU4auKbeIJC2SC7k36T64"",""Form Responses 1!B:C""),2,FALSE),)"),"")</f>
        <v/>
      </c>
      <c r="I24" s="60" t="str">
        <f>IFERROR(__xludf.DUMMYFUNCTION("IFERROR(VLOOKUP(A24,IMPORTRANGE(""13P_qT6pKDynUZR0_aswSscwX8dw4UhPyIL8ohovayVc
"",""Form Responses 1!B:C""),2,FALSE),)"),"")</f>
        <v/>
      </c>
      <c r="J24" s="60" t="str">
        <f>IFERROR(__xludf.DUMMYFUNCTION("IFERROR(VLOOKUP(A24,IMPORTRANGE(""16B_HaxNdsb7BY3AQ0xKagDsjOLkfb_DjPkxPwEpn8gc
"",""Form Responses 1!B:C""),2,FALSE),)"),"")</f>
        <v/>
      </c>
      <c r="K24" s="60">
        <f>IFERROR(__xludf.DUMMYFUNCTION("IFERROR(VLOOKUP(A24,IMPORTRANGE(""1bUO_1Nv9gx3vZE_-m4w6HiuWUM1u8qsaqKByYyla14Q"",""Form Responses 1!B:C""),2,FALSE),)"),2.0)</f>
        <v>2</v>
      </c>
      <c r="L24" s="59">
        <f>IFERROR(__xludf.DUMMYFUNCTION("IFERROR(IF(COUNTIF(IMPORTRANGE(""1SG2BnFOinBZsm3_Rx1BzD670E652svXjlzWieKobj9o"",""Form Responses 1!B:B""),A24)&gt;0,10,),0)"),10.0)</f>
        <v>10</v>
      </c>
      <c r="M24" s="60" t="str">
        <f>IFERROR(__xludf.DUMMYFUNCTION("IFERROR(VLOOKUP(A24,IMPORTRANGE(""1Zpz_ArqUHJZzCwyJqFKkEASeqFw0lZ4HLK4wQdLXj3w
"",""Form Responses 1!B:C""),2,FALSE),)"),"")</f>
        <v/>
      </c>
      <c r="N24" s="60" t="str">
        <f>IFERROR(__xludf.DUMMYFUNCTION("IFERROR(VLOOKUP(A24,IMPORTRANGE(""1c318JgcKMkTMtHFS6SjH7x3TAnZwddcZMI9Jx-B9VOM
"",""Form Responses 1!B:C""),2,FALSE),)"),"")</f>
        <v/>
      </c>
      <c r="O24" s="60">
        <f>IFERROR(__xludf.DUMMYFUNCTION("IFERROR(VLOOKUP(A24,IMPORTRANGE(""1kp8AvADOUteLDy1-i5F9JvR64ee_UwN5UoIn-tH5zPQ
"",""Form Responses 1!B:C""),2,FALSE),)"),18.0)</f>
        <v>18</v>
      </c>
      <c r="P24" s="60">
        <f>IFERROR(__xludf.DUMMYFUNCTION("IFERROR(VLOOKUP(A24,IMPORTRANGE(""1PSjtsRk3dryPdI2Zls_iIpRgVVwBTGQ0ryRujA_ayZ0"",""Form Responses 1!B:C""),2,FALSE),)"),6.0)</f>
        <v>6</v>
      </c>
      <c r="Q24" s="59">
        <f>IFERROR(__xludf.DUMMYFUNCTION("IFERROR(VLOOKUP(TRIM(A24),IMPORTRANGE(""1ciMZmE3_Ia8QatZf9u-RYqeCzLjcP66olwhReBx-Pwc"",""Form Responses 1!B:C""),2,0),"""")"),7.0)</f>
        <v>7</v>
      </c>
      <c r="R24" s="60" t="str">
        <f>IFERROR(__xludf.DUMMYFUNCTION("IFERROR(VLOOKUP(TRIM(A24),IMPORTRANGE(""1dEvtr9f2UAemMjkvEwBFPyuEw3YQPqez4Kgo-0l7vS4"",""Form Responses 1!B:C""),2,0),"""")"),"")</f>
        <v/>
      </c>
      <c r="S24" s="60" t="str">
        <f>IFERROR(__xludf.DUMMYFUNCTION("IFERROR(VLOOKUP(TRIM(A24),IMPORTRANGE(""1B6nP1Ts7cF60F-9DocMTsAaVFKfuimLnUoxweBavHeU"",""Form Responses 1!B:C""),2,0),"""")"),"")</f>
        <v/>
      </c>
      <c r="T24" s="60" t="str">
        <f>IFERROR(__xludf.DUMMYFUNCTION("IFERROR(VLOOKUP(TRIM(A24),IMPORTRANGE(""1Urfs_Vy5SE9U8tp1-UR-7FoEAxcNy8MifWBH8GiFXd8"",""Form Responses 1!B:C""),2,0),"""")"),"")</f>
        <v/>
      </c>
      <c r="U24" s="60" t="str">
        <f>IFERROR(__xludf.DUMMYFUNCTION("IFERROR(VLOOKUP(TRIM(A24),IMPORTRANGE(""1aXWUim-N4mxaoEzA3XAIdaDH-QYLEvzF2WdP7MGXYAE"",""Form Responses 1!B:C""),2,0),"""")"),"")</f>
        <v/>
      </c>
      <c r="V24" s="63"/>
      <c r="W24" s="62" t="str">
        <f>IFERROR(__xludf.DUMMYFUNCTION("IFERROR(1/(1/MAX(
  IFERROR(VLOOKUP(TRIM(A24),IMPORTRANGE(""1ZA1PTk3mXTxdasMFIUL3_HnhZbSrjlYI0jroyR74oDM"",""Form Responses 1!B:C""),2,0),),
  IFERROR(VLOOKUP(TRIM(A24),IMPORTRANGE(""197C8yvLyfR59JPOCjQdNv3jtQAWqA9lyzhiAtksREXI"",""Form Responses 1!B:C"")"&amp;",2,0),)
)),)"),"")</f>
        <v/>
      </c>
      <c r="X24" s="62" t="str">
        <f>IFERROR(__xludf.DUMMYFUNCTION("IFERROR(VLOOKUP(TRIM(A24),IMPORTRANGE(""1S55NQGXzV1_qOWKXpsQUC871e5j71TNZ9qXJwwhlcsg"",""Form Responses 1!B:C""),2,0),"""")"),"")</f>
        <v/>
      </c>
      <c r="Y24" s="62" t="str">
        <f>IFERROR(__xludf.DUMMYFUNCTION("IFERROR(VLOOKUP(TRIM(A24),IMPORTRANGE(""1tpV5_mFhbN6YKRuO1MZvSbUMIPr8PmwiNyIZJpY0iKs"",""Form Responses 1!B:C""),2,0),"""")"),"")</f>
        <v/>
      </c>
      <c r="Z24" s="62" t="str">
        <f>IFERROR(__xludf.DUMMYFUNCTION("IFERROR(VLOOKUP(TRIM(A24),IMPORTRANGE(""1wfMRO2uDQNJ1PCwTpHdQ8iUrPUKVHyvbfqf8TasTViU"",""Form Responses 1!B:C""),2,0),"""")"),"")</f>
        <v/>
      </c>
      <c r="AA24" s="62" t="str">
        <f>IFERROR(__xludf.DUMMYFUNCTION("IFERROR(VLOOKUP(TRIM(A24),IMPORTRANGE(""1ZOlAPpjCs7qXcQpCvrHzmJ4FOraZ9bKV8IEd78oT7sE"",""Form Responses 1!B:C""),2,0),"""")"),"")</f>
        <v/>
      </c>
      <c r="AB24" s="62" t="str">
        <f>IFERROR(__xludf.DUMMYFUNCTION("IFERROR(VLOOKUP(TRIM(A24),IMPORTRANGE(""1oPrvVT6QDWEUmx87GoqLd1CXTtfLo6WfrreUocg_I08"",""Form Responses 1!B:C""),2,0),"""")"),"")</f>
        <v/>
      </c>
      <c r="AC24" s="62" t="str">
        <f>IFERROR(__xludf.DUMMYFUNCTION("IFERROR(VLOOKUP(TRIM(A24),IMPORTRANGE(""1WKNusCM8GAvNDFdV2AjY5sTwyti4BFZk9I1rFa74mxo"",""Form Responses 1!B:C""),2,0),"""")"),"")</f>
        <v/>
      </c>
      <c r="AD24" s="62" t="str">
        <f>IFERROR(__xludf.DUMMYFUNCTION("IFERROR(VLOOKUP(TRIM(A24),IMPORTRANGE(""1ezPhPfgGBlZIzMnymbnrUr2FhcM_6Sv_nk0hxcbuzTQ"",""Form Responses 1!B:C""),2,0),"""")"),"")</f>
        <v/>
      </c>
      <c r="AE24" s="62" t="str">
        <f>IFERROR(__xludf.DUMMYFUNCTION("IFERROR(VLOOKUP(TRIM(A24),IMPORTRANGE(""1nCvx2881PQ64OQinwpUfP8HphDEhFD0vPRxp_AAAdlM"",""Form Responses 1!B:C""),2,0),"""")"),"")</f>
        <v/>
      </c>
      <c r="AF24" s="62" t="str">
        <f>IFERROR(__xludf.DUMMYFUNCTION("IFERROR(VLOOKUP(TRIM(A24),IMPORTRANGE(""1cImVBctl3mh_jlEmJoy6CEEFe_DDCxRGkjB_Jp-qsU8"",""Form Responses 1!B:C""),2,0),"""")"),"")</f>
        <v/>
      </c>
      <c r="AG24" s="57"/>
      <c r="AH24" s="57"/>
      <c r="AI24" s="57"/>
      <c r="AJ24" s="57"/>
      <c r="AK24" s="57"/>
      <c r="AL24" s="57"/>
      <c r="AM24" s="57"/>
      <c r="AN24" s="57"/>
      <c r="AO24" s="57"/>
      <c r="AP24" s="57"/>
      <c r="AQ24" s="57"/>
      <c r="AR24" s="57"/>
      <c r="AS24" s="57"/>
      <c r="AT24" s="57"/>
      <c r="AU24" s="57"/>
      <c r="AV24" s="57"/>
      <c r="AW24" s="57"/>
      <c r="AX24" s="57"/>
      <c r="AY24" s="57"/>
      <c r="AZ24" s="57"/>
    </row>
    <row r="25">
      <c r="A25" s="56" t="s">
        <v>229</v>
      </c>
      <c r="B25" s="57">
        <f>IFERROR(__xludf.DUMMYFUNCTION("IFERROR(IF(COUNTIF(IMPORTRANGE(""1oiajwiBxoDIOBcD_uKarGHJIrskYi3nXyI9FyWq8IFk"",""Form Responses 1!B:B""),A25)&gt;0,10,),0)"),10.0)</f>
        <v>10</v>
      </c>
      <c r="C25" s="57">
        <f>IFERROR(__xludf.DUMMYFUNCTION("IFERROR(VLOOKUP(A25,IMPORTRANGE(""1PRkBNvF7wRBbJGtbM1I7-V_ej5mmlgF4cwmp64ilJGQ"",""Form Responses 1!B:C""),2,FALSE),)"),10.0)</f>
        <v>10</v>
      </c>
      <c r="D25" s="57">
        <f>IFERROR(__xludf.DUMMYFUNCTION("IFERROR(VLOOKUP(A25,IMPORTRANGE(""1rSBnjICjC9324bzLIQpakQH2kn1-6by9fz9jLCcefTs"",""Form Responses 1!B:C""),2,FALSE),)"),30.0)</f>
        <v>30</v>
      </c>
      <c r="E25" s="57" t="str">
        <f>IFERROR(__xludf.DUMMYFUNCTION("IFERROR(VLOOKUP(A25,IMPORTRANGE(""1OvNQShTkB7b8btd44zAgP-KkGS7dJ0BEd6wMgBISDs0"",""Form Responses 1!B:C""),2,FALSE),)"),"")</f>
        <v/>
      </c>
      <c r="F25" s="57">
        <f>IFERROR(__xludf.DUMMYFUNCTION("IFERROR(IF(COUNTIF(IMPORTRANGE(""13ZZ2q5-JsneAoCxE8QLqs1Ycj8WSgN9hPRza9XUMv_4"",""Form Responses 1!B:B""),A25)&gt;0,20,),)"),20.0)</f>
        <v>20</v>
      </c>
      <c r="G25" s="58" t="str">
        <f>IFERROR(__xludf.DUMMYFUNCTION("IFERROR(IF(COUNTIF(IMPORTRANGE(""1ljo_MifcmFDCNF59UxR3-3g4XI2XSRJ3WpZcUkp6so8"",""Form Responses 1!B:B""),A25)&gt;0,10,),)"),"")</f>
        <v/>
      </c>
      <c r="H25" s="59">
        <f>IFERROR(__xludf.DUMMYFUNCTION("IFERROR(VLOOKUP(A25,IMPORTRANGE(""1PBvrHm3dgtcno-UApCGo6dIU4auKbeIJC2SC7k36T64"",""Form Responses 1!B:C""),2,FALSE),)"),3.0)</f>
        <v>3</v>
      </c>
      <c r="I25" s="60">
        <f>IFERROR(__xludf.DUMMYFUNCTION("IFERROR(VLOOKUP(A25,IMPORTRANGE(""13P_qT6pKDynUZR0_aswSscwX8dw4UhPyIL8ohovayVc
"",""Form Responses 1!B:C""),2,FALSE),)"),6.0)</f>
        <v>6</v>
      </c>
      <c r="J25" s="60">
        <f>IFERROR(__xludf.DUMMYFUNCTION("IFERROR(VLOOKUP(A25,IMPORTRANGE(""16B_HaxNdsb7BY3AQ0xKagDsjOLkfb_DjPkxPwEpn8gc
"",""Form Responses 1!B:C""),2,FALSE),)"),9.0)</f>
        <v>9</v>
      </c>
      <c r="K25" s="60">
        <f>IFERROR(__xludf.DUMMYFUNCTION("IFERROR(VLOOKUP(A25,IMPORTRANGE(""1bUO_1Nv9gx3vZE_-m4w6HiuWUM1u8qsaqKByYyla14Q"",""Form Responses 1!B:C""),2,FALSE),)"),4.0)</f>
        <v>4</v>
      </c>
      <c r="L25" s="59" t="str">
        <f>IFERROR(__xludf.DUMMYFUNCTION("IFERROR(IF(COUNTIF(IMPORTRANGE(""1SG2BnFOinBZsm3_Rx1BzD670E652svXjlzWieKobj9o"",""Form Responses 1!B:B""),A25)&gt;0,10,),0)"),"")</f>
        <v/>
      </c>
      <c r="M25" s="60" t="str">
        <f>IFERROR(__xludf.DUMMYFUNCTION("IFERROR(VLOOKUP(A25,IMPORTRANGE(""1Zpz_ArqUHJZzCwyJqFKkEASeqFw0lZ4HLK4wQdLXj3w
"",""Form Responses 1!B:C""),2,FALSE),)"),"")</f>
        <v/>
      </c>
      <c r="N25" s="60" t="str">
        <f>IFERROR(__xludf.DUMMYFUNCTION("IFERROR(VLOOKUP(A25,IMPORTRANGE(""1c318JgcKMkTMtHFS6SjH7x3TAnZwddcZMI9Jx-B9VOM
"",""Form Responses 1!B:C""),2,FALSE),)"),"")</f>
        <v/>
      </c>
      <c r="O25" s="60" t="str">
        <f>IFERROR(__xludf.DUMMYFUNCTION("IFERROR(VLOOKUP(A25,IMPORTRANGE(""1kp8AvADOUteLDy1-i5F9JvR64ee_UwN5UoIn-tH5zPQ
"",""Form Responses 1!B:C""),2,FALSE),)"),"")</f>
        <v/>
      </c>
      <c r="P25" s="60">
        <f>IFERROR(__xludf.DUMMYFUNCTION("IFERROR(VLOOKUP(A25,IMPORTRANGE(""1PSjtsRk3dryPdI2Zls_iIpRgVVwBTGQ0ryRujA_ayZ0"",""Form Responses 1!B:C""),2,FALSE),)"),11.0)</f>
        <v>11</v>
      </c>
      <c r="Q25" s="59" t="str">
        <f>IFERROR(__xludf.DUMMYFUNCTION("IFERROR(VLOOKUP(TRIM(A25),IMPORTRANGE(""1ciMZmE3_Ia8QatZf9u-RYqeCzLjcP66olwhReBx-Pwc"",""Form Responses 1!B:C""),2,0),"""")"),"")</f>
        <v/>
      </c>
      <c r="R25" s="60" t="str">
        <f>IFERROR(__xludf.DUMMYFUNCTION("IFERROR(VLOOKUP(TRIM(A25),IMPORTRANGE(""1dEvtr9f2UAemMjkvEwBFPyuEw3YQPqez4Kgo-0l7vS4"",""Form Responses 1!B:C""),2,0),"""")"),"")</f>
        <v/>
      </c>
      <c r="S25" s="60" t="str">
        <f>IFERROR(__xludf.DUMMYFUNCTION("IFERROR(VLOOKUP(TRIM(A25),IMPORTRANGE(""1B6nP1Ts7cF60F-9DocMTsAaVFKfuimLnUoxweBavHeU"",""Form Responses 1!B:C""),2,0),"""")"),"")</f>
        <v/>
      </c>
      <c r="T25" s="60" t="str">
        <f>IFERROR(__xludf.DUMMYFUNCTION("IFERROR(VLOOKUP(TRIM(A25),IMPORTRANGE(""1Urfs_Vy5SE9U8tp1-UR-7FoEAxcNy8MifWBH8GiFXd8"",""Form Responses 1!B:C""),2,0),"""")"),"")</f>
        <v/>
      </c>
      <c r="U25" s="60" t="str">
        <f>IFERROR(__xludf.DUMMYFUNCTION("IFERROR(VLOOKUP(TRIM(A25),IMPORTRANGE(""1aXWUim-N4mxaoEzA3XAIdaDH-QYLEvzF2WdP7MGXYAE"",""Form Responses 1!B:C""),2,0),"""")"),"")</f>
        <v/>
      </c>
      <c r="V25" s="61">
        <v>56.0</v>
      </c>
      <c r="W25" s="62">
        <f>IFERROR(__xludf.DUMMYFUNCTION("IFERROR(1/(1/MAX(
  IFERROR(VLOOKUP(TRIM(A25),IMPORTRANGE(""1ZA1PTk3mXTxdasMFIUL3_HnhZbSrjlYI0jroyR74oDM"",""Form Responses 1!B:C""),2,0),),
  IFERROR(VLOOKUP(TRIM(A25),IMPORTRANGE(""197C8yvLyfR59JPOCjQdNv3jtQAWqA9lyzhiAtksREXI"",""Form Responses 1!B:C"")"&amp;",2,0),)
)),)"),10.0)</f>
        <v>10</v>
      </c>
      <c r="X25" s="62" t="str">
        <f>IFERROR(__xludf.DUMMYFUNCTION("IFERROR(VLOOKUP(TRIM(A25),IMPORTRANGE(""1S55NQGXzV1_qOWKXpsQUC871e5j71TNZ9qXJwwhlcsg"",""Form Responses 1!B:C""),2,0),"""")"),"")</f>
        <v/>
      </c>
      <c r="Y25" s="62" t="str">
        <f>IFERROR(__xludf.DUMMYFUNCTION("IFERROR(VLOOKUP(TRIM(A25),IMPORTRANGE(""1tpV5_mFhbN6YKRuO1MZvSbUMIPr8PmwiNyIZJpY0iKs"",""Form Responses 1!B:C""),2,0),"""")"),"")</f>
        <v/>
      </c>
      <c r="Z25" s="62" t="str">
        <f>IFERROR(__xludf.DUMMYFUNCTION("IFERROR(VLOOKUP(TRIM(A25),IMPORTRANGE(""1wfMRO2uDQNJ1PCwTpHdQ8iUrPUKVHyvbfqf8TasTViU"",""Form Responses 1!B:C""),2,0),"""")"),"")</f>
        <v/>
      </c>
      <c r="AA25" s="62" t="str">
        <f>IFERROR(__xludf.DUMMYFUNCTION("IFERROR(VLOOKUP(TRIM(A25),IMPORTRANGE(""1ZOlAPpjCs7qXcQpCvrHzmJ4FOraZ9bKV8IEd78oT7sE"",""Form Responses 1!B:C""),2,0),"""")"),"")</f>
        <v/>
      </c>
      <c r="AB25" s="62">
        <f>IFERROR(__xludf.DUMMYFUNCTION("IFERROR(VLOOKUP(TRIM(A25),IMPORTRANGE(""1oPrvVT6QDWEUmx87GoqLd1CXTtfLo6WfrreUocg_I08"",""Form Responses 1!B:C""),2,0),"""")"),9.0)</f>
        <v>9</v>
      </c>
      <c r="AC25" s="62" t="str">
        <f>IFERROR(__xludf.DUMMYFUNCTION("IFERROR(VLOOKUP(TRIM(A25),IMPORTRANGE(""1WKNusCM8GAvNDFdV2AjY5sTwyti4BFZk9I1rFa74mxo"",""Form Responses 1!B:C""),2,0),"""")"),"")</f>
        <v/>
      </c>
      <c r="AD25" s="62" t="str">
        <f>IFERROR(__xludf.DUMMYFUNCTION("IFERROR(VLOOKUP(TRIM(A25),IMPORTRANGE(""1ezPhPfgGBlZIzMnymbnrUr2FhcM_6Sv_nk0hxcbuzTQ"",""Form Responses 1!B:C""),2,0),"""")"),"")</f>
        <v/>
      </c>
      <c r="AE25" s="62" t="str">
        <f>IFERROR(__xludf.DUMMYFUNCTION("IFERROR(VLOOKUP(TRIM(A25),IMPORTRANGE(""1nCvx2881PQ64OQinwpUfP8HphDEhFD0vPRxp_AAAdlM"",""Form Responses 1!B:C""),2,0),"""")"),"")</f>
        <v/>
      </c>
      <c r="AF25" s="62" t="str">
        <f>IFERROR(__xludf.DUMMYFUNCTION("IFERROR(VLOOKUP(TRIM(A25),IMPORTRANGE(""1cImVBctl3mh_jlEmJoy6CEEFe_DDCxRGkjB_Jp-qsU8"",""Form Responses 1!B:C""),2,0),"""")"),"")</f>
        <v/>
      </c>
      <c r="AG25" s="57"/>
      <c r="AH25" s="57"/>
      <c r="AI25" s="57"/>
      <c r="AJ25" s="57"/>
      <c r="AK25" s="57"/>
      <c r="AL25" s="57"/>
      <c r="AM25" s="57"/>
      <c r="AN25" s="57"/>
      <c r="AO25" s="57"/>
      <c r="AP25" s="57"/>
      <c r="AQ25" s="57"/>
      <c r="AR25" s="57"/>
      <c r="AS25" s="57"/>
      <c r="AT25" s="57"/>
      <c r="AU25" s="57"/>
      <c r="AV25" s="57"/>
      <c r="AW25" s="57"/>
      <c r="AX25" s="57"/>
      <c r="AY25" s="57"/>
      <c r="AZ25" s="57"/>
    </row>
    <row r="26">
      <c r="A26" s="56" t="s">
        <v>230</v>
      </c>
      <c r="B26" s="57">
        <f>IFERROR(__xludf.DUMMYFUNCTION("IFERROR(IF(COUNTIF(IMPORTRANGE(""1oiajwiBxoDIOBcD_uKarGHJIrskYi3nXyI9FyWq8IFk"",""Form Responses 1!B:B""),A26)&gt;0,10,),0)"),10.0)</f>
        <v>10</v>
      </c>
      <c r="C26" s="57">
        <f>IFERROR(__xludf.DUMMYFUNCTION("IFERROR(VLOOKUP(A26,IMPORTRANGE(""1PRkBNvF7wRBbJGtbM1I7-V_ej5mmlgF4cwmp64ilJGQ"",""Form Responses 1!B:C""),2,FALSE),)"),15.0)</f>
        <v>15</v>
      </c>
      <c r="D26" s="57">
        <f>IFERROR(__xludf.DUMMYFUNCTION("IFERROR(VLOOKUP(A26,IMPORTRANGE(""1rSBnjICjC9324bzLIQpakQH2kn1-6by9fz9jLCcefTs"",""Form Responses 1!B:C""),2,FALSE),)"),25.0)</f>
        <v>25</v>
      </c>
      <c r="E26" s="57">
        <f>IFERROR(__xludf.DUMMYFUNCTION("IFERROR(VLOOKUP(A26,IMPORTRANGE(""1OvNQShTkB7b8btd44zAgP-KkGS7dJ0BEd6wMgBISDs0"",""Form Responses 1!B:C""),2,FALSE),)"),25.0)</f>
        <v>25</v>
      </c>
      <c r="F26" s="57">
        <f>IFERROR(__xludf.DUMMYFUNCTION("IFERROR(IF(COUNTIF(IMPORTRANGE(""13ZZ2q5-JsneAoCxE8QLqs1Ycj8WSgN9hPRza9XUMv_4"",""Form Responses 1!B:B""),A26)&gt;0,20,),)"),20.0)</f>
        <v>20</v>
      </c>
      <c r="G26" s="58" t="str">
        <f>IFERROR(__xludf.DUMMYFUNCTION("IFERROR(IF(COUNTIF(IMPORTRANGE(""1ljo_MifcmFDCNF59UxR3-3g4XI2XSRJ3WpZcUkp6so8"",""Form Responses 1!B:B""),A26)&gt;0,10,),)"),"")</f>
        <v/>
      </c>
      <c r="H26" s="59">
        <f>IFERROR(__xludf.DUMMYFUNCTION("IFERROR(VLOOKUP(A26,IMPORTRANGE(""1PBvrHm3dgtcno-UApCGo6dIU4auKbeIJC2SC7k36T64"",""Form Responses 1!B:C""),2,FALSE),)"),8.0)</f>
        <v>8</v>
      </c>
      <c r="I26" s="60" t="str">
        <f>IFERROR(__xludf.DUMMYFUNCTION("IFERROR(VLOOKUP(A26,IMPORTRANGE(""13P_qT6pKDynUZR0_aswSscwX8dw4UhPyIL8ohovayVc
"",""Form Responses 1!B:C""),2,FALSE),)"),"")</f>
        <v/>
      </c>
      <c r="J26" s="60" t="str">
        <f>IFERROR(__xludf.DUMMYFUNCTION("IFERROR(VLOOKUP(A26,IMPORTRANGE(""16B_HaxNdsb7BY3AQ0xKagDsjOLkfb_DjPkxPwEpn8gc
"",""Form Responses 1!B:C""),2,FALSE),)"),"")</f>
        <v/>
      </c>
      <c r="K26" s="60" t="str">
        <f>IFERROR(__xludf.DUMMYFUNCTION("IFERROR(VLOOKUP(A26,IMPORTRANGE(""1bUO_1Nv9gx3vZE_-m4w6HiuWUM1u8qsaqKByYyla14Q"",""Form Responses 1!B:C""),2,FALSE),)"),"")</f>
        <v/>
      </c>
      <c r="L26" s="59" t="str">
        <f>IFERROR(__xludf.DUMMYFUNCTION("IFERROR(IF(COUNTIF(IMPORTRANGE(""1SG2BnFOinBZsm3_Rx1BzD670E652svXjlzWieKobj9o"",""Form Responses 1!B:B""),A26)&gt;0,10,),0)"),"")</f>
        <v/>
      </c>
      <c r="M26" s="60" t="str">
        <f>IFERROR(__xludf.DUMMYFUNCTION("IFERROR(VLOOKUP(A26,IMPORTRANGE(""1Zpz_ArqUHJZzCwyJqFKkEASeqFw0lZ4HLK4wQdLXj3w
"",""Form Responses 1!B:C""),2,FALSE),)"),"")</f>
        <v/>
      </c>
      <c r="N26" s="60" t="str">
        <f>IFERROR(__xludf.DUMMYFUNCTION("IFERROR(VLOOKUP(A26,IMPORTRANGE(""1c318JgcKMkTMtHFS6SjH7x3TAnZwddcZMI9Jx-B9VOM
"",""Form Responses 1!B:C""),2,FALSE),)"),"")</f>
        <v/>
      </c>
      <c r="O26" s="60" t="str">
        <f>IFERROR(__xludf.DUMMYFUNCTION("IFERROR(VLOOKUP(A26,IMPORTRANGE(""1kp8AvADOUteLDy1-i5F9JvR64ee_UwN5UoIn-tH5zPQ
"",""Form Responses 1!B:C""),2,FALSE),)"),"")</f>
        <v/>
      </c>
      <c r="P26" s="60" t="str">
        <f>IFERROR(__xludf.DUMMYFUNCTION("IFERROR(VLOOKUP(A26,IMPORTRANGE(""1PSjtsRk3dryPdI2Zls_iIpRgVVwBTGQ0ryRujA_ayZ0"",""Form Responses 1!B:C""),2,FALSE),)"),"")</f>
        <v/>
      </c>
      <c r="Q26" s="59" t="str">
        <f>IFERROR(__xludf.DUMMYFUNCTION("IFERROR(VLOOKUP(TRIM(A26),IMPORTRANGE(""1ciMZmE3_Ia8QatZf9u-RYqeCzLjcP66olwhReBx-Pwc"",""Form Responses 1!B:C""),2,0),"""")"),"")</f>
        <v/>
      </c>
      <c r="R26" s="60" t="str">
        <f>IFERROR(__xludf.DUMMYFUNCTION("IFERROR(VLOOKUP(TRIM(A26),IMPORTRANGE(""1dEvtr9f2UAemMjkvEwBFPyuEw3YQPqez4Kgo-0l7vS4"",""Form Responses 1!B:C""),2,0),"""")"),"")</f>
        <v/>
      </c>
      <c r="S26" s="60" t="str">
        <f>IFERROR(__xludf.DUMMYFUNCTION("IFERROR(VLOOKUP(TRIM(A26),IMPORTRANGE(""1B6nP1Ts7cF60F-9DocMTsAaVFKfuimLnUoxweBavHeU"",""Form Responses 1!B:C""),2,0),"""")"),"")</f>
        <v/>
      </c>
      <c r="T26" s="60" t="str">
        <f>IFERROR(__xludf.DUMMYFUNCTION("IFERROR(VLOOKUP(TRIM(A26),IMPORTRANGE(""1Urfs_Vy5SE9U8tp1-UR-7FoEAxcNy8MifWBH8GiFXd8"",""Form Responses 1!B:C""),2,0),"""")"),"")</f>
        <v/>
      </c>
      <c r="U26" s="60" t="str">
        <f>IFERROR(__xludf.DUMMYFUNCTION("IFERROR(VLOOKUP(TRIM(A26),IMPORTRANGE(""1aXWUim-N4mxaoEzA3XAIdaDH-QYLEvzF2WdP7MGXYAE"",""Form Responses 1!B:C""),2,0),"""")"),"")</f>
        <v/>
      </c>
      <c r="V26" s="61">
        <v>45.0</v>
      </c>
      <c r="W26" s="62" t="str">
        <f>IFERROR(__xludf.DUMMYFUNCTION("IFERROR(1/(1/MAX(
  IFERROR(VLOOKUP(TRIM(A26),IMPORTRANGE(""1ZA1PTk3mXTxdasMFIUL3_HnhZbSrjlYI0jroyR74oDM"",""Form Responses 1!B:C""),2,0),),
  IFERROR(VLOOKUP(TRIM(A26),IMPORTRANGE(""197C8yvLyfR59JPOCjQdNv3jtQAWqA9lyzhiAtksREXI"",""Form Responses 1!B:C"")"&amp;",2,0),)
)),)"),"")</f>
        <v/>
      </c>
      <c r="X26" s="62" t="str">
        <f>IFERROR(__xludf.DUMMYFUNCTION("IFERROR(VLOOKUP(TRIM(A26),IMPORTRANGE(""1S55NQGXzV1_qOWKXpsQUC871e5j71TNZ9qXJwwhlcsg"",""Form Responses 1!B:C""),2,0),"""")"),"")</f>
        <v/>
      </c>
      <c r="Y26" s="62" t="str">
        <f>IFERROR(__xludf.DUMMYFUNCTION("IFERROR(VLOOKUP(TRIM(A26),IMPORTRANGE(""1tpV5_mFhbN6YKRuO1MZvSbUMIPr8PmwiNyIZJpY0iKs"",""Form Responses 1!B:C""),2,0),"""")"),"")</f>
        <v/>
      </c>
      <c r="Z26" s="62" t="str">
        <f>IFERROR(__xludf.DUMMYFUNCTION("IFERROR(VLOOKUP(TRIM(A26),IMPORTRANGE(""1wfMRO2uDQNJ1PCwTpHdQ8iUrPUKVHyvbfqf8TasTViU"",""Form Responses 1!B:C""),2,0),"""")"),"")</f>
        <v/>
      </c>
      <c r="AA26" s="62" t="str">
        <f>IFERROR(__xludf.DUMMYFUNCTION("IFERROR(VLOOKUP(TRIM(A26),IMPORTRANGE(""1ZOlAPpjCs7qXcQpCvrHzmJ4FOraZ9bKV8IEd78oT7sE"",""Form Responses 1!B:C""),2,0),"""")"),"")</f>
        <v/>
      </c>
      <c r="AB26" s="62">
        <f>IFERROR(__xludf.DUMMYFUNCTION("IFERROR(VLOOKUP(TRIM(A26),IMPORTRANGE(""1oPrvVT6QDWEUmx87GoqLd1CXTtfLo6WfrreUocg_I08"",""Form Responses 1!B:C""),2,0),"""")"),12.0)</f>
        <v>12</v>
      </c>
      <c r="AC26" s="62">
        <f>IFERROR(__xludf.DUMMYFUNCTION("IFERROR(VLOOKUP(TRIM(A26),IMPORTRANGE(""1WKNusCM8GAvNDFdV2AjY5sTwyti4BFZk9I1rFa74mxo"",""Form Responses 1!B:C""),2,0),"""")"),7.0)</f>
        <v>7</v>
      </c>
      <c r="AD26" s="62" t="str">
        <f>IFERROR(__xludf.DUMMYFUNCTION("IFERROR(VLOOKUP(TRIM(A26),IMPORTRANGE(""1ezPhPfgGBlZIzMnymbnrUr2FhcM_6Sv_nk0hxcbuzTQ"",""Form Responses 1!B:C""),2,0),"""")"),"")</f>
        <v/>
      </c>
      <c r="AE26" s="62" t="str">
        <f>IFERROR(__xludf.DUMMYFUNCTION("IFERROR(VLOOKUP(TRIM(A26),IMPORTRANGE(""1nCvx2881PQ64OQinwpUfP8HphDEhFD0vPRxp_AAAdlM"",""Form Responses 1!B:C""),2,0),"""")"),"")</f>
        <v/>
      </c>
      <c r="AF26" s="62" t="str">
        <f>IFERROR(__xludf.DUMMYFUNCTION("IFERROR(VLOOKUP(TRIM(A26),IMPORTRANGE(""1cImVBctl3mh_jlEmJoy6CEEFe_DDCxRGkjB_Jp-qsU8"",""Form Responses 1!B:C""),2,0),"""")"),"")</f>
        <v/>
      </c>
      <c r="AG26" s="57"/>
      <c r="AH26" s="57"/>
      <c r="AI26" s="57"/>
      <c r="AJ26" s="57"/>
      <c r="AK26" s="57"/>
      <c r="AL26" s="57"/>
      <c r="AM26" s="57"/>
      <c r="AN26" s="57"/>
      <c r="AO26" s="57"/>
      <c r="AP26" s="57"/>
      <c r="AQ26" s="57"/>
      <c r="AR26" s="57"/>
      <c r="AS26" s="57"/>
      <c r="AT26" s="57"/>
      <c r="AU26" s="57"/>
      <c r="AV26" s="57"/>
      <c r="AW26" s="57"/>
      <c r="AX26" s="57"/>
      <c r="AY26" s="57"/>
      <c r="AZ26" s="57"/>
    </row>
    <row r="27">
      <c r="A27" s="56" t="s">
        <v>231</v>
      </c>
      <c r="B27" s="57">
        <f>IFERROR(__xludf.DUMMYFUNCTION("IFERROR(IF(COUNTIF(IMPORTRANGE(""1oiajwiBxoDIOBcD_uKarGHJIrskYi3nXyI9FyWq8IFk"",""Form Responses 1!B:B""),A27)&gt;0,10,),0)"),10.0)</f>
        <v>10</v>
      </c>
      <c r="C27" s="57">
        <f>IFERROR(__xludf.DUMMYFUNCTION("IFERROR(VLOOKUP(A27,IMPORTRANGE(""1PRkBNvF7wRBbJGtbM1I7-V_ej5mmlgF4cwmp64ilJGQ"",""Form Responses 1!B:C""),2,FALSE),)"),10.0)</f>
        <v>10</v>
      </c>
      <c r="D27" s="57">
        <f>IFERROR(__xludf.DUMMYFUNCTION("IFERROR(VLOOKUP(A27,IMPORTRANGE(""1rSBnjICjC9324bzLIQpakQH2kn1-6by9fz9jLCcefTs"",""Form Responses 1!B:C""),2,FALSE),)"),25.0)</f>
        <v>25</v>
      </c>
      <c r="E27" s="57">
        <f>IFERROR(__xludf.DUMMYFUNCTION("IFERROR(VLOOKUP(A27,IMPORTRANGE(""1OvNQShTkB7b8btd44zAgP-KkGS7dJ0BEd6wMgBISDs0"",""Form Responses 1!B:C""),2,FALSE),)"),5.0)</f>
        <v>5</v>
      </c>
      <c r="F27" s="57">
        <f>IFERROR(__xludf.DUMMYFUNCTION("IFERROR(IF(COUNTIF(IMPORTRANGE(""13ZZ2q5-JsneAoCxE8QLqs1Ycj8WSgN9hPRza9XUMv_4"",""Form Responses 1!B:B""),A27)&gt;0,20,),)"),20.0)</f>
        <v>20</v>
      </c>
      <c r="G27" s="58" t="str">
        <f>IFERROR(__xludf.DUMMYFUNCTION("IFERROR(IF(COUNTIF(IMPORTRANGE(""1ljo_MifcmFDCNF59UxR3-3g4XI2XSRJ3WpZcUkp6so8"",""Form Responses 1!B:B""),A27)&gt;0,10,),)"),"")</f>
        <v/>
      </c>
      <c r="H27" s="59">
        <f>IFERROR(__xludf.DUMMYFUNCTION("IFERROR(VLOOKUP(A27,IMPORTRANGE(""1PBvrHm3dgtcno-UApCGo6dIU4auKbeIJC2SC7k36T64"",""Form Responses 1!B:C""),2,FALSE),)"),9.0)</f>
        <v>9</v>
      </c>
      <c r="I27" s="60">
        <f>IFERROR(__xludf.DUMMYFUNCTION("IFERROR(VLOOKUP(A27,IMPORTRANGE(""13P_qT6pKDynUZR0_aswSscwX8dw4UhPyIL8ohovayVc
"",""Form Responses 1!B:C""),2,FALSE),)"),0.0)</f>
        <v>0</v>
      </c>
      <c r="J27" s="60" t="str">
        <f>IFERROR(__xludf.DUMMYFUNCTION("IFERROR(VLOOKUP(A27,IMPORTRANGE(""16B_HaxNdsb7BY3AQ0xKagDsjOLkfb_DjPkxPwEpn8gc
"",""Form Responses 1!B:C""),2,FALSE),)"),"")</f>
        <v/>
      </c>
      <c r="K27" s="60">
        <f>IFERROR(__xludf.DUMMYFUNCTION("IFERROR(VLOOKUP(A27,IMPORTRANGE(""1bUO_1Nv9gx3vZE_-m4w6HiuWUM1u8qsaqKByYyla14Q"",""Form Responses 1!B:C""),2,FALSE),)"),1.0)</f>
        <v>1</v>
      </c>
      <c r="L27" s="59" t="str">
        <f>IFERROR(__xludf.DUMMYFUNCTION("IFERROR(IF(COUNTIF(IMPORTRANGE(""1SG2BnFOinBZsm3_Rx1BzD670E652svXjlzWieKobj9o"",""Form Responses 1!B:B""),A27)&gt;0,10,),0)"),"")</f>
        <v/>
      </c>
      <c r="M27" s="60" t="str">
        <f>IFERROR(__xludf.DUMMYFUNCTION("IFERROR(VLOOKUP(A27,IMPORTRANGE(""1Zpz_ArqUHJZzCwyJqFKkEASeqFw0lZ4HLK4wQdLXj3w
"",""Form Responses 1!B:C""),2,FALSE),)"),"")</f>
        <v/>
      </c>
      <c r="N27" s="60" t="str">
        <f>IFERROR(__xludf.DUMMYFUNCTION("IFERROR(VLOOKUP(A27,IMPORTRANGE(""1c318JgcKMkTMtHFS6SjH7x3TAnZwddcZMI9Jx-B9VOM
"",""Form Responses 1!B:C""),2,FALSE),)"),"")</f>
        <v/>
      </c>
      <c r="O27" s="60" t="str">
        <f>IFERROR(__xludf.DUMMYFUNCTION("IFERROR(VLOOKUP(A27,IMPORTRANGE(""1kp8AvADOUteLDy1-i5F9JvR64ee_UwN5UoIn-tH5zPQ
"",""Form Responses 1!B:C""),2,FALSE),)"),"")</f>
        <v/>
      </c>
      <c r="P27" s="60">
        <f>IFERROR(__xludf.DUMMYFUNCTION("IFERROR(VLOOKUP(A27,IMPORTRANGE(""1PSjtsRk3dryPdI2Zls_iIpRgVVwBTGQ0ryRujA_ayZ0"",""Form Responses 1!B:C""),2,FALSE),)"),0.0)</f>
        <v>0</v>
      </c>
      <c r="Q27" s="59">
        <f>IFERROR(__xludf.DUMMYFUNCTION("IFERROR(VLOOKUP(TRIM(A27),IMPORTRANGE(""1ciMZmE3_Ia8QatZf9u-RYqeCzLjcP66olwhReBx-Pwc"",""Form Responses 1!B:C""),2,0),"""")"),4.0)</f>
        <v>4</v>
      </c>
      <c r="R27" s="60" t="str">
        <f>IFERROR(__xludf.DUMMYFUNCTION("IFERROR(VLOOKUP(TRIM(A27),IMPORTRANGE(""1dEvtr9f2UAemMjkvEwBFPyuEw3YQPqez4Kgo-0l7vS4"",""Form Responses 1!B:C""),2,0),"""")"),"")</f>
        <v/>
      </c>
      <c r="S27" s="60" t="str">
        <f>IFERROR(__xludf.DUMMYFUNCTION("IFERROR(VLOOKUP(TRIM(A27),IMPORTRANGE(""1B6nP1Ts7cF60F-9DocMTsAaVFKfuimLnUoxweBavHeU"",""Form Responses 1!B:C""),2,0),"""")"),"")</f>
        <v/>
      </c>
      <c r="T27" s="60" t="str">
        <f>IFERROR(__xludf.DUMMYFUNCTION("IFERROR(VLOOKUP(TRIM(A27),IMPORTRANGE(""1Urfs_Vy5SE9U8tp1-UR-7FoEAxcNy8MifWBH8GiFXd8"",""Form Responses 1!B:C""),2,0),"""")"),"")</f>
        <v/>
      </c>
      <c r="U27" s="60" t="str">
        <f>IFERROR(__xludf.DUMMYFUNCTION("IFERROR(VLOOKUP(TRIM(A27),IMPORTRANGE(""1aXWUim-N4mxaoEzA3XAIdaDH-QYLEvzF2WdP7MGXYAE"",""Form Responses 1!B:C""),2,0),"""")"),"")</f>
        <v/>
      </c>
      <c r="V27" s="61">
        <v>27.0</v>
      </c>
      <c r="W27" s="62" t="str">
        <f>IFERROR(__xludf.DUMMYFUNCTION("IFERROR(1/(1/MAX(
  IFERROR(VLOOKUP(TRIM(A27),IMPORTRANGE(""1ZA1PTk3mXTxdasMFIUL3_HnhZbSrjlYI0jroyR74oDM"",""Form Responses 1!B:C""),2,0),),
  IFERROR(VLOOKUP(TRIM(A27),IMPORTRANGE(""197C8yvLyfR59JPOCjQdNv3jtQAWqA9lyzhiAtksREXI"",""Form Responses 1!B:C"")"&amp;",2,0),)
)),)"),"")</f>
        <v/>
      </c>
      <c r="X27" s="62" t="str">
        <f>IFERROR(__xludf.DUMMYFUNCTION("IFERROR(VLOOKUP(TRIM(A27),IMPORTRANGE(""1S55NQGXzV1_qOWKXpsQUC871e5j71TNZ9qXJwwhlcsg"",""Form Responses 1!B:C""),2,0),"""")"),"")</f>
        <v/>
      </c>
      <c r="Y27" s="62" t="str">
        <f>IFERROR(__xludf.DUMMYFUNCTION("IFERROR(VLOOKUP(TRIM(A27),IMPORTRANGE(""1tpV5_mFhbN6YKRuO1MZvSbUMIPr8PmwiNyIZJpY0iKs"",""Form Responses 1!B:C""),2,0),"""")"),"")</f>
        <v/>
      </c>
      <c r="Z27" s="62" t="str">
        <f>IFERROR(__xludf.DUMMYFUNCTION("IFERROR(VLOOKUP(TRIM(A27),IMPORTRANGE(""1wfMRO2uDQNJ1PCwTpHdQ8iUrPUKVHyvbfqf8TasTViU"",""Form Responses 1!B:C""),2,0),"""")"),"")</f>
        <v/>
      </c>
      <c r="AA27" s="62" t="str">
        <f>IFERROR(__xludf.DUMMYFUNCTION("IFERROR(VLOOKUP(TRIM(A27),IMPORTRANGE(""1ZOlAPpjCs7qXcQpCvrHzmJ4FOraZ9bKV8IEd78oT7sE"",""Form Responses 1!B:C""),2,0),"""")"),"")</f>
        <v/>
      </c>
      <c r="AB27" s="62" t="str">
        <f>IFERROR(__xludf.DUMMYFUNCTION("IFERROR(VLOOKUP(TRIM(A27),IMPORTRANGE(""1oPrvVT6QDWEUmx87GoqLd1CXTtfLo6WfrreUocg_I08"",""Form Responses 1!B:C""),2,0),"""")"),"")</f>
        <v/>
      </c>
      <c r="AC27" s="62" t="str">
        <f>IFERROR(__xludf.DUMMYFUNCTION("IFERROR(VLOOKUP(TRIM(A27),IMPORTRANGE(""1WKNusCM8GAvNDFdV2AjY5sTwyti4BFZk9I1rFa74mxo"",""Form Responses 1!B:C""),2,0),"""")"),"")</f>
        <v/>
      </c>
      <c r="AD27" s="62" t="str">
        <f>IFERROR(__xludf.DUMMYFUNCTION("IFERROR(VLOOKUP(TRIM(A27),IMPORTRANGE(""1ezPhPfgGBlZIzMnymbnrUr2FhcM_6Sv_nk0hxcbuzTQ"",""Form Responses 1!B:C""),2,0),"""")"),"")</f>
        <v/>
      </c>
      <c r="AE27" s="62" t="str">
        <f>IFERROR(__xludf.DUMMYFUNCTION("IFERROR(VLOOKUP(TRIM(A27),IMPORTRANGE(""1nCvx2881PQ64OQinwpUfP8HphDEhFD0vPRxp_AAAdlM"",""Form Responses 1!B:C""),2,0),"""")"),"")</f>
        <v/>
      </c>
      <c r="AF27" s="62" t="str">
        <f>IFERROR(__xludf.DUMMYFUNCTION("IFERROR(VLOOKUP(TRIM(A27),IMPORTRANGE(""1cImVBctl3mh_jlEmJoy6CEEFe_DDCxRGkjB_Jp-qsU8"",""Form Responses 1!B:C""),2,0),"""")"),"")</f>
        <v/>
      </c>
      <c r="AG27" s="57"/>
      <c r="AH27" s="57"/>
      <c r="AI27" s="57"/>
      <c r="AJ27" s="57"/>
      <c r="AK27" s="57"/>
      <c r="AL27" s="57"/>
      <c r="AM27" s="57"/>
      <c r="AN27" s="57"/>
      <c r="AO27" s="57"/>
      <c r="AP27" s="57"/>
      <c r="AQ27" s="57"/>
      <c r="AR27" s="57"/>
      <c r="AS27" s="57"/>
      <c r="AT27" s="57"/>
      <c r="AU27" s="57"/>
      <c r="AV27" s="57"/>
      <c r="AW27" s="57"/>
      <c r="AX27" s="57"/>
      <c r="AY27" s="57"/>
      <c r="AZ27" s="57"/>
    </row>
    <row r="28">
      <c r="A28" s="56" t="s">
        <v>232</v>
      </c>
      <c r="B28" s="57">
        <f>IFERROR(__xludf.DUMMYFUNCTION("IFERROR(IF(COUNTIF(IMPORTRANGE(""1oiajwiBxoDIOBcD_uKarGHJIrskYi3nXyI9FyWq8IFk"",""Form Responses 1!B:B""),A28)&gt;0,10,),0)"),10.0)</f>
        <v>10</v>
      </c>
      <c r="C28" s="57">
        <f>IFERROR(__xludf.DUMMYFUNCTION("IFERROR(VLOOKUP(A28,IMPORTRANGE(""1PRkBNvF7wRBbJGtbM1I7-V_ej5mmlgF4cwmp64ilJGQ"",""Form Responses 1!B:C""),2,FALSE),)"),0.0)</f>
        <v>0</v>
      </c>
      <c r="D28" s="57" t="str">
        <f>IFERROR(__xludf.DUMMYFUNCTION("IFERROR(VLOOKUP(A28,IMPORTRANGE(""1rSBnjICjC9324bzLIQpakQH2kn1-6by9fz9jLCcefTs"",""Form Responses 1!B:C""),2,FALSE),)"),"")</f>
        <v/>
      </c>
      <c r="E28" s="57">
        <f>IFERROR(__xludf.DUMMYFUNCTION("IFERROR(VLOOKUP(A28,IMPORTRANGE(""1OvNQShTkB7b8btd44zAgP-KkGS7dJ0BEd6wMgBISDs0"",""Form Responses 1!B:C""),2,FALSE),)"),15.0)</f>
        <v>15</v>
      </c>
      <c r="F28" s="57" t="str">
        <f>IFERROR(__xludf.DUMMYFUNCTION("IFERROR(IF(COUNTIF(IMPORTRANGE(""13ZZ2q5-JsneAoCxE8QLqs1Ycj8WSgN9hPRza9XUMv_4"",""Form Responses 1!B:B""),A28)&gt;0,20,),)"),"")</f>
        <v/>
      </c>
      <c r="G28" s="58" t="str">
        <f>IFERROR(__xludf.DUMMYFUNCTION("IFERROR(IF(COUNTIF(IMPORTRANGE(""1ljo_MifcmFDCNF59UxR3-3g4XI2XSRJ3WpZcUkp6so8"",""Form Responses 1!B:B""),A28)&gt;0,10,),)"),"")</f>
        <v/>
      </c>
      <c r="H28" s="59">
        <f>IFERROR(__xludf.DUMMYFUNCTION("IFERROR(VLOOKUP(A28,IMPORTRANGE(""1PBvrHm3dgtcno-UApCGo6dIU4auKbeIJC2SC7k36T64"",""Form Responses 1!B:C""),2,FALSE),)"),11.0)</f>
        <v>11</v>
      </c>
      <c r="I28" s="60">
        <f>IFERROR(__xludf.DUMMYFUNCTION("IFERROR(VLOOKUP(A28,IMPORTRANGE(""13P_qT6pKDynUZR0_aswSscwX8dw4UhPyIL8ohovayVc
"",""Form Responses 1!B:C""),2,FALSE),)"),17.0)</f>
        <v>17</v>
      </c>
      <c r="J28" s="60">
        <f>IFERROR(__xludf.DUMMYFUNCTION("IFERROR(VLOOKUP(A28,IMPORTRANGE(""16B_HaxNdsb7BY3AQ0xKagDsjOLkfb_DjPkxPwEpn8gc
"",""Form Responses 1!B:C""),2,FALSE),)"),12.0)</f>
        <v>12</v>
      </c>
      <c r="K28" s="60">
        <f>IFERROR(__xludf.DUMMYFUNCTION("IFERROR(VLOOKUP(A28,IMPORTRANGE(""1bUO_1Nv9gx3vZE_-m4w6HiuWUM1u8qsaqKByYyla14Q"",""Form Responses 1!B:C""),2,FALSE),)"),10.0)</f>
        <v>10</v>
      </c>
      <c r="L28" s="59">
        <f>IFERROR(__xludf.DUMMYFUNCTION("IFERROR(IF(COUNTIF(IMPORTRANGE(""1SG2BnFOinBZsm3_Rx1BzD670E652svXjlzWieKobj9o"",""Form Responses 1!B:B""),A28)&gt;0,10,),0)"),10.0)</f>
        <v>10</v>
      </c>
      <c r="M28" s="60">
        <f>IFERROR(__xludf.DUMMYFUNCTION("IFERROR(VLOOKUP(A28,IMPORTRANGE(""1Zpz_ArqUHJZzCwyJqFKkEASeqFw0lZ4HLK4wQdLXj3w
"",""Form Responses 1!B:C""),2,FALSE),)"),15.0)</f>
        <v>15</v>
      </c>
      <c r="N28" s="60">
        <f>IFERROR(__xludf.DUMMYFUNCTION("IFERROR(VLOOKUP(A28,IMPORTRANGE(""1c318JgcKMkTMtHFS6SjH7x3TAnZwddcZMI9Jx-B9VOM
"",""Form Responses 1!B:C""),2,FALSE),)"),20.0)</f>
        <v>20</v>
      </c>
      <c r="O28" s="60">
        <f>IFERROR(__xludf.DUMMYFUNCTION("IFERROR(VLOOKUP(A28,IMPORTRANGE(""1kp8AvADOUteLDy1-i5F9JvR64ee_UwN5UoIn-tH5zPQ
"",""Form Responses 1!B:C""),2,FALSE),)"),20.0)</f>
        <v>20</v>
      </c>
      <c r="P28" s="60">
        <f>IFERROR(__xludf.DUMMYFUNCTION("IFERROR(VLOOKUP(A28,IMPORTRANGE(""1PSjtsRk3dryPdI2Zls_iIpRgVVwBTGQ0ryRujA_ayZ0"",""Form Responses 1!B:C""),2,FALSE),)"),18.0)</f>
        <v>18</v>
      </c>
      <c r="Q28" s="59">
        <f>IFERROR(__xludf.DUMMYFUNCTION("IFERROR(VLOOKUP(TRIM(A28),IMPORTRANGE(""1ciMZmE3_Ia8QatZf9u-RYqeCzLjcP66olwhReBx-Pwc"",""Form Responses 1!B:C""),2,0),"""")"),20.0)</f>
        <v>20</v>
      </c>
      <c r="R28" s="60" t="str">
        <f>IFERROR(__xludf.DUMMYFUNCTION("IFERROR(VLOOKUP(TRIM(A28),IMPORTRANGE(""1dEvtr9f2UAemMjkvEwBFPyuEw3YQPqez4Kgo-0l7vS4"",""Form Responses 1!B:C""),2,0),"""")"),"")</f>
        <v/>
      </c>
      <c r="S28" s="60">
        <f>IFERROR(__xludf.DUMMYFUNCTION("IFERROR(VLOOKUP(TRIM(A28),IMPORTRANGE(""1B6nP1Ts7cF60F-9DocMTsAaVFKfuimLnUoxweBavHeU"",""Form Responses 1!B:C""),2,0),"""")"),4.0)</f>
        <v>4</v>
      </c>
      <c r="T28" s="60" t="str">
        <f>IFERROR(__xludf.DUMMYFUNCTION("IFERROR(VLOOKUP(TRIM(A28),IMPORTRANGE(""1Urfs_Vy5SE9U8tp1-UR-7FoEAxcNy8MifWBH8GiFXd8"",""Form Responses 1!B:C""),2,0),"""")"),"")</f>
        <v/>
      </c>
      <c r="U28" s="60">
        <f>IFERROR(__xludf.DUMMYFUNCTION("IFERROR(VLOOKUP(TRIM(A28),IMPORTRANGE(""1aXWUim-N4mxaoEzA3XAIdaDH-QYLEvzF2WdP7MGXYAE"",""Form Responses 1!B:C""),2,0),"""")"),2.0)</f>
        <v>2</v>
      </c>
      <c r="V28" s="63"/>
      <c r="W28" s="62" t="str">
        <f>IFERROR(__xludf.DUMMYFUNCTION("IFERROR(1/(1/MAX(
  IFERROR(VLOOKUP(TRIM(A28),IMPORTRANGE(""1ZA1PTk3mXTxdasMFIUL3_HnhZbSrjlYI0jroyR74oDM"",""Form Responses 1!B:C""),2,0),),
  IFERROR(VLOOKUP(TRIM(A28),IMPORTRANGE(""197C8yvLyfR59JPOCjQdNv3jtQAWqA9lyzhiAtksREXI"",""Form Responses 1!B:C"")"&amp;",2,0),)
)),)"),"")</f>
        <v/>
      </c>
      <c r="X28" s="62" t="str">
        <f>IFERROR(__xludf.DUMMYFUNCTION("IFERROR(VLOOKUP(TRIM(A28),IMPORTRANGE(""1S55NQGXzV1_qOWKXpsQUC871e5j71TNZ9qXJwwhlcsg"",""Form Responses 1!B:C""),2,0),"""")"),"")</f>
        <v/>
      </c>
      <c r="Y28" s="62" t="str">
        <f>IFERROR(__xludf.DUMMYFUNCTION("IFERROR(VLOOKUP(TRIM(A28),IMPORTRANGE(""1tpV5_mFhbN6YKRuO1MZvSbUMIPr8PmwiNyIZJpY0iKs"",""Form Responses 1!B:C""),2,0),"""")"),"")</f>
        <v/>
      </c>
      <c r="Z28" s="62" t="str">
        <f>IFERROR(__xludf.DUMMYFUNCTION("IFERROR(VLOOKUP(TRIM(A28),IMPORTRANGE(""1wfMRO2uDQNJ1PCwTpHdQ8iUrPUKVHyvbfqf8TasTViU"",""Form Responses 1!B:C""),2,0),"""")"),"")</f>
        <v/>
      </c>
      <c r="AA28" s="62" t="str">
        <f>IFERROR(__xludf.DUMMYFUNCTION("IFERROR(VLOOKUP(TRIM(A28),IMPORTRANGE(""1ZOlAPpjCs7qXcQpCvrHzmJ4FOraZ9bKV8IEd78oT7sE"",""Form Responses 1!B:C""),2,0),"""")"),"")</f>
        <v/>
      </c>
      <c r="AB28" s="62">
        <f>IFERROR(__xludf.DUMMYFUNCTION("IFERROR(VLOOKUP(TRIM(A28),IMPORTRANGE(""1oPrvVT6QDWEUmx87GoqLd1CXTtfLo6WfrreUocg_I08"",""Form Responses 1!B:C""),2,0),"""")"),12.0)</f>
        <v>12</v>
      </c>
      <c r="AC28" s="62">
        <f>IFERROR(__xludf.DUMMYFUNCTION("IFERROR(VLOOKUP(TRIM(A28),IMPORTRANGE(""1WKNusCM8GAvNDFdV2AjY5sTwyti4BFZk9I1rFa74mxo"",""Form Responses 1!B:C""),2,0),"""")"),13.0)</f>
        <v>13</v>
      </c>
      <c r="AD28" s="62">
        <f>IFERROR(__xludf.DUMMYFUNCTION("IFERROR(VLOOKUP(TRIM(A28),IMPORTRANGE(""1ezPhPfgGBlZIzMnymbnrUr2FhcM_6Sv_nk0hxcbuzTQ"",""Form Responses 1!B:C""),2,0),"""")"),8.0)</f>
        <v>8</v>
      </c>
      <c r="AE28" s="62" t="str">
        <f>IFERROR(__xludf.DUMMYFUNCTION("IFERROR(VLOOKUP(TRIM(A28),IMPORTRANGE(""1nCvx2881PQ64OQinwpUfP8HphDEhFD0vPRxp_AAAdlM"",""Form Responses 1!B:C""),2,0),"""")"),"")</f>
        <v/>
      </c>
      <c r="AF28" s="62" t="str">
        <f>IFERROR(__xludf.DUMMYFUNCTION("IFERROR(VLOOKUP(TRIM(A28),IMPORTRANGE(""1cImVBctl3mh_jlEmJoy6CEEFe_DDCxRGkjB_Jp-qsU8"",""Form Responses 1!B:C""),2,0),"""")"),"")</f>
        <v/>
      </c>
      <c r="AG28" s="57"/>
      <c r="AH28" s="57"/>
      <c r="AI28" s="57"/>
      <c r="AJ28" s="57"/>
      <c r="AK28" s="57"/>
      <c r="AL28" s="57"/>
      <c r="AM28" s="57"/>
      <c r="AN28" s="57"/>
      <c r="AO28" s="57"/>
      <c r="AP28" s="57"/>
      <c r="AQ28" s="57"/>
      <c r="AR28" s="57"/>
      <c r="AS28" s="57"/>
      <c r="AT28" s="57"/>
      <c r="AU28" s="57"/>
      <c r="AV28" s="57"/>
      <c r="AW28" s="57"/>
      <c r="AX28" s="57"/>
      <c r="AY28" s="57"/>
      <c r="AZ28" s="57"/>
    </row>
    <row r="29">
      <c r="A29" s="56" t="s">
        <v>233</v>
      </c>
      <c r="B29" s="57">
        <f>IFERROR(__xludf.DUMMYFUNCTION("IFERROR(IF(COUNTIF(IMPORTRANGE(""1oiajwiBxoDIOBcD_uKarGHJIrskYi3nXyI9FyWq8IFk"",""Form Responses 1!B:B""),A29)&gt;0,10,),0)"),10.0)</f>
        <v>10</v>
      </c>
      <c r="C29" s="57">
        <f>IFERROR(__xludf.DUMMYFUNCTION("IFERROR(VLOOKUP(A29,IMPORTRANGE(""1PRkBNvF7wRBbJGtbM1I7-V_ej5mmlgF4cwmp64ilJGQ"",""Form Responses 1!B:C""),2,FALSE),)"),10.0)</f>
        <v>10</v>
      </c>
      <c r="D29" s="57" t="str">
        <f>IFERROR(__xludf.DUMMYFUNCTION("IFERROR(VLOOKUP(A29,IMPORTRANGE(""1rSBnjICjC9324bzLIQpakQH2kn1-6by9fz9jLCcefTs"",""Form Responses 1!B:C""),2,FALSE),)"),"")</f>
        <v/>
      </c>
      <c r="E29" s="57">
        <f>IFERROR(__xludf.DUMMYFUNCTION("IFERROR(VLOOKUP(A29,IMPORTRANGE(""1OvNQShTkB7b8btd44zAgP-KkGS7dJ0BEd6wMgBISDs0"",""Form Responses 1!B:C""),2,FALSE),)"),5.0)</f>
        <v>5</v>
      </c>
      <c r="F29" s="57">
        <f>IFERROR(__xludf.DUMMYFUNCTION("IFERROR(IF(COUNTIF(IMPORTRANGE(""13ZZ2q5-JsneAoCxE8QLqs1Ycj8WSgN9hPRza9XUMv_4"",""Form Responses 1!B:B""),A29)&gt;0,20,),)"),20.0)</f>
        <v>20</v>
      </c>
      <c r="G29" s="58" t="str">
        <f>IFERROR(__xludf.DUMMYFUNCTION("IFERROR(IF(COUNTIF(IMPORTRANGE(""1ljo_MifcmFDCNF59UxR3-3g4XI2XSRJ3WpZcUkp6so8"",""Form Responses 1!B:B""),A29)&gt;0,10,),)"),"")</f>
        <v/>
      </c>
      <c r="H29" s="59">
        <f>IFERROR(__xludf.DUMMYFUNCTION("IFERROR(VLOOKUP(A29,IMPORTRANGE(""1PBvrHm3dgtcno-UApCGo6dIU4auKbeIJC2SC7k36T64"",""Form Responses 1!B:C""),2,FALSE),)"),0.0)</f>
        <v>0</v>
      </c>
      <c r="I29" s="60" t="str">
        <f>IFERROR(__xludf.DUMMYFUNCTION("IFERROR(VLOOKUP(A29,IMPORTRANGE(""13P_qT6pKDynUZR0_aswSscwX8dw4UhPyIL8ohovayVc
"",""Form Responses 1!B:C""),2,FALSE),)"),"")</f>
        <v/>
      </c>
      <c r="J29" s="60" t="str">
        <f>IFERROR(__xludf.DUMMYFUNCTION("IFERROR(VLOOKUP(A29,IMPORTRANGE(""16B_HaxNdsb7BY3AQ0xKagDsjOLkfb_DjPkxPwEpn8gc
"",""Form Responses 1!B:C""),2,FALSE),)"),"")</f>
        <v/>
      </c>
      <c r="K29" s="60" t="str">
        <f>IFERROR(__xludf.DUMMYFUNCTION("IFERROR(VLOOKUP(A29,IMPORTRANGE(""1bUO_1Nv9gx3vZE_-m4w6HiuWUM1u8qsaqKByYyla14Q"",""Form Responses 1!B:C""),2,FALSE),)"),"")</f>
        <v/>
      </c>
      <c r="L29" s="59">
        <f>IFERROR(__xludf.DUMMYFUNCTION("IFERROR(IF(COUNTIF(IMPORTRANGE(""1SG2BnFOinBZsm3_Rx1BzD670E652svXjlzWieKobj9o"",""Form Responses 1!B:B""),A29)&gt;0,10,),0)"),10.0)</f>
        <v>10</v>
      </c>
      <c r="M29" s="60">
        <f>IFERROR(__xludf.DUMMYFUNCTION("IFERROR(VLOOKUP(A29,IMPORTRANGE(""1Zpz_ArqUHJZzCwyJqFKkEASeqFw0lZ4HLK4wQdLXj3w
"",""Form Responses 1!B:C""),2,FALSE),)"),4.0)</f>
        <v>4</v>
      </c>
      <c r="N29" s="60" t="str">
        <f>IFERROR(__xludf.DUMMYFUNCTION("IFERROR(VLOOKUP(A29,IMPORTRANGE(""1c318JgcKMkTMtHFS6SjH7x3TAnZwddcZMI9Jx-B9VOM
"",""Form Responses 1!B:C""),2,FALSE),)"),"")</f>
        <v/>
      </c>
      <c r="O29" s="60" t="str">
        <f>IFERROR(__xludf.DUMMYFUNCTION("IFERROR(VLOOKUP(A29,IMPORTRANGE(""1kp8AvADOUteLDy1-i5F9JvR64ee_UwN5UoIn-tH5zPQ
"",""Form Responses 1!B:C""),2,FALSE),)"),"")</f>
        <v/>
      </c>
      <c r="P29" s="60">
        <f>IFERROR(__xludf.DUMMYFUNCTION("IFERROR(VLOOKUP(A29,IMPORTRANGE(""1PSjtsRk3dryPdI2Zls_iIpRgVVwBTGQ0ryRujA_ayZ0"",""Form Responses 1!B:C""),2,FALSE),)"),2.0)</f>
        <v>2</v>
      </c>
      <c r="Q29" s="59" t="str">
        <f>IFERROR(__xludf.DUMMYFUNCTION("IFERROR(VLOOKUP(TRIM(A29),IMPORTRANGE(""1ciMZmE3_Ia8QatZf9u-RYqeCzLjcP66olwhReBx-Pwc"",""Form Responses 1!B:C""),2,0),"""")"),"")</f>
        <v/>
      </c>
      <c r="R29" s="60" t="str">
        <f>IFERROR(__xludf.DUMMYFUNCTION("IFERROR(VLOOKUP(TRIM(A29),IMPORTRANGE(""1dEvtr9f2UAemMjkvEwBFPyuEw3YQPqez4Kgo-0l7vS4"",""Form Responses 1!B:C""),2,0),"""")"),"")</f>
        <v/>
      </c>
      <c r="S29" s="60" t="str">
        <f>IFERROR(__xludf.DUMMYFUNCTION("IFERROR(VLOOKUP(TRIM(A29),IMPORTRANGE(""1B6nP1Ts7cF60F-9DocMTsAaVFKfuimLnUoxweBavHeU"",""Form Responses 1!B:C""),2,0),"""")"),"")</f>
        <v/>
      </c>
      <c r="T29" s="60" t="str">
        <f>IFERROR(__xludf.DUMMYFUNCTION("IFERROR(VLOOKUP(TRIM(A29),IMPORTRANGE(""1Urfs_Vy5SE9U8tp1-UR-7FoEAxcNy8MifWBH8GiFXd8"",""Form Responses 1!B:C""),2,0),"""")"),"")</f>
        <v/>
      </c>
      <c r="U29" s="60" t="str">
        <f>IFERROR(__xludf.DUMMYFUNCTION("IFERROR(VLOOKUP(TRIM(A29),IMPORTRANGE(""1aXWUim-N4mxaoEzA3XAIdaDH-QYLEvzF2WdP7MGXYAE"",""Form Responses 1!B:C""),2,0),"""")"),"")</f>
        <v/>
      </c>
      <c r="V29" s="61">
        <v>42.0</v>
      </c>
      <c r="W29" s="62" t="str">
        <f>IFERROR(__xludf.DUMMYFUNCTION("IFERROR(1/(1/MAX(
  IFERROR(VLOOKUP(TRIM(A29),IMPORTRANGE(""1ZA1PTk3mXTxdasMFIUL3_HnhZbSrjlYI0jroyR74oDM"",""Form Responses 1!B:C""),2,0),),
  IFERROR(VLOOKUP(TRIM(A29),IMPORTRANGE(""197C8yvLyfR59JPOCjQdNv3jtQAWqA9lyzhiAtksREXI"",""Form Responses 1!B:C"")"&amp;",2,0),)
)),)"),"")</f>
        <v/>
      </c>
      <c r="X29" s="62">
        <f>IFERROR(__xludf.DUMMYFUNCTION("IFERROR(VLOOKUP(TRIM(A29),IMPORTRANGE(""1S55NQGXzV1_qOWKXpsQUC871e5j71TNZ9qXJwwhlcsg"",""Form Responses 1!B:C""),2,0),"""")"),5.0)</f>
        <v>5</v>
      </c>
      <c r="Y29" s="62" t="str">
        <f>IFERROR(__xludf.DUMMYFUNCTION("IFERROR(VLOOKUP(TRIM(A29),IMPORTRANGE(""1tpV5_mFhbN6YKRuO1MZvSbUMIPr8PmwiNyIZJpY0iKs"",""Form Responses 1!B:C""),2,0),"""")"),"")</f>
        <v/>
      </c>
      <c r="Z29" s="62" t="str">
        <f>IFERROR(__xludf.DUMMYFUNCTION("IFERROR(VLOOKUP(TRIM(A29),IMPORTRANGE(""1wfMRO2uDQNJ1PCwTpHdQ8iUrPUKVHyvbfqf8TasTViU"",""Form Responses 1!B:C""),2,0),"""")"),"")</f>
        <v/>
      </c>
      <c r="AA29" s="62" t="str">
        <f>IFERROR(__xludf.DUMMYFUNCTION("IFERROR(VLOOKUP(TRIM(A29),IMPORTRANGE(""1ZOlAPpjCs7qXcQpCvrHzmJ4FOraZ9bKV8IEd78oT7sE"",""Form Responses 1!B:C""),2,0),"""")"),"")</f>
        <v/>
      </c>
      <c r="AB29" s="62">
        <f>IFERROR(__xludf.DUMMYFUNCTION("IFERROR(VLOOKUP(TRIM(A29),IMPORTRANGE(""1oPrvVT6QDWEUmx87GoqLd1CXTtfLo6WfrreUocg_I08"",""Form Responses 1!B:C""),2,0),"""")"),6.0)</f>
        <v>6</v>
      </c>
      <c r="AC29" s="62">
        <f>IFERROR(__xludf.DUMMYFUNCTION("IFERROR(VLOOKUP(TRIM(A29),IMPORTRANGE(""1WKNusCM8GAvNDFdV2AjY5sTwyti4BFZk9I1rFa74mxo"",""Form Responses 1!B:C""),2,0),"""")"),9.0)</f>
        <v>9</v>
      </c>
      <c r="AD29" s="62">
        <f>IFERROR(__xludf.DUMMYFUNCTION("IFERROR(VLOOKUP(TRIM(A29),IMPORTRANGE(""1ezPhPfgGBlZIzMnymbnrUr2FhcM_6Sv_nk0hxcbuzTQ"",""Form Responses 1!B:C""),2,0),"""")"),10.0)</f>
        <v>10</v>
      </c>
      <c r="AE29" s="62">
        <f>IFERROR(__xludf.DUMMYFUNCTION("IFERROR(VLOOKUP(TRIM(A29),IMPORTRANGE(""1nCvx2881PQ64OQinwpUfP8HphDEhFD0vPRxp_AAAdlM"",""Form Responses 1!B:C""),2,0),"""")"),0.0)</f>
        <v>0</v>
      </c>
      <c r="AF29" s="62">
        <f>IFERROR(__xludf.DUMMYFUNCTION("IFERROR(VLOOKUP(TRIM(A29),IMPORTRANGE(""1cImVBctl3mh_jlEmJoy6CEEFe_DDCxRGkjB_Jp-qsU8"",""Form Responses 1!B:C""),2,0),"""")"),8.0)</f>
        <v>8</v>
      </c>
      <c r="AG29" s="57"/>
      <c r="AH29" s="57"/>
      <c r="AI29" s="57"/>
      <c r="AJ29" s="57"/>
      <c r="AK29" s="57"/>
      <c r="AL29" s="57"/>
      <c r="AM29" s="57"/>
      <c r="AN29" s="57"/>
      <c r="AO29" s="57"/>
      <c r="AP29" s="57"/>
      <c r="AQ29" s="57"/>
      <c r="AR29" s="57"/>
      <c r="AS29" s="57"/>
      <c r="AT29" s="57"/>
      <c r="AU29" s="57"/>
      <c r="AV29" s="57"/>
      <c r="AW29" s="57"/>
      <c r="AX29" s="57"/>
      <c r="AY29" s="57"/>
      <c r="AZ29" s="57"/>
    </row>
    <row r="30">
      <c r="A30" s="56" t="s">
        <v>234</v>
      </c>
      <c r="B30" s="57">
        <f>IFERROR(__xludf.DUMMYFUNCTION("IFERROR(IF(COUNTIF(IMPORTRANGE(""1oiajwiBxoDIOBcD_uKarGHJIrskYi3nXyI9FyWq8IFk"",""Form Responses 1!B:B""),A30)&gt;0,10,),0)"),10.0)</f>
        <v>10</v>
      </c>
      <c r="C30" s="57">
        <f>IFERROR(__xludf.DUMMYFUNCTION("IFERROR(VLOOKUP(A30,IMPORTRANGE(""1PRkBNvF7wRBbJGtbM1I7-V_ej5mmlgF4cwmp64ilJGQ"",""Form Responses 1!B:C""),2,FALSE),)"),10.0)</f>
        <v>10</v>
      </c>
      <c r="D30" s="57">
        <f>IFERROR(__xludf.DUMMYFUNCTION("IFERROR(VLOOKUP(A30,IMPORTRANGE(""1rSBnjICjC9324bzLIQpakQH2kn1-6by9fz9jLCcefTs"",""Form Responses 1!B:C""),2,FALSE),)"),20.0)</f>
        <v>20</v>
      </c>
      <c r="E30" s="57">
        <f>IFERROR(__xludf.DUMMYFUNCTION("IFERROR(VLOOKUP(A30,IMPORTRANGE(""1OvNQShTkB7b8btd44zAgP-KkGS7dJ0BEd6wMgBISDs0"",""Form Responses 1!B:C""),2,FALSE),)"),10.0)</f>
        <v>10</v>
      </c>
      <c r="F30" s="57">
        <f>IFERROR(__xludf.DUMMYFUNCTION("IFERROR(IF(COUNTIF(IMPORTRANGE(""13ZZ2q5-JsneAoCxE8QLqs1Ycj8WSgN9hPRza9XUMv_4"",""Form Responses 1!B:B""),A30)&gt;0,20,),)"),20.0)</f>
        <v>20</v>
      </c>
      <c r="G30" s="58" t="str">
        <f>IFERROR(__xludf.DUMMYFUNCTION("IFERROR(IF(COUNTIF(IMPORTRANGE(""1ljo_MifcmFDCNF59UxR3-3g4XI2XSRJ3WpZcUkp6so8"",""Form Responses 1!B:B""),A30)&gt;0,10,),)"),"")</f>
        <v/>
      </c>
      <c r="H30" s="59">
        <f>IFERROR(__xludf.DUMMYFUNCTION("IFERROR(VLOOKUP(A30,IMPORTRANGE(""1PBvrHm3dgtcno-UApCGo6dIU4auKbeIJC2SC7k36T64"",""Form Responses 1!B:C""),2,FALSE),)"),14.0)</f>
        <v>14</v>
      </c>
      <c r="I30" s="60">
        <f>IFERROR(__xludf.DUMMYFUNCTION("IFERROR(VLOOKUP(A30,IMPORTRANGE(""13P_qT6pKDynUZR0_aswSscwX8dw4UhPyIL8ohovayVc
"",""Form Responses 1!B:C""),2,FALSE),)"),14.0)</f>
        <v>14</v>
      </c>
      <c r="J30" s="60">
        <f>IFERROR(__xludf.DUMMYFUNCTION("IFERROR(VLOOKUP(A30,IMPORTRANGE(""16B_HaxNdsb7BY3AQ0xKagDsjOLkfb_DjPkxPwEpn8gc
"",""Form Responses 1!B:C""),2,FALSE),)"),12.0)</f>
        <v>12</v>
      </c>
      <c r="K30" s="60">
        <f>IFERROR(__xludf.DUMMYFUNCTION("IFERROR(VLOOKUP(A30,IMPORTRANGE(""1bUO_1Nv9gx3vZE_-m4w6HiuWUM1u8qsaqKByYyla14Q"",""Form Responses 1!B:C""),2,FALSE),)"),10.0)</f>
        <v>10</v>
      </c>
      <c r="L30" s="59">
        <f>IFERROR(__xludf.DUMMYFUNCTION("IFERROR(IF(COUNTIF(IMPORTRANGE(""1SG2BnFOinBZsm3_Rx1BzD670E652svXjlzWieKobj9o"",""Form Responses 1!B:B""),A30)&gt;0,10,),0)"),10.0)</f>
        <v>10</v>
      </c>
      <c r="M30" s="60">
        <f>IFERROR(__xludf.DUMMYFUNCTION("IFERROR(VLOOKUP(A30,IMPORTRANGE(""1Zpz_ArqUHJZzCwyJqFKkEASeqFw0lZ4HLK4wQdLXj3w
"",""Form Responses 1!B:C""),2,FALSE),)"),16.0)</f>
        <v>16</v>
      </c>
      <c r="N30" s="60">
        <f>IFERROR(__xludf.DUMMYFUNCTION("IFERROR(VLOOKUP(A30,IMPORTRANGE(""1c318JgcKMkTMtHFS6SjH7x3TAnZwddcZMI9Jx-B9VOM
"",""Form Responses 1!B:C""),2,FALSE),)"),20.0)</f>
        <v>20</v>
      </c>
      <c r="O30" s="60">
        <f>IFERROR(__xludf.DUMMYFUNCTION("IFERROR(VLOOKUP(A30,IMPORTRANGE(""1kp8AvADOUteLDy1-i5F9JvR64ee_UwN5UoIn-tH5zPQ
"",""Form Responses 1!B:C""),2,FALSE),)"),17.0)</f>
        <v>17</v>
      </c>
      <c r="P30" s="60">
        <f>IFERROR(__xludf.DUMMYFUNCTION("IFERROR(VLOOKUP(A30,IMPORTRANGE(""1PSjtsRk3dryPdI2Zls_iIpRgVVwBTGQ0ryRujA_ayZ0"",""Form Responses 1!B:C""),2,FALSE),)"),13.0)</f>
        <v>13</v>
      </c>
      <c r="Q30" s="59" t="str">
        <f>IFERROR(__xludf.DUMMYFUNCTION("IFERROR(VLOOKUP(TRIM(A30),IMPORTRANGE(""1ciMZmE3_Ia8QatZf9u-RYqeCzLjcP66olwhReBx-Pwc"",""Form Responses 1!B:C""),2,0),"""")"),"")</f>
        <v/>
      </c>
      <c r="R30" s="60" t="str">
        <f>IFERROR(__xludf.DUMMYFUNCTION("IFERROR(VLOOKUP(TRIM(A30),IMPORTRANGE(""1dEvtr9f2UAemMjkvEwBFPyuEw3YQPqez4Kgo-0l7vS4"",""Form Responses 1!B:C""),2,0),"""")"),"")</f>
        <v/>
      </c>
      <c r="S30" s="60" t="str">
        <f>IFERROR(__xludf.DUMMYFUNCTION("IFERROR(VLOOKUP(TRIM(A30),IMPORTRANGE(""1B6nP1Ts7cF60F-9DocMTsAaVFKfuimLnUoxweBavHeU"",""Form Responses 1!B:C""),2,0),"""")"),"")</f>
        <v/>
      </c>
      <c r="T30" s="60" t="str">
        <f>IFERROR(__xludf.DUMMYFUNCTION("IFERROR(VLOOKUP(TRIM(A30),IMPORTRANGE(""1Urfs_Vy5SE9U8tp1-UR-7FoEAxcNy8MifWBH8GiFXd8"",""Form Responses 1!B:C""),2,0),"""")"),"")</f>
        <v/>
      </c>
      <c r="U30" s="60" t="str">
        <f>IFERROR(__xludf.DUMMYFUNCTION("IFERROR(VLOOKUP(TRIM(A30),IMPORTRANGE(""1aXWUim-N4mxaoEzA3XAIdaDH-QYLEvzF2WdP7MGXYAE"",""Form Responses 1!B:C""),2,0),"""")"),"")</f>
        <v/>
      </c>
      <c r="V30" s="63"/>
      <c r="W30" s="62" t="str">
        <f>IFERROR(__xludf.DUMMYFUNCTION("IFERROR(1/(1/MAX(
  IFERROR(VLOOKUP(TRIM(A30),IMPORTRANGE(""1ZA1PTk3mXTxdasMFIUL3_HnhZbSrjlYI0jroyR74oDM"",""Form Responses 1!B:C""),2,0),),
  IFERROR(VLOOKUP(TRIM(A30),IMPORTRANGE(""197C8yvLyfR59JPOCjQdNv3jtQAWqA9lyzhiAtksREXI"",""Form Responses 1!B:C"")"&amp;",2,0),)
)),)"),"")</f>
        <v/>
      </c>
      <c r="X30" s="62" t="str">
        <f>IFERROR(__xludf.DUMMYFUNCTION("IFERROR(VLOOKUP(TRIM(A30),IMPORTRANGE(""1S55NQGXzV1_qOWKXpsQUC871e5j71TNZ9qXJwwhlcsg"",""Form Responses 1!B:C""),2,0),"""")"),"")</f>
        <v/>
      </c>
      <c r="Y30" s="62" t="str">
        <f>IFERROR(__xludf.DUMMYFUNCTION("IFERROR(VLOOKUP(TRIM(A30),IMPORTRANGE(""1tpV5_mFhbN6YKRuO1MZvSbUMIPr8PmwiNyIZJpY0iKs"",""Form Responses 1!B:C""),2,0),"""")"),"")</f>
        <v/>
      </c>
      <c r="Z30" s="62" t="str">
        <f>IFERROR(__xludf.DUMMYFUNCTION("IFERROR(VLOOKUP(TRIM(A30),IMPORTRANGE(""1wfMRO2uDQNJ1PCwTpHdQ8iUrPUKVHyvbfqf8TasTViU"",""Form Responses 1!B:C""),2,0),"""")"),"")</f>
        <v/>
      </c>
      <c r="AA30" s="62" t="str">
        <f>IFERROR(__xludf.DUMMYFUNCTION("IFERROR(VLOOKUP(TRIM(A30),IMPORTRANGE(""1ZOlAPpjCs7qXcQpCvrHzmJ4FOraZ9bKV8IEd78oT7sE"",""Form Responses 1!B:C""),2,0),"""")"),"")</f>
        <v/>
      </c>
      <c r="AB30" s="62">
        <f>IFERROR(__xludf.DUMMYFUNCTION("IFERROR(VLOOKUP(TRIM(A30),IMPORTRANGE(""1oPrvVT6QDWEUmx87GoqLd1CXTtfLo6WfrreUocg_I08"",""Form Responses 1!B:C""),2,0),"""")"),12.0)</f>
        <v>12</v>
      </c>
      <c r="AC30" s="62">
        <f>IFERROR(__xludf.DUMMYFUNCTION("IFERROR(VLOOKUP(TRIM(A30),IMPORTRANGE(""1WKNusCM8GAvNDFdV2AjY5sTwyti4BFZk9I1rFa74mxo"",""Form Responses 1!B:C""),2,0),"""")"),7.0)</f>
        <v>7</v>
      </c>
      <c r="AD30" s="62">
        <f>IFERROR(__xludf.DUMMYFUNCTION("IFERROR(VLOOKUP(TRIM(A30),IMPORTRANGE(""1ezPhPfgGBlZIzMnymbnrUr2FhcM_6Sv_nk0hxcbuzTQ"",""Form Responses 1!B:C""),2,0),"""")"),4.0)</f>
        <v>4</v>
      </c>
      <c r="AE30" s="62" t="str">
        <f>IFERROR(__xludf.DUMMYFUNCTION("IFERROR(VLOOKUP(TRIM(A30),IMPORTRANGE(""1nCvx2881PQ64OQinwpUfP8HphDEhFD0vPRxp_AAAdlM"",""Form Responses 1!B:C""),2,0),"""")"),"")</f>
        <v/>
      </c>
      <c r="AF30" s="62" t="str">
        <f>IFERROR(__xludf.DUMMYFUNCTION("IFERROR(VLOOKUP(TRIM(A30),IMPORTRANGE(""1cImVBctl3mh_jlEmJoy6CEEFe_DDCxRGkjB_Jp-qsU8"",""Form Responses 1!B:C""),2,0),"""")"),"")</f>
        <v/>
      </c>
      <c r="AG30" s="57"/>
      <c r="AH30" s="57"/>
      <c r="AI30" s="57"/>
      <c r="AJ30" s="57"/>
      <c r="AK30" s="57"/>
      <c r="AL30" s="57"/>
      <c r="AM30" s="57"/>
      <c r="AN30" s="57"/>
      <c r="AO30" s="57"/>
      <c r="AP30" s="57"/>
      <c r="AQ30" s="57"/>
      <c r="AR30" s="57"/>
      <c r="AS30" s="57"/>
      <c r="AT30" s="57"/>
      <c r="AU30" s="57"/>
      <c r="AV30" s="57"/>
      <c r="AW30" s="57"/>
      <c r="AX30" s="57"/>
      <c r="AY30" s="57"/>
      <c r="AZ30" s="57"/>
    </row>
    <row r="31">
      <c r="A31" s="56" t="s">
        <v>417</v>
      </c>
      <c r="B31" s="57" t="str">
        <f>IFERROR(__xludf.DUMMYFUNCTION("IFERROR(IF(COUNTIF(IMPORTRANGE(""1oiajwiBxoDIOBcD_uKarGHJIrskYi3nXyI9FyWq8IFk"",""Form Responses 1!B:B""),A31)&gt;0,10,),0)"),"")</f>
        <v/>
      </c>
      <c r="C31" s="57" t="str">
        <f>IFERROR(__xludf.DUMMYFUNCTION("IFERROR(VLOOKUP(A31,IMPORTRANGE(""1PRkBNvF7wRBbJGtbM1I7-V_ej5mmlgF4cwmp64ilJGQ"",""Form Responses 1!B:C""),2,FALSE),)"),"")</f>
        <v/>
      </c>
      <c r="D31" s="57" t="str">
        <f>IFERROR(__xludf.DUMMYFUNCTION("IFERROR(VLOOKUP(A31,IMPORTRANGE(""1rSBnjICjC9324bzLIQpakQH2kn1-6by9fz9jLCcefTs"",""Form Responses 1!B:C""),2,FALSE),)"),"")</f>
        <v/>
      </c>
      <c r="E31" s="57" t="str">
        <f>IFERROR(__xludf.DUMMYFUNCTION("IFERROR(VLOOKUP(A31,IMPORTRANGE(""1OvNQShTkB7b8btd44zAgP-KkGS7dJ0BEd6wMgBISDs0"",""Form Responses 1!B:C""),2,FALSE),)"),"")</f>
        <v/>
      </c>
      <c r="F31" s="57">
        <f>IFERROR(__xludf.DUMMYFUNCTION("IFERROR(IF(COUNTIF(IMPORTRANGE(""13ZZ2q5-JsneAoCxE8QLqs1Ycj8WSgN9hPRza9XUMv_4"",""Form Responses 1!B:B""),A31)&gt;0,20,),)"),20.0)</f>
        <v>20</v>
      </c>
      <c r="G31" s="58" t="str">
        <f>IFERROR(__xludf.DUMMYFUNCTION("IFERROR(IF(COUNTIF(IMPORTRANGE(""1ljo_MifcmFDCNF59UxR3-3g4XI2XSRJ3WpZcUkp6so8"",""Form Responses 1!B:B""),A31)&gt;0,10,),)"),"")</f>
        <v/>
      </c>
      <c r="H31" s="59" t="str">
        <f>IFERROR(__xludf.DUMMYFUNCTION("IFERROR(VLOOKUP(A31,IMPORTRANGE(""1PBvrHm3dgtcno-UApCGo6dIU4auKbeIJC2SC7k36T64"",""Form Responses 1!B:C""),2,FALSE),)"),"")</f>
        <v/>
      </c>
      <c r="I31" s="60" t="str">
        <f>IFERROR(__xludf.DUMMYFUNCTION("IFERROR(VLOOKUP(A31,IMPORTRANGE(""13P_qT6pKDynUZR0_aswSscwX8dw4UhPyIL8ohovayVc
"",""Form Responses 1!B:C""),2,FALSE),)"),"")</f>
        <v/>
      </c>
      <c r="J31" s="60" t="str">
        <f>IFERROR(__xludf.DUMMYFUNCTION("IFERROR(VLOOKUP(A31,IMPORTRANGE(""16B_HaxNdsb7BY3AQ0xKagDsjOLkfb_DjPkxPwEpn8gc
"",""Form Responses 1!B:C""),2,FALSE),)"),"")</f>
        <v/>
      </c>
      <c r="K31" s="60" t="str">
        <f>IFERROR(__xludf.DUMMYFUNCTION("IFERROR(VLOOKUP(A31,IMPORTRANGE(""1bUO_1Nv9gx3vZE_-m4w6HiuWUM1u8qsaqKByYyla14Q"",""Form Responses 1!B:C""),2,FALSE),)"),"")</f>
        <v/>
      </c>
      <c r="L31" s="59" t="str">
        <f>IFERROR(__xludf.DUMMYFUNCTION("IFERROR(IF(COUNTIF(IMPORTRANGE(""1SG2BnFOinBZsm3_Rx1BzD670E652svXjlzWieKobj9o"",""Form Responses 1!B:B""),A31)&gt;0,10,),0)"),"")</f>
        <v/>
      </c>
      <c r="M31" s="60" t="str">
        <f>IFERROR(__xludf.DUMMYFUNCTION("IFERROR(VLOOKUP(A31,IMPORTRANGE(""1Zpz_ArqUHJZzCwyJqFKkEASeqFw0lZ4HLK4wQdLXj3w
"",""Form Responses 1!B:C""),2,FALSE),)"),"")</f>
        <v/>
      </c>
      <c r="N31" s="60" t="str">
        <f>IFERROR(__xludf.DUMMYFUNCTION("IFERROR(VLOOKUP(A31,IMPORTRANGE(""1c318JgcKMkTMtHFS6SjH7x3TAnZwddcZMI9Jx-B9VOM
"",""Form Responses 1!B:C""),2,FALSE),)"),"")</f>
        <v/>
      </c>
      <c r="O31" s="60" t="str">
        <f>IFERROR(__xludf.DUMMYFUNCTION("IFERROR(VLOOKUP(A31,IMPORTRANGE(""1kp8AvADOUteLDy1-i5F9JvR64ee_UwN5UoIn-tH5zPQ
"",""Form Responses 1!B:C""),2,FALSE),)"),"")</f>
        <v/>
      </c>
      <c r="P31" s="60" t="str">
        <f>IFERROR(__xludf.DUMMYFUNCTION("IFERROR(VLOOKUP(A31,IMPORTRANGE(""1PSjtsRk3dryPdI2Zls_iIpRgVVwBTGQ0ryRujA_ayZ0"",""Form Responses 1!B:C""),2,FALSE),)"),"")</f>
        <v/>
      </c>
      <c r="Q31" s="59" t="str">
        <f>IFERROR(__xludf.DUMMYFUNCTION("IFERROR(VLOOKUP(TRIM(A31),IMPORTRANGE(""1ciMZmE3_Ia8QatZf9u-RYqeCzLjcP66olwhReBx-Pwc"",""Form Responses 1!B:C""),2,0),"""")"),"")</f>
        <v/>
      </c>
      <c r="R31" s="60" t="str">
        <f>IFERROR(__xludf.DUMMYFUNCTION("IFERROR(VLOOKUP(TRIM(A31),IMPORTRANGE(""1dEvtr9f2UAemMjkvEwBFPyuEw3YQPqez4Kgo-0l7vS4"",""Form Responses 1!B:C""),2,0),"""")"),"")</f>
        <v/>
      </c>
      <c r="S31" s="60" t="str">
        <f>IFERROR(__xludf.DUMMYFUNCTION("IFERROR(VLOOKUP(TRIM(A31),IMPORTRANGE(""1B6nP1Ts7cF60F-9DocMTsAaVFKfuimLnUoxweBavHeU"",""Form Responses 1!B:C""),2,0),"""")"),"")</f>
        <v/>
      </c>
      <c r="T31" s="60" t="str">
        <f>IFERROR(__xludf.DUMMYFUNCTION("IFERROR(VLOOKUP(TRIM(A31),IMPORTRANGE(""1Urfs_Vy5SE9U8tp1-UR-7FoEAxcNy8MifWBH8GiFXd8"",""Form Responses 1!B:C""),2,0),"""")"),"")</f>
        <v/>
      </c>
      <c r="U31" s="60" t="str">
        <f>IFERROR(__xludf.DUMMYFUNCTION("IFERROR(VLOOKUP(TRIM(A31),IMPORTRANGE(""1aXWUim-N4mxaoEzA3XAIdaDH-QYLEvzF2WdP7MGXYAE"",""Form Responses 1!B:C""),2,0),"""")"),"")</f>
        <v/>
      </c>
      <c r="V31" s="63"/>
      <c r="W31" s="62" t="str">
        <f>IFERROR(__xludf.DUMMYFUNCTION("IFERROR(1/(1/MAX(
  IFERROR(VLOOKUP(TRIM(A31),IMPORTRANGE(""1ZA1PTk3mXTxdasMFIUL3_HnhZbSrjlYI0jroyR74oDM"",""Form Responses 1!B:C""),2,0),),
  IFERROR(VLOOKUP(TRIM(A31),IMPORTRANGE(""197C8yvLyfR59JPOCjQdNv3jtQAWqA9lyzhiAtksREXI"",""Form Responses 1!B:C"")"&amp;",2,0),)
)),)"),"")</f>
        <v/>
      </c>
      <c r="X31" s="62" t="str">
        <f>IFERROR(__xludf.DUMMYFUNCTION("IFERROR(VLOOKUP(TRIM(A31),IMPORTRANGE(""1S55NQGXzV1_qOWKXpsQUC871e5j71TNZ9qXJwwhlcsg"",""Form Responses 1!B:C""),2,0),"""")"),"")</f>
        <v/>
      </c>
      <c r="Y31" s="62" t="str">
        <f>IFERROR(__xludf.DUMMYFUNCTION("IFERROR(VLOOKUP(TRIM(A31),IMPORTRANGE(""1tpV5_mFhbN6YKRuO1MZvSbUMIPr8PmwiNyIZJpY0iKs"",""Form Responses 1!B:C""),2,0),"""")"),"")</f>
        <v/>
      </c>
      <c r="Z31" s="62" t="str">
        <f>IFERROR(__xludf.DUMMYFUNCTION("IFERROR(VLOOKUP(TRIM(A31),IMPORTRANGE(""1wfMRO2uDQNJ1PCwTpHdQ8iUrPUKVHyvbfqf8TasTViU"",""Form Responses 1!B:C""),2,0),"""")"),"")</f>
        <v/>
      </c>
      <c r="AA31" s="62" t="str">
        <f>IFERROR(__xludf.DUMMYFUNCTION("IFERROR(VLOOKUP(TRIM(A31),IMPORTRANGE(""1ZOlAPpjCs7qXcQpCvrHzmJ4FOraZ9bKV8IEd78oT7sE"",""Form Responses 1!B:C""),2,0),"""")"),"")</f>
        <v/>
      </c>
      <c r="AB31" s="62" t="str">
        <f>IFERROR(__xludf.DUMMYFUNCTION("IFERROR(VLOOKUP(TRIM(A31),IMPORTRANGE(""1oPrvVT6QDWEUmx87GoqLd1CXTtfLo6WfrreUocg_I08"",""Form Responses 1!B:C""),2,0),"""")"),"")</f>
        <v/>
      </c>
      <c r="AC31" s="62" t="str">
        <f>IFERROR(__xludf.DUMMYFUNCTION("IFERROR(VLOOKUP(TRIM(A31),IMPORTRANGE(""1WKNusCM8GAvNDFdV2AjY5sTwyti4BFZk9I1rFa74mxo"",""Form Responses 1!B:C""),2,0),"""")"),"")</f>
        <v/>
      </c>
      <c r="AD31" s="62" t="str">
        <f>IFERROR(__xludf.DUMMYFUNCTION("IFERROR(VLOOKUP(TRIM(A31),IMPORTRANGE(""1ezPhPfgGBlZIzMnymbnrUr2FhcM_6Sv_nk0hxcbuzTQ"",""Form Responses 1!B:C""),2,0),"""")"),"")</f>
        <v/>
      </c>
      <c r="AE31" s="62" t="str">
        <f>IFERROR(__xludf.DUMMYFUNCTION("IFERROR(VLOOKUP(TRIM(A31),IMPORTRANGE(""1nCvx2881PQ64OQinwpUfP8HphDEhFD0vPRxp_AAAdlM"",""Form Responses 1!B:C""),2,0),"""")"),"")</f>
        <v/>
      </c>
      <c r="AF31" s="62" t="str">
        <f>IFERROR(__xludf.DUMMYFUNCTION("IFERROR(VLOOKUP(TRIM(A31),IMPORTRANGE(""1cImVBctl3mh_jlEmJoy6CEEFe_DDCxRGkjB_Jp-qsU8"",""Form Responses 1!B:C""),2,0),"""")"),"")</f>
        <v/>
      </c>
      <c r="AG31" s="57"/>
      <c r="AH31" s="57"/>
      <c r="AI31" s="57"/>
      <c r="AJ31" s="57"/>
      <c r="AK31" s="57"/>
      <c r="AL31" s="57"/>
      <c r="AM31" s="57"/>
      <c r="AN31" s="57"/>
      <c r="AO31" s="57"/>
      <c r="AP31" s="57"/>
      <c r="AQ31" s="57"/>
      <c r="AR31" s="57"/>
      <c r="AS31" s="57"/>
      <c r="AT31" s="57"/>
      <c r="AU31" s="57"/>
      <c r="AV31" s="57"/>
      <c r="AW31" s="57"/>
      <c r="AX31" s="57"/>
      <c r="AY31" s="57"/>
      <c r="AZ31" s="57"/>
    </row>
    <row r="32">
      <c r="A32" s="56" t="s">
        <v>235</v>
      </c>
      <c r="B32" s="57" t="str">
        <f>IFERROR(__xludf.DUMMYFUNCTION("IFERROR(IF(COUNTIF(IMPORTRANGE(""1oiajwiBxoDIOBcD_uKarGHJIrskYi3nXyI9FyWq8IFk"",""Form Responses 1!B:B""),A32)&gt;0,10,),0)"),"")</f>
        <v/>
      </c>
      <c r="C32" s="57" t="str">
        <f>IFERROR(__xludf.DUMMYFUNCTION("IFERROR(VLOOKUP(A32,IMPORTRANGE(""1PRkBNvF7wRBbJGtbM1I7-V_ej5mmlgF4cwmp64ilJGQ"",""Form Responses 1!B:C""),2,FALSE),)"),"")</f>
        <v/>
      </c>
      <c r="D32" s="57" t="str">
        <f>IFERROR(__xludf.DUMMYFUNCTION("IFERROR(VLOOKUP(A32,IMPORTRANGE(""1rSBnjICjC9324bzLIQpakQH2kn1-6by9fz9jLCcefTs"",""Form Responses 1!B:C""),2,FALSE),)"),"")</f>
        <v/>
      </c>
      <c r="E32" s="57" t="str">
        <f>IFERROR(__xludf.DUMMYFUNCTION("IFERROR(VLOOKUP(A32,IMPORTRANGE(""1OvNQShTkB7b8btd44zAgP-KkGS7dJ0BEd6wMgBISDs0"",""Form Responses 1!B:C""),2,FALSE),)"),"")</f>
        <v/>
      </c>
      <c r="F32" s="57" t="str">
        <f>IFERROR(__xludf.DUMMYFUNCTION("IFERROR(IF(COUNTIF(IMPORTRANGE(""13ZZ2q5-JsneAoCxE8QLqs1Ycj8WSgN9hPRza9XUMv_4"",""Form Responses 1!B:B""),A32)&gt;0,20,),)"),"")</f>
        <v/>
      </c>
      <c r="G32" s="58" t="str">
        <f>IFERROR(__xludf.DUMMYFUNCTION("IFERROR(IF(COUNTIF(IMPORTRANGE(""1ljo_MifcmFDCNF59UxR3-3g4XI2XSRJ3WpZcUkp6so8"",""Form Responses 1!B:B""),A32)&gt;0,10,),)"),"")</f>
        <v/>
      </c>
      <c r="H32" s="59" t="str">
        <f>IFERROR(__xludf.DUMMYFUNCTION("IFERROR(VLOOKUP(A32,IMPORTRANGE(""1PBvrHm3dgtcno-UApCGo6dIU4auKbeIJC2SC7k36T64"",""Form Responses 1!B:C""),2,FALSE),)"),"")</f>
        <v/>
      </c>
      <c r="I32" s="60" t="str">
        <f>IFERROR(__xludf.DUMMYFUNCTION("IFERROR(VLOOKUP(A32,IMPORTRANGE(""13P_qT6pKDynUZR0_aswSscwX8dw4UhPyIL8ohovayVc
"",""Form Responses 1!B:C""),2,FALSE),)"),"")</f>
        <v/>
      </c>
      <c r="J32" s="60" t="str">
        <f>IFERROR(__xludf.DUMMYFUNCTION("IFERROR(VLOOKUP(A32,IMPORTRANGE(""16B_HaxNdsb7BY3AQ0xKagDsjOLkfb_DjPkxPwEpn8gc
"",""Form Responses 1!B:C""),2,FALSE),)"),"")</f>
        <v/>
      </c>
      <c r="K32" s="60" t="str">
        <f>IFERROR(__xludf.DUMMYFUNCTION("IFERROR(VLOOKUP(A32,IMPORTRANGE(""1bUO_1Nv9gx3vZE_-m4w6HiuWUM1u8qsaqKByYyla14Q"",""Form Responses 1!B:C""),2,FALSE),)"),"")</f>
        <v/>
      </c>
      <c r="L32" s="59" t="str">
        <f>IFERROR(__xludf.DUMMYFUNCTION("IFERROR(IF(COUNTIF(IMPORTRANGE(""1SG2BnFOinBZsm3_Rx1BzD670E652svXjlzWieKobj9o"",""Form Responses 1!B:B""),A32)&gt;0,10,),0)"),"")</f>
        <v/>
      </c>
      <c r="M32" s="60" t="str">
        <f>IFERROR(__xludf.DUMMYFUNCTION("IFERROR(VLOOKUP(A32,IMPORTRANGE(""1Zpz_ArqUHJZzCwyJqFKkEASeqFw0lZ4HLK4wQdLXj3w
"",""Form Responses 1!B:C""),2,FALSE),)"),"")</f>
        <v/>
      </c>
      <c r="N32" s="60" t="str">
        <f>IFERROR(__xludf.DUMMYFUNCTION("IFERROR(VLOOKUP(A32,IMPORTRANGE(""1c318JgcKMkTMtHFS6SjH7x3TAnZwddcZMI9Jx-B9VOM
"",""Form Responses 1!B:C""),2,FALSE),)"),"")</f>
        <v/>
      </c>
      <c r="O32" s="60" t="str">
        <f>IFERROR(__xludf.DUMMYFUNCTION("IFERROR(VLOOKUP(A32,IMPORTRANGE(""1kp8AvADOUteLDy1-i5F9JvR64ee_UwN5UoIn-tH5zPQ
"",""Form Responses 1!B:C""),2,FALSE),)"),"")</f>
        <v/>
      </c>
      <c r="P32" s="60" t="str">
        <f>IFERROR(__xludf.DUMMYFUNCTION("IFERROR(VLOOKUP(A32,IMPORTRANGE(""1PSjtsRk3dryPdI2Zls_iIpRgVVwBTGQ0ryRujA_ayZ0"",""Form Responses 1!B:C""),2,FALSE),)"),"")</f>
        <v/>
      </c>
      <c r="Q32" s="59" t="str">
        <f>IFERROR(__xludf.DUMMYFUNCTION("IFERROR(VLOOKUP(TRIM(A32),IMPORTRANGE(""1ciMZmE3_Ia8QatZf9u-RYqeCzLjcP66olwhReBx-Pwc"",""Form Responses 1!B:C""),2,0),"""")"),"")</f>
        <v/>
      </c>
      <c r="R32" s="60" t="str">
        <f>IFERROR(__xludf.DUMMYFUNCTION("IFERROR(VLOOKUP(TRIM(A32),IMPORTRANGE(""1dEvtr9f2UAemMjkvEwBFPyuEw3YQPqez4Kgo-0l7vS4"",""Form Responses 1!B:C""),2,0),"""")"),"")</f>
        <v/>
      </c>
      <c r="S32" s="60" t="str">
        <f>IFERROR(__xludf.DUMMYFUNCTION("IFERROR(VLOOKUP(TRIM(A32),IMPORTRANGE(""1B6nP1Ts7cF60F-9DocMTsAaVFKfuimLnUoxweBavHeU"",""Form Responses 1!B:C""),2,0),"""")"),"")</f>
        <v/>
      </c>
      <c r="T32" s="60" t="str">
        <f>IFERROR(__xludf.DUMMYFUNCTION("IFERROR(VLOOKUP(TRIM(A32),IMPORTRANGE(""1Urfs_Vy5SE9U8tp1-UR-7FoEAxcNy8MifWBH8GiFXd8"",""Form Responses 1!B:C""),2,0),"""")"),"")</f>
        <v/>
      </c>
      <c r="U32" s="60" t="str">
        <f>IFERROR(__xludf.DUMMYFUNCTION("IFERROR(VLOOKUP(TRIM(A32),IMPORTRANGE(""1aXWUim-N4mxaoEzA3XAIdaDH-QYLEvzF2WdP7MGXYAE"",""Form Responses 1!B:C""),2,0),"""")"),"")</f>
        <v/>
      </c>
      <c r="V32" s="63"/>
      <c r="W32" s="62" t="str">
        <f>IFERROR(__xludf.DUMMYFUNCTION("IFERROR(1/(1/MAX(
  IFERROR(VLOOKUP(TRIM(A32),IMPORTRANGE(""1ZA1PTk3mXTxdasMFIUL3_HnhZbSrjlYI0jroyR74oDM"",""Form Responses 1!B:C""),2,0),),
  IFERROR(VLOOKUP(TRIM(A32),IMPORTRANGE(""197C8yvLyfR59JPOCjQdNv3jtQAWqA9lyzhiAtksREXI"",""Form Responses 1!B:C"")"&amp;",2,0),)
)),)"),"")</f>
        <v/>
      </c>
      <c r="X32" s="62" t="str">
        <f>IFERROR(__xludf.DUMMYFUNCTION("IFERROR(VLOOKUP(TRIM(A32),IMPORTRANGE(""1S55NQGXzV1_qOWKXpsQUC871e5j71TNZ9qXJwwhlcsg"",""Form Responses 1!B:C""),2,0),"""")"),"")</f>
        <v/>
      </c>
      <c r="Y32" s="62" t="str">
        <f>IFERROR(__xludf.DUMMYFUNCTION("IFERROR(VLOOKUP(TRIM(A32),IMPORTRANGE(""1tpV5_mFhbN6YKRuO1MZvSbUMIPr8PmwiNyIZJpY0iKs"",""Form Responses 1!B:C""),2,0),"""")"),"")</f>
        <v/>
      </c>
      <c r="Z32" s="62" t="str">
        <f>IFERROR(__xludf.DUMMYFUNCTION("IFERROR(VLOOKUP(TRIM(A32),IMPORTRANGE(""1wfMRO2uDQNJ1PCwTpHdQ8iUrPUKVHyvbfqf8TasTViU"",""Form Responses 1!B:C""),2,0),"""")"),"")</f>
        <v/>
      </c>
      <c r="AA32" s="62" t="str">
        <f>IFERROR(__xludf.DUMMYFUNCTION("IFERROR(VLOOKUP(TRIM(A32),IMPORTRANGE(""1ZOlAPpjCs7qXcQpCvrHzmJ4FOraZ9bKV8IEd78oT7sE"",""Form Responses 1!B:C""),2,0),"""")"),"")</f>
        <v/>
      </c>
      <c r="AB32" s="62" t="str">
        <f>IFERROR(__xludf.DUMMYFUNCTION("IFERROR(VLOOKUP(TRIM(A32),IMPORTRANGE(""1oPrvVT6QDWEUmx87GoqLd1CXTtfLo6WfrreUocg_I08"",""Form Responses 1!B:C""),2,0),"""")"),"")</f>
        <v/>
      </c>
      <c r="AC32" s="62" t="str">
        <f>IFERROR(__xludf.DUMMYFUNCTION("IFERROR(VLOOKUP(TRIM(A32),IMPORTRANGE(""1WKNusCM8GAvNDFdV2AjY5sTwyti4BFZk9I1rFa74mxo"",""Form Responses 1!B:C""),2,0),"""")"),"")</f>
        <v/>
      </c>
      <c r="AD32" s="62" t="str">
        <f>IFERROR(__xludf.DUMMYFUNCTION("IFERROR(VLOOKUP(TRIM(A32),IMPORTRANGE(""1ezPhPfgGBlZIzMnymbnrUr2FhcM_6Sv_nk0hxcbuzTQ"",""Form Responses 1!B:C""),2,0),"""")"),"")</f>
        <v/>
      </c>
      <c r="AE32" s="62" t="str">
        <f>IFERROR(__xludf.DUMMYFUNCTION("IFERROR(VLOOKUP(TRIM(A32),IMPORTRANGE(""1nCvx2881PQ64OQinwpUfP8HphDEhFD0vPRxp_AAAdlM"",""Form Responses 1!B:C""),2,0),"""")"),"")</f>
        <v/>
      </c>
      <c r="AF32" s="62" t="str">
        <f>IFERROR(__xludf.DUMMYFUNCTION("IFERROR(VLOOKUP(TRIM(A32),IMPORTRANGE(""1cImVBctl3mh_jlEmJoy6CEEFe_DDCxRGkjB_Jp-qsU8"",""Form Responses 1!B:C""),2,0),"""")"),"")</f>
        <v/>
      </c>
      <c r="AG32" s="57"/>
      <c r="AH32" s="57"/>
      <c r="AI32" s="57"/>
      <c r="AJ32" s="57"/>
      <c r="AK32" s="57"/>
      <c r="AL32" s="57"/>
      <c r="AM32" s="57"/>
      <c r="AN32" s="57"/>
      <c r="AO32" s="57"/>
      <c r="AP32" s="57"/>
      <c r="AQ32" s="57"/>
      <c r="AR32" s="57"/>
      <c r="AS32" s="57"/>
      <c r="AT32" s="57"/>
      <c r="AU32" s="57"/>
      <c r="AV32" s="57"/>
      <c r="AW32" s="57"/>
      <c r="AX32" s="57"/>
      <c r="AY32" s="57"/>
      <c r="AZ32" s="57"/>
    </row>
    <row r="33">
      <c r="A33" s="56" t="s">
        <v>236</v>
      </c>
      <c r="B33" s="57">
        <f>IFERROR(__xludf.DUMMYFUNCTION("IFERROR(IF(COUNTIF(IMPORTRANGE(""1oiajwiBxoDIOBcD_uKarGHJIrskYi3nXyI9FyWq8IFk"",""Form Responses 1!B:B""),A33)&gt;0,10,),0)"),10.0)</f>
        <v>10</v>
      </c>
      <c r="C33" s="57" t="str">
        <f>IFERROR(__xludf.DUMMYFUNCTION("IFERROR(VLOOKUP(A33,IMPORTRANGE(""1PRkBNvF7wRBbJGtbM1I7-V_ej5mmlgF4cwmp64ilJGQ"",""Form Responses 1!B:C""),2,FALSE),)"),"")</f>
        <v/>
      </c>
      <c r="D33" s="57" t="str">
        <f>IFERROR(__xludf.DUMMYFUNCTION("IFERROR(VLOOKUP(A33,IMPORTRANGE(""1rSBnjICjC9324bzLIQpakQH2kn1-6by9fz9jLCcefTs"",""Form Responses 1!B:C""),2,FALSE),)"),"")</f>
        <v/>
      </c>
      <c r="E33" s="57" t="str">
        <f>IFERROR(__xludf.DUMMYFUNCTION("IFERROR(VLOOKUP(A33,IMPORTRANGE(""1OvNQShTkB7b8btd44zAgP-KkGS7dJ0BEd6wMgBISDs0"",""Form Responses 1!B:C""),2,FALSE),)"),"")</f>
        <v/>
      </c>
      <c r="F33" s="57" t="str">
        <f>IFERROR(__xludf.DUMMYFUNCTION("IFERROR(IF(COUNTIF(IMPORTRANGE(""13ZZ2q5-JsneAoCxE8QLqs1Ycj8WSgN9hPRza9XUMv_4"",""Form Responses 1!B:B""),A33)&gt;0,20,),)"),"")</f>
        <v/>
      </c>
      <c r="G33" s="58" t="str">
        <f>IFERROR(__xludf.DUMMYFUNCTION("IFERROR(IF(COUNTIF(IMPORTRANGE(""1ljo_MifcmFDCNF59UxR3-3g4XI2XSRJ3WpZcUkp6so8"",""Form Responses 1!B:B""),A33)&gt;0,10,),)"),"")</f>
        <v/>
      </c>
      <c r="H33" s="59">
        <f>IFERROR(__xludf.DUMMYFUNCTION("IFERROR(VLOOKUP(A33,IMPORTRANGE(""1PBvrHm3dgtcno-UApCGo6dIU4auKbeIJC2SC7k36T64"",""Form Responses 1!B:C""),2,FALSE),)"),3.0)</f>
        <v>3</v>
      </c>
      <c r="I33" s="60" t="str">
        <f>IFERROR(__xludf.DUMMYFUNCTION("IFERROR(VLOOKUP(A33,IMPORTRANGE(""13P_qT6pKDynUZR0_aswSscwX8dw4UhPyIL8ohovayVc
"",""Form Responses 1!B:C""),2,FALSE),)"),"")</f>
        <v/>
      </c>
      <c r="J33" s="60" t="str">
        <f>IFERROR(__xludf.DUMMYFUNCTION("IFERROR(VLOOKUP(A33,IMPORTRANGE(""16B_HaxNdsb7BY3AQ0xKagDsjOLkfb_DjPkxPwEpn8gc
"",""Form Responses 1!B:C""),2,FALSE),)"),"")</f>
        <v/>
      </c>
      <c r="K33" s="60" t="str">
        <f>IFERROR(__xludf.DUMMYFUNCTION("IFERROR(VLOOKUP(A33,IMPORTRANGE(""1bUO_1Nv9gx3vZE_-m4w6HiuWUM1u8qsaqKByYyla14Q"",""Form Responses 1!B:C""),2,FALSE),)"),"")</f>
        <v/>
      </c>
      <c r="L33" s="59">
        <f>IFERROR(__xludf.DUMMYFUNCTION("IFERROR(IF(COUNTIF(IMPORTRANGE(""1SG2BnFOinBZsm3_Rx1BzD670E652svXjlzWieKobj9o"",""Form Responses 1!B:B""),A33)&gt;0,10,),0)"),10.0)</f>
        <v>10</v>
      </c>
      <c r="M33" s="60" t="str">
        <f>IFERROR(__xludf.DUMMYFUNCTION("IFERROR(VLOOKUP(A33,IMPORTRANGE(""1Zpz_ArqUHJZzCwyJqFKkEASeqFw0lZ4HLK4wQdLXj3w
"",""Form Responses 1!B:C""),2,FALSE),)"),"")</f>
        <v/>
      </c>
      <c r="N33" s="60" t="str">
        <f>IFERROR(__xludf.DUMMYFUNCTION("IFERROR(VLOOKUP(A33,IMPORTRANGE(""1c318JgcKMkTMtHFS6SjH7x3TAnZwddcZMI9Jx-B9VOM
"",""Form Responses 1!B:C""),2,FALSE),)"),"")</f>
        <v/>
      </c>
      <c r="O33" s="60" t="str">
        <f>IFERROR(__xludf.DUMMYFUNCTION("IFERROR(VLOOKUP(A33,IMPORTRANGE(""1kp8AvADOUteLDy1-i5F9JvR64ee_UwN5UoIn-tH5zPQ
"",""Form Responses 1!B:C""),2,FALSE),)"),"")</f>
        <v/>
      </c>
      <c r="P33" s="60" t="str">
        <f>IFERROR(__xludf.DUMMYFUNCTION("IFERROR(VLOOKUP(A33,IMPORTRANGE(""1PSjtsRk3dryPdI2Zls_iIpRgVVwBTGQ0ryRujA_ayZ0"",""Form Responses 1!B:C""),2,FALSE),)"),"")</f>
        <v/>
      </c>
      <c r="Q33" s="59">
        <f>IFERROR(__xludf.DUMMYFUNCTION("IFERROR(VLOOKUP(TRIM(A33),IMPORTRANGE(""1ciMZmE3_Ia8QatZf9u-RYqeCzLjcP66olwhReBx-Pwc"",""Form Responses 1!B:C""),2,0),"""")"),2.0)</f>
        <v>2</v>
      </c>
      <c r="R33" s="60" t="str">
        <f>IFERROR(__xludf.DUMMYFUNCTION("IFERROR(VLOOKUP(TRIM(A33),IMPORTRANGE(""1dEvtr9f2UAemMjkvEwBFPyuEw3YQPqez4Kgo-0l7vS4"",""Form Responses 1!B:C""),2,0),"""")"),"")</f>
        <v/>
      </c>
      <c r="S33" s="60" t="str">
        <f>IFERROR(__xludf.DUMMYFUNCTION("IFERROR(VLOOKUP(TRIM(A33),IMPORTRANGE(""1B6nP1Ts7cF60F-9DocMTsAaVFKfuimLnUoxweBavHeU"",""Form Responses 1!B:C""),2,0),"""")"),"")</f>
        <v/>
      </c>
      <c r="T33" s="60" t="str">
        <f>IFERROR(__xludf.DUMMYFUNCTION("IFERROR(VLOOKUP(TRIM(A33),IMPORTRANGE(""1Urfs_Vy5SE9U8tp1-UR-7FoEAxcNy8MifWBH8GiFXd8"",""Form Responses 1!B:C""),2,0),"""")"),"")</f>
        <v/>
      </c>
      <c r="U33" s="60" t="str">
        <f>IFERROR(__xludf.DUMMYFUNCTION("IFERROR(VLOOKUP(TRIM(A33),IMPORTRANGE(""1aXWUim-N4mxaoEzA3XAIdaDH-QYLEvzF2WdP7MGXYAE"",""Form Responses 1!B:C""),2,0),"""")"),"")</f>
        <v/>
      </c>
      <c r="V33" s="63"/>
      <c r="W33" s="62">
        <f>IFERROR(__xludf.DUMMYFUNCTION("IFERROR(1/(1/MAX(
  IFERROR(VLOOKUP(TRIM(A33),IMPORTRANGE(""1ZA1PTk3mXTxdasMFIUL3_HnhZbSrjlYI0jroyR74oDM"",""Form Responses 1!B:C""),2,0),),
  IFERROR(VLOOKUP(TRIM(A33),IMPORTRANGE(""197C8yvLyfR59JPOCjQdNv3jtQAWqA9lyzhiAtksREXI"",""Form Responses 1!B:C"")"&amp;",2,0),)
)),)"),3.0)</f>
        <v>3</v>
      </c>
      <c r="X33" s="62" t="str">
        <f>IFERROR(__xludf.DUMMYFUNCTION("IFERROR(VLOOKUP(TRIM(A33),IMPORTRANGE(""1S55NQGXzV1_qOWKXpsQUC871e5j71TNZ9qXJwwhlcsg"",""Form Responses 1!B:C""),2,0),"""")"),"")</f>
        <v/>
      </c>
      <c r="Y33" s="62">
        <f>IFERROR(__xludf.DUMMYFUNCTION("IFERROR(VLOOKUP(TRIM(A33),IMPORTRANGE(""1tpV5_mFhbN6YKRuO1MZvSbUMIPr8PmwiNyIZJpY0iKs"",""Form Responses 1!B:C""),2,0),"""")"),12.0)</f>
        <v>12</v>
      </c>
      <c r="Z33" s="62">
        <f>IFERROR(__xludf.DUMMYFUNCTION("IFERROR(VLOOKUP(TRIM(A33),IMPORTRANGE(""1wfMRO2uDQNJ1PCwTpHdQ8iUrPUKVHyvbfqf8TasTViU"",""Form Responses 1!B:C""),2,0),"""")"),5.0)</f>
        <v>5</v>
      </c>
      <c r="AA33" s="62">
        <f>IFERROR(__xludf.DUMMYFUNCTION("IFERROR(VLOOKUP(TRIM(A33),IMPORTRANGE(""1ZOlAPpjCs7qXcQpCvrHzmJ4FOraZ9bKV8IEd78oT7sE"",""Form Responses 1!B:C""),2,0),"""")"),0.0)</f>
        <v>0</v>
      </c>
      <c r="AB33" s="62">
        <f>IFERROR(__xludf.DUMMYFUNCTION("IFERROR(VLOOKUP(TRIM(A33),IMPORTRANGE(""1oPrvVT6QDWEUmx87GoqLd1CXTtfLo6WfrreUocg_I08"",""Form Responses 1!B:C""),2,0),"""")"),6.0)</f>
        <v>6</v>
      </c>
      <c r="AC33" s="62" t="str">
        <f>IFERROR(__xludf.DUMMYFUNCTION("IFERROR(VLOOKUP(TRIM(A33),IMPORTRANGE(""1WKNusCM8GAvNDFdV2AjY5sTwyti4BFZk9I1rFa74mxo"",""Form Responses 1!B:C""),2,0),"""")"),"")</f>
        <v/>
      </c>
      <c r="AD33" s="62" t="str">
        <f>IFERROR(__xludf.DUMMYFUNCTION("IFERROR(VLOOKUP(TRIM(A33),IMPORTRANGE(""1ezPhPfgGBlZIzMnymbnrUr2FhcM_6Sv_nk0hxcbuzTQ"",""Form Responses 1!B:C""),2,0),"""")"),"")</f>
        <v/>
      </c>
      <c r="AE33" s="62" t="str">
        <f>IFERROR(__xludf.DUMMYFUNCTION("IFERROR(VLOOKUP(TRIM(A33),IMPORTRANGE(""1nCvx2881PQ64OQinwpUfP8HphDEhFD0vPRxp_AAAdlM"",""Form Responses 1!B:C""),2,0),"""")"),"")</f>
        <v/>
      </c>
      <c r="AF33" s="62" t="str">
        <f>IFERROR(__xludf.DUMMYFUNCTION("IFERROR(VLOOKUP(TRIM(A33),IMPORTRANGE(""1cImVBctl3mh_jlEmJoy6CEEFe_DDCxRGkjB_Jp-qsU8"",""Form Responses 1!B:C""),2,0),"""")"),"")</f>
        <v/>
      </c>
      <c r="AG33" s="57"/>
      <c r="AH33" s="57"/>
      <c r="AI33" s="57"/>
      <c r="AJ33" s="57"/>
      <c r="AK33" s="57"/>
      <c r="AL33" s="57"/>
      <c r="AM33" s="57"/>
      <c r="AN33" s="57"/>
      <c r="AO33" s="57"/>
      <c r="AP33" s="57"/>
      <c r="AQ33" s="57"/>
      <c r="AR33" s="57"/>
      <c r="AS33" s="57"/>
      <c r="AT33" s="57"/>
      <c r="AU33" s="57"/>
      <c r="AV33" s="57"/>
      <c r="AW33" s="57"/>
      <c r="AX33" s="57"/>
      <c r="AY33" s="57"/>
      <c r="AZ33" s="57"/>
    </row>
    <row r="34">
      <c r="A34" s="56" t="s">
        <v>237</v>
      </c>
      <c r="B34" s="57" t="str">
        <f>IFERROR(__xludf.DUMMYFUNCTION("IFERROR(IF(COUNTIF(IMPORTRANGE(""1oiajwiBxoDIOBcD_uKarGHJIrskYi3nXyI9FyWq8IFk"",""Form Responses 1!B:B""),A34)&gt;0,10,),0)"),"")</f>
        <v/>
      </c>
      <c r="C34" s="57" t="str">
        <f>IFERROR(__xludf.DUMMYFUNCTION("IFERROR(VLOOKUP(A34,IMPORTRANGE(""1PRkBNvF7wRBbJGtbM1I7-V_ej5mmlgF4cwmp64ilJGQ"",""Form Responses 1!B:C""),2,FALSE),)"),"")</f>
        <v/>
      </c>
      <c r="D34" s="57" t="str">
        <f>IFERROR(__xludf.DUMMYFUNCTION("IFERROR(VLOOKUP(A34,IMPORTRANGE(""1rSBnjICjC9324bzLIQpakQH2kn1-6by9fz9jLCcefTs"",""Form Responses 1!B:C""),2,FALSE),)"),"")</f>
        <v/>
      </c>
      <c r="E34" s="57" t="str">
        <f>IFERROR(__xludf.DUMMYFUNCTION("IFERROR(VLOOKUP(A34,IMPORTRANGE(""1OvNQShTkB7b8btd44zAgP-KkGS7dJ0BEd6wMgBISDs0"",""Form Responses 1!B:C""),2,FALSE),)"),"")</f>
        <v/>
      </c>
      <c r="F34" s="57" t="str">
        <f>IFERROR(__xludf.DUMMYFUNCTION("IFERROR(IF(COUNTIF(IMPORTRANGE(""13ZZ2q5-JsneAoCxE8QLqs1Ycj8WSgN9hPRza9XUMv_4"",""Form Responses 1!B:B""),A34)&gt;0,20,),)"),"")</f>
        <v/>
      </c>
      <c r="G34" s="58" t="str">
        <f>IFERROR(__xludf.DUMMYFUNCTION("IFERROR(IF(COUNTIF(IMPORTRANGE(""1ljo_MifcmFDCNF59UxR3-3g4XI2XSRJ3WpZcUkp6so8"",""Form Responses 1!B:B""),A34)&gt;0,10,),)"),"")</f>
        <v/>
      </c>
      <c r="H34" s="59" t="str">
        <f>IFERROR(__xludf.DUMMYFUNCTION("IFERROR(VLOOKUP(A34,IMPORTRANGE(""1PBvrHm3dgtcno-UApCGo6dIU4auKbeIJC2SC7k36T64"",""Form Responses 1!B:C""),2,FALSE),)"),"")</f>
        <v/>
      </c>
      <c r="I34" s="60" t="str">
        <f>IFERROR(__xludf.DUMMYFUNCTION("IFERROR(VLOOKUP(A34,IMPORTRANGE(""13P_qT6pKDynUZR0_aswSscwX8dw4UhPyIL8ohovayVc
"",""Form Responses 1!B:C""),2,FALSE),)"),"")</f>
        <v/>
      </c>
      <c r="J34" s="60" t="str">
        <f>IFERROR(__xludf.DUMMYFUNCTION("IFERROR(VLOOKUP(A34,IMPORTRANGE(""16B_HaxNdsb7BY3AQ0xKagDsjOLkfb_DjPkxPwEpn8gc
"",""Form Responses 1!B:C""),2,FALSE),)"),"")</f>
        <v/>
      </c>
      <c r="K34" s="60" t="str">
        <f>IFERROR(__xludf.DUMMYFUNCTION("IFERROR(VLOOKUP(A34,IMPORTRANGE(""1bUO_1Nv9gx3vZE_-m4w6HiuWUM1u8qsaqKByYyla14Q"",""Form Responses 1!B:C""),2,FALSE),)"),"")</f>
        <v/>
      </c>
      <c r="L34" s="59" t="str">
        <f>IFERROR(__xludf.DUMMYFUNCTION("IFERROR(IF(COUNTIF(IMPORTRANGE(""1SG2BnFOinBZsm3_Rx1BzD670E652svXjlzWieKobj9o"",""Form Responses 1!B:B""),A34)&gt;0,10,),0)"),"")</f>
        <v/>
      </c>
      <c r="M34" s="60" t="str">
        <f>IFERROR(__xludf.DUMMYFUNCTION("IFERROR(VLOOKUP(A34,IMPORTRANGE(""1Zpz_ArqUHJZzCwyJqFKkEASeqFw0lZ4HLK4wQdLXj3w
"",""Form Responses 1!B:C""),2,FALSE),)"),"")</f>
        <v/>
      </c>
      <c r="N34" s="60" t="str">
        <f>IFERROR(__xludf.DUMMYFUNCTION("IFERROR(VLOOKUP(A34,IMPORTRANGE(""1c318JgcKMkTMtHFS6SjH7x3TAnZwddcZMI9Jx-B9VOM
"",""Form Responses 1!B:C""),2,FALSE),)"),"")</f>
        <v/>
      </c>
      <c r="O34" s="60" t="str">
        <f>IFERROR(__xludf.DUMMYFUNCTION("IFERROR(VLOOKUP(A34,IMPORTRANGE(""1kp8AvADOUteLDy1-i5F9JvR64ee_UwN5UoIn-tH5zPQ
"",""Form Responses 1!B:C""),2,FALSE),)"),"")</f>
        <v/>
      </c>
      <c r="P34" s="60" t="str">
        <f>IFERROR(__xludf.DUMMYFUNCTION("IFERROR(VLOOKUP(A34,IMPORTRANGE(""1PSjtsRk3dryPdI2Zls_iIpRgVVwBTGQ0ryRujA_ayZ0"",""Form Responses 1!B:C""),2,FALSE),)"),"")</f>
        <v/>
      </c>
      <c r="Q34" s="59" t="str">
        <f>IFERROR(__xludf.DUMMYFUNCTION("IFERROR(VLOOKUP(TRIM(A34),IMPORTRANGE(""1ciMZmE3_Ia8QatZf9u-RYqeCzLjcP66olwhReBx-Pwc"",""Form Responses 1!B:C""),2,0),"""")"),"")</f>
        <v/>
      </c>
      <c r="R34" s="60" t="str">
        <f>IFERROR(__xludf.DUMMYFUNCTION("IFERROR(VLOOKUP(TRIM(A34),IMPORTRANGE(""1dEvtr9f2UAemMjkvEwBFPyuEw3YQPqez4Kgo-0l7vS4"",""Form Responses 1!B:C""),2,0),"""")"),"")</f>
        <v/>
      </c>
      <c r="S34" s="60" t="str">
        <f>IFERROR(__xludf.DUMMYFUNCTION("IFERROR(VLOOKUP(TRIM(A34),IMPORTRANGE(""1B6nP1Ts7cF60F-9DocMTsAaVFKfuimLnUoxweBavHeU"",""Form Responses 1!B:C""),2,0),"""")"),"")</f>
        <v/>
      </c>
      <c r="T34" s="60" t="str">
        <f>IFERROR(__xludf.DUMMYFUNCTION("IFERROR(VLOOKUP(TRIM(A34),IMPORTRANGE(""1Urfs_Vy5SE9U8tp1-UR-7FoEAxcNy8MifWBH8GiFXd8"",""Form Responses 1!B:C""),2,0),"""")"),"")</f>
        <v/>
      </c>
      <c r="U34" s="60" t="str">
        <f>IFERROR(__xludf.DUMMYFUNCTION("IFERROR(VLOOKUP(TRIM(A34),IMPORTRANGE(""1aXWUim-N4mxaoEzA3XAIdaDH-QYLEvzF2WdP7MGXYAE"",""Form Responses 1!B:C""),2,0),"""")"),"")</f>
        <v/>
      </c>
      <c r="V34" s="63"/>
      <c r="W34" s="62" t="str">
        <f>IFERROR(__xludf.DUMMYFUNCTION("IFERROR(1/(1/MAX(
  IFERROR(VLOOKUP(TRIM(A34),IMPORTRANGE(""1ZA1PTk3mXTxdasMFIUL3_HnhZbSrjlYI0jroyR74oDM"",""Form Responses 1!B:C""),2,0),),
  IFERROR(VLOOKUP(TRIM(A34),IMPORTRANGE(""197C8yvLyfR59JPOCjQdNv3jtQAWqA9lyzhiAtksREXI"",""Form Responses 1!B:C"")"&amp;",2,0),)
)),)"),"")</f>
        <v/>
      </c>
      <c r="X34" s="62" t="str">
        <f>IFERROR(__xludf.DUMMYFUNCTION("IFERROR(VLOOKUP(TRIM(A34),IMPORTRANGE(""1S55NQGXzV1_qOWKXpsQUC871e5j71TNZ9qXJwwhlcsg"",""Form Responses 1!B:C""),2,0),"""")"),"")</f>
        <v/>
      </c>
      <c r="Y34" s="62" t="str">
        <f>IFERROR(__xludf.DUMMYFUNCTION("IFERROR(VLOOKUP(TRIM(A34),IMPORTRANGE(""1tpV5_mFhbN6YKRuO1MZvSbUMIPr8PmwiNyIZJpY0iKs"",""Form Responses 1!B:C""),2,0),"""")"),"")</f>
        <v/>
      </c>
      <c r="Z34" s="62" t="str">
        <f>IFERROR(__xludf.DUMMYFUNCTION("IFERROR(VLOOKUP(TRIM(A34),IMPORTRANGE(""1wfMRO2uDQNJ1PCwTpHdQ8iUrPUKVHyvbfqf8TasTViU"",""Form Responses 1!B:C""),2,0),"""")"),"")</f>
        <v/>
      </c>
      <c r="AA34" s="62" t="str">
        <f>IFERROR(__xludf.DUMMYFUNCTION("IFERROR(VLOOKUP(TRIM(A34),IMPORTRANGE(""1ZOlAPpjCs7qXcQpCvrHzmJ4FOraZ9bKV8IEd78oT7sE"",""Form Responses 1!B:C""),2,0),"""")"),"")</f>
        <v/>
      </c>
      <c r="AB34" s="62" t="str">
        <f>IFERROR(__xludf.DUMMYFUNCTION("IFERROR(VLOOKUP(TRIM(A34),IMPORTRANGE(""1oPrvVT6QDWEUmx87GoqLd1CXTtfLo6WfrreUocg_I08"",""Form Responses 1!B:C""),2,0),"""")"),"")</f>
        <v/>
      </c>
      <c r="AC34" s="62" t="str">
        <f>IFERROR(__xludf.DUMMYFUNCTION("IFERROR(VLOOKUP(TRIM(A34),IMPORTRANGE(""1WKNusCM8GAvNDFdV2AjY5sTwyti4BFZk9I1rFa74mxo"",""Form Responses 1!B:C""),2,0),"""")"),"")</f>
        <v/>
      </c>
      <c r="AD34" s="62" t="str">
        <f>IFERROR(__xludf.DUMMYFUNCTION("IFERROR(VLOOKUP(TRIM(A34),IMPORTRANGE(""1ezPhPfgGBlZIzMnymbnrUr2FhcM_6Sv_nk0hxcbuzTQ"",""Form Responses 1!B:C""),2,0),"""")"),"")</f>
        <v/>
      </c>
      <c r="AE34" s="62" t="str">
        <f>IFERROR(__xludf.DUMMYFUNCTION("IFERROR(VLOOKUP(TRIM(A34),IMPORTRANGE(""1nCvx2881PQ64OQinwpUfP8HphDEhFD0vPRxp_AAAdlM"",""Form Responses 1!B:C""),2,0),"""")"),"")</f>
        <v/>
      </c>
      <c r="AF34" s="62" t="str">
        <f>IFERROR(__xludf.DUMMYFUNCTION("IFERROR(VLOOKUP(TRIM(A34),IMPORTRANGE(""1cImVBctl3mh_jlEmJoy6CEEFe_DDCxRGkjB_Jp-qsU8"",""Form Responses 1!B:C""),2,0),"""")"),"")</f>
        <v/>
      </c>
      <c r="AG34" s="57"/>
      <c r="AH34" s="57"/>
      <c r="AI34" s="57"/>
      <c r="AJ34" s="57"/>
      <c r="AK34" s="57"/>
      <c r="AL34" s="57"/>
      <c r="AM34" s="57"/>
      <c r="AN34" s="57"/>
      <c r="AO34" s="57"/>
      <c r="AP34" s="57"/>
      <c r="AQ34" s="57"/>
      <c r="AR34" s="57"/>
      <c r="AS34" s="57"/>
      <c r="AT34" s="57"/>
      <c r="AU34" s="57"/>
      <c r="AV34" s="57"/>
      <c r="AW34" s="57"/>
      <c r="AX34" s="57"/>
      <c r="AY34" s="57"/>
      <c r="AZ34" s="57"/>
    </row>
    <row r="35">
      <c r="A35" s="56" t="s">
        <v>238</v>
      </c>
      <c r="B35" s="57">
        <f>IFERROR(__xludf.DUMMYFUNCTION("IFERROR(IF(COUNTIF(IMPORTRANGE(""1oiajwiBxoDIOBcD_uKarGHJIrskYi3nXyI9FyWq8IFk"",""Form Responses 1!B:B""),A35)&gt;0,10,),0)"),10.0)</f>
        <v>10</v>
      </c>
      <c r="C35" s="57">
        <f>IFERROR(__xludf.DUMMYFUNCTION("IFERROR(VLOOKUP(A35,IMPORTRANGE(""1PRkBNvF7wRBbJGtbM1I7-V_ej5mmlgF4cwmp64ilJGQ"",""Form Responses 1!B:C""),2,FALSE),)"),10.0)</f>
        <v>10</v>
      </c>
      <c r="D35" s="57">
        <f>IFERROR(__xludf.DUMMYFUNCTION("IFERROR(VLOOKUP(A35,IMPORTRANGE(""1rSBnjICjC9324bzLIQpakQH2kn1-6by9fz9jLCcefTs"",""Form Responses 1!B:C""),2,FALSE),)"),0.0)</f>
        <v>0</v>
      </c>
      <c r="E35" s="57">
        <f>IFERROR(__xludf.DUMMYFUNCTION("IFERROR(VLOOKUP(A35,IMPORTRANGE(""1OvNQShTkB7b8btd44zAgP-KkGS7dJ0BEd6wMgBISDs0"",""Form Responses 1!B:C""),2,FALSE),)"),15.0)</f>
        <v>15</v>
      </c>
      <c r="F35" s="57">
        <f>IFERROR(__xludf.DUMMYFUNCTION("IFERROR(IF(COUNTIF(IMPORTRANGE(""13ZZ2q5-JsneAoCxE8QLqs1Ycj8WSgN9hPRza9XUMv_4"",""Form Responses 1!B:B""),A35)&gt;0,20,),)"),20.0)</f>
        <v>20</v>
      </c>
      <c r="G35" s="58" t="str">
        <f>IFERROR(__xludf.DUMMYFUNCTION("IFERROR(IF(COUNTIF(IMPORTRANGE(""1ljo_MifcmFDCNF59UxR3-3g4XI2XSRJ3WpZcUkp6so8"",""Form Responses 1!B:B""),A35)&gt;0,10,),)"),"")</f>
        <v/>
      </c>
      <c r="H35" s="59">
        <f>IFERROR(__xludf.DUMMYFUNCTION("IFERROR(VLOOKUP(A35,IMPORTRANGE(""1PBvrHm3dgtcno-UApCGo6dIU4auKbeIJC2SC7k36T64"",""Form Responses 1!B:C""),2,FALSE),)"),6.0)</f>
        <v>6</v>
      </c>
      <c r="I35" s="60">
        <f>IFERROR(__xludf.DUMMYFUNCTION("IFERROR(VLOOKUP(A35,IMPORTRANGE(""13P_qT6pKDynUZR0_aswSscwX8dw4UhPyIL8ohovayVc
"",""Form Responses 1!B:C""),2,FALSE),)"),6.0)</f>
        <v>6</v>
      </c>
      <c r="J35" s="60">
        <f>IFERROR(__xludf.DUMMYFUNCTION("IFERROR(VLOOKUP(A35,IMPORTRANGE(""16B_HaxNdsb7BY3AQ0xKagDsjOLkfb_DjPkxPwEpn8gc
"",""Form Responses 1!B:C""),2,FALSE),)"),6.0)</f>
        <v>6</v>
      </c>
      <c r="K35" s="60">
        <f>IFERROR(__xludf.DUMMYFUNCTION("IFERROR(VLOOKUP(A35,IMPORTRANGE(""1bUO_1Nv9gx3vZE_-m4w6HiuWUM1u8qsaqKByYyla14Q"",""Form Responses 1!B:C""),2,FALSE),)"),2.0)</f>
        <v>2</v>
      </c>
      <c r="L35" s="59">
        <f>IFERROR(__xludf.DUMMYFUNCTION("IFERROR(IF(COUNTIF(IMPORTRANGE(""1SG2BnFOinBZsm3_Rx1BzD670E652svXjlzWieKobj9o"",""Form Responses 1!B:B""),A35)&gt;0,10,),0)"),10.0)</f>
        <v>10</v>
      </c>
      <c r="M35" s="60">
        <f>IFERROR(__xludf.DUMMYFUNCTION("IFERROR(VLOOKUP(A35,IMPORTRANGE(""1Zpz_ArqUHJZzCwyJqFKkEASeqFw0lZ4HLK4wQdLXj3w
"",""Form Responses 1!B:C""),2,FALSE),)"),20.0)</f>
        <v>20</v>
      </c>
      <c r="N35" s="60">
        <f>IFERROR(__xludf.DUMMYFUNCTION("IFERROR(VLOOKUP(A35,IMPORTRANGE(""1c318JgcKMkTMtHFS6SjH7x3TAnZwddcZMI9Jx-B9VOM
"",""Form Responses 1!B:C""),2,FALSE),)"),7.0)</f>
        <v>7</v>
      </c>
      <c r="O35" s="60">
        <f>IFERROR(__xludf.DUMMYFUNCTION("IFERROR(VLOOKUP(A35,IMPORTRANGE(""1kp8AvADOUteLDy1-i5F9JvR64ee_UwN5UoIn-tH5zPQ
"",""Form Responses 1!B:C""),2,FALSE),)"),7.0)</f>
        <v>7</v>
      </c>
      <c r="P35" s="60">
        <f>IFERROR(__xludf.DUMMYFUNCTION("IFERROR(VLOOKUP(A35,IMPORTRANGE(""1PSjtsRk3dryPdI2Zls_iIpRgVVwBTGQ0ryRujA_ayZ0"",""Form Responses 1!B:C""),2,FALSE),)"),9.0)</f>
        <v>9</v>
      </c>
      <c r="Q35" s="59">
        <f>IFERROR(__xludf.DUMMYFUNCTION("IFERROR(VLOOKUP(TRIM(A35),IMPORTRANGE(""1ciMZmE3_Ia8QatZf9u-RYqeCzLjcP66olwhReBx-Pwc"",""Form Responses 1!B:C""),2,0),"""")"),11.0)</f>
        <v>11</v>
      </c>
      <c r="R35" s="60">
        <f>IFERROR(__xludf.DUMMYFUNCTION("IFERROR(VLOOKUP(TRIM(A35),IMPORTRANGE(""1dEvtr9f2UAemMjkvEwBFPyuEw3YQPqez4Kgo-0l7vS4"",""Form Responses 1!B:C""),2,0),"""")"),8.0)</f>
        <v>8</v>
      </c>
      <c r="S35" s="60">
        <f>IFERROR(__xludf.DUMMYFUNCTION("IFERROR(VLOOKUP(TRIM(A35),IMPORTRANGE(""1B6nP1Ts7cF60F-9DocMTsAaVFKfuimLnUoxweBavHeU"",""Form Responses 1!B:C""),2,0),"""")"),4.0)</f>
        <v>4</v>
      </c>
      <c r="T35" s="60">
        <f>IFERROR(__xludf.DUMMYFUNCTION("IFERROR(VLOOKUP(TRIM(A35),IMPORTRANGE(""1Urfs_Vy5SE9U8tp1-UR-7FoEAxcNy8MifWBH8GiFXd8"",""Form Responses 1!B:C""),2,0),"""")"),4.0)</f>
        <v>4</v>
      </c>
      <c r="U35" s="60">
        <f>IFERROR(__xludf.DUMMYFUNCTION("IFERROR(VLOOKUP(TRIM(A35),IMPORTRANGE(""1aXWUim-N4mxaoEzA3XAIdaDH-QYLEvzF2WdP7MGXYAE"",""Form Responses 1!B:C""),2,0),"""")"),0.0)</f>
        <v>0</v>
      </c>
      <c r="V35" s="63"/>
      <c r="W35" s="62">
        <f>IFERROR(__xludf.DUMMYFUNCTION("IFERROR(1/(1/MAX(
  IFERROR(VLOOKUP(TRIM(A35),IMPORTRANGE(""1ZA1PTk3mXTxdasMFIUL3_HnhZbSrjlYI0jroyR74oDM"",""Form Responses 1!B:C""),2,0),),
  IFERROR(VLOOKUP(TRIM(A35),IMPORTRANGE(""197C8yvLyfR59JPOCjQdNv3jtQAWqA9lyzhiAtksREXI"",""Form Responses 1!B:C"")"&amp;",2,0),)
)),)"),6.0)</f>
        <v>6</v>
      </c>
      <c r="X35" s="62" t="str">
        <f>IFERROR(__xludf.DUMMYFUNCTION("IFERROR(VLOOKUP(TRIM(A35),IMPORTRANGE(""1S55NQGXzV1_qOWKXpsQUC871e5j71TNZ9qXJwwhlcsg"",""Form Responses 1!B:C""),2,0),"""")"),"")</f>
        <v/>
      </c>
      <c r="Y35" s="62" t="str">
        <f>IFERROR(__xludf.DUMMYFUNCTION("IFERROR(VLOOKUP(TRIM(A35),IMPORTRANGE(""1tpV5_mFhbN6YKRuO1MZvSbUMIPr8PmwiNyIZJpY0iKs"",""Form Responses 1!B:C""),2,0),"""")"),"")</f>
        <v/>
      </c>
      <c r="Z35" s="62" t="str">
        <f>IFERROR(__xludf.DUMMYFUNCTION("IFERROR(VLOOKUP(TRIM(A35),IMPORTRANGE(""1wfMRO2uDQNJ1PCwTpHdQ8iUrPUKVHyvbfqf8TasTViU"",""Form Responses 1!B:C""),2,0),"""")"),"")</f>
        <v/>
      </c>
      <c r="AA35" s="62" t="str">
        <f>IFERROR(__xludf.DUMMYFUNCTION("IFERROR(VLOOKUP(TRIM(A35),IMPORTRANGE(""1ZOlAPpjCs7qXcQpCvrHzmJ4FOraZ9bKV8IEd78oT7sE"",""Form Responses 1!B:C""),2,0),"""")"),"")</f>
        <v/>
      </c>
      <c r="AB35" s="62" t="str">
        <f>IFERROR(__xludf.DUMMYFUNCTION("IFERROR(VLOOKUP(TRIM(A35),IMPORTRANGE(""1oPrvVT6QDWEUmx87GoqLd1CXTtfLo6WfrreUocg_I08"",""Form Responses 1!B:C""),2,0),"""")"),"")</f>
        <v/>
      </c>
      <c r="AC35" s="62" t="str">
        <f>IFERROR(__xludf.DUMMYFUNCTION("IFERROR(VLOOKUP(TRIM(A35),IMPORTRANGE(""1WKNusCM8GAvNDFdV2AjY5sTwyti4BFZk9I1rFa74mxo"",""Form Responses 1!B:C""),2,0),"""")"),"")</f>
        <v/>
      </c>
      <c r="AD35" s="62" t="str">
        <f>IFERROR(__xludf.DUMMYFUNCTION("IFERROR(VLOOKUP(TRIM(A35),IMPORTRANGE(""1ezPhPfgGBlZIzMnymbnrUr2FhcM_6Sv_nk0hxcbuzTQ"",""Form Responses 1!B:C""),2,0),"""")"),"")</f>
        <v/>
      </c>
      <c r="AE35" s="62" t="str">
        <f>IFERROR(__xludf.DUMMYFUNCTION("IFERROR(VLOOKUP(TRIM(A35),IMPORTRANGE(""1nCvx2881PQ64OQinwpUfP8HphDEhFD0vPRxp_AAAdlM"",""Form Responses 1!B:C""),2,0),"""")"),"")</f>
        <v/>
      </c>
      <c r="AF35" s="62" t="str">
        <f>IFERROR(__xludf.DUMMYFUNCTION("IFERROR(VLOOKUP(TRIM(A35),IMPORTRANGE(""1cImVBctl3mh_jlEmJoy6CEEFe_DDCxRGkjB_Jp-qsU8"",""Form Responses 1!B:C""),2,0),"""")"),"")</f>
        <v/>
      </c>
      <c r="AG35" s="57"/>
      <c r="AH35" s="57"/>
      <c r="AI35" s="57"/>
      <c r="AJ35" s="57"/>
      <c r="AK35" s="57"/>
      <c r="AL35" s="57"/>
      <c r="AM35" s="57"/>
      <c r="AN35" s="57"/>
      <c r="AO35" s="57"/>
      <c r="AP35" s="57"/>
      <c r="AQ35" s="57"/>
      <c r="AR35" s="57"/>
      <c r="AS35" s="57"/>
      <c r="AT35" s="57"/>
      <c r="AU35" s="57"/>
      <c r="AV35" s="57"/>
      <c r="AW35" s="57"/>
      <c r="AX35" s="57"/>
      <c r="AY35" s="57"/>
      <c r="AZ35" s="57"/>
    </row>
    <row r="36">
      <c r="A36" s="56" t="s">
        <v>418</v>
      </c>
      <c r="B36" s="57" t="str">
        <f>IFERROR(__xludf.DUMMYFUNCTION("IFERROR(IF(COUNTIF(IMPORTRANGE(""1oiajwiBxoDIOBcD_uKarGHJIrskYi3nXyI9FyWq8IFk"",""Form Responses 1!B:B""),A36)&gt;0,10,),0)"),"")</f>
        <v/>
      </c>
      <c r="C36" s="57">
        <f>IFERROR(__xludf.DUMMYFUNCTION("IFERROR(VLOOKUP(A36,IMPORTRANGE(""1PRkBNvF7wRBbJGtbM1I7-V_ej5mmlgF4cwmp64ilJGQ"",""Form Responses 1!B:C""),2,FALSE),)"),0.0)</f>
        <v>0</v>
      </c>
      <c r="D36" s="57" t="str">
        <f>IFERROR(__xludf.DUMMYFUNCTION("IFERROR(VLOOKUP(A36,IMPORTRANGE(""1rSBnjICjC9324bzLIQpakQH2kn1-6by9fz9jLCcefTs"",""Form Responses 1!B:C""),2,FALSE),)"),"")</f>
        <v/>
      </c>
      <c r="E36" s="57" t="str">
        <f>IFERROR(__xludf.DUMMYFUNCTION("IFERROR(VLOOKUP(A36,IMPORTRANGE(""1OvNQShTkB7b8btd44zAgP-KkGS7dJ0BEd6wMgBISDs0"",""Form Responses 1!B:C""),2,FALSE),)"),"")</f>
        <v/>
      </c>
      <c r="F36" s="57" t="str">
        <f>IFERROR(__xludf.DUMMYFUNCTION("IFERROR(IF(COUNTIF(IMPORTRANGE(""13ZZ2q5-JsneAoCxE8QLqs1Ycj8WSgN9hPRza9XUMv_4"",""Form Responses 1!B:B""),A36)&gt;0,20,),)"),"")</f>
        <v/>
      </c>
      <c r="G36" s="58" t="str">
        <f>IFERROR(__xludf.DUMMYFUNCTION("IFERROR(IF(COUNTIF(IMPORTRANGE(""1ljo_MifcmFDCNF59UxR3-3g4XI2XSRJ3WpZcUkp6so8"",""Form Responses 1!B:B""),A36)&gt;0,10,),)"),"")</f>
        <v/>
      </c>
      <c r="H36" s="59" t="str">
        <f>IFERROR(__xludf.DUMMYFUNCTION("IFERROR(VLOOKUP(A36,IMPORTRANGE(""1PBvrHm3dgtcno-UApCGo6dIU4auKbeIJC2SC7k36T64"",""Form Responses 1!B:C""),2,FALSE),)"),"")</f>
        <v/>
      </c>
      <c r="I36" s="60" t="str">
        <f>IFERROR(__xludf.DUMMYFUNCTION("IFERROR(VLOOKUP(A36,IMPORTRANGE(""13P_qT6pKDynUZR0_aswSscwX8dw4UhPyIL8ohovayVc
"",""Form Responses 1!B:C""),2,FALSE),)"),"")</f>
        <v/>
      </c>
      <c r="J36" s="60" t="str">
        <f>IFERROR(__xludf.DUMMYFUNCTION("IFERROR(VLOOKUP(A36,IMPORTRANGE(""16B_HaxNdsb7BY3AQ0xKagDsjOLkfb_DjPkxPwEpn8gc
"",""Form Responses 1!B:C""),2,FALSE),)"),"")</f>
        <v/>
      </c>
      <c r="K36" s="60" t="str">
        <f>IFERROR(__xludf.DUMMYFUNCTION("IFERROR(VLOOKUP(A36,IMPORTRANGE(""1bUO_1Nv9gx3vZE_-m4w6HiuWUM1u8qsaqKByYyla14Q"",""Form Responses 1!B:C""),2,FALSE),)"),"")</f>
        <v/>
      </c>
      <c r="L36" s="59" t="str">
        <f>IFERROR(__xludf.DUMMYFUNCTION("IFERROR(IF(COUNTIF(IMPORTRANGE(""1SG2BnFOinBZsm3_Rx1BzD670E652svXjlzWieKobj9o"",""Form Responses 1!B:B""),A36)&gt;0,10,),0)"),"")</f>
        <v/>
      </c>
      <c r="M36" s="60" t="str">
        <f>IFERROR(__xludf.DUMMYFUNCTION("IFERROR(VLOOKUP(A36,IMPORTRANGE(""1Zpz_ArqUHJZzCwyJqFKkEASeqFw0lZ4HLK4wQdLXj3w
"",""Form Responses 1!B:C""),2,FALSE),)"),"")</f>
        <v/>
      </c>
      <c r="N36" s="60" t="str">
        <f>IFERROR(__xludf.DUMMYFUNCTION("IFERROR(VLOOKUP(A36,IMPORTRANGE(""1c318JgcKMkTMtHFS6SjH7x3TAnZwddcZMI9Jx-B9VOM
"",""Form Responses 1!B:C""),2,FALSE),)"),"")</f>
        <v/>
      </c>
      <c r="O36" s="60" t="str">
        <f>IFERROR(__xludf.DUMMYFUNCTION("IFERROR(VLOOKUP(A36,IMPORTRANGE(""1kp8AvADOUteLDy1-i5F9JvR64ee_UwN5UoIn-tH5zPQ
"",""Form Responses 1!B:C""),2,FALSE),)"),"")</f>
        <v/>
      </c>
      <c r="P36" s="60" t="str">
        <f>IFERROR(__xludf.DUMMYFUNCTION("IFERROR(VLOOKUP(A36,IMPORTRANGE(""1PSjtsRk3dryPdI2Zls_iIpRgVVwBTGQ0ryRujA_ayZ0"",""Form Responses 1!B:C""),2,FALSE),)"),"")</f>
        <v/>
      </c>
      <c r="Q36" s="59" t="str">
        <f>IFERROR(__xludf.DUMMYFUNCTION("IFERROR(VLOOKUP(TRIM(A36),IMPORTRANGE(""1ciMZmE3_Ia8QatZf9u-RYqeCzLjcP66olwhReBx-Pwc"",""Form Responses 1!B:C""),2,0),"""")"),"")</f>
        <v/>
      </c>
      <c r="R36" s="60" t="str">
        <f>IFERROR(__xludf.DUMMYFUNCTION("IFERROR(VLOOKUP(TRIM(A36),IMPORTRANGE(""1dEvtr9f2UAemMjkvEwBFPyuEw3YQPqez4Kgo-0l7vS4"",""Form Responses 1!B:C""),2,0),"""")"),"")</f>
        <v/>
      </c>
      <c r="S36" s="60" t="str">
        <f>IFERROR(__xludf.DUMMYFUNCTION("IFERROR(VLOOKUP(TRIM(A36),IMPORTRANGE(""1B6nP1Ts7cF60F-9DocMTsAaVFKfuimLnUoxweBavHeU"",""Form Responses 1!B:C""),2,0),"""")"),"")</f>
        <v/>
      </c>
      <c r="T36" s="60" t="str">
        <f>IFERROR(__xludf.DUMMYFUNCTION("IFERROR(VLOOKUP(TRIM(A36),IMPORTRANGE(""1Urfs_Vy5SE9U8tp1-UR-7FoEAxcNy8MifWBH8GiFXd8"",""Form Responses 1!B:C""),2,0),"""")"),"")</f>
        <v/>
      </c>
      <c r="U36" s="60" t="str">
        <f>IFERROR(__xludf.DUMMYFUNCTION("IFERROR(VLOOKUP(TRIM(A36),IMPORTRANGE(""1aXWUim-N4mxaoEzA3XAIdaDH-QYLEvzF2WdP7MGXYAE"",""Form Responses 1!B:C""),2,0),"""")"),"")</f>
        <v/>
      </c>
      <c r="V36" s="63"/>
      <c r="W36" s="62" t="str">
        <f>IFERROR(__xludf.DUMMYFUNCTION("IFERROR(1/(1/MAX(
  IFERROR(VLOOKUP(TRIM(A36),IMPORTRANGE(""1ZA1PTk3mXTxdasMFIUL3_HnhZbSrjlYI0jroyR74oDM"",""Form Responses 1!B:C""),2,0),),
  IFERROR(VLOOKUP(TRIM(A36),IMPORTRANGE(""197C8yvLyfR59JPOCjQdNv3jtQAWqA9lyzhiAtksREXI"",""Form Responses 1!B:C"")"&amp;",2,0),)
)),)"),"")</f>
        <v/>
      </c>
      <c r="X36" s="62" t="str">
        <f>IFERROR(__xludf.DUMMYFUNCTION("IFERROR(VLOOKUP(TRIM(A36),IMPORTRANGE(""1S55NQGXzV1_qOWKXpsQUC871e5j71TNZ9qXJwwhlcsg"",""Form Responses 1!B:C""),2,0),"""")"),"")</f>
        <v/>
      </c>
      <c r="Y36" s="62" t="str">
        <f>IFERROR(__xludf.DUMMYFUNCTION("IFERROR(VLOOKUP(TRIM(A36),IMPORTRANGE(""1tpV5_mFhbN6YKRuO1MZvSbUMIPr8PmwiNyIZJpY0iKs"",""Form Responses 1!B:C""),2,0),"""")"),"")</f>
        <v/>
      </c>
      <c r="Z36" s="62" t="str">
        <f>IFERROR(__xludf.DUMMYFUNCTION("IFERROR(VLOOKUP(TRIM(A36),IMPORTRANGE(""1wfMRO2uDQNJ1PCwTpHdQ8iUrPUKVHyvbfqf8TasTViU"",""Form Responses 1!B:C""),2,0),"""")"),"")</f>
        <v/>
      </c>
      <c r="AA36" s="62" t="str">
        <f>IFERROR(__xludf.DUMMYFUNCTION("IFERROR(VLOOKUP(TRIM(A36),IMPORTRANGE(""1ZOlAPpjCs7qXcQpCvrHzmJ4FOraZ9bKV8IEd78oT7sE"",""Form Responses 1!B:C""),2,0),"""")"),"")</f>
        <v/>
      </c>
      <c r="AB36" s="62" t="str">
        <f>IFERROR(__xludf.DUMMYFUNCTION("IFERROR(VLOOKUP(TRIM(A36),IMPORTRANGE(""1oPrvVT6QDWEUmx87GoqLd1CXTtfLo6WfrreUocg_I08"",""Form Responses 1!B:C""),2,0),"""")"),"")</f>
        <v/>
      </c>
      <c r="AC36" s="62" t="str">
        <f>IFERROR(__xludf.DUMMYFUNCTION("IFERROR(VLOOKUP(TRIM(A36),IMPORTRANGE(""1WKNusCM8GAvNDFdV2AjY5sTwyti4BFZk9I1rFa74mxo"",""Form Responses 1!B:C""),2,0),"""")"),"")</f>
        <v/>
      </c>
      <c r="AD36" s="62" t="str">
        <f>IFERROR(__xludf.DUMMYFUNCTION("IFERROR(VLOOKUP(TRIM(A36),IMPORTRANGE(""1ezPhPfgGBlZIzMnymbnrUr2FhcM_6Sv_nk0hxcbuzTQ"",""Form Responses 1!B:C""),2,0),"""")"),"")</f>
        <v/>
      </c>
      <c r="AE36" s="62" t="str">
        <f>IFERROR(__xludf.DUMMYFUNCTION("IFERROR(VLOOKUP(TRIM(A36),IMPORTRANGE(""1nCvx2881PQ64OQinwpUfP8HphDEhFD0vPRxp_AAAdlM"",""Form Responses 1!B:C""),2,0),"""")"),"")</f>
        <v/>
      </c>
      <c r="AF36" s="62" t="str">
        <f>IFERROR(__xludf.DUMMYFUNCTION("IFERROR(VLOOKUP(TRIM(A36),IMPORTRANGE(""1cImVBctl3mh_jlEmJoy6CEEFe_DDCxRGkjB_Jp-qsU8"",""Form Responses 1!B:C""),2,0),"""")"),"")</f>
        <v/>
      </c>
      <c r="AG36" s="57"/>
      <c r="AH36" s="57"/>
      <c r="AI36" s="57"/>
      <c r="AJ36" s="57"/>
      <c r="AK36" s="57"/>
      <c r="AL36" s="57"/>
      <c r="AM36" s="57"/>
      <c r="AN36" s="57"/>
      <c r="AO36" s="57"/>
      <c r="AP36" s="57"/>
      <c r="AQ36" s="57"/>
      <c r="AR36" s="57"/>
      <c r="AS36" s="57"/>
      <c r="AT36" s="57"/>
      <c r="AU36" s="57"/>
      <c r="AV36" s="57"/>
      <c r="AW36" s="57"/>
      <c r="AX36" s="57"/>
      <c r="AY36" s="57"/>
      <c r="AZ36" s="57"/>
    </row>
    <row r="37">
      <c r="A37" s="56" t="s">
        <v>239</v>
      </c>
      <c r="B37" s="57">
        <f>IFERROR(__xludf.DUMMYFUNCTION("IFERROR(IF(COUNTIF(IMPORTRANGE(""1oiajwiBxoDIOBcD_uKarGHJIrskYi3nXyI9FyWq8IFk"",""Form Responses 1!B:B""),A37)&gt;0,10,),0)"),10.0)</f>
        <v>10</v>
      </c>
      <c r="C37" s="57" t="str">
        <f>IFERROR(__xludf.DUMMYFUNCTION("IFERROR(VLOOKUP(A37,IMPORTRANGE(""1PRkBNvF7wRBbJGtbM1I7-V_ej5mmlgF4cwmp64ilJGQ"",""Form Responses 1!B:C""),2,FALSE),)"),"")</f>
        <v/>
      </c>
      <c r="D37" s="57" t="str">
        <f>IFERROR(__xludf.DUMMYFUNCTION("IFERROR(VLOOKUP(A37,IMPORTRANGE(""1rSBnjICjC9324bzLIQpakQH2kn1-6by9fz9jLCcefTs"",""Form Responses 1!B:C""),2,FALSE),)"),"")</f>
        <v/>
      </c>
      <c r="E37" s="57" t="str">
        <f>IFERROR(__xludf.DUMMYFUNCTION("IFERROR(VLOOKUP(A37,IMPORTRANGE(""1OvNQShTkB7b8btd44zAgP-KkGS7dJ0BEd6wMgBISDs0"",""Form Responses 1!B:C""),2,FALSE),)"),"")</f>
        <v/>
      </c>
      <c r="F37" s="57" t="str">
        <f>IFERROR(__xludf.DUMMYFUNCTION("IFERROR(IF(COUNTIF(IMPORTRANGE(""13ZZ2q5-JsneAoCxE8QLqs1Ycj8WSgN9hPRza9XUMv_4"",""Form Responses 1!B:B""),A37)&gt;0,20,),)"),"")</f>
        <v/>
      </c>
      <c r="G37" s="58" t="str">
        <f>IFERROR(__xludf.DUMMYFUNCTION("IFERROR(IF(COUNTIF(IMPORTRANGE(""1ljo_MifcmFDCNF59UxR3-3g4XI2XSRJ3WpZcUkp6so8"",""Form Responses 1!B:B""),A37)&gt;0,10,),)"),"")</f>
        <v/>
      </c>
      <c r="H37" s="59" t="str">
        <f>IFERROR(__xludf.DUMMYFUNCTION("IFERROR(VLOOKUP(A37,IMPORTRANGE(""1PBvrHm3dgtcno-UApCGo6dIU4auKbeIJC2SC7k36T64"",""Form Responses 1!B:C""),2,FALSE),)"),"")</f>
        <v/>
      </c>
      <c r="I37" s="60" t="str">
        <f>IFERROR(__xludf.DUMMYFUNCTION("IFERROR(VLOOKUP(A37,IMPORTRANGE(""13P_qT6pKDynUZR0_aswSscwX8dw4UhPyIL8ohovayVc
"",""Form Responses 1!B:C""),2,FALSE),)"),"")</f>
        <v/>
      </c>
      <c r="J37" s="60" t="str">
        <f>IFERROR(__xludf.DUMMYFUNCTION("IFERROR(VLOOKUP(A37,IMPORTRANGE(""16B_HaxNdsb7BY3AQ0xKagDsjOLkfb_DjPkxPwEpn8gc
"",""Form Responses 1!B:C""),2,FALSE),)"),"")</f>
        <v/>
      </c>
      <c r="K37" s="60" t="str">
        <f>IFERROR(__xludf.DUMMYFUNCTION("IFERROR(VLOOKUP(A37,IMPORTRANGE(""1bUO_1Nv9gx3vZE_-m4w6HiuWUM1u8qsaqKByYyla14Q"",""Form Responses 1!B:C""),2,FALSE),)"),"")</f>
        <v/>
      </c>
      <c r="L37" s="59" t="str">
        <f>IFERROR(__xludf.DUMMYFUNCTION("IFERROR(IF(COUNTIF(IMPORTRANGE(""1SG2BnFOinBZsm3_Rx1BzD670E652svXjlzWieKobj9o"",""Form Responses 1!B:B""),A37)&gt;0,10,),0)"),"")</f>
        <v/>
      </c>
      <c r="M37" s="60" t="str">
        <f>IFERROR(__xludf.DUMMYFUNCTION("IFERROR(VLOOKUP(A37,IMPORTRANGE(""1Zpz_ArqUHJZzCwyJqFKkEASeqFw0lZ4HLK4wQdLXj3w
"",""Form Responses 1!B:C""),2,FALSE),)"),"")</f>
        <v/>
      </c>
      <c r="N37" s="60" t="str">
        <f>IFERROR(__xludf.DUMMYFUNCTION("IFERROR(VLOOKUP(A37,IMPORTRANGE(""1c318JgcKMkTMtHFS6SjH7x3TAnZwddcZMI9Jx-B9VOM
"",""Form Responses 1!B:C""),2,FALSE),)"),"")</f>
        <v/>
      </c>
      <c r="O37" s="60" t="str">
        <f>IFERROR(__xludf.DUMMYFUNCTION("IFERROR(VLOOKUP(A37,IMPORTRANGE(""1kp8AvADOUteLDy1-i5F9JvR64ee_UwN5UoIn-tH5zPQ
"",""Form Responses 1!B:C""),2,FALSE),)"),"")</f>
        <v/>
      </c>
      <c r="P37" s="60" t="str">
        <f>IFERROR(__xludf.DUMMYFUNCTION("IFERROR(VLOOKUP(A37,IMPORTRANGE(""1PSjtsRk3dryPdI2Zls_iIpRgVVwBTGQ0ryRujA_ayZ0"",""Form Responses 1!B:C""),2,FALSE),)"),"")</f>
        <v/>
      </c>
      <c r="Q37" s="59" t="str">
        <f>IFERROR(__xludf.DUMMYFUNCTION("IFERROR(VLOOKUP(TRIM(A37),IMPORTRANGE(""1ciMZmE3_Ia8QatZf9u-RYqeCzLjcP66olwhReBx-Pwc"",""Form Responses 1!B:C""),2,0),"""")"),"")</f>
        <v/>
      </c>
      <c r="R37" s="60" t="str">
        <f>IFERROR(__xludf.DUMMYFUNCTION("IFERROR(VLOOKUP(TRIM(A37),IMPORTRANGE(""1dEvtr9f2UAemMjkvEwBFPyuEw3YQPqez4Kgo-0l7vS4"",""Form Responses 1!B:C""),2,0),"""")"),"")</f>
        <v/>
      </c>
      <c r="S37" s="60" t="str">
        <f>IFERROR(__xludf.DUMMYFUNCTION("IFERROR(VLOOKUP(TRIM(A37),IMPORTRANGE(""1B6nP1Ts7cF60F-9DocMTsAaVFKfuimLnUoxweBavHeU"",""Form Responses 1!B:C""),2,0),"""")"),"")</f>
        <v/>
      </c>
      <c r="T37" s="60" t="str">
        <f>IFERROR(__xludf.DUMMYFUNCTION("IFERROR(VLOOKUP(TRIM(A37),IMPORTRANGE(""1Urfs_Vy5SE9U8tp1-UR-7FoEAxcNy8MifWBH8GiFXd8"",""Form Responses 1!B:C""),2,0),"""")"),"")</f>
        <v/>
      </c>
      <c r="U37" s="60" t="str">
        <f>IFERROR(__xludf.DUMMYFUNCTION("IFERROR(VLOOKUP(TRIM(A37),IMPORTRANGE(""1aXWUim-N4mxaoEzA3XAIdaDH-QYLEvzF2WdP7MGXYAE"",""Form Responses 1!B:C""),2,0),"""")"),"")</f>
        <v/>
      </c>
      <c r="V37" s="61">
        <v>16.0</v>
      </c>
      <c r="W37" s="62" t="str">
        <f>IFERROR(__xludf.DUMMYFUNCTION("IFERROR(1/(1/MAX(
  IFERROR(VLOOKUP(TRIM(A37),IMPORTRANGE(""1ZA1PTk3mXTxdasMFIUL3_HnhZbSrjlYI0jroyR74oDM"",""Form Responses 1!B:C""),2,0),),
  IFERROR(VLOOKUP(TRIM(A37),IMPORTRANGE(""197C8yvLyfR59JPOCjQdNv3jtQAWqA9lyzhiAtksREXI"",""Form Responses 1!B:C"")"&amp;",2,0),)
)),)"),"")</f>
        <v/>
      </c>
      <c r="X37" s="62" t="str">
        <f>IFERROR(__xludf.DUMMYFUNCTION("IFERROR(VLOOKUP(TRIM(A37),IMPORTRANGE(""1S55NQGXzV1_qOWKXpsQUC871e5j71TNZ9qXJwwhlcsg"",""Form Responses 1!B:C""),2,0),"""")"),"")</f>
        <v/>
      </c>
      <c r="Y37" s="62" t="str">
        <f>IFERROR(__xludf.DUMMYFUNCTION("IFERROR(VLOOKUP(TRIM(A37),IMPORTRANGE(""1tpV5_mFhbN6YKRuO1MZvSbUMIPr8PmwiNyIZJpY0iKs"",""Form Responses 1!B:C""),2,0),"""")"),"")</f>
        <v/>
      </c>
      <c r="Z37" s="62" t="str">
        <f>IFERROR(__xludf.DUMMYFUNCTION("IFERROR(VLOOKUP(TRIM(A37),IMPORTRANGE(""1wfMRO2uDQNJ1PCwTpHdQ8iUrPUKVHyvbfqf8TasTViU"",""Form Responses 1!B:C""),2,0),"""")"),"")</f>
        <v/>
      </c>
      <c r="AA37" s="62">
        <f>IFERROR(__xludf.DUMMYFUNCTION("IFERROR(VLOOKUP(TRIM(A37),IMPORTRANGE(""1ZOlAPpjCs7qXcQpCvrHzmJ4FOraZ9bKV8IEd78oT7sE"",""Form Responses 1!B:C""),2,0),"""")"),10.0)</f>
        <v>10</v>
      </c>
      <c r="AB37" s="62">
        <f>IFERROR(__xludf.DUMMYFUNCTION("IFERROR(VLOOKUP(TRIM(A37),IMPORTRANGE(""1oPrvVT6QDWEUmx87GoqLd1CXTtfLo6WfrreUocg_I08"",""Form Responses 1!B:C""),2,0),"""")"),9.0)</f>
        <v>9</v>
      </c>
      <c r="AC37" s="62" t="str">
        <f>IFERROR(__xludf.DUMMYFUNCTION("IFERROR(VLOOKUP(TRIM(A37),IMPORTRANGE(""1WKNusCM8GAvNDFdV2AjY5sTwyti4BFZk9I1rFa74mxo"",""Form Responses 1!B:C""),2,0),"""")"),"")</f>
        <v/>
      </c>
      <c r="AD37" s="62" t="str">
        <f>IFERROR(__xludf.DUMMYFUNCTION("IFERROR(VLOOKUP(TRIM(A37),IMPORTRANGE(""1ezPhPfgGBlZIzMnymbnrUr2FhcM_6Sv_nk0hxcbuzTQ"",""Form Responses 1!B:C""),2,0),"""")"),"")</f>
        <v/>
      </c>
      <c r="AE37" s="62" t="str">
        <f>IFERROR(__xludf.DUMMYFUNCTION("IFERROR(VLOOKUP(TRIM(A37),IMPORTRANGE(""1nCvx2881PQ64OQinwpUfP8HphDEhFD0vPRxp_AAAdlM"",""Form Responses 1!B:C""),2,0),"""")"),"")</f>
        <v/>
      </c>
      <c r="AF37" s="62" t="str">
        <f>IFERROR(__xludf.DUMMYFUNCTION("IFERROR(VLOOKUP(TRIM(A37),IMPORTRANGE(""1cImVBctl3mh_jlEmJoy6CEEFe_DDCxRGkjB_Jp-qsU8"",""Form Responses 1!B:C""),2,0),"""")"),"")</f>
        <v/>
      </c>
      <c r="AG37" s="57"/>
      <c r="AH37" s="57"/>
      <c r="AI37" s="57"/>
      <c r="AJ37" s="57"/>
      <c r="AK37" s="57"/>
      <c r="AL37" s="57"/>
      <c r="AM37" s="57"/>
      <c r="AN37" s="57"/>
      <c r="AO37" s="57"/>
      <c r="AP37" s="57"/>
      <c r="AQ37" s="57"/>
      <c r="AR37" s="57"/>
      <c r="AS37" s="57"/>
      <c r="AT37" s="57"/>
      <c r="AU37" s="57"/>
      <c r="AV37" s="57"/>
      <c r="AW37" s="57"/>
      <c r="AX37" s="57"/>
      <c r="AY37" s="57"/>
      <c r="AZ37" s="57"/>
    </row>
    <row r="38">
      <c r="A38" s="56" t="s">
        <v>240</v>
      </c>
      <c r="B38" s="57">
        <f>IFERROR(__xludf.DUMMYFUNCTION("IFERROR(IF(COUNTIF(IMPORTRANGE(""1oiajwiBxoDIOBcD_uKarGHJIrskYi3nXyI9FyWq8IFk"",""Form Responses 1!B:B""),A38)&gt;0,10,),0)"),10.0)</f>
        <v>10</v>
      </c>
      <c r="C38" s="57">
        <f>IFERROR(__xludf.DUMMYFUNCTION("IFERROR(VLOOKUP(A38,IMPORTRANGE(""1PRkBNvF7wRBbJGtbM1I7-V_ej5mmlgF4cwmp64ilJGQ"",""Form Responses 1!B:C""),2,FALSE),)"),10.0)</f>
        <v>10</v>
      </c>
      <c r="D38" s="57">
        <f>IFERROR(__xludf.DUMMYFUNCTION("IFERROR(VLOOKUP(A38,IMPORTRANGE(""1rSBnjICjC9324bzLIQpakQH2kn1-6by9fz9jLCcefTs"",""Form Responses 1!B:C""),2,FALSE),)"),30.0)</f>
        <v>30</v>
      </c>
      <c r="E38" s="57">
        <f>IFERROR(__xludf.DUMMYFUNCTION("IFERROR(VLOOKUP(A38,IMPORTRANGE(""1OvNQShTkB7b8btd44zAgP-KkGS7dJ0BEd6wMgBISDs0"",""Form Responses 1!B:C""),2,FALSE),)"),15.0)</f>
        <v>15</v>
      </c>
      <c r="F38" s="57">
        <f>IFERROR(__xludf.DUMMYFUNCTION("IFERROR(IF(COUNTIF(IMPORTRANGE(""13ZZ2q5-JsneAoCxE8QLqs1Ycj8WSgN9hPRza9XUMv_4"",""Form Responses 1!B:B""),A38)&gt;0,20,),)"),20.0)</f>
        <v>20</v>
      </c>
      <c r="G38" s="58" t="str">
        <f>IFERROR(__xludf.DUMMYFUNCTION("IFERROR(IF(COUNTIF(IMPORTRANGE(""1ljo_MifcmFDCNF59UxR3-3g4XI2XSRJ3WpZcUkp6so8"",""Form Responses 1!B:B""),A38)&gt;0,10,),)"),"")</f>
        <v/>
      </c>
      <c r="H38" s="59">
        <f>IFERROR(__xludf.DUMMYFUNCTION("IFERROR(VLOOKUP(A38,IMPORTRANGE(""1PBvrHm3dgtcno-UApCGo6dIU4auKbeIJC2SC7k36T64"",""Form Responses 1!B:C""),2,FALSE),)"),15.0)</f>
        <v>15</v>
      </c>
      <c r="I38" s="60">
        <f>IFERROR(__xludf.DUMMYFUNCTION("IFERROR(VLOOKUP(A38,IMPORTRANGE(""13P_qT6pKDynUZR0_aswSscwX8dw4UhPyIL8ohovayVc
"",""Form Responses 1!B:C""),2,FALSE),)"),17.0)</f>
        <v>17</v>
      </c>
      <c r="J38" s="60">
        <f>IFERROR(__xludf.DUMMYFUNCTION("IFERROR(VLOOKUP(A38,IMPORTRANGE(""16B_HaxNdsb7BY3AQ0xKagDsjOLkfb_DjPkxPwEpn8gc
"",""Form Responses 1!B:C""),2,FALSE),)"),22.0)</f>
        <v>22</v>
      </c>
      <c r="K38" s="60">
        <f>IFERROR(__xludf.DUMMYFUNCTION("IFERROR(VLOOKUP(A38,IMPORTRANGE(""1bUO_1Nv9gx3vZE_-m4w6HiuWUM1u8qsaqKByYyla14Q"",""Form Responses 1!B:C""),2,FALSE),)"),8.0)</f>
        <v>8</v>
      </c>
      <c r="L38" s="59">
        <f>IFERROR(__xludf.DUMMYFUNCTION("IFERROR(IF(COUNTIF(IMPORTRANGE(""1SG2BnFOinBZsm3_Rx1BzD670E652svXjlzWieKobj9o"",""Form Responses 1!B:B""),A38)&gt;0,10,),0)"),10.0)</f>
        <v>10</v>
      </c>
      <c r="M38" s="60">
        <f>IFERROR(__xludf.DUMMYFUNCTION("IFERROR(VLOOKUP(A38,IMPORTRANGE(""1Zpz_ArqUHJZzCwyJqFKkEASeqFw0lZ4HLK4wQdLXj3w
"",""Form Responses 1!B:C""),2,FALSE),)"),20.0)</f>
        <v>20</v>
      </c>
      <c r="N38" s="60" t="str">
        <f>IFERROR(__xludf.DUMMYFUNCTION("IFERROR(VLOOKUP(A38,IMPORTRANGE(""1c318JgcKMkTMtHFS6SjH7x3TAnZwddcZMI9Jx-B9VOM
"",""Form Responses 1!B:C""),2,FALSE),)"),"")</f>
        <v/>
      </c>
      <c r="O38" s="60" t="str">
        <f>IFERROR(__xludf.DUMMYFUNCTION("IFERROR(VLOOKUP(A38,IMPORTRANGE(""1kp8AvADOUteLDy1-i5F9JvR64ee_UwN5UoIn-tH5zPQ
"",""Form Responses 1!B:C""),2,FALSE),)"),"")</f>
        <v/>
      </c>
      <c r="P38" s="60">
        <f>IFERROR(__xludf.DUMMYFUNCTION("IFERROR(VLOOKUP(A38,IMPORTRANGE(""1PSjtsRk3dryPdI2Zls_iIpRgVVwBTGQ0ryRujA_ayZ0"",""Form Responses 1!B:C""),2,FALSE),)"),8.0)</f>
        <v>8</v>
      </c>
      <c r="Q38" s="59">
        <f>IFERROR(__xludf.DUMMYFUNCTION("IFERROR(VLOOKUP(TRIM(A38),IMPORTRANGE(""1ciMZmE3_Ia8QatZf9u-RYqeCzLjcP66olwhReBx-Pwc"",""Form Responses 1!B:C""),2,0),"""")"),20.0)</f>
        <v>20</v>
      </c>
      <c r="R38" s="60" t="str">
        <f>IFERROR(__xludf.DUMMYFUNCTION("IFERROR(VLOOKUP(TRIM(A38),IMPORTRANGE(""1dEvtr9f2UAemMjkvEwBFPyuEw3YQPqez4Kgo-0l7vS4"",""Form Responses 1!B:C""),2,0),"""")"),"")</f>
        <v/>
      </c>
      <c r="S38" s="60" t="str">
        <f>IFERROR(__xludf.DUMMYFUNCTION("IFERROR(VLOOKUP(TRIM(A38),IMPORTRANGE(""1B6nP1Ts7cF60F-9DocMTsAaVFKfuimLnUoxweBavHeU"",""Form Responses 1!B:C""),2,0),"""")"),"")</f>
        <v/>
      </c>
      <c r="T38" s="60" t="str">
        <f>IFERROR(__xludf.DUMMYFUNCTION("IFERROR(VLOOKUP(TRIM(A38),IMPORTRANGE(""1Urfs_Vy5SE9U8tp1-UR-7FoEAxcNy8MifWBH8GiFXd8"",""Form Responses 1!B:C""),2,0),"""")"),"")</f>
        <v/>
      </c>
      <c r="U38" s="60" t="str">
        <f>IFERROR(__xludf.DUMMYFUNCTION("IFERROR(VLOOKUP(TRIM(A38),IMPORTRANGE(""1aXWUim-N4mxaoEzA3XAIdaDH-QYLEvzF2WdP7MGXYAE"",""Form Responses 1!B:C""),2,0),"""")"),"")</f>
        <v/>
      </c>
      <c r="V38" s="61">
        <v>60.0</v>
      </c>
      <c r="W38" s="62">
        <f>IFERROR(__xludf.DUMMYFUNCTION("IFERROR(1/(1/MAX(
  IFERROR(VLOOKUP(TRIM(A38),IMPORTRANGE(""1ZA1PTk3mXTxdasMFIUL3_HnhZbSrjlYI0jroyR74oDM"",""Form Responses 1!B:C""),2,0),),
  IFERROR(VLOOKUP(TRIM(A38),IMPORTRANGE(""197C8yvLyfR59JPOCjQdNv3jtQAWqA9lyzhiAtksREXI"",""Form Responses 1!B:C"")"&amp;",2,0),)
)),)"),12.0)</f>
        <v>12</v>
      </c>
      <c r="X38" s="62" t="str">
        <f>IFERROR(__xludf.DUMMYFUNCTION("IFERROR(VLOOKUP(TRIM(A38),IMPORTRANGE(""1S55NQGXzV1_qOWKXpsQUC871e5j71TNZ9qXJwwhlcsg"",""Form Responses 1!B:C""),2,0),"""")"),"")</f>
        <v/>
      </c>
      <c r="Y38" s="62" t="str">
        <f>IFERROR(__xludf.DUMMYFUNCTION("IFERROR(VLOOKUP(TRIM(A38),IMPORTRANGE(""1tpV5_mFhbN6YKRuO1MZvSbUMIPr8PmwiNyIZJpY0iKs"",""Form Responses 1!B:C""),2,0),"""")"),"")</f>
        <v/>
      </c>
      <c r="Z38" s="62" t="str">
        <f>IFERROR(__xludf.DUMMYFUNCTION("IFERROR(VLOOKUP(TRIM(A38),IMPORTRANGE(""1wfMRO2uDQNJ1PCwTpHdQ8iUrPUKVHyvbfqf8TasTViU"",""Form Responses 1!B:C""),2,0),"""")"),"")</f>
        <v/>
      </c>
      <c r="AA38" s="62" t="str">
        <f>IFERROR(__xludf.DUMMYFUNCTION("IFERROR(VLOOKUP(TRIM(A38),IMPORTRANGE(""1ZOlAPpjCs7qXcQpCvrHzmJ4FOraZ9bKV8IEd78oT7sE"",""Form Responses 1!B:C""),2,0),"""")"),"")</f>
        <v/>
      </c>
      <c r="AB38" s="62">
        <f>IFERROR(__xludf.DUMMYFUNCTION("IFERROR(VLOOKUP(TRIM(A38),IMPORTRANGE(""1oPrvVT6QDWEUmx87GoqLd1CXTtfLo6WfrreUocg_I08"",""Form Responses 1!B:C""),2,0),"""")"),9.0)</f>
        <v>9</v>
      </c>
      <c r="AC38" s="62">
        <f>IFERROR(__xludf.DUMMYFUNCTION("IFERROR(VLOOKUP(TRIM(A38),IMPORTRANGE(""1WKNusCM8GAvNDFdV2AjY5sTwyti4BFZk9I1rFa74mxo"",""Form Responses 1!B:C""),2,0),"""")"),18.0)</f>
        <v>18</v>
      </c>
      <c r="AD38" s="62">
        <f>IFERROR(__xludf.DUMMYFUNCTION("IFERROR(VLOOKUP(TRIM(A38),IMPORTRANGE(""1ezPhPfgGBlZIzMnymbnrUr2FhcM_6Sv_nk0hxcbuzTQ"",""Form Responses 1!B:C""),2,0),"""")"),8.0)</f>
        <v>8</v>
      </c>
      <c r="AE38" s="62">
        <f>IFERROR(__xludf.DUMMYFUNCTION("IFERROR(VLOOKUP(TRIM(A38),IMPORTRANGE(""1nCvx2881PQ64OQinwpUfP8HphDEhFD0vPRxp_AAAdlM"",""Form Responses 1!B:C""),2,0),"""")"),0.0)</f>
        <v>0</v>
      </c>
      <c r="AF38" s="62" t="str">
        <f>IFERROR(__xludf.DUMMYFUNCTION("IFERROR(VLOOKUP(TRIM(A38),IMPORTRANGE(""1cImVBctl3mh_jlEmJoy6CEEFe_DDCxRGkjB_Jp-qsU8"",""Form Responses 1!B:C""),2,0),"""")"),"")</f>
        <v/>
      </c>
      <c r="AG38" s="57"/>
      <c r="AH38" s="57"/>
      <c r="AI38" s="57"/>
      <c r="AJ38" s="57"/>
      <c r="AK38" s="57"/>
      <c r="AL38" s="57"/>
      <c r="AM38" s="57"/>
      <c r="AN38" s="57"/>
      <c r="AO38" s="57"/>
      <c r="AP38" s="57"/>
      <c r="AQ38" s="57"/>
      <c r="AR38" s="57"/>
      <c r="AS38" s="57"/>
      <c r="AT38" s="57"/>
      <c r="AU38" s="57"/>
      <c r="AV38" s="57"/>
      <c r="AW38" s="57"/>
      <c r="AX38" s="57"/>
      <c r="AY38" s="57"/>
      <c r="AZ38" s="57"/>
    </row>
    <row r="39">
      <c r="A39" s="56" t="s">
        <v>241</v>
      </c>
      <c r="B39" s="57">
        <f>IFERROR(__xludf.DUMMYFUNCTION("IFERROR(IF(COUNTIF(IMPORTRANGE(""1oiajwiBxoDIOBcD_uKarGHJIrskYi3nXyI9FyWq8IFk"",""Form Responses 1!B:B""),A39)&gt;0,10,),0)"),10.0)</f>
        <v>10</v>
      </c>
      <c r="C39" s="57">
        <f>IFERROR(__xludf.DUMMYFUNCTION("IFERROR(VLOOKUP(A39,IMPORTRANGE(""1PRkBNvF7wRBbJGtbM1I7-V_ej5mmlgF4cwmp64ilJGQ"",""Form Responses 1!B:C""),2,FALSE),)"),0.0)</f>
        <v>0</v>
      </c>
      <c r="D39" s="57">
        <f>IFERROR(__xludf.DUMMYFUNCTION("IFERROR(VLOOKUP(A39,IMPORTRANGE(""1rSBnjICjC9324bzLIQpakQH2kn1-6by9fz9jLCcefTs"",""Form Responses 1!B:C""),2,FALSE),)"),20.0)</f>
        <v>20</v>
      </c>
      <c r="E39" s="57" t="str">
        <f>IFERROR(__xludf.DUMMYFUNCTION("IFERROR(VLOOKUP(A39,IMPORTRANGE(""1OvNQShTkB7b8btd44zAgP-KkGS7dJ0BEd6wMgBISDs0"",""Form Responses 1!B:C""),2,FALSE),)"),"")</f>
        <v/>
      </c>
      <c r="F39" s="57" t="str">
        <f>IFERROR(__xludf.DUMMYFUNCTION("IFERROR(IF(COUNTIF(IMPORTRANGE(""13ZZ2q5-JsneAoCxE8QLqs1Ycj8WSgN9hPRza9XUMv_4"",""Form Responses 1!B:B""),A39)&gt;0,20,),)"),"")</f>
        <v/>
      </c>
      <c r="G39" s="58" t="str">
        <f>IFERROR(__xludf.DUMMYFUNCTION("IFERROR(IF(COUNTIF(IMPORTRANGE(""1ljo_MifcmFDCNF59UxR3-3g4XI2XSRJ3WpZcUkp6so8"",""Form Responses 1!B:B""),A39)&gt;0,10,),)"),"")</f>
        <v/>
      </c>
      <c r="H39" s="59" t="str">
        <f>IFERROR(__xludf.DUMMYFUNCTION("IFERROR(VLOOKUP(A39,IMPORTRANGE(""1PBvrHm3dgtcno-UApCGo6dIU4auKbeIJC2SC7k36T64"",""Form Responses 1!B:C""),2,FALSE),)"),"")</f>
        <v/>
      </c>
      <c r="I39" s="60" t="str">
        <f>IFERROR(__xludf.DUMMYFUNCTION("IFERROR(VLOOKUP(A39,IMPORTRANGE(""13P_qT6pKDynUZR0_aswSscwX8dw4UhPyIL8ohovayVc
"",""Form Responses 1!B:C""),2,FALSE),)"),"")</f>
        <v/>
      </c>
      <c r="J39" s="60" t="str">
        <f>IFERROR(__xludf.DUMMYFUNCTION("IFERROR(VLOOKUP(A39,IMPORTRANGE(""16B_HaxNdsb7BY3AQ0xKagDsjOLkfb_DjPkxPwEpn8gc
"",""Form Responses 1!B:C""),2,FALSE),)"),"")</f>
        <v/>
      </c>
      <c r="K39" s="60" t="str">
        <f>IFERROR(__xludf.DUMMYFUNCTION("IFERROR(VLOOKUP(A39,IMPORTRANGE(""1bUO_1Nv9gx3vZE_-m4w6HiuWUM1u8qsaqKByYyla14Q"",""Form Responses 1!B:C""),2,FALSE),)"),"")</f>
        <v/>
      </c>
      <c r="L39" s="59" t="str">
        <f>IFERROR(__xludf.DUMMYFUNCTION("IFERROR(IF(COUNTIF(IMPORTRANGE(""1SG2BnFOinBZsm3_Rx1BzD670E652svXjlzWieKobj9o"",""Form Responses 1!B:B""),A39)&gt;0,10,),0)"),"")</f>
        <v/>
      </c>
      <c r="M39" s="60" t="str">
        <f>IFERROR(__xludf.DUMMYFUNCTION("IFERROR(VLOOKUP(A39,IMPORTRANGE(""1Zpz_ArqUHJZzCwyJqFKkEASeqFw0lZ4HLK4wQdLXj3w
"",""Form Responses 1!B:C""),2,FALSE),)"),"")</f>
        <v/>
      </c>
      <c r="N39" s="60" t="str">
        <f>IFERROR(__xludf.DUMMYFUNCTION("IFERROR(VLOOKUP(A39,IMPORTRANGE(""1c318JgcKMkTMtHFS6SjH7x3TAnZwddcZMI9Jx-B9VOM
"",""Form Responses 1!B:C""),2,FALSE),)"),"")</f>
        <v/>
      </c>
      <c r="O39" s="60" t="str">
        <f>IFERROR(__xludf.DUMMYFUNCTION("IFERROR(VLOOKUP(A39,IMPORTRANGE(""1kp8AvADOUteLDy1-i5F9JvR64ee_UwN5UoIn-tH5zPQ
"",""Form Responses 1!B:C""),2,FALSE),)"),"")</f>
        <v/>
      </c>
      <c r="P39" s="60" t="str">
        <f>IFERROR(__xludf.DUMMYFUNCTION("IFERROR(VLOOKUP(A39,IMPORTRANGE(""1PSjtsRk3dryPdI2Zls_iIpRgVVwBTGQ0ryRujA_ayZ0"",""Form Responses 1!B:C""),2,FALSE),)"),"")</f>
        <v/>
      </c>
      <c r="Q39" s="59" t="str">
        <f>IFERROR(__xludf.DUMMYFUNCTION("IFERROR(VLOOKUP(TRIM(A39),IMPORTRANGE(""1ciMZmE3_Ia8QatZf9u-RYqeCzLjcP66olwhReBx-Pwc"",""Form Responses 1!B:C""),2,0),"""")"),"")</f>
        <v/>
      </c>
      <c r="R39" s="60" t="str">
        <f>IFERROR(__xludf.DUMMYFUNCTION("IFERROR(VLOOKUP(TRIM(A39),IMPORTRANGE(""1dEvtr9f2UAemMjkvEwBFPyuEw3YQPqez4Kgo-0l7vS4"",""Form Responses 1!B:C""),2,0),"""")"),"")</f>
        <v/>
      </c>
      <c r="S39" s="60" t="str">
        <f>IFERROR(__xludf.DUMMYFUNCTION("IFERROR(VLOOKUP(TRIM(A39),IMPORTRANGE(""1B6nP1Ts7cF60F-9DocMTsAaVFKfuimLnUoxweBavHeU"",""Form Responses 1!B:C""),2,0),"""")"),"")</f>
        <v/>
      </c>
      <c r="T39" s="60" t="str">
        <f>IFERROR(__xludf.DUMMYFUNCTION("IFERROR(VLOOKUP(TRIM(A39),IMPORTRANGE(""1Urfs_Vy5SE9U8tp1-UR-7FoEAxcNy8MifWBH8GiFXd8"",""Form Responses 1!B:C""),2,0),"""")"),"")</f>
        <v/>
      </c>
      <c r="U39" s="60" t="str">
        <f>IFERROR(__xludf.DUMMYFUNCTION("IFERROR(VLOOKUP(TRIM(A39),IMPORTRANGE(""1aXWUim-N4mxaoEzA3XAIdaDH-QYLEvzF2WdP7MGXYAE"",""Form Responses 1!B:C""),2,0),"""")"),"")</f>
        <v/>
      </c>
      <c r="V39" s="63"/>
      <c r="W39" s="62">
        <f>IFERROR(__xludf.DUMMYFUNCTION("IFERROR(1/(1/MAX(
  IFERROR(VLOOKUP(TRIM(A39),IMPORTRANGE(""1ZA1PTk3mXTxdasMFIUL3_HnhZbSrjlYI0jroyR74oDM"",""Form Responses 1!B:C""),2,0),),
  IFERROR(VLOOKUP(TRIM(A39),IMPORTRANGE(""197C8yvLyfR59JPOCjQdNv3jtQAWqA9lyzhiAtksREXI"",""Form Responses 1!B:C"")"&amp;",2,0),)
)),)"),10.0)</f>
        <v>10</v>
      </c>
      <c r="X39" s="62" t="str">
        <f>IFERROR(__xludf.DUMMYFUNCTION("IFERROR(VLOOKUP(TRIM(A39),IMPORTRANGE(""1S55NQGXzV1_qOWKXpsQUC871e5j71TNZ9qXJwwhlcsg"",""Form Responses 1!B:C""),2,0),"""")"),"")</f>
        <v/>
      </c>
      <c r="Y39" s="62" t="str">
        <f>IFERROR(__xludf.DUMMYFUNCTION("IFERROR(VLOOKUP(TRIM(A39),IMPORTRANGE(""1tpV5_mFhbN6YKRuO1MZvSbUMIPr8PmwiNyIZJpY0iKs"",""Form Responses 1!B:C""),2,0),"""")"),"")</f>
        <v/>
      </c>
      <c r="Z39" s="62" t="str">
        <f>IFERROR(__xludf.DUMMYFUNCTION("IFERROR(VLOOKUP(TRIM(A39),IMPORTRANGE(""1wfMRO2uDQNJ1PCwTpHdQ8iUrPUKVHyvbfqf8TasTViU"",""Form Responses 1!B:C""),2,0),"""")"),"")</f>
        <v/>
      </c>
      <c r="AA39" s="62" t="str">
        <f>IFERROR(__xludf.DUMMYFUNCTION("IFERROR(VLOOKUP(TRIM(A39),IMPORTRANGE(""1ZOlAPpjCs7qXcQpCvrHzmJ4FOraZ9bKV8IEd78oT7sE"",""Form Responses 1!B:C""),2,0),"""")"),"")</f>
        <v/>
      </c>
      <c r="AB39" s="62" t="str">
        <f>IFERROR(__xludf.DUMMYFUNCTION("IFERROR(VLOOKUP(TRIM(A39),IMPORTRANGE(""1oPrvVT6QDWEUmx87GoqLd1CXTtfLo6WfrreUocg_I08"",""Form Responses 1!B:C""),2,0),"""")"),"")</f>
        <v/>
      </c>
      <c r="AC39" s="62" t="str">
        <f>IFERROR(__xludf.DUMMYFUNCTION("IFERROR(VLOOKUP(TRIM(A39),IMPORTRANGE(""1WKNusCM8GAvNDFdV2AjY5sTwyti4BFZk9I1rFa74mxo"",""Form Responses 1!B:C""),2,0),"""")"),"")</f>
        <v/>
      </c>
      <c r="AD39" s="62" t="str">
        <f>IFERROR(__xludf.DUMMYFUNCTION("IFERROR(VLOOKUP(TRIM(A39),IMPORTRANGE(""1ezPhPfgGBlZIzMnymbnrUr2FhcM_6Sv_nk0hxcbuzTQ"",""Form Responses 1!B:C""),2,0),"""")"),"")</f>
        <v/>
      </c>
      <c r="AE39" s="62" t="str">
        <f>IFERROR(__xludf.DUMMYFUNCTION("IFERROR(VLOOKUP(TRIM(A39),IMPORTRANGE(""1nCvx2881PQ64OQinwpUfP8HphDEhFD0vPRxp_AAAdlM"",""Form Responses 1!B:C""),2,0),"""")"),"")</f>
        <v/>
      </c>
      <c r="AF39" s="62" t="str">
        <f>IFERROR(__xludf.DUMMYFUNCTION("IFERROR(VLOOKUP(TRIM(A39),IMPORTRANGE(""1cImVBctl3mh_jlEmJoy6CEEFe_DDCxRGkjB_Jp-qsU8"",""Form Responses 1!B:C""),2,0),"""")"),"")</f>
        <v/>
      </c>
      <c r="AG39" s="57"/>
      <c r="AH39" s="57"/>
      <c r="AI39" s="57"/>
      <c r="AJ39" s="57"/>
      <c r="AK39" s="57"/>
      <c r="AL39" s="57"/>
      <c r="AM39" s="57"/>
      <c r="AN39" s="57"/>
      <c r="AO39" s="57"/>
      <c r="AP39" s="57"/>
      <c r="AQ39" s="57"/>
      <c r="AR39" s="57"/>
      <c r="AS39" s="57"/>
      <c r="AT39" s="57"/>
      <c r="AU39" s="57"/>
      <c r="AV39" s="57"/>
      <c r="AW39" s="57"/>
      <c r="AX39" s="57"/>
      <c r="AY39" s="57"/>
      <c r="AZ39" s="57"/>
    </row>
    <row r="40">
      <c r="A40" s="56" t="s">
        <v>242</v>
      </c>
      <c r="B40" s="57">
        <f>IFERROR(__xludf.DUMMYFUNCTION("IFERROR(IF(COUNTIF(IMPORTRANGE(""1oiajwiBxoDIOBcD_uKarGHJIrskYi3nXyI9FyWq8IFk"",""Form Responses 1!B:B""),A40)&gt;0,10,),0)"),10.0)</f>
        <v>10</v>
      </c>
      <c r="C40" s="57">
        <f>IFERROR(__xludf.DUMMYFUNCTION("IFERROR(VLOOKUP(A40,IMPORTRANGE(""1PRkBNvF7wRBbJGtbM1I7-V_ej5mmlgF4cwmp64ilJGQ"",""Form Responses 1!B:C""),2,FALSE),)"),10.0)</f>
        <v>10</v>
      </c>
      <c r="D40" s="57">
        <f>IFERROR(__xludf.DUMMYFUNCTION("IFERROR(VLOOKUP(A40,IMPORTRANGE(""1rSBnjICjC9324bzLIQpakQH2kn1-6by9fz9jLCcefTs"",""Form Responses 1!B:C""),2,FALSE),)"),10.0)</f>
        <v>10</v>
      </c>
      <c r="E40" s="57">
        <f>IFERROR(__xludf.DUMMYFUNCTION("IFERROR(VLOOKUP(A40,IMPORTRANGE(""1OvNQShTkB7b8btd44zAgP-KkGS7dJ0BEd6wMgBISDs0"",""Form Responses 1!B:C""),2,FALSE),)"),5.0)</f>
        <v>5</v>
      </c>
      <c r="F40" s="57">
        <f>IFERROR(__xludf.DUMMYFUNCTION("IFERROR(IF(COUNTIF(IMPORTRANGE(""13ZZ2q5-JsneAoCxE8QLqs1Ycj8WSgN9hPRza9XUMv_4"",""Form Responses 1!B:B""),A40)&gt;0,20,),)"),20.0)</f>
        <v>20</v>
      </c>
      <c r="G40" s="58" t="str">
        <f>IFERROR(__xludf.DUMMYFUNCTION("IFERROR(IF(COUNTIF(IMPORTRANGE(""1ljo_MifcmFDCNF59UxR3-3g4XI2XSRJ3WpZcUkp6so8"",""Form Responses 1!B:B""),A40)&gt;0,10,),)"),"")</f>
        <v/>
      </c>
      <c r="H40" s="59" t="str">
        <f>IFERROR(__xludf.DUMMYFUNCTION("IFERROR(VLOOKUP(A40,IMPORTRANGE(""1PBvrHm3dgtcno-UApCGo6dIU4auKbeIJC2SC7k36T64"",""Form Responses 1!B:C""),2,FALSE),)"),"")</f>
        <v/>
      </c>
      <c r="I40" s="60" t="str">
        <f>IFERROR(__xludf.DUMMYFUNCTION("IFERROR(VLOOKUP(A40,IMPORTRANGE(""13P_qT6pKDynUZR0_aswSscwX8dw4UhPyIL8ohovayVc
"",""Form Responses 1!B:C""),2,FALSE),)"),"")</f>
        <v/>
      </c>
      <c r="J40" s="60" t="str">
        <f>IFERROR(__xludf.DUMMYFUNCTION("IFERROR(VLOOKUP(A40,IMPORTRANGE(""16B_HaxNdsb7BY3AQ0xKagDsjOLkfb_DjPkxPwEpn8gc
"",""Form Responses 1!B:C""),2,FALSE),)"),"")</f>
        <v/>
      </c>
      <c r="K40" s="60" t="str">
        <f>IFERROR(__xludf.DUMMYFUNCTION("IFERROR(VLOOKUP(A40,IMPORTRANGE(""1bUO_1Nv9gx3vZE_-m4w6HiuWUM1u8qsaqKByYyla14Q"",""Form Responses 1!B:C""),2,FALSE),)"),"")</f>
        <v/>
      </c>
      <c r="L40" s="59" t="str">
        <f>IFERROR(__xludf.DUMMYFUNCTION("IFERROR(IF(COUNTIF(IMPORTRANGE(""1SG2BnFOinBZsm3_Rx1BzD670E652svXjlzWieKobj9o"",""Form Responses 1!B:B""),A40)&gt;0,10,),0)"),"")</f>
        <v/>
      </c>
      <c r="M40" s="60" t="str">
        <f>IFERROR(__xludf.DUMMYFUNCTION("IFERROR(VLOOKUP(A40,IMPORTRANGE(""1Zpz_ArqUHJZzCwyJqFKkEASeqFw0lZ4HLK4wQdLXj3w
"",""Form Responses 1!B:C""),2,FALSE),)"),"")</f>
        <v/>
      </c>
      <c r="N40" s="60" t="str">
        <f>IFERROR(__xludf.DUMMYFUNCTION("IFERROR(VLOOKUP(A40,IMPORTRANGE(""1c318JgcKMkTMtHFS6SjH7x3TAnZwddcZMI9Jx-B9VOM
"",""Form Responses 1!B:C""),2,FALSE),)"),"")</f>
        <v/>
      </c>
      <c r="O40" s="60" t="str">
        <f>IFERROR(__xludf.DUMMYFUNCTION("IFERROR(VLOOKUP(A40,IMPORTRANGE(""1kp8AvADOUteLDy1-i5F9JvR64ee_UwN5UoIn-tH5zPQ
"",""Form Responses 1!B:C""),2,FALSE),)"),"")</f>
        <v/>
      </c>
      <c r="P40" s="60" t="str">
        <f>IFERROR(__xludf.DUMMYFUNCTION("IFERROR(VLOOKUP(A40,IMPORTRANGE(""1PSjtsRk3dryPdI2Zls_iIpRgVVwBTGQ0ryRujA_ayZ0"",""Form Responses 1!B:C""),2,FALSE),)"),"")</f>
        <v/>
      </c>
      <c r="Q40" s="59" t="str">
        <f>IFERROR(__xludf.DUMMYFUNCTION("IFERROR(VLOOKUP(TRIM(A40),IMPORTRANGE(""1ciMZmE3_Ia8QatZf9u-RYqeCzLjcP66olwhReBx-Pwc"",""Form Responses 1!B:C""),2,0),"""")"),"")</f>
        <v/>
      </c>
      <c r="R40" s="60" t="str">
        <f>IFERROR(__xludf.DUMMYFUNCTION("IFERROR(VLOOKUP(TRIM(A40),IMPORTRANGE(""1dEvtr9f2UAemMjkvEwBFPyuEw3YQPqez4Kgo-0l7vS4"",""Form Responses 1!B:C""),2,0),"""")"),"")</f>
        <v/>
      </c>
      <c r="S40" s="60" t="str">
        <f>IFERROR(__xludf.DUMMYFUNCTION("IFERROR(VLOOKUP(TRIM(A40),IMPORTRANGE(""1B6nP1Ts7cF60F-9DocMTsAaVFKfuimLnUoxweBavHeU"",""Form Responses 1!B:C""),2,0),"""")"),"")</f>
        <v/>
      </c>
      <c r="T40" s="60" t="str">
        <f>IFERROR(__xludf.DUMMYFUNCTION("IFERROR(VLOOKUP(TRIM(A40),IMPORTRANGE(""1Urfs_Vy5SE9U8tp1-UR-7FoEAxcNy8MifWBH8GiFXd8"",""Form Responses 1!B:C""),2,0),"""")"),"")</f>
        <v/>
      </c>
      <c r="U40" s="60" t="str">
        <f>IFERROR(__xludf.DUMMYFUNCTION("IFERROR(VLOOKUP(TRIM(A40),IMPORTRANGE(""1aXWUim-N4mxaoEzA3XAIdaDH-QYLEvzF2WdP7MGXYAE"",""Form Responses 1!B:C""),2,0),"""")"),"")</f>
        <v/>
      </c>
      <c r="V40" s="61">
        <v>17.0</v>
      </c>
      <c r="W40" s="62" t="str">
        <f>IFERROR(__xludf.DUMMYFUNCTION("IFERROR(1/(1/MAX(
  IFERROR(VLOOKUP(TRIM(A40),IMPORTRANGE(""1ZA1PTk3mXTxdasMFIUL3_HnhZbSrjlYI0jroyR74oDM"",""Form Responses 1!B:C""),2,0),),
  IFERROR(VLOOKUP(TRIM(A40),IMPORTRANGE(""197C8yvLyfR59JPOCjQdNv3jtQAWqA9lyzhiAtksREXI"",""Form Responses 1!B:C"")"&amp;",2,0),)
)),)"),"")</f>
        <v/>
      </c>
      <c r="X40" s="62">
        <f>IFERROR(__xludf.DUMMYFUNCTION("IFERROR(VLOOKUP(TRIM(A40),IMPORTRANGE(""1S55NQGXzV1_qOWKXpsQUC871e5j71TNZ9qXJwwhlcsg"",""Form Responses 1!B:C""),2,0),"""")"),5.0)</f>
        <v>5</v>
      </c>
      <c r="Y40" s="62" t="str">
        <f>IFERROR(__xludf.DUMMYFUNCTION("IFERROR(VLOOKUP(TRIM(A40),IMPORTRANGE(""1tpV5_mFhbN6YKRuO1MZvSbUMIPr8PmwiNyIZJpY0iKs"",""Form Responses 1!B:C""),2,0),"""")"),"")</f>
        <v/>
      </c>
      <c r="Z40" s="62" t="str">
        <f>IFERROR(__xludf.DUMMYFUNCTION("IFERROR(VLOOKUP(TRIM(A40),IMPORTRANGE(""1wfMRO2uDQNJ1PCwTpHdQ8iUrPUKVHyvbfqf8TasTViU"",""Form Responses 1!B:C""),2,0),"""")"),"")</f>
        <v/>
      </c>
      <c r="AA40" s="62" t="str">
        <f>IFERROR(__xludf.DUMMYFUNCTION("IFERROR(VLOOKUP(TRIM(A40),IMPORTRANGE(""1ZOlAPpjCs7qXcQpCvrHzmJ4FOraZ9bKV8IEd78oT7sE"",""Form Responses 1!B:C""),2,0),"""")"),"")</f>
        <v/>
      </c>
      <c r="AB40" s="62">
        <f>IFERROR(__xludf.DUMMYFUNCTION("IFERROR(VLOOKUP(TRIM(A40),IMPORTRANGE(""1oPrvVT6QDWEUmx87GoqLd1CXTtfLo6WfrreUocg_I08"",""Form Responses 1!B:C""),2,0),"""")"),0.0)</f>
        <v>0</v>
      </c>
      <c r="AC40" s="62">
        <f>IFERROR(__xludf.DUMMYFUNCTION("IFERROR(VLOOKUP(TRIM(A40),IMPORTRANGE(""1WKNusCM8GAvNDFdV2AjY5sTwyti4BFZk9I1rFa74mxo"",""Form Responses 1!B:C""),2,0),"""")"),4.0)</f>
        <v>4</v>
      </c>
      <c r="AD40" s="62">
        <f>IFERROR(__xludf.DUMMYFUNCTION("IFERROR(VLOOKUP(TRIM(A40),IMPORTRANGE(""1ezPhPfgGBlZIzMnymbnrUr2FhcM_6Sv_nk0hxcbuzTQ"",""Form Responses 1!B:C""),2,0),"""")"),2.0)</f>
        <v>2</v>
      </c>
      <c r="AE40" s="62">
        <f>IFERROR(__xludf.DUMMYFUNCTION("IFERROR(VLOOKUP(TRIM(A40),IMPORTRANGE(""1nCvx2881PQ64OQinwpUfP8HphDEhFD0vPRxp_AAAdlM"",""Form Responses 1!B:C""),2,0),"""")"),0.0)</f>
        <v>0</v>
      </c>
      <c r="AF40" s="62">
        <f>IFERROR(__xludf.DUMMYFUNCTION("IFERROR(VLOOKUP(TRIM(A40),IMPORTRANGE(""1cImVBctl3mh_jlEmJoy6CEEFe_DDCxRGkjB_Jp-qsU8"",""Form Responses 1!B:C""),2,0),"""")"),0.0)</f>
        <v>0</v>
      </c>
      <c r="AG40" s="57"/>
      <c r="AH40" s="57"/>
      <c r="AI40" s="57"/>
      <c r="AJ40" s="57"/>
      <c r="AK40" s="57"/>
      <c r="AL40" s="57"/>
      <c r="AM40" s="57"/>
      <c r="AN40" s="57"/>
      <c r="AO40" s="57"/>
      <c r="AP40" s="57"/>
      <c r="AQ40" s="57"/>
      <c r="AR40" s="57"/>
      <c r="AS40" s="57"/>
      <c r="AT40" s="57"/>
      <c r="AU40" s="57"/>
      <c r="AV40" s="57"/>
      <c r="AW40" s="57"/>
      <c r="AX40" s="57"/>
      <c r="AY40" s="57"/>
      <c r="AZ40" s="57"/>
    </row>
    <row r="41">
      <c r="A41" s="56" t="s">
        <v>243</v>
      </c>
      <c r="B41" s="57">
        <f>IFERROR(__xludf.DUMMYFUNCTION("IFERROR(IF(COUNTIF(IMPORTRANGE(""1oiajwiBxoDIOBcD_uKarGHJIrskYi3nXyI9FyWq8IFk"",""Form Responses 1!B:B""),A41)&gt;0,10,),0)"),10.0)</f>
        <v>10</v>
      </c>
      <c r="C41" s="57" t="str">
        <f>IFERROR(__xludf.DUMMYFUNCTION("IFERROR(VLOOKUP(A41,IMPORTRANGE(""1PRkBNvF7wRBbJGtbM1I7-V_ej5mmlgF4cwmp64ilJGQ"",""Form Responses 1!B:C""),2,FALSE),)"),"")</f>
        <v/>
      </c>
      <c r="D41" s="57" t="str">
        <f>IFERROR(__xludf.DUMMYFUNCTION("IFERROR(VLOOKUP(A41,IMPORTRANGE(""1rSBnjICjC9324bzLIQpakQH2kn1-6by9fz9jLCcefTs"",""Form Responses 1!B:C""),2,FALSE),)"),"")</f>
        <v/>
      </c>
      <c r="E41" s="57">
        <f>IFERROR(__xludf.DUMMYFUNCTION("IFERROR(VLOOKUP(A41,IMPORTRANGE(""1OvNQShTkB7b8btd44zAgP-KkGS7dJ0BEd6wMgBISDs0"",""Form Responses 1!B:C""),2,FALSE),)"),5.0)</f>
        <v>5</v>
      </c>
      <c r="F41" s="57" t="str">
        <f>IFERROR(__xludf.DUMMYFUNCTION("IFERROR(IF(COUNTIF(IMPORTRANGE(""13ZZ2q5-JsneAoCxE8QLqs1Ycj8WSgN9hPRza9XUMv_4"",""Form Responses 1!B:B""),A41)&gt;0,20,),)"),"")</f>
        <v/>
      </c>
      <c r="G41" s="58" t="str">
        <f>IFERROR(__xludf.DUMMYFUNCTION("IFERROR(IF(COUNTIF(IMPORTRANGE(""1ljo_MifcmFDCNF59UxR3-3g4XI2XSRJ3WpZcUkp6so8"",""Form Responses 1!B:B""),A41)&gt;0,10,),)"),"")</f>
        <v/>
      </c>
      <c r="H41" s="59">
        <f>IFERROR(__xludf.DUMMYFUNCTION("IFERROR(VLOOKUP(A41,IMPORTRANGE(""1PBvrHm3dgtcno-UApCGo6dIU4auKbeIJC2SC7k36T64"",""Form Responses 1!B:C""),2,FALSE),)"),0.0)</f>
        <v>0</v>
      </c>
      <c r="I41" s="60">
        <f>IFERROR(__xludf.DUMMYFUNCTION("IFERROR(VLOOKUP(A41,IMPORTRANGE(""13P_qT6pKDynUZR0_aswSscwX8dw4UhPyIL8ohovayVc
"",""Form Responses 1!B:C""),2,FALSE),)"),0.0)</f>
        <v>0</v>
      </c>
      <c r="J41" s="60" t="str">
        <f>IFERROR(__xludf.DUMMYFUNCTION("IFERROR(VLOOKUP(A41,IMPORTRANGE(""16B_HaxNdsb7BY3AQ0xKagDsjOLkfb_DjPkxPwEpn8gc
"",""Form Responses 1!B:C""),2,FALSE),)"),"")</f>
        <v/>
      </c>
      <c r="K41" s="60" t="str">
        <f>IFERROR(__xludf.DUMMYFUNCTION("IFERROR(VLOOKUP(A41,IMPORTRANGE(""1bUO_1Nv9gx3vZE_-m4w6HiuWUM1u8qsaqKByYyla14Q"",""Form Responses 1!B:C""),2,FALSE),)"),"")</f>
        <v/>
      </c>
      <c r="L41" s="59">
        <f>IFERROR(__xludf.DUMMYFUNCTION("IFERROR(IF(COUNTIF(IMPORTRANGE(""1SG2BnFOinBZsm3_Rx1BzD670E652svXjlzWieKobj9o"",""Form Responses 1!B:B""),A41)&gt;0,10,),0)"),10.0)</f>
        <v>10</v>
      </c>
      <c r="M41" s="60" t="str">
        <f>IFERROR(__xludf.DUMMYFUNCTION("IFERROR(VLOOKUP(A41,IMPORTRANGE(""1Zpz_ArqUHJZzCwyJqFKkEASeqFw0lZ4HLK4wQdLXj3w
"",""Form Responses 1!B:C""),2,FALSE),)"),"")</f>
        <v/>
      </c>
      <c r="N41" s="60" t="str">
        <f>IFERROR(__xludf.DUMMYFUNCTION("IFERROR(VLOOKUP(A41,IMPORTRANGE(""1c318JgcKMkTMtHFS6SjH7x3TAnZwddcZMI9Jx-B9VOM
"",""Form Responses 1!B:C""),2,FALSE),)"),"")</f>
        <v/>
      </c>
      <c r="O41" s="60" t="str">
        <f>IFERROR(__xludf.DUMMYFUNCTION("IFERROR(VLOOKUP(A41,IMPORTRANGE(""1kp8AvADOUteLDy1-i5F9JvR64ee_UwN5UoIn-tH5zPQ
"",""Form Responses 1!B:C""),2,FALSE),)"),"")</f>
        <v/>
      </c>
      <c r="P41" s="60">
        <f>IFERROR(__xludf.DUMMYFUNCTION("IFERROR(VLOOKUP(A41,IMPORTRANGE(""1PSjtsRk3dryPdI2Zls_iIpRgVVwBTGQ0ryRujA_ayZ0"",""Form Responses 1!B:C""),2,FALSE),)"),2.0)</f>
        <v>2</v>
      </c>
      <c r="Q41" s="59" t="str">
        <f>IFERROR(__xludf.DUMMYFUNCTION("IFERROR(VLOOKUP(TRIM(A41),IMPORTRANGE(""1ciMZmE3_Ia8QatZf9u-RYqeCzLjcP66olwhReBx-Pwc"",""Form Responses 1!B:C""),2,0),"""")"),"")</f>
        <v/>
      </c>
      <c r="R41" s="60" t="str">
        <f>IFERROR(__xludf.DUMMYFUNCTION("IFERROR(VLOOKUP(TRIM(A41),IMPORTRANGE(""1dEvtr9f2UAemMjkvEwBFPyuEw3YQPqez4Kgo-0l7vS4"",""Form Responses 1!B:C""),2,0),"""")"),"")</f>
        <v/>
      </c>
      <c r="S41" s="60" t="str">
        <f>IFERROR(__xludf.DUMMYFUNCTION("IFERROR(VLOOKUP(TRIM(A41),IMPORTRANGE(""1B6nP1Ts7cF60F-9DocMTsAaVFKfuimLnUoxweBavHeU"",""Form Responses 1!B:C""),2,0),"""")"),"")</f>
        <v/>
      </c>
      <c r="T41" s="60" t="str">
        <f>IFERROR(__xludf.DUMMYFUNCTION("IFERROR(VLOOKUP(TRIM(A41),IMPORTRANGE(""1Urfs_Vy5SE9U8tp1-UR-7FoEAxcNy8MifWBH8GiFXd8"",""Form Responses 1!B:C""),2,0),"""")"),"")</f>
        <v/>
      </c>
      <c r="U41" s="60" t="str">
        <f>IFERROR(__xludf.DUMMYFUNCTION("IFERROR(VLOOKUP(TRIM(A41),IMPORTRANGE(""1aXWUim-N4mxaoEzA3XAIdaDH-QYLEvzF2WdP7MGXYAE"",""Form Responses 1!B:C""),2,0),"""")"),"")</f>
        <v/>
      </c>
      <c r="V41" s="61">
        <v>25.0</v>
      </c>
      <c r="W41" s="62">
        <f>IFERROR(__xludf.DUMMYFUNCTION("IFERROR(1/(1/MAX(
  IFERROR(VLOOKUP(TRIM(A41),IMPORTRANGE(""1ZA1PTk3mXTxdasMFIUL3_HnhZbSrjlYI0jroyR74oDM"",""Form Responses 1!B:C""),2,0),),
  IFERROR(VLOOKUP(TRIM(A41),IMPORTRANGE(""197C8yvLyfR59JPOCjQdNv3jtQAWqA9lyzhiAtksREXI"",""Form Responses 1!B:C"")"&amp;",2,0),)
)),)"),3.0)</f>
        <v>3</v>
      </c>
      <c r="X41" s="62">
        <f>IFERROR(__xludf.DUMMYFUNCTION("IFERROR(VLOOKUP(TRIM(A41),IMPORTRANGE(""1S55NQGXzV1_qOWKXpsQUC871e5j71TNZ9qXJwwhlcsg"",""Form Responses 1!B:C""),2,0),"""")"),10.0)</f>
        <v>10</v>
      </c>
      <c r="Y41" s="62" t="str">
        <f>IFERROR(__xludf.DUMMYFUNCTION("IFERROR(VLOOKUP(TRIM(A41),IMPORTRANGE(""1tpV5_mFhbN6YKRuO1MZvSbUMIPr8PmwiNyIZJpY0iKs"",""Form Responses 1!B:C""),2,0),"""")"),"")</f>
        <v/>
      </c>
      <c r="Z41" s="62" t="str">
        <f>IFERROR(__xludf.DUMMYFUNCTION("IFERROR(VLOOKUP(TRIM(A41),IMPORTRANGE(""1wfMRO2uDQNJ1PCwTpHdQ8iUrPUKVHyvbfqf8TasTViU"",""Form Responses 1!B:C""),2,0),"""")"),"")</f>
        <v/>
      </c>
      <c r="AA41" s="62" t="str">
        <f>IFERROR(__xludf.DUMMYFUNCTION("IFERROR(VLOOKUP(TRIM(A41),IMPORTRANGE(""1ZOlAPpjCs7qXcQpCvrHzmJ4FOraZ9bKV8IEd78oT7sE"",""Form Responses 1!B:C""),2,0),"""")"),"")</f>
        <v/>
      </c>
      <c r="AB41" s="62">
        <f>IFERROR(__xludf.DUMMYFUNCTION("IFERROR(VLOOKUP(TRIM(A41),IMPORTRANGE(""1oPrvVT6QDWEUmx87GoqLd1CXTtfLo6WfrreUocg_I08"",""Form Responses 1!B:C""),2,0),"""")"),9.0)</f>
        <v>9</v>
      </c>
      <c r="AC41" s="62">
        <f>IFERROR(__xludf.DUMMYFUNCTION("IFERROR(VLOOKUP(TRIM(A41),IMPORTRANGE(""1WKNusCM8GAvNDFdV2AjY5sTwyti4BFZk9I1rFa74mxo"",""Form Responses 1!B:C""),2,0),"""")"),7.0)</f>
        <v>7</v>
      </c>
      <c r="AD41" s="62">
        <f>IFERROR(__xludf.DUMMYFUNCTION("IFERROR(VLOOKUP(TRIM(A41),IMPORTRANGE(""1ezPhPfgGBlZIzMnymbnrUr2FhcM_6Sv_nk0hxcbuzTQ"",""Form Responses 1!B:C""),2,0),"""")"),8.0)</f>
        <v>8</v>
      </c>
      <c r="AE41" s="62" t="str">
        <f>IFERROR(__xludf.DUMMYFUNCTION("IFERROR(VLOOKUP(TRIM(A41),IMPORTRANGE(""1nCvx2881PQ64OQinwpUfP8HphDEhFD0vPRxp_AAAdlM"",""Form Responses 1!B:C""),2,0),"""")"),"")</f>
        <v/>
      </c>
      <c r="AF41" s="62" t="str">
        <f>IFERROR(__xludf.DUMMYFUNCTION("IFERROR(VLOOKUP(TRIM(A41),IMPORTRANGE(""1cImVBctl3mh_jlEmJoy6CEEFe_DDCxRGkjB_Jp-qsU8"",""Form Responses 1!B:C""),2,0),"""")"),"")</f>
        <v/>
      </c>
      <c r="AG41" s="57"/>
      <c r="AH41" s="57"/>
      <c r="AI41" s="57"/>
      <c r="AJ41" s="57"/>
      <c r="AK41" s="57"/>
      <c r="AL41" s="57"/>
      <c r="AM41" s="57"/>
      <c r="AN41" s="57"/>
      <c r="AO41" s="57"/>
      <c r="AP41" s="57"/>
      <c r="AQ41" s="57"/>
      <c r="AR41" s="57"/>
      <c r="AS41" s="57"/>
      <c r="AT41" s="57"/>
      <c r="AU41" s="57"/>
      <c r="AV41" s="57"/>
      <c r="AW41" s="57"/>
      <c r="AX41" s="57"/>
      <c r="AY41" s="57"/>
      <c r="AZ41" s="57"/>
    </row>
    <row r="42">
      <c r="A42" s="56" t="s">
        <v>244</v>
      </c>
      <c r="B42" s="57">
        <f>IFERROR(__xludf.DUMMYFUNCTION("IFERROR(IF(COUNTIF(IMPORTRANGE(""1oiajwiBxoDIOBcD_uKarGHJIrskYi3nXyI9FyWq8IFk"",""Form Responses 1!B:B""),A42)&gt;0,10,),0)"),10.0)</f>
        <v>10</v>
      </c>
      <c r="C42" s="57">
        <f>IFERROR(__xludf.DUMMYFUNCTION("IFERROR(VLOOKUP(A42,IMPORTRANGE(""1PRkBNvF7wRBbJGtbM1I7-V_ej5mmlgF4cwmp64ilJGQ"",""Form Responses 1!B:C""),2,FALSE),)"),0.0)</f>
        <v>0</v>
      </c>
      <c r="D42" s="57" t="str">
        <f>IFERROR(__xludf.DUMMYFUNCTION("IFERROR(VLOOKUP(A42,IMPORTRANGE(""1rSBnjICjC9324bzLIQpakQH2kn1-6by9fz9jLCcefTs"",""Form Responses 1!B:C""),2,FALSE),)"),"")</f>
        <v/>
      </c>
      <c r="E42" s="57" t="str">
        <f>IFERROR(__xludf.DUMMYFUNCTION("IFERROR(VLOOKUP(A42,IMPORTRANGE(""1OvNQShTkB7b8btd44zAgP-KkGS7dJ0BEd6wMgBISDs0"",""Form Responses 1!B:C""),2,FALSE),)"),"")</f>
        <v/>
      </c>
      <c r="F42" s="57" t="str">
        <f>IFERROR(__xludf.DUMMYFUNCTION("IFERROR(IF(COUNTIF(IMPORTRANGE(""13ZZ2q5-JsneAoCxE8QLqs1Ycj8WSgN9hPRza9XUMv_4"",""Form Responses 1!B:B""),A42)&gt;0,20,),)"),"")</f>
        <v/>
      </c>
      <c r="G42" s="58" t="str">
        <f>IFERROR(__xludf.DUMMYFUNCTION("IFERROR(IF(COUNTIF(IMPORTRANGE(""1ljo_MifcmFDCNF59UxR3-3g4XI2XSRJ3WpZcUkp6so8"",""Form Responses 1!B:B""),A42)&gt;0,10,),)"),"")</f>
        <v/>
      </c>
      <c r="H42" s="59">
        <f>IFERROR(__xludf.DUMMYFUNCTION("IFERROR(VLOOKUP(A42,IMPORTRANGE(""1PBvrHm3dgtcno-UApCGo6dIU4auKbeIJC2SC7k36T64"",""Form Responses 1!B:C""),2,FALSE),)"),3.0)</f>
        <v>3</v>
      </c>
      <c r="I42" s="60">
        <f>IFERROR(__xludf.DUMMYFUNCTION("IFERROR(VLOOKUP(A42,IMPORTRANGE(""13P_qT6pKDynUZR0_aswSscwX8dw4UhPyIL8ohovayVc
"",""Form Responses 1!B:C""),2,FALSE),)"),6.0)</f>
        <v>6</v>
      </c>
      <c r="J42" s="60">
        <f>IFERROR(__xludf.DUMMYFUNCTION("IFERROR(VLOOKUP(A42,IMPORTRANGE(""16B_HaxNdsb7BY3AQ0xKagDsjOLkfb_DjPkxPwEpn8gc
"",""Form Responses 1!B:C""),2,FALSE),)"),19.0)</f>
        <v>19</v>
      </c>
      <c r="K42" s="60">
        <f>IFERROR(__xludf.DUMMYFUNCTION("IFERROR(VLOOKUP(A42,IMPORTRANGE(""1bUO_1Nv9gx3vZE_-m4w6HiuWUM1u8qsaqKByYyla14Q"",""Form Responses 1!B:C""),2,FALSE),)"),7.0)</f>
        <v>7</v>
      </c>
      <c r="L42" s="59" t="str">
        <f>IFERROR(__xludf.DUMMYFUNCTION("IFERROR(IF(COUNTIF(IMPORTRANGE(""1SG2BnFOinBZsm3_Rx1BzD670E652svXjlzWieKobj9o"",""Form Responses 1!B:B""),A42)&gt;0,10,),0)"),"")</f>
        <v/>
      </c>
      <c r="M42" s="60" t="str">
        <f>IFERROR(__xludf.DUMMYFUNCTION("IFERROR(VLOOKUP(A42,IMPORTRANGE(""1Zpz_ArqUHJZzCwyJqFKkEASeqFw0lZ4HLK4wQdLXj3w
"",""Form Responses 1!B:C""),2,FALSE),)"),"")</f>
        <v/>
      </c>
      <c r="N42" s="60" t="str">
        <f>IFERROR(__xludf.DUMMYFUNCTION("IFERROR(VLOOKUP(A42,IMPORTRANGE(""1c318JgcKMkTMtHFS6SjH7x3TAnZwddcZMI9Jx-B9VOM
"",""Form Responses 1!B:C""),2,FALSE),)"),"")</f>
        <v/>
      </c>
      <c r="O42" s="60" t="str">
        <f>IFERROR(__xludf.DUMMYFUNCTION("IFERROR(VLOOKUP(A42,IMPORTRANGE(""1kp8AvADOUteLDy1-i5F9JvR64ee_UwN5UoIn-tH5zPQ
"",""Form Responses 1!B:C""),2,FALSE),)"),"")</f>
        <v/>
      </c>
      <c r="P42" s="60">
        <f>IFERROR(__xludf.DUMMYFUNCTION("IFERROR(VLOOKUP(A42,IMPORTRANGE(""1PSjtsRk3dryPdI2Zls_iIpRgVVwBTGQ0ryRujA_ayZ0"",""Form Responses 1!B:C""),2,FALSE),)"),6.0)</f>
        <v>6</v>
      </c>
      <c r="Q42" s="59">
        <f>IFERROR(__xludf.DUMMYFUNCTION("IFERROR(VLOOKUP(TRIM(A42),IMPORTRANGE(""1ciMZmE3_Ia8QatZf9u-RYqeCzLjcP66olwhReBx-Pwc"",""Form Responses 1!B:C""),2,0),"""")"),1.0)</f>
        <v>1</v>
      </c>
      <c r="R42" s="60">
        <f>IFERROR(__xludf.DUMMYFUNCTION("IFERROR(VLOOKUP(TRIM(A42),IMPORTRANGE(""1dEvtr9f2UAemMjkvEwBFPyuEw3YQPqez4Kgo-0l7vS4"",""Form Responses 1!B:C""),2,0),"""")"),10.0)</f>
        <v>10</v>
      </c>
      <c r="S42" s="60">
        <f>IFERROR(__xludf.DUMMYFUNCTION("IFERROR(VLOOKUP(TRIM(A42),IMPORTRANGE(""1B6nP1Ts7cF60F-9DocMTsAaVFKfuimLnUoxweBavHeU"",""Form Responses 1!B:C""),2,0),"""")"),2.0)</f>
        <v>2</v>
      </c>
      <c r="T42" s="60">
        <f>IFERROR(__xludf.DUMMYFUNCTION("IFERROR(VLOOKUP(TRIM(A42),IMPORTRANGE(""1Urfs_Vy5SE9U8tp1-UR-7FoEAxcNy8MifWBH8GiFXd8"",""Form Responses 1!B:C""),2,0),"""")"),2.0)</f>
        <v>2</v>
      </c>
      <c r="U42" s="60">
        <f>IFERROR(__xludf.DUMMYFUNCTION("IFERROR(VLOOKUP(TRIM(A42),IMPORTRANGE(""1aXWUim-N4mxaoEzA3XAIdaDH-QYLEvzF2WdP7MGXYAE"",""Form Responses 1!B:C""),2,0),"""")"),3.0)</f>
        <v>3</v>
      </c>
      <c r="V42" s="61">
        <v>13.0</v>
      </c>
      <c r="W42" s="62" t="str">
        <f>IFERROR(__xludf.DUMMYFUNCTION("IFERROR(1/(1/MAX(
  IFERROR(VLOOKUP(TRIM(A42),IMPORTRANGE(""1ZA1PTk3mXTxdasMFIUL3_HnhZbSrjlYI0jroyR74oDM"",""Form Responses 1!B:C""),2,0),),
  IFERROR(VLOOKUP(TRIM(A42),IMPORTRANGE(""197C8yvLyfR59JPOCjQdNv3jtQAWqA9lyzhiAtksREXI"",""Form Responses 1!B:C"")"&amp;",2,0),)
)),)"),"")</f>
        <v/>
      </c>
      <c r="X42" s="62" t="str">
        <f>IFERROR(__xludf.DUMMYFUNCTION("IFERROR(VLOOKUP(TRIM(A42),IMPORTRANGE(""1S55NQGXzV1_qOWKXpsQUC871e5j71TNZ9qXJwwhlcsg"",""Form Responses 1!B:C""),2,0),"""")"),"")</f>
        <v/>
      </c>
      <c r="Y42" s="62" t="str">
        <f>IFERROR(__xludf.DUMMYFUNCTION("IFERROR(VLOOKUP(TRIM(A42),IMPORTRANGE(""1tpV5_mFhbN6YKRuO1MZvSbUMIPr8PmwiNyIZJpY0iKs"",""Form Responses 1!B:C""),2,0),"""")"),"")</f>
        <v/>
      </c>
      <c r="Z42" s="62" t="str">
        <f>IFERROR(__xludf.DUMMYFUNCTION("IFERROR(VLOOKUP(TRIM(A42),IMPORTRANGE(""1wfMRO2uDQNJ1PCwTpHdQ8iUrPUKVHyvbfqf8TasTViU"",""Form Responses 1!B:C""),2,0),"""")"),"")</f>
        <v/>
      </c>
      <c r="AA42" s="62" t="str">
        <f>IFERROR(__xludf.DUMMYFUNCTION("IFERROR(VLOOKUP(TRIM(A42),IMPORTRANGE(""1ZOlAPpjCs7qXcQpCvrHzmJ4FOraZ9bKV8IEd78oT7sE"",""Form Responses 1!B:C""),2,0),"""")"),"")</f>
        <v/>
      </c>
      <c r="AB42" s="62">
        <f>IFERROR(__xludf.DUMMYFUNCTION("IFERROR(VLOOKUP(TRIM(A42),IMPORTRANGE(""1oPrvVT6QDWEUmx87GoqLd1CXTtfLo6WfrreUocg_I08"",""Form Responses 1!B:C""),2,0),"""")"),6.0)</f>
        <v>6</v>
      </c>
      <c r="AC42" s="62">
        <f>IFERROR(__xludf.DUMMYFUNCTION("IFERROR(VLOOKUP(TRIM(A42),IMPORTRANGE(""1WKNusCM8GAvNDFdV2AjY5sTwyti4BFZk9I1rFa74mxo"",""Form Responses 1!B:C""),2,0),"""")"),0.0)</f>
        <v>0</v>
      </c>
      <c r="AD42" s="62">
        <f>IFERROR(__xludf.DUMMYFUNCTION("IFERROR(VLOOKUP(TRIM(A42),IMPORTRANGE(""1ezPhPfgGBlZIzMnymbnrUr2FhcM_6Sv_nk0hxcbuzTQ"",""Form Responses 1!B:C""),2,0),"""")"),0.0)</f>
        <v>0</v>
      </c>
      <c r="AE42" s="62" t="str">
        <f>IFERROR(__xludf.DUMMYFUNCTION("IFERROR(VLOOKUP(TRIM(A42),IMPORTRANGE(""1nCvx2881PQ64OQinwpUfP8HphDEhFD0vPRxp_AAAdlM"",""Form Responses 1!B:C""),2,0),"""")"),"")</f>
        <v/>
      </c>
      <c r="AF42" s="62" t="str">
        <f>IFERROR(__xludf.DUMMYFUNCTION("IFERROR(VLOOKUP(TRIM(A42),IMPORTRANGE(""1cImVBctl3mh_jlEmJoy6CEEFe_DDCxRGkjB_Jp-qsU8"",""Form Responses 1!B:C""),2,0),"""")"),"")</f>
        <v/>
      </c>
      <c r="AG42" s="57"/>
      <c r="AH42" s="57"/>
      <c r="AI42" s="57"/>
      <c r="AJ42" s="57"/>
      <c r="AK42" s="57"/>
      <c r="AL42" s="57"/>
      <c r="AM42" s="57"/>
      <c r="AN42" s="57"/>
      <c r="AO42" s="57"/>
      <c r="AP42" s="57"/>
      <c r="AQ42" s="57"/>
      <c r="AR42" s="57"/>
      <c r="AS42" s="57"/>
      <c r="AT42" s="57"/>
      <c r="AU42" s="57"/>
      <c r="AV42" s="57"/>
      <c r="AW42" s="57"/>
      <c r="AX42" s="57"/>
      <c r="AY42" s="57"/>
      <c r="AZ42" s="57"/>
    </row>
    <row r="43">
      <c r="A43" s="56" t="s">
        <v>245</v>
      </c>
      <c r="B43" s="57">
        <f>IFERROR(__xludf.DUMMYFUNCTION("IFERROR(IF(COUNTIF(IMPORTRANGE(""1oiajwiBxoDIOBcD_uKarGHJIrskYi3nXyI9FyWq8IFk"",""Form Responses 1!B:B""),A43)&gt;0,10,),0)"),10.0)</f>
        <v>10</v>
      </c>
      <c r="C43" s="57">
        <f>IFERROR(__xludf.DUMMYFUNCTION("IFERROR(VLOOKUP(A43,IMPORTRANGE(""1PRkBNvF7wRBbJGtbM1I7-V_ej5mmlgF4cwmp64ilJGQ"",""Form Responses 1!B:C""),2,FALSE),)"),0.0)</f>
        <v>0</v>
      </c>
      <c r="D43" s="57">
        <f>IFERROR(__xludf.DUMMYFUNCTION("IFERROR(VLOOKUP(A43,IMPORTRANGE(""1rSBnjICjC9324bzLIQpakQH2kn1-6by9fz9jLCcefTs"",""Form Responses 1!B:C""),2,FALSE),)"),10.0)</f>
        <v>10</v>
      </c>
      <c r="E43" s="57">
        <f>IFERROR(__xludf.DUMMYFUNCTION("IFERROR(VLOOKUP(A43,IMPORTRANGE(""1OvNQShTkB7b8btd44zAgP-KkGS7dJ0BEd6wMgBISDs0"",""Form Responses 1!B:C""),2,FALSE),)"),5.0)</f>
        <v>5</v>
      </c>
      <c r="F43" s="57">
        <f>IFERROR(__xludf.DUMMYFUNCTION("IFERROR(IF(COUNTIF(IMPORTRANGE(""13ZZ2q5-JsneAoCxE8QLqs1Ycj8WSgN9hPRza9XUMv_4"",""Form Responses 1!B:B""),A43)&gt;0,20,),)"),20.0)</f>
        <v>20</v>
      </c>
      <c r="G43" s="58" t="str">
        <f>IFERROR(__xludf.DUMMYFUNCTION("IFERROR(IF(COUNTIF(IMPORTRANGE(""1ljo_MifcmFDCNF59UxR3-3g4XI2XSRJ3WpZcUkp6so8"",""Form Responses 1!B:B""),A43)&gt;0,10,),)"),"")</f>
        <v/>
      </c>
      <c r="H43" s="59">
        <f>IFERROR(__xludf.DUMMYFUNCTION("IFERROR(VLOOKUP(A43,IMPORTRANGE(""1PBvrHm3dgtcno-UApCGo6dIU4auKbeIJC2SC7k36T64"",""Form Responses 1!B:C""),2,FALSE),)"),11.0)</f>
        <v>11</v>
      </c>
      <c r="I43" s="60">
        <f>IFERROR(__xludf.DUMMYFUNCTION("IFERROR(VLOOKUP(A43,IMPORTRANGE(""13P_qT6pKDynUZR0_aswSscwX8dw4UhPyIL8ohovayVc
"",""Form Responses 1!B:C""),2,FALSE),)"),17.0)</f>
        <v>17</v>
      </c>
      <c r="J43" s="60" t="str">
        <f>IFERROR(__xludf.DUMMYFUNCTION("IFERROR(VLOOKUP(A43,IMPORTRANGE(""16B_HaxNdsb7BY3AQ0xKagDsjOLkfb_DjPkxPwEpn8gc
"",""Form Responses 1!B:C""),2,FALSE),)"),"")</f>
        <v/>
      </c>
      <c r="K43" s="60" t="str">
        <f>IFERROR(__xludf.DUMMYFUNCTION("IFERROR(VLOOKUP(A43,IMPORTRANGE(""1bUO_1Nv9gx3vZE_-m4w6HiuWUM1u8qsaqKByYyla14Q"",""Form Responses 1!B:C""),2,FALSE),)"),"")</f>
        <v/>
      </c>
      <c r="L43" s="59">
        <f>IFERROR(__xludf.DUMMYFUNCTION("IFERROR(IF(COUNTIF(IMPORTRANGE(""1SG2BnFOinBZsm3_Rx1BzD670E652svXjlzWieKobj9o"",""Form Responses 1!B:B""),A43)&gt;0,10,),0)"),10.0)</f>
        <v>10</v>
      </c>
      <c r="M43" s="60">
        <f>IFERROR(__xludf.DUMMYFUNCTION("IFERROR(VLOOKUP(A43,IMPORTRANGE(""1Zpz_ArqUHJZzCwyJqFKkEASeqFw0lZ4HLK4wQdLXj3w
"",""Form Responses 1!B:C""),2,FALSE),)"),18.0)</f>
        <v>18</v>
      </c>
      <c r="N43" s="60">
        <f>IFERROR(__xludf.DUMMYFUNCTION("IFERROR(VLOOKUP(A43,IMPORTRANGE(""1c318JgcKMkTMtHFS6SjH7x3TAnZwddcZMI9Jx-B9VOM
"",""Form Responses 1!B:C""),2,FALSE),)"),20.0)</f>
        <v>20</v>
      </c>
      <c r="O43" s="60">
        <f>IFERROR(__xludf.DUMMYFUNCTION("IFERROR(VLOOKUP(A43,IMPORTRANGE(""1kp8AvADOUteLDy1-i5F9JvR64ee_UwN5UoIn-tH5zPQ
"",""Form Responses 1!B:C""),2,FALSE),)"),20.0)</f>
        <v>20</v>
      </c>
      <c r="P43" s="60">
        <f>IFERROR(__xludf.DUMMYFUNCTION("IFERROR(VLOOKUP(A43,IMPORTRANGE(""1PSjtsRk3dryPdI2Zls_iIpRgVVwBTGQ0ryRujA_ayZ0"",""Form Responses 1!B:C""),2,FALSE),)"),16.0)</f>
        <v>16</v>
      </c>
      <c r="Q43" s="59">
        <f>IFERROR(__xludf.DUMMYFUNCTION("IFERROR(VLOOKUP(TRIM(A43),IMPORTRANGE(""1ciMZmE3_Ia8QatZf9u-RYqeCzLjcP66olwhReBx-Pwc"",""Form Responses 1!B:C""),2,0),"""")"),18.0)</f>
        <v>18</v>
      </c>
      <c r="R43" s="60" t="str">
        <f>IFERROR(__xludf.DUMMYFUNCTION("IFERROR(VLOOKUP(TRIM(A43),IMPORTRANGE(""1dEvtr9f2UAemMjkvEwBFPyuEw3YQPqez4Kgo-0l7vS4"",""Form Responses 1!B:C""),2,0),"""")"),"")</f>
        <v/>
      </c>
      <c r="S43" s="60" t="str">
        <f>IFERROR(__xludf.DUMMYFUNCTION("IFERROR(VLOOKUP(TRIM(A43),IMPORTRANGE(""1B6nP1Ts7cF60F-9DocMTsAaVFKfuimLnUoxweBavHeU"",""Form Responses 1!B:C""),2,0),"""")"),"")</f>
        <v/>
      </c>
      <c r="T43" s="60" t="str">
        <f>IFERROR(__xludf.DUMMYFUNCTION("IFERROR(VLOOKUP(TRIM(A43),IMPORTRANGE(""1Urfs_Vy5SE9U8tp1-UR-7FoEAxcNy8MifWBH8GiFXd8"",""Form Responses 1!B:C""),2,0),"""")"),"")</f>
        <v/>
      </c>
      <c r="U43" s="60" t="str">
        <f>IFERROR(__xludf.DUMMYFUNCTION("IFERROR(VLOOKUP(TRIM(A43),IMPORTRANGE(""1aXWUim-N4mxaoEzA3XAIdaDH-QYLEvzF2WdP7MGXYAE"",""Form Responses 1!B:C""),2,0),"""")"),"")</f>
        <v/>
      </c>
      <c r="V43" s="61">
        <v>36.0</v>
      </c>
      <c r="W43" s="62" t="str">
        <f>IFERROR(__xludf.DUMMYFUNCTION("IFERROR(1/(1/MAX(
  IFERROR(VLOOKUP(TRIM(A43),IMPORTRANGE(""1ZA1PTk3mXTxdasMFIUL3_HnhZbSrjlYI0jroyR74oDM"",""Form Responses 1!B:C""),2,0),),
  IFERROR(VLOOKUP(TRIM(A43),IMPORTRANGE(""197C8yvLyfR59JPOCjQdNv3jtQAWqA9lyzhiAtksREXI"",""Form Responses 1!B:C"")"&amp;",2,0),)
)),)"),"")</f>
        <v/>
      </c>
      <c r="X43" s="62" t="str">
        <f>IFERROR(__xludf.DUMMYFUNCTION("IFERROR(VLOOKUP(TRIM(A43),IMPORTRANGE(""1S55NQGXzV1_qOWKXpsQUC871e5j71TNZ9qXJwwhlcsg"",""Form Responses 1!B:C""),2,0),"""")"),"")</f>
        <v/>
      </c>
      <c r="Y43" s="62" t="str">
        <f>IFERROR(__xludf.DUMMYFUNCTION("IFERROR(VLOOKUP(TRIM(A43),IMPORTRANGE(""1tpV5_mFhbN6YKRuO1MZvSbUMIPr8PmwiNyIZJpY0iKs"",""Form Responses 1!B:C""),2,0),"""")"),"")</f>
        <v/>
      </c>
      <c r="Z43" s="62" t="str">
        <f>IFERROR(__xludf.DUMMYFUNCTION("IFERROR(VLOOKUP(TRIM(A43),IMPORTRANGE(""1wfMRO2uDQNJ1PCwTpHdQ8iUrPUKVHyvbfqf8TasTViU"",""Form Responses 1!B:C""),2,0),"""")"),"")</f>
        <v/>
      </c>
      <c r="AA43" s="62" t="str">
        <f>IFERROR(__xludf.DUMMYFUNCTION("IFERROR(VLOOKUP(TRIM(A43),IMPORTRANGE(""1ZOlAPpjCs7qXcQpCvrHzmJ4FOraZ9bKV8IEd78oT7sE"",""Form Responses 1!B:C""),2,0),"""")"),"")</f>
        <v/>
      </c>
      <c r="AB43" s="62" t="str">
        <f>IFERROR(__xludf.DUMMYFUNCTION("IFERROR(VLOOKUP(TRIM(A43),IMPORTRANGE(""1oPrvVT6QDWEUmx87GoqLd1CXTtfLo6WfrreUocg_I08"",""Form Responses 1!B:C""),2,0),"""")"),"")</f>
        <v/>
      </c>
      <c r="AC43" s="62" t="str">
        <f>IFERROR(__xludf.DUMMYFUNCTION("IFERROR(VLOOKUP(TRIM(A43),IMPORTRANGE(""1WKNusCM8GAvNDFdV2AjY5sTwyti4BFZk9I1rFa74mxo"",""Form Responses 1!B:C""),2,0),"""")"),"")</f>
        <v/>
      </c>
      <c r="AD43" s="62" t="str">
        <f>IFERROR(__xludf.DUMMYFUNCTION("IFERROR(VLOOKUP(TRIM(A43),IMPORTRANGE(""1ezPhPfgGBlZIzMnymbnrUr2FhcM_6Sv_nk0hxcbuzTQ"",""Form Responses 1!B:C""),2,0),"""")"),"")</f>
        <v/>
      </c>
      <c r="AE43" s="62" t="str">
        <f>IFERROR(__xludf.DUMMYFUNCTION("IFERROR(VLOOKUP(TRIM(A43),IMPORTRANGE(""1nCvx2881PQ64OQinwpUfP8HphDEhFD0vPRxp_AAAdlM"",""Form Responses 1!B:C""),2,0),"""")"),"")</f>
        <v/>
      </c>
      <c r="AF43" s="62" t="str">
        <f>IFERROR(__xludf.DUMMYFUNCTION("IFERROR(VLOOKUP(TRIM(A43),IMPORTRANGE(""1cImVBctl3mh_jlEmJoy6CEEFe_DDCxRGkjB_Jp-qsU8"",""Form Responses 1!B:C""),2,0),"""")"),"")</f>
        <v/>
      </c>
      <c r="AG43" s="57"/>
      <c r="AH43" s="57"/>
      <c r="AI43" s="57"/>
      <c r="AJ43" s="57"/>
      <c r="AK43" s="57"/>
      <c r="AL43" s="57"/>
      <c r="AM43" s="57"/>
      <c r="AN43" s="57"/>
      <c r="AO43" s="57"/>
      <c r="AP43" s="57"/>
      <c r="AQ43" s="57"/>
      <c r="AR43" s="57"/>
      <c r="AS43" s="57"/>
      <c r="AT43" s="57"/>
      <c r="AU43" s="57"/>
      <c r="AV43" s="57"/>
      <c r="AW43" s="57"/>
      <c r="AX43" s="57"/>
      <c r="AY43" s="57"/>
      <c r="AZ43" s="57"/>
    </row>
    <row r="44">
      <c r="A44" s="56" t="s">
        <v>246</v>
      </c>
      <c r="B44" s="57">
        <f>IFERROR(__xludf.DUMMYFUNCTION("IFERROR(IF(COUNTIF(IMPORTRANGE(""1oiajwiBxoDIOBcD_uKarGHJIrskYi3nXyI9FyWq8IFk"",""Form Responses 1!B:B""),A44)&gt;0,10,),0)"),10.0)</f>
        <v>10</v>
      </c>
      <c r="C44" s="57" t="str">
        <f>IFERROR(__xludf.DUMMYFUNCTION("IFERROR(VLOOKUP(A44,IMPORTRANGE(""1PRkBNvF7wRBbJGtbM1I7-V_ej5mmlgF4cwmp64ilJGQ"",""Form Responses 1!B:C""),2,FALSE),)"),"")</f>
        <v/>
      </c>
      <c r="D44" s="57" t="str">
        <f>IFERROR(__xludf.DUMMYFUNCTION("IFERROR(VLOOKUP(A44,IMPORTRANGE(""1rSBnjICjC9324bzLIQpakQH2kn1-6by9fz9jLCcefTs"",""Form Responses 1!B:C""),2,FALSE),)"),"")</f>
        <v/>
      </c>
      <c r="E44" s="57" t="str">
        <f>IFERROR(__xludf.DUMMYFUNCTION("IFERROR(VLOOKUP(A44,IMPORTRANGE(""1OvNQShTkB7b8btd44zAgP-KkGS7dJ0BEd6wMgBISDs0"",""Form Responses 1!B:C""),2,FALSE),)"),"")</f>
        <v/>
      </c>
      <c r="F44" s="57" t="str">
        <f>IFERROR(__xludf.DUMMYFUNCTION("IFERROR(IF(COUNTIF(IMPORTRANGE(""13ZZ2q5-JsneAoCxE8QLqs1Ycj8WSgN9hPRza9XUMv_4"",""Form Responses 1!B:B""),A44)&gt;0,20,),)"),"")</f>
        <v/>
      </c>
      <c r="G44" s="58" t="str">
        <f>IFERROR(__xludf.DUMMYFUNCTION("IFERROR(IF(COUNTIF(IMPORTRANGE(""1ljo_MifcmFDCNF59UxR3-3g4XI2XSRJ3WpZcUkp6so8"",""Form Responses 1!B:B""),A44)&gt;0,10,),)"),"")</f>
        <v/>
      </c>
      <c r="H44" s="59" t="str">
        <f>IFERROR(__xludf.DUMMYFUNCTION("IFERROR(VLOOKUP(A44,IMPORTRANGE(""1PBvrHm3dgtcno-UApCGo6dIU4auKbeIJC2SC7k36T64"",""Form Responses 1!B:C""),2,FALSE),)"),"")</f>
        <v/>
      </c>
      <c r="I44" s="60" t="str">
        <f>IFERROR(__xludf.DUMMYFUNCTION("IFERROR(VLOOKUP(A44,IMPORTRANGE(""13P_qT6pKDynUZR0_aswSscwX8dw4UhPyIL8ohovayVc
"",""Form Responses 1!B:C""),2,FALSE),)"),"")</f>
        <v/>
      </c>
      <c r="J44" s="60" t="str">
        <f>IFERROR(__xludf.DUMMYFUNCTION("IFERROR(VLOOKUP(A44,IMPORTRANGE(""16B_HaxNdsb7BY3AQ0xKagDsjOLkfb_DjPkxPwEpn8gc
"",""Form Responses 1!B:C""),2,FALSE),)"),"")</f>
        <v/>
      </c>
      <c r="K44" s="60" t="str">
        <f>IFERROR(__xludf.DUMMYFUNCTION("IFERROR(VLOOKUP(A44,IMPORTRANGE(""1bUO_1Nv9gx3vZE_-m4w6HiuWUM1u8qsaqKByYyla14Q"",""Form Responses 1!B:C""),2,FALSE),)"),"")</f>
        <v/>
      </c>
      <c r="L44" s="59" t="str">
        <f>IFERROR(__xludf.DUMMYFUNCTION("IFERROR(IF(COUNTIF(IMPORTRANGE(""1SG2BnFOinBZsm3_Rx1BzD670E652svXjlzWieKobj9o"",""Form Responses 1!B:B""),A44)&gt;0,10,),0)"),"")</f>
        <v/>
      </c>
      <c r="M44" s="60" t="str">
        <f>IFERROR(__xludf.DUMMYFUNCTION("IFERROR(VLOOKUP(A44,IMPORTRANGE(""1Zpz_ArqUHJZzCwyJqFKkEASeqFw0lZ4HLK4wQdLXj3w
"",""Form Responses 1!B:C""),2,FALSE),)"),"")</f>
        <v/>
      </c>
      <c r="N44" s="60" t="str">
        <f>IFERROR(__xludf.DUMMYFUNCTION("IFERROR(VLOOKUP(A44,IMPORTRANGE(""1c318JgcKMkTMtHFS6SjH7x3TAnZwddcZMI9Jx-B9VOM
"",""Form Responses 1!B:C""),2,FALSE),)"),"")</f>
        <v/>
      </c>
      <c r="O44" s="60" t="str">
        <f>IFERROR(__xludf.DUMMYFUNCTION("IFERROR(VLOOKUP(A44,IMPORTRANGE(""1kp8AvADOUteLDy1-i5F9JvR64ee_UwN5UoIn-tH5zPQ
"",""Form Responses 1!B:C""),2,FALSE),)"),"")</f>
        <v/>
      </c>
      <c r="P44" s="60" t="str">
        <f>IFERROR(__xludf.DUMMYFUNCTION("IFERROR(VLOOKUP(A44,IMPORTRANGE(""1PSjtsRk3dryPdI2Zls_iIpRgVVwBTGQ0ryRujA_ayZ0"",""Form Responses 1!B:C""),2,FALSE),)"),"")</f>
        <v/>
      </c>
      <c r="Q44" s="59" t="str">
        <f>IFERROR(__xludf.DUMMYFUNCTION("IFERROR(VLOOKUP(TRIM(A44),IMPORTRANGE(""1ciMZmE3_Ia8QatZf9u-RYqeCzLjcP66olwhReBx-Pwc"",""Form Responses 1!B:C""),2,0),"""")"),"")</f>
        <v/>
      </c>
      <c r="R44" s="60" t="str">
        <f>IFERROR(__xludf.DUMMYFUNCTION("IFERROR(VLOOKUP(TRIM(A44),IMPORTRANGE(""1dEvtr9f2UAemMjkvEwBFPyuEw3YQPqez4Kgo-0l7vS4"",""Form Responses 1!B:C""),2,0),"""")"),"")</f>
        <v/>
      </c>
      <c r="S44" s="60" t="str">
        <f>IFERROR(__xludf.DUMMYFUNCTION("IFERROR(VLOOKUP(TRIM(A44),IMPORTRANGE(""1B6nP1Ts7cF60F-9DocMTsAaVFKfuimLnUoxweBavHeU"",""Form Responses 1!B:C""),2,0),"""")"),"")</f>
        <v/>
      </c>
      <c r="T44" s="60" t="str">
        <f>IFERROR(__xludf.DUMMYFUNCTION("IFERROR(VLOOKUP(TRIM(A44),IMPORTRANGE(""1Urfs_Vy5SE9U8tp1-UR-7FoEAxcNy8MifWBH8GiFXd8"",""Form Responses 1!B:C""),2,0),"""")"),"")</f>
        <v/>
      </c>
      <c r="U44" s="60" t="str">
        <f>IFERROR(__xludf.DUMMYFUNCTION("IFERROR(VLOOKUP(TRIM(A44),IMPORTRANGE(""1aXWUim-N4mxaoEzA3XAIdaDH-QYLEvzF2WdP7MGXYAE"",""Form Responses 1!B:C""),2,0),"""")"),"")</f>
        <v/>
      </c>
      <c r="V44" s="61">
        <v>28.0</v>
      </c>
      <c r="W44" s="62" t="str">
        <f>IFERROR(__xludf.DUMMYFUNCTION("IFERROR(1/(1/MAX(
  IFERROR(VLOOKUP(TRIM(A44),IMPORTRANGE(""1ZA1PTk3mXTxdasMFIUL3_HnhZbSrjlYI0jroyR74oDM"",""Form Responses 1!B:C""),2,0),),
  IFERROR(VLOOKUP(TRIM(A44),IMPORTRANGE(""197C8yvLyfR59JPOCjQdNv3jtQAWqA9lyzhiAtksREXI"",""Form Responses 1!B:C"")"&amp;",2,0),)
)),)"),"")</f>
        <v/>
      </c>
      <c r="X44" s="62" t="str">
        <f>IFERROR(__xludf.DUMMYFUNCTION("IFERROR(VLOOKUP(TRIM(A44),IMPORTRANGE(""1S55NQGXzV1_qOWKXpsQUC871e5j71TNZ9qXJwwhlcsg"",""Form Responses 1!B:C""),2,0),"""")"),"")</f>
        <v/>
      </c>
      <c r="Y44" s="62" t="str">
        <f>IFERROR(__xludf.DUMMYFUNCTION("IFERROR(VLOOKUP(TRIM(A44),IMPORTRANGE(""1tpV5_mFhbN6YKRuO1MZvSbUMIPr8PmwiNyIZJpY0iKs"",""Form Responses 1!B:C""),2,0),"""")"),"")</f>
        <v/>
      </c>
      <c r="Z44" s="62" t="str">
        <f>IFERROR(__xludf.DUMMYFUNCTION("IFERROR(VLOOKUP(TRIM(A44),IMPORTRANGE(""1wfMRO2uDQNJ1PCwTpHdQ8iUrPUKVHyvbfqf8TasTViU"",""Form Responses 1!B:C""),2,0),"""")"),"")</f>
        <v/>
      </c>
      <c r="AA44" s="62" t="str">
        <f>IFERROR(__xludf.DUMMYFUNCTION("IFERROR(VLOOKUP(TRIM(A44),IMPORTRANGE(""1ZOlAPpjCs7qXcQpCvrHzmJ4FOraZ9bKV8IEd78oT7sE"",""Form Responses 1!B:C""),2,0),"""")"),"")</f>
        <v/>
      </c>
      <c r="AB44" s="62" t="str">
        <f>IFERROR(__xludf.DUMMYFUNCTION("IFERROR(VLOOKUP(TRIM(A44),IMPORTRANGE(""1oPrvVT6QDWEUmx87GoqLd1CXTtfLo6WfrreUocg_I08"",""Form Responses 1!B:C""),2,0),"""")"),"")</f>
        <v/>
      </c>
      <c r="AC44" s="62" t="str">
        <f>IFERROR(__xludf.DUMMYFUNCTION("IFERROR(VLOOKUP(TRIM(A44),IMPORTRANGE(""1WKNusCM8GAvNDFdV2AjY5sTwyti4BFZk9I1rFa74mxo"",""Form Responses 1!B:C""),2,0),"""")"),"")</f>
        <v/>
      </c>
      <c r="AD44" s="62" t="str">
        <f>IFERROR(__xludf.DUMMYFUNCTION("IFERROR(VLOOKUP(TRIM(A44),IMPORTRANGE(""1ezPhPfgGBlZIzMnymbnrUr2FhcM_6Sv_nk0hxcbuzTQ"",""Form Responses 1!B:C""),2,0),"""")"),"")</f>
        <v/>
      </c>
      <c r="AE44" s="62" t="str">
        <f>IFERROR(__xludf.DUMMYFUNCTION("IFERROR(VLOOKUP(TRIM(A44),IMPORTRANGE(""1nCvx2881PQ64OQinwpUfP8HphDEhFD0vPRxp_AAAdlM"",""Form Responses 1!B:C""),2,0),"""")"),"")</f>
        <v/>
      </c>
      <c r="AF44" s="62" t="str">
        <f>IFERROR(__xludf.DUMMYFUNCTION("IFERROR(VLOOKUP(TRIM(A44),IMPORTRANGE(""1cImVBctl3mh_jlEmJoy6CEEFe_DDCxRGkjB_Jp-qsU8"",""Form Responses 1!B:C""),2,0),"""")"),"")</f>
        <v/>
      </c>
      <c r="AG44" s="57"/>
      <c r="AH44" s="57"/>
      <c r="AI44" s="57"/>
      <c r="AJ44" s="57"/>
      <c r="AK44" s="57"/>
      <c r="AL44" s="57"/>
      <c r="AM44" s="57"/>
      <c r="AN44" s="57"/>
      <c r="AO44" s="57"/>
      <c r="AP44" s="57"/>
      <c r="AQ44" s="57"/>
      <c r="AR44" s="57"/>
      <c r="AS44" s="57"/>
      <c r="AT44" s="57"/>
      <c r="AU44" s="57"/>
      <c r="AV44" s="57"/>
      <c r="AW44" s="57"/>
      <c r="AX44" s="57"/>
      <c r="AY44" s="57"/>
      <c r="AZ44" s="57"/>
    </row>
    <row r="45">
      <c r="A45" s="56" t="s">
        <v>247</v>
      </c>
      <c r="B45" s="57">
        <f>IFERROR(__xludf.DUMMYFUNCTION("IFERROR(IF(COUNTIF(IMPORTRANGE(""1oiajwiBxoDIOBcD_uKarGHJIrskYi3nXyI9FyWq8IFk"",""Form Responses 1!B:B""),A45)&gt;0,10,),0)"),10.0)</f>
        <v>10</v>
      </c>
      <c r="C45" s="57" t="str">
        <f>IFERROR(__xludf.DUMMYFUNCTION("IFERROR(VLOOKUP(A45,IMPORTRANGE(""1PRkBNvF7wRBbJGtbM1I7-V_ej5mmlgF4cwmp64ilJGQ"",""Form Responses 1!B:C""),2,FALSE),)"),"")</f>
        <v/>
      </c>
      <c r="D45" s="57" t="str">
        <f>IFERROR(__xludf.DUMMYFUNCTION("IFERROR(VLOOKUP(A45,IMPORTRANGE(""1rSBnjICjC9324bzLIQpakQH2kn1-6by9fz9jLCcefTs"",""Form Responses 1!B:C""),2,FALSE),)"),"")</f>
        <v/>
      </c>
      <c r="E45" s="57" t="str">
        <f>IFERROR(__xludf.DUMMYFUNCTION("IFERROR(VLOOKUP(A45,IMPORTRANGE(""1OvNQShTkB7b8btd44zAgP-KkGS7dJ0BEd6wMgBISDs0"",""Form Responses 1!B:C""),2,FALSE),)"),"")</f>
        <v/>
      </c>
      <c r="F45" s="57" t="str">
        <f>IFERROR(__xludf.DUMMYFUNCTION("IFERROR(IF(COUNTIF(IMPORTRANGE(""13ZZ2q5-JsneAoCxE8QLqs1Ycj8WSgN9hPRza9XUMv_4"",""Form Responses 1!B:B""),A45)&gt;0,20,),)"),"")</f>
        <v/>
      </c>
      <c r="G45" s="58" t="str">
        <f>IFERROR(__xludf.DUMMYFUNCTION("IFERROR(IF(COUNTIF(IMPORTRANGE(""1ljo_MifcmFDCNF59UxR3-3g4XI2XSRJ3WpZcUkp6so8"",""Form Responses 1!B:B""),A45)&gt;0,10,),)"),"")</f>
        <v/>
      </c>
      <c r="H45" s="59">
        <f>IFERROR(__xludf.DUMMYFUNCTION("IFERROR(VLOOKUP(A45,IMPORTRANGE(""1PBvrHm3dgtcno-UApCGo6dIU4auKbeIJC2SC7k36T64"",""Form Responses 1!B:C""),2,FALSE),)"),14.0)</f>
        <v>14</v>
      </c>
      <c r="I45" s="60">
        <f>IFERROR(__xludf.DUMMYFUNCTION("IFERROR(VLOOKUP(A45,IMPORTRANGE(""13P_qT6pKDynUZR0_aswSscwX8dw4UhPyIL8ohovayVc
"",""Form Responses 1!B:C""),2,FALSE),)"),17.0)</f>
        <v>17</v>
      </c>
      <c r="J45" s="60" t="str">
        <f>IFERROR(__xludf.DUMMYFUNCTION("IFERROR(VLOOKUP(A45,IMPORTRANGE(""16B_HaxNdsb7BY3AQ0xKagDsjOLkfb_DjPkxPwEpn8gc
"",""Form Responses 1!B:C""),2,FALSE),)"),"")</f>
        <v/>
      </c>
      <c r="K45" s="60" t="str">
        <f>IFERROR(__xludf.DUMMYFUNCTION("IFERROR(VLOOKUP(A45,IMPORTRANGE(""1bUO_1Nv9gx3vZE_-m4w6HiuWUM1u8qsaqKByYyla14Q"",""Form Responses 1!B:C""),2,FALSE),)"),"")</f>
        <v/>
      </c>
      <c r="L45" s="59">
        <f>IFERROR(__xludf.DUMMYFUNCTION("IFERROR(IF(COUNTIF(IMPORTRANGE(""1SG2BnFOinBZsm3_Rx1BzD670E652svXjlzWieKobj9o"",""Form Responses 1!B:B""),A45)&gt;0,10,),0)"),10.0)</f>
        <v>10</v>
      </c>
      <c r="M45" s="60">
        <f>IFERROR(__xludf.DUMMYFUNCTION("IFERROR(VLOOKUP(A45,IMPORTRANGE(""1Zpz_ArqUHJZzCwyJqFKkEASeqFw0lZ4HLK4wQdLXj3w
"",""Form Responses 1!B:C""),2,FALSE),)"),13.0)</f>
        <v>13</v>
      </c>
      <c r="N45" s="60">
        <f>IFERROR(__xludf.DUMMYFUNCTION("IFERROR(VLOOKUP(A45,IMPORTRANGE(""1c318JgcKMkTMtHFS6SjH7x3TAnZwddcZMI9Jx-B9VOM
"",""Form Responses 1!B:C""),2,FALSE),)"),12.0)</f>
        <v>12</v>
      </c>
      <c r="O45" s="60">
        <f>IFERROR(__xludf.DUMMYFUNCTION("IFERROR(VLOOKUP(A45,IMPORTRANGE(""1kp8AvADOUteLDy1-i5F9JvR64ee_UwN5UoIn-tH5zPQ
"",""Form Responses 1!B:C""),2,FALSE),)"),11.0)</f>
        <v>11</v>
      </c>
      <c r="P45" s="60" t="str">
        <f>IFERROR(__xludf.DUMMYFUNCTION("IFERROR(VLOOKUP(A45,IMPORTRANGE(""1PSjtsRk3dryPdI2Zls_iIpRgVVwBTGQ0ryRujA_ayZ0"",""Form Responses 1!B:C""),2,FALSE),)"),"")</f>
        <v/>
      </c>
      <c r="Q45" s="59">
        <f>IFERROR(__xludf.DUMMYFUNCTION("IFERROR(VLOOKUP(TRIM(A45),IMPORTRANGE(""1ciMZmE3_Ia8QatZf9u-RYqeCzLjcP66olwhReBx-Pwc"",""Form Responses 1!B:C""),2,0),"""")"),9.0)</f>
        <v>9</v>
      </c>
      <c r="R45" s="60">
        <f>IFERROR(__xludf.DUMMYFUNCTION("IFERROR(VLOOKUP(TRIM(A45),IMPORTRANGE(""1dEvtr9f2UAemMjkvEwBFPyuEw3YQPqez4Kgo-0l7vS4"",""Form Responses 1!B:C""),2,0),"""")"),13.0)</f>
        <v>13</v>
      </c>
      <c r="S45" s="60">
        <f>IFERROR(__xludf.DUMMYFUNCTION("IFERROR(VLOOKUP(TRIM(A45),IMPORTRANGE(""1B6nP1Ts7cF60F-9DocMTsAaVFKfuimLnUoxweBavHeU"",""Form Responses 1!B:C""),2,0),"""")"),4.0)</f>
        <v>4</v>
      </c>
      <c r="T45" s="60">
        <f>IFERROR(__xludf.DUMMYFUNCTION("IFERROR(VLOOKUP(TRIM(A45),IMPORTRANGE(""1Urfs_Vy5SE9U8tp1-UR-7FoEAxcNy8MifWBH8GiFXd8"",""Form Responses 1!B:C""),2,0),"""")"),2.0)</f>
        <v>2</v>
      </c>
      <c r="U45" s="60">
        <f>IFERROR(__xludf.DUMMYFUNCTION("IFERROR(VLOOKUP(TRIM(A45),IMPORTRANGE(""1aXWUim-N4mxaoEzA3XAIdaDH-QYLEvzF2WdP7MGXYAE"",""Form Responses 1!B:C""),2,0),"""")"),2.0)</f>
        <v>2</v>
      </c>
      <c r="V45" s="61">
        <v>60.0</v>
      </c>
      <c r="W45" s="62" t="str">
        <f>IFERROR(__xludf.DUMMYFUNCTION("IFERROR(1/(1/MAX(
  IFERROR(VLOOKUP(TRIM(A45),IMPORTRANGE(""1ZA1PTk3mXTxdasMFIUL3_HnhZbSrjlYI0jroyR74oDM"",""Form Responses 1!B:C""),2,0),),
  IFERROR(VLOOKUP(TRIM(A45),IMPORTRANGE(""197C8yvLyfR59JPOCjQdNv3jtQAWqA9lyzhiAtksREXI"",""Form Responses 1!B:C"")"&amp;",2,0),)
)),)"),"")</f>
        <v/>
      </c>
      <c r="X45" s="62" t="str">
        <f>IFERROR(__xludf.DUMMYFUNCTION("IFERROR(VLOOKUP(TRIM(A45),IMPORTRANGE(""1S55NQGXzV1_qOWKXpsQUC871e5j71TNZ9qXJwwhlcsg"",""Form Responses 1!B:C""),2,0),"""")"),"")</f>
        <v/>
      </c>
      <c r="Y45" s="62" t="str">
        <f>IFERROR(__xludf.DUMMYFUNCTION("IFERROR(VLOOKUP(TRIM(A45),IMPORTRANGE(""1tpV5_mFhbN6YKRuO1MZvSbUMIPr8PmwiNyIZJpY0iKs"",""Form Responses 1!B:C""),2,0),"""")"),"")</f>
        <v/>
      </c>
      <c r="Z45" s="62" t="str">
        <f>IFERROR(__xludf.DUMMYFUNCTION("IFERROR(VLOOKUP(TRIM(A45),IMPORTRANGE(""1wfMRO2uDQNJ1PCwTpHdQ8iUrPUKVHyvbfqf8TasTViU"",""Form Responses 1!B:C""),2,0),"""")"),"")</f>
        <v/>
      </c>
      <c r="AA45" s="62" t="str">
        <f>IFERROR(__xludf.DUMMYFUNCTION("IFERROR(VLOOKUP(TRIM(A45),IMPORTRANGE(""1ZOlAPpjCs7qXcQpCvrHzmJ4FOraZ9bKV8IEd78oT7sE"",""Form Responses 1!B:C""),2,0),"""")"),"")</f>
        <v/>
      </c>
      <c r="AB45" s="62" t="str">
        <f>IFERROR(__xludf.DUMMYFUNCTION("IFERROR(VLOOKUP(TRIM(A45),IMPORTRANGE(""1oPrvVT6QDWEUmx87GoqLd1CXTtfLo6WfrreUocg_I08"",""Form Responses 1!B:C""),2,0),"""")"),"")</f>
        <v/>
      </c>
      <c r="AC45" s="62" t="str">
        <f>IFERROR(__xludf.DUMMYFUNCTION("IFERROR(VLOOKUP(TRIM(A45),IMPORTRANGE(""1WKNusCM8GAvNDFdV2AjY5sTwyti4BFZk9I1rFa74mxo"",""Form Responses 1!B:C""),2,0),"""")"),"")</f>
        <v/>
      </c>
      <c r="AD45" s="62" t="str">
        <f>IFERROR(__xludf.DUMMYFUNCTION("IFERROR(VLOOKUP(TRIM(A45),IMPORTRANGE(""1ezPhPfgGBlZIzMnymbnrUr2FhcM_6Sv_nk0hxcbuzTQ"",""Form Responses 1!B:C""),2,0),"""")"),"")</f>
        <v/>
      </c>
      <c r="AE45" s="62" t="str">
        <f>IFERROR(__xludf.DUMMYFUNCTION("IFERROR(VLOOKUP(TRIM(A45),IMPORTRANGE(""1nCvx2881PQ64OQinwpUfP8HphDEhFD0vPRxp_AAAdlM"",""Form Responses 1!B:C""),2,0),"""")"),"")</f>
        <v/>
      </c>
      <c r="AF45" s="62" t="str">
        <f>IFERROR(__xludf.DUMMYFUNCTION("IFERROR(VLOOKUP(TRIM(A45),IMPORTRANGE(""1cImVBctl3mh_jlEmJoy6CEEFe_DDCxRGkjB_Jp-qsU8"",""Form Responses 1!B:C""),2,0),"""")"),"")</f>
        <v/>
      </c>
      <c r="AG45" s="57"/>
      <c r="AH45" s="57"/>
      <c r="AI45" s="57"/>
      <c r="AJ45" s="57"/>
      <c r="AK45" s="57"/>
      <c r="AL45" s="57"/>
      <c r="AM45" s="57"/>
      <c r="AN45" s="57"/>
      <c r="AO45" s="57"/>
      <c r="AP45" s="57"/>
      <c r="AQ45" s="57"/>
      <c r="AR45" s="57"/>
      <c r="AS45" s="57"/>
      <c r="AT45" s="57"/>
      <c r="AU45" s="57"/>
      <c r="AV45" s="57"/>
      <c r="AW45" s="57"/>
      <c r="AX45" s="57"/>
      <c r="AY45" s="57"/>
      <c r="AZ45" s="57"/>
    </row>
    <row r="46">
      <c r="A46" s="56" t="s">
        <v>248</v>
      </c>
      <c r="B46" s="57">
        <f>IFERROR(__xludf.DUMMYFUNCTION("IFERROR(IF(COUNTIF(IMPORTRANGE(""1oiajwiBxoDIOBcD_uKarGHJIrskYi3nXyI9FyWq8IFk"",""Form Responses 1!B:B""),A46)&gt;0,10,),0)"),10.0)</f>
        <v>10</v>
      </c>
      <c r="C46" s="57">
        <f>IFERROR(__xludf.DUMMYFUNCTION("IFERROR(VLOOKUP(A46,IMPORTRANGE(""1PRkBNvF7wRBbJGtbM1I7-V_ej5mmlgF4cwmp64ilJGQ"",""Form Responses 1!B:C""),2,FALSE),)"),0.0)</f>
        <v>0</v>
      </c>
      <c r="D46" s="57">
        <f>IFERROR(__xludf.DUMMYFUNCTION("IFERROR(VLOOKUP(A46,IMPORTRANGE(""1rSBnjICjC9324bzLIQpakQH2kn1-6by9fz9jLCcefTs"",""Form Responses 1!B:C""),2,FALSE),)"),30.0)</f>
        <v>30</v>
      </c>
      <c r="E46" s="57" t="str">
        <f>IFERROR(__xludf.DUMMYFUNCTION("IFERROR(VLOOKUP(A46,IMPORTRANGE(""1OvNQShTkB7b8btd44zAgP-KkGS7dJ0BEd6wMgBISDs0"",""Form Responses 1!B:C""),2,FALSE),)"),"")</f>
        <v/>
      </c>
      <c r="F46" s="57" t="str">
        <f>IFERROR(__xludf.DUMMYFUNCTION("IFERROR(IF(COUNTIF(IMPORTRANGE(""13ZZ2q5-JsneAoCxE8QLqs1Ycj8WSgN9hPRza9XUMv_4"",""Form Responses 1!B:B""),A46)&gt;0,20,),)"),"")</f>
        <v/>
      </c>
      <c r="G46" s="58" t="str">
        <f>IFERROR(__xludf.DUMMYFUNCTION("IFERROR(IF(COUNTIF(IMPORTRANGE(""1ljo_MifcmFDCNF59UxR3-3g4XI2XSRJ3WpZcUkp6so8"",""Form Responses 1!B:B""),A46)&gt;0,10,),)"),"")</f>
        <v/>
      </c>
      <c r="H46" s="59" t="str">
        <f>IFERROR(__xludf.DUMMYFUNCTION("IFERROR(VLOOKUP(A46,IMPORTRANGE(""1PBvrHm3dgtcno-UApCGo6dIU4auKbeIJC2SC7k36T64"",""Form Responses 1!B:C""),2,FALSE),)"),"")</f>
        <v/>
      </c>
      <c r="I46" s="60" t="str">
        <f>IFERROR(__xludf.DUMMYFUNCTION("IFERROR(VLOOKUP(A46,IMPORTRANGE(""13P_qT6pKDynUZR0_aswSscwX8dw4UhPyIL8ohovayVc
"",""Form Responses 1!B:C""),2,FALSE),)"),"")</f>
        <v/>
      </c>
      <c r="J46" s="60" t="str">
        <f>IFERROR(__xludf.DUMMYFUNCTION("IFERROR(VLOOKUP(A46,IMPORTRANGE(""16B_HaxNdsb7BY3AQ0xKagDsjOLkfb_DjPkxPwEpn8gc
"",""Form Responses 1!B:C""),2,FALSE),)"),"")</f>
        <v/>
      </c>
      <c r="K46" s="60" t="str">
        <f>IFERROR(__xludf.DUMMYFUNCTION("IFERROR(VLOOKUP(A46,IMPORTRANGE(""1bUO_1Nv9gx3vZE_-m4w6HiuWUM1u8qsaqKByYyla14Q"",""Form Responses 1!B:C""),2,FALSE),)"),"")</f>
        <v/>
      </c>
      <c r="L46" s="59" t="str">
        <f>IFERROR(__xludf.DUMMYFUNCTION("IFERROR(IF(COUNTIF(IMPORTRANGE(""1SG2BnFOinBZsm3_Rx1BzD670E652svXjlzWieKobj9o"",""Form Responses 1!B:B""),A46)&gt;0,10,),0)"),"")</f>
        <v/>
      </c>
      <c r="M46" s="60" t="str">
        <f>IFERROR(__xludf.DUMMYFUNCTION("IFERROR(VLOOKUP(A46,IMPORTRANGE(""1Zpz_ArqUHJZzCwyJqFKkEASeqFw0lZ4HLK4wQdLXj3w
"",""Form Responses 1!B:C""),2,FALSE),)"),"")</f>
        <v/>
      </c>
      <c r="N46" s="60" t="str">
        <f>IFERROR(__xludf.DUMMYFUNCTION("IFERROR(VLOOKUP(A46,IMPORTRANGE(""1c318JgcKMkTMtHFS6SjH7x3TAnZwddcZMI9Jx-B9VOM
"",""Form Responses 1!B:C""),2,FALSE),)"),"")</f>
        <v/>
      </c>
      <c r="O46" s="60" t="str">
        <f>IFERROR(__xludf.DUMMYFUNCTION("IFERROR(VLOOKUP(A46,IMPORTRANGE(""1kp8AvADOUteLDy1-i5F9JvR64ee_UwN5UoIn-tH5zPQ
"",""Form Responses 1!B:C""),2,FALSE),)"),"")</f>
        <v/>
      </c>
      <c r="P46" s="60" t="str">
        <f>IFERROR(__xludf.DUMMYFUNCTION("IFERROR(VLOOKUP(A46,IMPORTRANGE(""1PSjtsRk3dryPdI2Zls_iIpRgVVwBTGQ0ryRujA_ayZ0"",""Form Responses 1!B:C""),2,FALSE),)"),"")</f>
        <v/>
      </c>
      <c r="Q46" s="59">
        <f>IFERROR(__xludf.DUMMYFUNCTION("IFERROR(VLOOKUP(TRIM(A46),IMPORTRANGE(""1ciMZmE3_Ia8QatZf9u-RYqeCzLjcP66olwhReBx-Pwc"",""Form Responses 1!B:C""),2,0),"""")"),11.0)</f>
        <v>11</v>
      </c>
      <c r="R46" s="60" t="str">
        <f>IFERROR(__xludf.DUMMYFUNCTION("IFERROR(VLOOKUP(TRIM(A46),IMPORTRANGE(""1dEvtr9f2UAemMjkvEwBFPyuEw3YQPqez4Kgo-0l7vS4"",""Form Responses 1!B:C""),2,0),"""")"),"")</f>
        <v/>
      </c>
      <c r="S46" s="60" t="str">
        <f>IFERROR(__xludf.DUMMYFUNCTION("IFERROR(VLOOKUP(TRIM(A46),IMPORTRANGE(""1B6nP1Ts7cF60F-9DocMTsAaVFKfuimLnUoxweBavHeU"",""Form Responses 1!B:C""),2,0),"""")"),"")</f>
        <v/>
      </c>
      <c r="T46" s="60" t="str">
        <f>IFERROR(__xludf.DUMMYFUNCTION("IFERROR(VLOOKUP(TRIM(A46),IMPORTRANGE(""1Urfs_Vy5SE9U8tp1-UR-7FoEAxcNy8MifWBH8GiFXd8"",""Form Responses 1!B:C""),2,0),"""")"),"")</f>
        <v/>
      </c>
      <c r="U46" s="60" t="str">
        <f>IFERROR(__xludf.DUMMYFUNCTION("IFERROR(VLOOKUP(TRIM(A46),IMPORTRANGE(""1aXWUim-N4mxaoEzA3XAIdaDH-QYLEvzF2WdP7MGXYAE"",""Form Responses 1!B:C""),2,0),"""")"),"")</f>
        <v/>
      </c>
      <c r="V46" s="61">
        <v>5.0</v>
      </c>
      <c r="W46" s="62">
        <f>IFERROR(__xludf.DUMMYFUNCTION("IFERROR(1/(1/MAX(
  IFERROR(VLOOKUP(TRIM(A46),IMPORTRANGE(""1ZA1PTk3mXTxdasMFIUL3_HnhZbSrjlYI0jroyR74oDM"",""Form Responses 1!B:C""),2,0),),
  IFERROR(VLOOKUP(TRIM(A46),IMPORTRANGE(""197C8yvLyfR59JPOCjQdNv3jtQAWqA9lyzhiAtksREXI"",""Form Responses 1!B:C"")"&amp;",2,0),)
)),)"),3.0)</f>
        <v>3</v>
      </c>
      <c r="X46" s="62" t="str">
        <f>IFERROR(__xludf.DUMMYFUNCTION("IFERROR(VLOOKUP(TRIM(A46),IMPORTRANGE(""1S55NQGXzV1_qOWKXpsQUC871e5j71TNZ9qXJwwhlcsg"",""Form Responses 1!B:C""),2,0),"""")"),"")</f>
        <v/>
      </c>
      <c r="Y46" s="62">
        <f>IFERROR(__xludf.DUMMYFUNCTION("IFERROR(VLOOKUP(TRIM(A46),IMPORTRANGE(""1tpV5_mFhbN6YKRuO1MZvSbUMIPr8PmwiNyIZJpY0iKs"",""Form Responses 1!B:C""),2,0),"""")"),12.0)</f>
        <v>12</v>
      </c>
      <c r="Z46" s="62">
        <f>IFERROR(__xludf.DUMMYFUNCTION("IFERROR(VLOOKUP(TRIM(A46),IMPORTRANGE(""1wfMRO2uDQNJ1PCwTpHdQ8iUrPUKVHyvbfqf8TasTViU"",""Form Responses 1!B:C""),2,0),"""")"),0.0)</f>
        <v>0</v>
      </c>
      <c r="AA46" s="62">
        <f>IFERROR(__xludf.DUMMYFUNCTION("IFERROR(VLOOKUP(TRIM(A46),IMPORTRANGE(""1ZOlAPpjCs7qXcQpCvrHzmJ4FOraZ9bKV8IEd78oT7sE"",""Form Responses 1!B:C""),2,0),"""")"),8.0)</f>
        <v>8</v>
      </c>
      <c r="AB46" s="62">
        <f>IFERROR(__xludf.DUMMYFUNCTION("IFERROR(VLOOKUP(TRIM(A46),IMPORTRANGE(""1oPrvVT6QDWEUmx87GoqLd1CXTtfLo6WfrreUocg_I08"",""Form Responses 1!B:C""),2,0),"""")"),0.0)</f>
        <v>0</v>
      </c>
      <c r="AC46" s="62" t="str">
        <f>IFERROR(__xludf.DUMMYFUNCTION("IFERROR(VLOOKUP(TRIM(A46),IMPORTRANGE(""1WKNusCM8GAvNDFdV2AjY5sTwyti4BFZk9I1rFa74mxo"",""Form Responses 1!B:C""),2,0),"""")"),"")</f>
        <v/>
      </c>
      <c r="AD46" s="62" t="str">
        <f>IFERROR(__xludf.DUMMYFUNCTION("IFERROR(VLOOKUP(TRIM(A46),IMPORTRANGE(""1ezPhPfgGBlZIzMnymbnrUr2FhcM_6Sv_nk0hxcbuzTQ"",""Form Responses 1!B:C""),2,0),"""")"),"")</f>
        <v/>
      </c>
      <c r="AE46" s="62" t="str">
        <f>IFERROR(__xludf.DUMMYFUNCTION("IFERROR(VLOOKUP(TRIM(A46),IMPORTRANGE(""1nCvx2881PQ64OQinwpUfP8HphDEhFD0vPRxp_AAAdlM"",""Form Responses 1!B:C""),2,0),"""")"),"")</f>
        <v/>
      </c>
      <c r="AF46" s="62" t="str">
        <f>IFERROR(__xludf.DUMMYFUNCTION("IFERROR(VLOOKUP(TRIM(A46),IMPORTRANGE(""1cImVBctl3mh_jlEmJoy6CEEFe_DDCxRGkjB_Jp-qsU8"",""Form Responses 1!B:C""),2,0),"""")"),"")</f>
        <v/>
      </c>
      <c r="AG46" s="57"/>
      <c r="AH46" s="57"/>
      <c r="AI46" s="57"/>
      <c r="AJ46" s="57"/>
      <c r="AK46" s="57"/>
      <c r="AL46" s="57"/>
      <c r="AM46" s="57"/>
      <c r="AN46" s="57"/>
      <c r="AO46" s="57"/>
      <c r="AP46" s="57"/>
      <c r="AQ46" s="57"/>
      <c r="AR46" s="57"/>
      <c r="AS46" s="57"/>
      <c r="AT46" s="57"/>
      <c r="AU46" s="57"/>
      <c r="AV46" s="57"/>
      <c r="AW46" s="57"/>
      <c r="AX46" s="57"/>
      <c r="AY46" s="57"/>
      <c r="AZ46" s="57"/>
    </row>
    <row r="47">
      <c r="A47" s="56" t="s">
        <v>249</v>
      </c>
      <c r="B47" s="57">
        <f>IFERROR(__xludf.DUMMYFUNCTION("IFERROR(IF(COUNTIF(IMPORTRANGE(""1oiajwiBxoDIOBcD_uKarGHJIrskYi3nXyI9FyWq8IFk"",""Form Responses 1!B:B""),A47)&gt;0,10,),0)"),10.0)</f>
        <v>10</v>
      </c>
      <c r="C47" s="57">
        <f>IFERROR(__xludf.DUMMYFUNCTION("IFERROR(VLOOKUP(A47,IMPORTRANGE(""1PRkBNvF7wRBbJGtbM1I7-V_ej5mmlgF4cwmp64ilJGQ"",""Form Responses 1!B:C""),2,FALSE),)"),0.0)</f>
        <v>0</v>
      </c>
      <c r="D47" s="57">
        <f>IFERROR(__xludf.DUMMYFUNCTION("IFERROR(VLOOKUP(A47,IMPORTRANGE(""1rSBnjICjC9324bzLIQpakQH2kn1-6by9fz9jLCcefTs"",""Form Responses 1!B:C""),2,FALSE),)"),30.0)</f>
        <v>30</v>
      </c>
      <c r="E47" s="57" t="str">
        <f>IFERROR(__xludf.DUMMYFUNCTION("IFERROR(VLOOKUP(A47,IMPORTRANGE(""1OvNQShTkB7b8btd44zAgP-KkGS7dJ0BEd6wMgBISDs0"",""Form Responses 1!B:C""),2,FALSE),)"),"")</f>
        <v/>
      </c>
      <c r="F47" s="57" t="str">
        <f>IFERROR(__xludf.DUMMYFUNCTION("IFERROR(IF(COUNTIF(IMPORTRANGE(""13ZZ2q5-JsneAoCxE8QLqs1Ycj8WSgN9hPRza9XUMv_4"",""Form Responses 1!B:B""),A47)&gt;0,20,),)"),"")</f>
        <v/>
      </c>
      <c r="G47" s="58" t="str">
        <f>IFERROR(__xludf.DUMMYFUNCTION("IFERROR(IF(COUNTIF(IMPORTRANGE(""1ljo_MifcmFDCNF59UxR3-3g4XI2XSRJ3WpZcUkp6so8"",""Form Responses 1!B:B""),A47)&gt;0,10,),)"),"")</f>
        <v/>
      </c>
      <c r="H47" s="59" t="str">
        <f>IFERROR(__xludf.DUMMYFUNCTION("IFERROR(VLOOKUP(A47,IMPORTRANGE(""1PBvrHm3dgtcno-UApCGo6dIU4auKbeIJC2SC7k36T64"",""Form Responses 1!B:C""),2,FALSE),)"),"")</f>
        <v/>
      </c>
      <c r="I47" s="60" t="str">
        <f>IFERROR(__xludf.DUMMYFUNCTION("IFERROR(VLOOKUP(A47,IMPORTRANGE(""13P_qT6pKDynUZR0_aswSscwX8dw4UhPyIL8ohovayVc
"",""Form Responses 1!B:C""),2,FALSE),)"),"")</f>
        <v/>
      </c>
      <c r="J47" s="60" t="str">
        <f>IFERROR(__xludf.DUMMYFUNCTION("IFERROR(VLOOKUP(A47,IMPORTRANGE(""16B_HaxNdsb7BY3AQ0xKagDsjOLkfb_DjPkxPwEpn8gc
"",""Form Responses 1!B:C""),2,FALSE),)"),"")</f>
        <v/>
      </c>
      <c r="K47" s="60">
        <f>IFERROR(__xludf.DUMMYFUNCTION("IFERROR(VLOOKUP(A47,IMPORTRANGE(""1bUO_1Nv9gx3vZE_-m4w6HiuWUM1u8qsaqKByYyla14Q"",""Form Responses 1!B:C""),2,FALSE),)"),4.0)</f>
        <v>4</v>
      </c>
      <c r="L47" s="59" t="str">
        <f>IFERROR(__xludf.DUMMYFUNCTION("IFERROR(IF(COUNTIF(IMPORTRANGE(""1SG2BnFOinBZsm3_Rx1BzD670E652svXjlzWieKobj9o"",""Form Responses 1!B:B""),A47)&gt;0,10,),0)"),"")</f>
        <v/>
      </c>
      <c r="M47" s="60" t="str">
        <f>IFERROR(__xludf.DUMMYFUNCTION("IFERROR(VLOOKUP(A47,IMPORTRANGE(""1Zpz_ArqUHJZzCwyJqFKkEASeqFw0lZ4HLK4wQdLXj3w
"",""Form Responses 1!B:C""),2,FALSE),)"),"")</f>
        <v/>
      </c>
      <c r="N47" s="60" t="str">
        <f>IFERROR(__xludf.DUMMYFUNCTION("IFERROR(VLOOKUP(A47,IMPORTRANGE(""1c318JgcKMkTMtHFS6SjH7x3TAnZwddcZMI9Jx-B9VOM
"",""Form Responses 1!B:C""),2,FALSE),)"),"")</f>
        <v/>
      </c>
      <c r="O47" s="60" t="str">
        <f>IFERROR(__xludf.DUMMYFUNCTION("IFERROR(VLOOKUP(A47,IMPORTRANGE(""1kp8AvADOUteLDy1-i5F9JvR64ee_UwN5UoIn-tH5zPQ
"",""Form Responses 1!B:C""),2,FALSE),)"),"")</f>
        <v/>
      </c>
      <c r="P47" s="60">
        <f>IFERROR(__xludf.DUMMYFUNCTION("IFERROR(VLOOKUP(A47,IMPORTRANGE(""1PSjtsRk3dryPdI2Zls_iIpRgVVwBTGQ0ryRujA_ayZ0"",""Form Responses 1!B:C""),2,FALSE),)"),6.0)</f>
        <v>6</v>
      </c>
      <c r="Q47" s="59" t="str">
        <f>IFERROR(__xludf.DUMMYFUNCTION("IFERROR(VLOOKUP(TRIM(A47),IMPORTRANGE(""1ciMZmE3_Ia8QatZf9u-RYqeCzLjcP66olwhReBx-Pwc"",""Form Responses 1!B:C""),2,0),"""")"),"")</f>
        <v/>
      </c>
      <c r="R47" s="60" t="str">
        <f>IFERROR(__xludf.DUMMYFUNCTION("IFERROR(VLOOKUP(TRIM(A47),IMPORTRANGE(""1dEvtr9f2UAemMjkvEwBFPyuEw3YQPqez4Kgo-0l7vS4"",""Form Responses 1!B:C""),2,0),"""")"),"")</f>
        <v/>
      </c>
      <c r="S47" s="60" t="str">
        <f>IFERROR(__xludf.DUMMYFUNCTION("IFERROR(VLOOKUP(TRIM(A47),IMPORTRANGE(""1B6nP1Ts7cF60F-9DocMTsAaVFKfuimLnUoxweBavHeU"",""Form Responses 1!B:C""),2,0),"""")"),"")</f>
        <v/>
      </c>
      <c r="T47" s="60" t="str">
        <f>IFERROR(__xludf.DUMMYFUNCTION("IFERROR(VLOOKUP(TRIM(A47),IMPORTRANGE(""1Urfs_Vy5SE9U8tp1-UR-7FoEAxcNy8MifWBH8GiFXd8"",""Form Responses 1!B:C""),2,0),"""")"),"")</f>
        <v/>
      </c>
      <c r="U47" s="60" t="str">
        <f>IFERROR(__xludf.DUMMYFUNCTION("IFERROR(VLOOKUP(TRIM(A47),IMPORTRANGE(""1aXWUim-N4mxaoEzA3XAIdaDH-QYLEvzF2WdP7MGXYAE"",""Form Responses 1!B:C""),2,0),"""")"),"")</f>
        <v/>
      </c>
      <c r="V47" s="61">
        <v>37.0</v>
      </c>
      <c r="W47" s="62" t="str">
        <f>IFERROR(__xludf.DUMMYFUNCTION("IFERROR(1/(1/MAX(
  IFERROR(VLOOKUP(TRIM(A47),IMPORTRANGE(""1ZA1PTk3mXTxdasMFIUL3_HnhZbSrjlYI0jroyR74oDM"",""Form Responses 1!B:C""),2,0),),
  IFERROR(VLOOKUP(TRIM(A47),IMPORTRANGE(""197C8yvLyfR59JPOCjQdNv3jtQAWqA9lyzhiAtksREXI"",""Form Responses 1!B:C"")"&amp;",2,0),)
)),)"),"")</f>
        <v/>
      </c>
      <c r="X47" s="62" t="str">
        <f>IFERROR(__xludf.DUMMYFUNCTION("IFERROR(VLOOKUP(TRIM(A47),IMPORTRANGE(""1S55NQGXzV1_qOWKXpsQUC871e5j71TNZ9qXJwwhlcsg"",""Form Responses 1!B:C""),2,0),"""")"),"")</f>
        <v/>
      </c>
      <c r="Y47" s="62" t="str">
        <f>IFERROR(__xludf.DUMMYFUNCTION("IFERROR(VLOOKUP(TRIM(A47),IMPORTRANGE(""1tpV5_mFhbN6YKRuO1MZvSbUMIPr8PmwiNyIZJpY0iKs"",""Form Responses 1!B:C""),2,0),"""")"),"")</f>
        <v/>
      </c>
      <c r="Z47" s="62" t="str">
        <f>IFERROR(__xludf.DUMMYFUNCTION("IFERROR(VLOOKUP(TRIM(A47),IMPORTRANGE(""1wfMRO2uDQNJ1PCwTpHdQ8iUrPUKVHyvbfqf8TasTViU"",""Form Responses 1!B:C""),2,0),"""")"),"")</f>
        <v/>
      </c>
      <c r="AA47" s="62" t="str">
        <f>IFERROR(__xludf.DUMMYFUNCTION("IFERROR(VLOOKUP(TRIM(A47),IMPORTRANGE(""1ZOlAPpjCs7qXcQpCvrHzmJ4FOraZ9bKV8IEd78oT7sE"",""Form Responses 1!B:C""),2,0),"""")"),"")</f>
        <v/>
      </c>
      <c r="AB47" s="62">
        <f>IFERROR(__xludf.DUMMYFUNCTION("IFERROR(VLOOKUP(TRIM(A47),IMPORTRANGE(""1oPrvVT6QDWEUmx87GoqLd1CXTtfLo6WfrreUocg_I08"",""Form Responses 1!B:C""),2,0),"""")"),8.0)</f>
        <v>8</v>
      </c>
      <c r="AC47" s="62">
        <f>IFERROR(__xludf.DUMMYFUNCTION("IFERROR(VLOOKUP(TRIM(A47),IMPORTRANGE(""1WKNusCM8GAvNDFdV2AjY5sTwyti4BFZk9I1rFa74mxo"",""Form Responses 1!B:C""),2,0),"""")"),7.0)</f>
        <v>7</v>
      </c>
      <c r="AD47" s="62" t="str">
        <f>IFERROR(__xludf.DUMMYFUNCTION("IFERROR(VLOOKUP(TRIM(A47),IMPORTRANGE(""1ezPhPfgGBlZIzMnymbnrUr2FhcM_6Sv_nk0hxcbuzTQ"",""Form Responses 1!B:C""),2,0),"""")"),"")</f>
        <v/>
      </c>
      <c r="AE47" s="62" t="str">
        <f>IFERROR(__xludf.DUMMYFUNCTION("IFERROR(VLOOKUP(TRIM(A47),IMPORTRANGE(""1nCvx2881PQ64OQinwpUfP8HphDEhFD0vPRxp_AAAdlM"",""Form Responses 1!B:C""),2,0),"""")"),"")</f>
        <v/>
      </c>
      <c r="AF47" s="62" t="str">
        <f>IFERROR(__xludf.DUMMYFUNCTION("IFERROR(VLOOKUP(TRIM(A47),IMPORTRANGE(""1cImVBctl3mh_jlEmJoy6CEEFe_DDCxRGkjB_Jp-qsU8"",""Form Responses 1!B:C""),2,0),"""")"),"")</f>
        <v/>
      </c>
      <c r="AG47" s="57"/>
      <c r="AH47" s="57"/>
      <c r="AI47" s="57"/>
      <c r="AJ47" s="57"/>
      <c r="AK47" s="57"/>
      <c r="AL47" s="57"/>
      <c r="AM47" s="57"/>
      <c r="AN47" s="57"/>
      <c r="AO47" s="57"/>
      <c r="AP47" s="57"/>
      <c r="AQ47" s="57"/>
      <c r="AR47" s="57"/>
      <c r="AS47" s="57"/>
      <c r="AT47" s="57"/>
      <c r="AU47" s="57"/>
      <c r="AV47" s="57"/>
      <c r="AW47" s="57"/>
      <c r="AX47" s="57"/>
      <c r="AY47" s="57"/>
      <c r="AZ47" s="57"/>
    </row>
    <row r="48">
      <c r="A48" s="56" t="s">
        <v>250</v>
      </c>
      <c r="B48" s="57">
        <f>IFERROR(__xludf.DUMMYFUNCTION("IFERROR(IF(COUNTIF(IMPORTRANGE(""1oiajwiBxoDIOBcD_uKarGHJIrskYi3nXyI9FyWq8IFk"",""Form Responses 1!B:B""),A48)&gt;0,10,),0)"),10.0)</f>
        <v>10</v>
      </c>
      <c r="C48" s="57" t="str">
        <f>IFERROR(__xludf.DUMMYFUNCTION("IFERROR(VLOOKUP(A48,IMPORTRANGE(""1PRkBNvF7wRBbJGtbM1I7-V_ej5mmlgF4cwmp64ilJGQ"",""Form Responses 1!B:C""),2,FALSE),)"),"")</f>
        <v/>
      </c>
      <c r="D48" s="57" t="str">
        <f>IFERROR(__xludf.DUMMYFUNCTION("IFERROR(VLOOKUP(A48,IMPORTRANGE(""1rSBnjICjC9324bzLIQpakQH2kn1-6by9fz9jLCcefTs"",""Form Responses 1!B:C""),2,FALSE),)"),"")</f>
        <v/>
      </c>
      <c r="E48" s="57" t="str">
        <f>IFERROR(__xludf.DUMMYFUNCTION("IFERROR(VLOOKUP(A48,IMPORTRANGE(""1OvNQShTkB7b8btd44zAgP-KkGS7dJ0BEd6wMgBISDs0"",""Form Responses 1!B:C""),2,FALSE),)"),"")</f>
        <v/>
      </c>
      <c r="F48" s="57" t="str">
        <f>IFERROR(__xludf.DUMMYFUNCTION("IFERROR(IF(COUNTIF(IMPORTRANGE(""13ZZ2q5-JsneAoCxE8QLqs1Ycj8WSgN9hPRza9XUMv_4"",""Form Responses 1!B:B""),A48)&gt;0,20,),)"),"")</f>
        <v/>
      </c>
      <c r="G48" s="58" t="str">
        <f>IFERROR(__xludf.DUMMYFUNCTION("IFERROR(IF(COUNTIF(IMPORTRANGE(""1ljo_MifcmFDCNF59UxR3-3g4XI2XSRJ3WpZcUkp6so8"",""Form Responses 1!B:B""),A48)&gt;0,10,),)"),"")</f>
        <v/>
      </c>
      <c r="H48" s="59">
        <f>IFERROR(__xludf.DUMMYFUNCTION("IFERROR(VLOOKUP(A48,IMPORTRANGE(""1PBvrHm3dgtcno-UApCGo6dIU4auKbeIJC2SC7k36T64"",""Form Responses 1!B:C""),2,FALSE),)"),11.0)</f>
        <v>11</v>
      </c>
      <c r="I48" s="60">
        <f>IFERROR(__xludf.DUMMYFUNCTION("IFERROR(VLOOKUP(A48,IMPORTRANGE(""13P_qT6pKDynUZR0_aswSscwX8dw4UhPyIL8ohovayVc
"",""Form Responses 1!B:C""),2,FALSE),)"),8.0)</f>
        <v>8</v>
      </c>
      <c r="J48" s="60">
        <f>IFERROR(__xludf.DUMMYFUNCTION("IFERROR(VLOOKUP(A48,IMPORTRANGE(""16B_HaxNdsb7BY3AQ0xKagDsjOLkfb_DjPkxPwEpn8gc
"",""Form Responses 1!B:C""),2,FALSE),)"),9.0)</f>
        <v>9</v>
      </c>
      <c r="K48" s="60">
        <f>IFERROR(__xludf.DUMMYFUNCTION("IFERROR(VLOOKUP(A48,IMPORTRANGE(""1bUO_1Nv9gx3vZE_-m4w6HiuWUM1u8qsaqKByYyla14Q"",""Form Responses 1!B:C""),2,FALSE),)"),9.0)</f>
        <v>9</v>
      </c>
      <c r="L48" s="59" t="str">
        <f>IFERROR(__xludf.DUMMYFUNCTION("IFERROR(IF(COUNTIF(IMPORTRANGE(""1SG2BnFOinBZsm3_Rx1BzD670E652svXjlzWieKobj9o"",""Form Responses 1!B:B""),A48)&gt;0,10,),0)"),"")</f>
        <v/>
      </c>
      <c r="M48" s="60" t="str">
        <f>IFERROR(__xludf.DUMMYFUNCTION("IFERROR(VLOOKUP(A48,IMPORTRANGE(""1Zpz_ArqUHJZzCwyJqFKkEASeqFw0lZ4HLK4wQdLXj3w
"",""Form Responses 1!B:C""),2,FALSE),)"),"")</f>
        <v/>
      </c>
      <c r="N48" s="60" t="str">
        <f>IFERROR(__xludf.DUMMYFUNCTION("IFERROR(VLOOKUP(A48,IMPORTRANGE(""1c318JgcKMkTMtHFS6SjH7x3TAnZwddcZMI9Jx-B9VOM
"",""Form Responses 1!B:C""),2,FALSE),)"),"")</f>
        <v/>
      </c>
      <c r="O48" s="60" t="str">
        <f>IFERROR(__xludf.DUMMYFUNCTION("IFERROR(VLOOKUP(A48,IMPORTRANGE(""1kp8AvADOUteLDy1-i5F9JvR64ee_UwN5UoIn-tH5zPQ
"",""Form Responses 1!B:C""),2,FALSE),)"),"")</f>
        <v/>
      </c>
      <c r="P48" s="60">
        <f>IFERROR(__xludf.DUMMYFUNCTION("IFERROR(VLOOKUP(A48,IMPORTRANGE(""1PSjtsRk3dryPdI2Zls_iIpRgVVwBTGQ0ryRujA_ayZ0"",""Form Responses 1!B:C""),2,FALSE),)"),11.0)</f>
        <v>11</v>
      </c>
      <c r="Q48" s="59">
        <f>IFERROR(__xludf.DUMMYFUNCTION("IFERROR(VLOOKUP(TRIM(A48),IMPORTRANGE(""1ciMZmE3_Ia8QatZf9u-RYqeCzLjcP66olwhReBx-Pwc"",""Form Responses 1!B:C""),2,0),"""")"),16.0)</f>
        <v>16</v>
      </c>
      <c r="R48" s="60">
        <f>IFERROR(__xludf.DUMMYFUNCTION("IFERROR(VLOOKUP(TRIM(A48),IMPORTRANGE(""1dEvtr9f2UAemMjkvEwBFPyuEw3YQPqez4Kgo-0l7vS4"",""Form Responses 1!B:C""),2,0),"""")"),12.0)</f>
        <v>12</v>
      </c>
      <c r="S48" s="60">
        <f>IFERROR(__xludf.DUMMYFUNCTION("IFERROR(VLOOKUP(TRIM(A48),IMPORTRANGE(""1B6nP1Ts7cF60F-9DocMTsAaVFKfuimLnUoxweBavHeU"",""Form Responses 1!B:C""),2,0),"""")"),4.0)</f>
        <v>4</v>
      </c>
      <c r="T48" s="60">
        <f>IFERROR(__xludf.DUMMYFUNCTION("IFERROR(VLOOKUP(TRIM(A48),IMPORTRANGE(""1Urfs_Vy5SE9U8tp1-UR-7FoEAxcNy8MifWBH8GiFXd8"",""Form Responses 1!B:C""),2,0),"""")"),9.0)</f>
        <v>9</v>
      </c>
      <c r="U48" s="60">
        <f>IFERROR(__xludf.DUMMYFUNCTION("IFERROR(VLOOKUP(TRIM(A48),IMPORTRANGE(""1aXWUim-N4mxaoEzA3XAIdaDH-QYLEvzF2WdP7MGXYAE"",""Form Responses 1!B:C""),2,0),"""")"),7.0)</f>
        <v>7</v>
      </c>
      <c r="V48" s="63"/>
      <c r="W48" s="62">
        <f>IFERROR(__xludf.DUMMYFUNCTION("IFERROR(1/(1/MAX(
  IFERROR(VLOOKUP(TRIM(A48),IMPORTRANGE(""1ZA1PTk3mXTxdasMFIUL3_HnhZbSrjlYI0jroyR74oDM"",""Form Responses 1!B:C""),2,0),),
  IFERROR(VLOOKUP(TRIM(A48),IMPORTRANGE(""197C8yvLyfR59JPOCjQdNv3jtQAWqA9lyzhiAtksREXI"",""Form Responses 1!B:C"")"&amp;",2,0),)
)),)"),12.0)</f>
        <v>12</v>
      </c>
      <c r="X48" s="62" t="str">
        <f>IFERROR(__xludf.DUMMYFUNCTION("IFERROR(VLOOKUP(TRIM(A48),IMPORTRANGE(""1S55NQGXzV1_qOWKXpsQUC871e5j71TNZ9qXJwwhlcsg"",""Form Responses 1!B:C""),2,0),"""")"),"")</f>
        <v/>
      </c>
      <c r="Y48" s="62">
        <f>IFERROR(__xludf.DUMMYFUNCTION("IFERROR(VLOOKUP(TRIM(A48),IMPORTRANGE(""1tpV5_mFhbN6YKRuO1MZvSbUMIPr8PmwiNyIZJpY0iKs"",""Form Responses 1!B:C""),2,0),"""")"),4.0)</f>
        <v>4</v>
      </c>
      <c r="Z48" s="62" t="str">
        <f>IFERROR(__xludf.DUMMYFUNCTION("IFERROR(VLOOKUP(TRIM(A48),IMPORTRANGE(""1wfMRO2uDQNJ1PCwTpHdQ8iUrPUKVHyvbfqf8TasTViU"",""Form Responses 1!B:C""),2,0),"""")"),"")</f>
        <v/>
      </c>
      <c r="AA48" s="62" t="str">
        <f>IFERROR(__xludf.DUMMYFUNCTION("IFERROR(VLOOKUP(TRIM(A48),IMPORTRANGE(""1ZOlAPpjCs7qXcQpCvrHzmJ4FOraZ9bKV8IEd78oT7sE"",""Form Responses 1!B:C""),2,0),"""")"),"")</f>
        <v/>
      </c>
      <c r="AB48" s="62">
        <f>IFERROR(__xludf.DUMMYFUNCTION("IFERROR(VLOOKUP(TRIM(A48),IMPORTRANGE(""1oPrvVT6QDWEUmx87GoqLd1CXTtfLo6WfrreUocg_I08"",""Form Responses 1!B:C""),2,0),"""")"),11.0)</f>
        <v>11</v>
      </c>
      <c r="AC48" s="62" t="str">
        <f>IFERROR(__xludf.DUMMYFUNCTION("IFERROR(VLOOKUP(TRIM(A48),IMPORTRANGE(""1WKNusCM8GAvNDFdV2AjY5sTwyti4BFZk9I1rFa74mxo"",""Form Responses 1!B:C""),2,0),"""")"),"")</f>
        <v/>
      </c>
      <c r="AD48" s="62">
        <f>IFERROR(__xludf.DUMMYFUNCTION("IFERROR(VLOOKUP(TRIM(A48),IMPORTRANGE(""1ezPhPfgGBlZIzMnymbnrUr2FhcM_6Sv_nk0hxcbuzTQ"",""Form Responses 1!B:C""),2,0),"""")"),14.0)</f>
        <v>14</v>
      </c>
      <c r="AE48" s="62">
        <f>IFERROR(__xludf.DUMMYFUNCTION("IFERROR(VLOOKUP(TRIM(A48),IMPORTRANGE(""1nCvx2881PQ64OQinwpUfP8HphDEhFD0vPRxp_AAAdlM"",""Form Responses 1!B:C""),2,0),"""")"),9.0)</f>
        <v>9</v>
      </c>
      <c r="AF48" s="62" t="str">
        <f>IFERROR(__xludf.DUMMYFUNCTION("IFERROR(VLOOKUP(TRIM(A48),IMPORTRANGE(""1cImVBctl3mh_jlEmJoy6CEEFe_DDCxRGkjB_Jp-qsU8"",""Form Responses 1!B:C""),2,0),"""")"),"")</f>
        <v/>
      </c>
      <c r="AG48" s="57"/>
      <c r="AH48" s="57"/>
      <c r="AI48" s="57"/>
      <c r="AJ48" s="57"/>
      <c r="AK48" s="57"/>
      <c r="AL48" s="57"/>
      <c r="AM48" s="57"/>
      <c r="AN48" s="57"/>
      <c r="AO48" s="57"/>
      <c r="AP48" s="57"/>
      <c r="AQ48" s="57"/>
      <c r="AR48" s="57"/>
      <c r="AS48" s="57"/>
      <c r="AT48" s="57"/>
      <c r="AU48" s="57"/>
      <c r="AV48" s="57"/>
      <c r="AW48" s="57"/>
      <c r="AX48" s="57"/>
      <c r="AY48" s="57"/>
      <c r="AZ48" s="57"/>
    </row>
    <row r="49">
      <c r="A49" s="56" t="s">
        <v>251</v>
      </c>
      <c r="B49" s="57">
        <f>IFERROR(__xludf.DUMMYFUNCTION("IFERROR(IF(COUNTIF(IMPORTRANGE(""1oiajwiBxoDIOBcD_uKarGHJIrskYi3nXyI9FyWq8IFk"",""Form Responses 1!B:B""),A49)&gt;0,10,),0)"),10.0)</f>
        <v>10</v>
      </c>
      <c r="C49" s="57">
        <f>IFERROR(__xludf.DUMMYFUNCTION("IFERROR(VLOOKUP(A49,IMPORTRANGE(""1PRkBNvF7wRBbJGtbM1I7-V_ej5mmlgF4cwmp64ilJGQ"",""Form Responses 1!B:C""),2,FALSE),)"),15.0)</f>
        <v>15</v>
      </c>
      <c r="D49" s="57">
        <f>IFERROR(__xludf.DUMMYFUNCTION("IFERROR(VLOOKUP(A49,IMPORTRANGE(""1rSBnjICjC9324bzLIQpakQH2kn1-6by9fz9jLCcefTs"",""Form Responses 1!B:C""),2,FALSE),)"),30.0)</f>
        <v>30</v>
      </c>
      <c r="E49" s="57">
        <f>IFERROR(__xludf.DUMMYFUNCTION("IFERROR(VLOOKUP(A49,IMPORTRANGE(""1OvNQShTkB7b8btd44zAgP-KkGS7dJ0BEd6wMgBISDs0"",""Form Responses 1!B:C""),2,FALSE),)"),5.0)</f>
        <v>5</v>
      </c>
      <c r="F49" s="57">
        <f>IFERROR(__xludf.DUMMYFUNCTION("IFERROR(IF(COUNTIF(IMPORTRANGE(""13ZZ2q5-JsneAoCxE8QLqs1Ycj8WSgN9hPRza9XUMv_4"",""Form Responses 1!B:B""),A49)&gt;0,20,),)"),20.0)</f>
        <v>20</v>
      </c>
      <c r="G49" s="58" t="str">
        <f>IFERROR(__xludf.DUMMYFUNCTION("IFERROR(IF(COUNTIF(IMPORTRANGE(""1ljo_MifcmFDCNF59UxR3-3g4XI2XSRJ3WpZcUkp6so8"",""Form Responses 1!B:B""),A49)&gt;0,10,),)"),"")</f>
        <v/>
      </c>
      <c r="H49" s="59">
        <f>IFERROR(__xludf.DUMMYFUNCTION("IFERROR(VLOOKUP(A49,IMPORTRANGE(""1PBvrHm3dgtcno-UApCGo6dIU4auKbeIJC2SC7k36T64"",""Form Responses 1!B:C""),2,FALSE),)"),13.0)</f>
        <v>13</v>
      </c>
      <c r="I49" s="60">
        <f>IFERROR(__xludf.DUMMYFUNCTION("IFERROR(VLOOKUP(A49,IMPORTRANGE(""13P_qT6pKDynUZR0_aswSscwX8dw4UhPyIL8ohovayVc
"",""Form Responses 1!B:C""),2,FALSE),)"),14.0)</f>
        <v>14</v>
      </c>
      <c r="J49" s="60">
        <f>IFERROR(__xludf.DUMMYFUNCTION("IFERROR(VLOOKUP(A49,IMPORTRANGE(""16B_HaxNdsb7BY3AQ0xKagDsjOLkfb_DjPkxPwEpn8gc
"",""Form Responses 1!B:C""),2,FALSE),)"),12.0)</f>
        <v>12</v>
      </c>
      <c r="K49" s="60">
        <f>IFERROR(__xludf.DUMMYFUNCTION("IFERROR(VLOOKUP(A49,IMPORTRANGE(""1bUO_1Nv9gx3vZE_-m4w6HiuWUM1u8qsaqKByYyla14Q"",""Form Responses 1!B:C""),2,FALSE),)"),10.0)</f>
        <v>10</v>
      </c>
      <c r="L49" s="59">
        <f>IFERROR(__xludf.DUMMYFUNCTION("IFERROR(IF(COUNTIF(IMPORTRANGE(""1SG2BnFOinBZsm3_Rx1BzD670E652svXjlzWieKobj9o"",""Form Responses 1!B:B""),A49)&gt;0,10,),0)"),10.0)</f>
        <v>10</v>
      </c>
      <c r="M49" s="60">
        <f>IFERROR(__xludf.DUMMYFUNCTION("IFERROR(VLOOKUP(A49,IMPORTRANGE(""1Zpz_ArqUHJZzCwyJqFKkEASeqFw0lZ4HLK4wQdLXj3w
"",""Form Responses 1!B:C""),2,FALSE),)"),14.0)</f>
        <v>14</v>
      </c>
      <c r="N49" s="60">
        <f>IFERROR(__xludf.DUMMYFUNCTION("IFERROR(VLOOKUP(A49,IMPORTRANGE(""1c318JgcKMkTMtHFS6SjH7x3TAnZwddcZMI9Jx-B9VOM
"",""Form Responses 1!B:C""),2,FALSE),)"),9.0)</f>
        <v>9</v>
      </c>
      <c r="O49" s="60">
        <f>IFERROR(__xludf.DUMMYFUNCTION("IFERROR(VLOOKUP(A49,IMPORTRANGE(""1kp8AvADOUteLDy1-i5F9JvR64ee_UwN5UoIn-tH5zPQ
"",""Form Responses 1!B:C""),2,FALSE),)"),21.0)</f>
        <v>21</v>
      </c>
      <c r="P49" s="60">
        <f>IFERROR(__xludf.DUMMYFUNCTION("IFERROR(VLOOKUP(A49,IMPORTRANGE(""1PSjtsRk3dryPdI2Zls_iIpRgVVwBTGQ0ryRujA_ayZ0"",""Form Responses 1!B:C""),2,FALSE),)"),11.0)</f>
        <v>11</v>
      </c>
      <c r="Q49" s="59" t="str">
        <f>IFERROR(__xludf.DUMMYFUNCTION("IFERROR(VLOOKUP(TRIM(A49),IMPORTRANGE(""1ciMZmE3_Ia8QatZf9u-RYqeCzLjcP66olwhReBx-Pwc"",""Form Responses 1!B:C""),2,0),"""")"),"")</f>
        <v/>
      </c>
      <c r="R49" s="60" t="str">
        <f>IFERROR(__xludf.DUMMYFUNCTION("IFERROR(VLOOKUP(TRIM(A49),IMPORTRANGE(""1dEvtr9f2UAemMjkvEwBFPyuEw3YQPqez4Kgo-0l7vS4"",""Form Responses 1!B:C""),2,0),"""")"),"")</f>
        <v/>
      </c>
      <c r="S49" s="60" t="str">
        <f>IFERROR(__xludf.DUMMYFUNCTION("IFERROR(VLOOKUP(TRIM(A49),IMPORTRANGE(""1B6nP1Ts7cF60F-9DocMTsAaVFKfuimLnUoxweBavHeU"",""Form Responses 1!B:C""),2,0),"""")"),"")</f>
        <v/>
      </c>
      <c r="T49" s="60" t="str">
        <f>IFERROR(__xludf.DUMMYFUNCTION("IFERROR(VLOOKUP(TRIM(A49),IMPORTRANGE(""1Urfs_Vy5SE9U8tp1-UR-7FoEAxcNy8MifWBH8GiFXd8"",""Form Responses 1!B:C""),2,0),"""")"),"")</f>
        <v/>
      </c>
      <c r="U49" s="60" t="str">
        <f>IFERROR(__xludf.DUMMYFUNCTION("IFERROR(VLOOKUP(TRIM(A49),IMPORTRANGE(""1aXWUim-N4mxaoEzA3XAIdaDH-QYLEvzF2WdP7MGXYAE"",""Form Responses 1!B:C""),2,0),"""")"),"")</f>
        <v/>
      </c>
      <c r="V49" s="63"/>
      <c r="W49" s="62">
        <f>IFERROR(__xludf.DUMMYFUNCTION("IFERROR(1/(1/MAX(
  IFERROR(VLOOKUP(TRIM(A49),IMPORTRANGE(""1ZA1PTk3mXTxdasMFIUL3_HnhZbSrjlYI0jroyR74oDM"",""Form Responses 1!B:C""),2,0),),
  IFERROR(VLOOKUP(TRIM(A49),IMPORTRANGE(""197C8yvLyfR59JPOCjQdNv3jtQAWqA9lyzhiAtksREXI"",""Form Responses 1!B:C"")"&amp;",2,0),)
)),)"),9.0)</f>
        <v>9</v>
      </c>
      <c r="X49" s="62" t="str">
        <f>IFERROR(__xludf.DUMMYFUNCTION("IFERROR(VLOOKUP(TRIM(A49),IMPORTRANGE(""1S55NQGXzV1_qOWKXpsQUC871e5j71TNZ9qXJwwhlcsg"",""Form Responses 1!B:C""),2,0),"""")"),"")</f>
        <v/>
      </c>
      <c r="Y49" s="62" t="str">
        <f>IFERROR(__xludf.DUMMYFUNCTION("IFERROR(VLOOKUP(TRIM(A49),IMPORTRANGE(""1tpV5_mFhbN6YKRuO1MZvSbUMIPr8PmwiNyIZJpY0iKs"",""Form Responses 1!B:C""),2,0),"""")"),"")</f>
        <v/>
      </c>
      <c r="Z49" s="62" t="str">
        <f>IFERROR(__xludf.DUMMYFUNCTION("IFERROR(VLOOKUP(TRIM(A49),IMPORTRANGE(""1wfMRO2uDQNJ1PCwTpHdQ8iUrPUKVHyvbfqf8TasTViU"",""Form Responses 1!B:C""),2,0),"""")"),"")</f>
        <v/>
      </c>
      <c r="AA49" s="62" t="str">
        <f>IFERROR(__xludf.DUMMYFUNCTION("IFERROR(VLOOKUP(TRIM(A49),IMPORTRANGE(""1ZOlAPpjCs7qXcQpCvrHzmJ4FOraZ9bKV8IEd78oT7sE"",""Form Responses 1!B:C""),2,0),"""")"),"")</f>
        <v/>
      </c>
      <c r="AB49" s="62" t="str">
        <f>IFERROR(__xludf.DUMMYFUNCTION("IFERROR(VLOOKUP(TRIM(A49),IMPORTRANGE(""1oPrvVT6QDWEUmx87GoqLd1CXTtfLo6WfrreUocg_I08"",""Form Responses 1!B:C""),2,0),"""")"),"")</f>
        <v/>
      </c>
      <c r="AC49" s="62" t="str">
        <f>IFERROR(__xludf.DUMMYFUNCTION("IFERROR(VLOOKUP(TRIM(A49),IMPORTRANGE(""1WKNusCM8GAvNDFdV2AjY5sTwyti4BFZk9I1rFa74mxo"",""Form Responses 1!B:C""),2,0),"""")"),"")</f>
        <v/>
      </c>
      <c r="AD49" s="62" t="str">
        <f>IFERROR(__xludf.DUMMYFUNCTION("IFERROR(VLOOKUP(TRIM(A49),IMPORTRANGE(""1ezPhPfgGBlZIzMnymbnrUr2FhcM_6Sv_nk0hxcbuzTQ"",""Form Responses 1!B:C""),2,0),"""")"),"")</f>
        <v/>
      </c>
      <c r="AE49" s="62" t="str">
        <f>IFERROR(__xludf.DUMMYFUNCTION("IFERROR(VLOOKUP(TRIM(A49),IMPORTRANGE(""1nCvx2881PQ64OQinwpUfP8HphDEhFD0vPRxp_AAAdlM"",""Form Responses 1!B:C""),2,0),"""")"),"")</f>
        <v/>
      </c>
      <c r="AF49" s="62" t="str">
        <f>IFERROR(__xludf.DUMMYFUNCTION("IFERROR(VLOOKUP(TRIM(A49),IMPORTRANGE(""1cImVBctl3mh_jlEmJoy6CEEFe_DDCxRGkjB_Jp-qsU8"",""Form Responses 1!B:C""),2,0),"""")"),"")</f>
        <v/>
      </c>
      <c r="AG49" s="57"/>
      <c r="AH49" s="57"/>
      <c r="AI49" s="57"/>
      <c r="AJ49" s="57"/>
      <c r="AK49" s="57"/>
      <c r="AL49" s="57"/>
      <c r="AM49" s="57"/>
      <c r="AN49" s="57"/>
      <c r="AO49" s="57"/>
      <c r="AP49" s="57"/>
      <c r="AQ49" s="57"/>
      <c r="AR49" s="57"/>
      <c r="AS49" s="57"/>
      <c r="AT49" s="57"/>
      <c r="AU49" s="57"/>
      <c r="AV49" s="57"/>
      <c r="AW49" s="57"/>
      <c r="AX49" s="57"/>
      <c r="AY49" s="57"/>
      <c r="AZ49" s="57"/>
    </row>
    <row r="50">
      <c r="A50" s="56" t="s">
        <v>252</v>
      </c>
      <c r="B50" s="57">
        <f>IFERROR(__xludf.DUMMYFUNCTION("IFERROR(IF(COUNTIF(IMPORTRANGE(""1oiajwiBxoDIOBcD_uKarGHJIrskYi3nXyI9FyWq8IFk"",""Form Responses 1!B:B""),A50)&gt;0,10,),0)"),10.0)</f>
        <v>10</v>
      </c>
      <c r="C50" s="57">
        <f>IFERROR(__xludf.DUMMYFUNCTION("IFERROR(VLOOKUP(A50,IMPORTRANGE(""1PRkBNvF7wRBbJGtbM1I7-V_ej5mmlgF4cwmp64ilJGQ"",""Form Responses 1!B:C""),2,FALSE),)"),0.0)</f>
        <v>0</v>
      </c>
      <c r="D50" s="57">
        <f>IFERROR(__xludf.DUMMYFUNCTION("IFERROR(VLOOKUP(A50,IMPORTRANGE(""1rSBnjICjC9324bzLIQpakQH2kn1-6by9fz9jLCcefTs"",""Form Responses 1!B:C""),2,FALSE),)"),25.0)</f>
        <v>25</v>
      </c>
      <c r="E50" s="57">
        <f>IFERROR(__xludf.DUMMYFUNCTION("IFERROR(VLOOKUP(A50,IMPORTRANGE(""1OvNQShTkB7b8btd44zAgP-KkGS7dJ0BEd6wMgBISDs0"",""Form Responses 1!B:C""),2,FALSE),)"),20.0)</f>
        <v>20</v>
      </c>
      <c r="F50" s="57" t="str">
        <f>IFERROR(__xludf.DUMMYFUNCTION("IFERROR(IF(COUNTIF(IMPORTRANGE(""13ZZ2q5-JsneAoCxE8QLqs1Ycj8WSgN9hPRza9XUMv_4"",""Form Responses 1!B:B""),A50)&gt;0,20,),)"),"")</f>
        <v/>
      </c>
      <c r="G50" s="58" t="str">
        <f>IFERROR(__xludf.DUMMYFUNCTION("IFERROR(IF(COUNTIF(IMPORTRANGE(""1ljo_MifcmFDCNF59UxR3-3g4XI2XSRJ3WpZcUkp6so8"",""Form Responses 1!B:B""),A50)&gt;0,10,),)"),"")</f>
        <v/>
      </c>
      <c r="H50" s="59" t="str">
        <f>IFERROR(__xludf.DUMMYFUNCTION("IFERROR(VLOOKUP(A50,IMPORTRANGE(""1PBvrHm3dgtcno-UApCGo6dIU4auKbeIJC2SC7k36T64"",""Form Responses 1!B:C""),2,FALSE),)"),"")</f>
        <v/>
      </c>
      <c r="I50" s="60" t="str">
        <f>IFERROR(__xludf.DUMMYFUNCTION("IFERROR(VLOOKUP(A50,IMPORTRANGE(""13P_qT6pKDynUZR0_aswSscwX8dw4UhPyIL8ohovayVc
"",""Form Responses 1!B:C""),2,FALSE),)"),"")</f>
        <v/>
      </c>
      <c r="J50" s="60" t="str">
        <f>IFERROR(__xludf.DUMMYFUNCTION("IFERROR(VLOOKUP(A50,IMPORTRANGE(""16B_HaxNdsb7BY3AQ0xKagDsjOLkfb_DjPkxPwEpn8gc
"",""Form Responses 1!B:C""),2,FALSE),)"),"")</f>
        <v/>
      </c>
      <c r="K50" s="60" t="str">
        <f>IFERROR(__xludf.DUMMYFUNCTION("IFERROR(VLOOKUP(A50,IMPORTRANGE(""1bUO_1Nv9gx3vZE_-m4w6HiuWUM1u8qsaqKByYyla14Q"",""Form Responses 1!B:C""),2,FALSE),)"),"")</f>
        <v/>
      </c>
      <c r="L50" s="59" t="str">
        <f>IFERROR(__xludf.DUMMYFUNCTION("IFERROR(IF(COUNTIF(IMPORTRANGE(""1SG2BnFOinBZsm3_Rx1BzD670E652svXjlzWieKobj9o"",""Form Responses 1!B:B""),A50)&gt;0,10,),0)"),"")</f>
        <v/>
      </c>
      <c r="M50" s="60" t="str">
        <f>IFERROR(__xludf.DUMMYFUNCTION("IFERROR(VLOOKUP(A50,IMPORTRANGE(""1Zpz_ArqUHJZzCwyJqFKkEASeqFw0lZ4HLK4wQdLXj3w
"",""Form Responses 1!B:C""),2,FALSE),)"),"")</f>
        <v/>
      </c>
      <c r="N50" s="60" t="str">
        <f>IFERROR(__xludf.DUMMYFUNCTION("IFERROR(VLOOKUP(A50,IMPORTRANGE(""1c318JgcKMkTMtHFS6SjH7x3TAnZwddcZMI9Jx-B9VOM
"",""Form Responses 1!B:C""),2,FALSE),)"),"")</f>
        <v/>
      </c>
      <c r="O50" s="60" t="str">
        <f>IFERROR(__xludf.DUMMYFUNCTION("IFERROR(VLOOKUP(A50,IMPORTRANGE(""1kp8AvADOUteLDy1-i5F9JvR64ee_UwN5UoIn-tH5zPQ
"",""Form Responses 1!B:C""),2,FALSE),)"),"")</f>
        <v/>
      </c>
      <c r="P50" s="60" t="str">
        <f>IFERROR(__xludf.DUMMYFUNCTION("IFERROR(VLOOKUP(A50,IMPORTRANGE(""1PSjtsRk3dryPdI2Zls_iIpRgVVwBTGQ0ryRujA_ayZ0"",""Form Responses 1!B:C""),2,FALSE),)"),"")</f>
        <v/>
      </c>
      <c r="Q50" s="59" t="str">
        <f>IFERROR(__xludf.DUMMYFUNCTION("IFERROR(VLOOKUP(TRIM(A50),IMPORTRANGE(""1ciMZmE3_Ia8QatZf9u-RYqeCzLjcP66olwhReBx-Pwc"",""Form Responses 1!B:C""),2,0),"""")"),"")</f>
        <v/>
      </c>
      <c r="R50" s="60" t="str">
        <f>IFERROR(__xludf.DUMMYFUNCTION("IFERROR(VLOOKUP(TRIM(A50),IMPORTRANGE(""1dEvtr9f2UAemMjkvEwBFPyuEw3YQPqez4Kgo-0l7vS4"",""Form Responses 1!B:C""),2,0),"""")"),"")</f>
        <v/>
      </c>
      <c r="S50" s="60" t="str">
        <f>IFERROR(__xludf.DUMMYFUNCTION("IFERROR(VLOOKUP(TRIM(A50),IMPORTRANGE(""1B6nP1Ts7cF60F-9DocMTsAaVFKfuimLnUoxweBavHeU"",""Form Responses 1!B:C""),2,0),"""")"),"")</f>
        <v/>
      </c>
      <c r="T50" s="60" t="str">
        <f>IFERROR(__xludf.DUMMYFUNCTION("IFERROR(VLOOKUP(TRIM(A50),IMPORTRANGE(""1Urfs_Vy5SE9U8tp1-UR-7FoEAxcNy8MifWBH8GiFXd8"",""Form Responses 1!B:C""),2,0),"""")"),"")</f>
        <v/>
      </c>
      <c r="U50" s="60" t="str">
        <f>IFERROR(__xludf.DUMMYFUNCTION("IFERROR(VLOOKUP(TRIM(A50),IMPORTRANGE(""1aXWUim-N4mxaoEzA3XAIdaDH-QYLEvzF2WdP7MGXYAE"",""Form Responses 1!B:C""),2,0),"""")"),"")</f>
        <v/>
      </c>
      <c r="V50" s="61">
        <v>11.0</v>
      </c>
      <c r="W50" s="62">
        <f>IFERROR(__xludf.DUMMYFUNCTION("IFERROR(1/(1/MAX(
  IFERROR(VLOOKUP(TRIM(A50),IMPORTRANGE(""1ZA1PTk3mXTxdasMFIUL3_HnhZbSrjlYI0jroyR74oDM"",""Form Responses 1!B:C""),2,0),),
  IFERROR(VLOOKUP(TRIM(A50),IMPORTRANGE(""197C8yvLyfR59JPOCjQdNv3jtQAWqA9lyzhiAtksREXI"",""Form Responses 1!B:C"")"&amp;",2,0),)
)),)"),10.0)</f>
        <v>10</v>
      </c>
      <c r="X50" s="62" t="str">
        <f>IFERROR(__xludf.DUMMYFUNCTION("IFERROR(VLOOKUP(TRIM(A50),IMPORTRANGE(""1S55NQGXzV1_qOWKXpsQUC871e5j71TNZ9qXJwwhlcsg"",""Form Responses 1!B:C""),2,0),"""")"),"")</f>
        <v/>
      </c>
      <c r="Y50" s="62" t="str">
        <f>IFERROR(__xludf.DUMMYFUNCTION("IFERROR(VLOOKUP(TRIM(A50),IMPORTRANGE(""1tpV5_mFhbN6YKRuO1MZvSbUMIPr8PmwiNyIZJpY0iKs"",""Form Responses 1!B:C""),2,0),"""")"),"")</f>
        <v/>
      </c>
      <c r="Z50" s="62" t="str">
        <f>IFERROR(__xludf.DUMMYFUNCTION("IFERROR(VLOOKUP(TRIM(A50),IMPORTRANGE(""1wfMRO2uDQNJ1PCwTpHdQ8iUrPUKVHyvbfqf8TasTViU"",""Form Responses 1!B:C""),2,0),"""")"),"")</f>
        <v/>
      </c>
      <c r="AA50" s="62" t="str">
        <f>IFERROR(__xludf.DUMMYFUNCTION("IFERROR(VLOOKUP(TRIM(A50),IMPORTRANGE(""1ZOlAPpjCs7qXcQpCvrHzmJ4FOraZ9bKV8IEd78oT7sE"",""Form Responses 1!B:C""),2,0),"""")"),"")</f>
        <v/>
      </c>
      <c r="AB50" s="62">
        <f>IFERROR(__xludf.DUMMYFUNCTION("IFERROR(VLOOKUP(TRIM(A50),IMPORTRANGE(""1oPrvVT6QDWEUmx87GoqLd1CXTtfLo6WfrreUocg_I08"",""Form Responses 1!B:C""),2,0),"""")"),8.0)</f>
        <v>8</v>
      </c>
      <c r="AC50" s="62">
        <f>IFERROR(__xludf.DUMMYFUNCTION("IFERROR(VLOOKUP(TRIM(A50),IMPORTRANGE(""1WKNusCM8GAvNDFdV2AjY5sTwyti4BFZk9I1rFa74mxo"",""Form Responses 1!B:C""),2,0),"""")"),0.0)</f>
        <v>0</v>
      </c>
      <c r="AD50" s="62">
        <f>IFERROR(__xludf.DUMMYFUNCTION("IFERROR(VLOOKUP(TRIM(A50),IMPORTRANGE(""1ezPhPfgGBlZIzMnymbnrUr2FhcM_6Sv_nk0hxcbuzTQ"",""Form Responses 1!B:C""),2,0),"""")"),4.0)</f>
        <v>4</v>
      </c>
      <c r="AE50" s="62">
        <f>IFERROR(__xludf.DUMMYFUNCTION("IFERROR(VLOOKUP(TRIM(A50),IMPORTRANGE(""1nCvx2881PQ64OQinwpUfP8HphDEhFD0vPRxp_AAAdlM"",""Form Responses 1!B:C""),2,0),"""")"),0.0)</f>
        <v>0</v>
      </c>
      <c r="AF50" s="62">
        <f>IFERROR(__xludf.DUMMYFUNCTION("IFERROR(VLOOKUP(TRIM(A50),IMPORTRANGE(""1cImVBctl3mh_jlEmJoy6CEEFe_DDCxRGkjB_Jp-qsU8"",""Form Responses 1!B:C""),2,0),"""")"),4.0)</f>
        <v>4</v>
      </c>
      <c r="AG50" s="57"/>
      <c r="AH50" s="57"/>
      <c r="AI50" s="57"/>
      <c r="AJ50" s="57"/>
      <c r="AK50" s="57"/>
      <c r="AL50" s="57"/>
      <c r="AM50" s="57"/>
      <c r="AN50" s="57"/>
      <c r="AO50" s="57"/>
      <c r="AP50" s="57"/>
      <c r="AQ50" s="57"/>
      <c r="AR50" s="57"/>
      <c r="AS50" s="57"/>
      <c r="AT50" s="57"/>
      <c r="AU50" s="57"/>
      <c r="AV50" s="57"/>
      <c r="AW50" s="57"/>
      <c r="AX50" s="57"/>
      <c r="AY50" s="57"/>
      <c r="AZ50" s="57"/>
    </row>
    <row r="51">
      <c r="A51" s="56" t="s">
        <v>253</v>
      </c>
      <c r="B51" s="57">
        <f>IFERROR(__xludf.DUMMYFUNCTION("IFERROR(IF(COUNTIF(IMPORTRANGE(""1oiajwiBxoDIOBcD_uKarGHJIrskYi3nXyI9FyWq8IFk"",""Form Responses 1!B:B""),A51)&gt;0,10,),0)"),10.0)</f>
        <v>10</v>
      </c>
      <c r="C51" s="57">
        <f>IFERROR(__xludf.DUMMYFUNCTION("IFERROR(VLOOKUP(A51,IMPORTRANGE(""1PRkBNvF7wRBbJGtbM1I7-V_ej5mmlgF4cwmp64ilJGQ"",""Form Responses 1!B:C""),2,FALSE),)"),0.0)</f>
        <v>0</v>
      </c>
      <c r="D51" s="57">
        <f>IFERROR(__xludf.DUMMYFUNCTION("IFERROR(VLOOKUP(A51,IMPORTRANGE(""1rSBnjICjC9324bzLIQpakQH2kn1-6by9fz9jLCcefTs"",""Form Responses 1!B:C""),2,FALSE),)"),30.0)</f>
        <v>30</v>
      </c>
      <c r="E51" s="57">
        <f>IFERROR(__xludf.DUMMYFUNCTION("IFERROR(VLOOKUP(A51,IMPORTRANGE(""1OvNQShTkB7b8btd44zAgP-KkGS7dJ0BEd6wMgBISDs0"",""Form Responses 1!B:C""),2,FALSE),)"),25.0)</f>
        <v>25</v>
      </c>
      <c r="F51" s="57">
        <f>IFERROR(__xludf.DUMMYFUNCTION("IFERROR(IF(COUNTIF(IMPORTRANGE(""13ZZ2q5-JsneAoCxE8QLqs1Ycj8WSgN9hPRza9XUMv_4"",""Form Responses 1!B:B""),A51)&gt;0,20,),)"),20.0)</f>
        <v>20</v>
      </c>
      <c r="G51" s="58" t="str">
        <f>IFERROR(__xludf.DUMMYFUNCTION("IFERROR(IF(COUNTIF(IMPORTRANGE(""1ljo_MifcmFDCNF59UxR3-3g4XI2XSRJ3WpZcUkp6so8"",""Form Responses 1!B:B""),A51)&gt;0,10,),)"),"")</f>
        <v/>
      </c>
      <c r="H51" s="59">
        <f>IFERROR(__xludf.DUMMYFUNCTION("IFERROR(VLOOKUP(A51,IMPORTRANGE(""1PBvrHm3dgtcno-UApCGo6dIU4auKbeIJC2SC7k36T64"",""Form Responses 1!B:C""),2,FALSE),)"),11.0)</f>
        <v>11</v>
      </c>
      <c r="I51" s="60">
        <f>IFERROR(__xludf.DUMMYFUNCTION("IFERROR(VLOOKUP(A51,IMPORTRANGE(""13P_qT6pKDynUZR0_aswSscwX8dw4UhPyIL8ohovayVc
"",""Form Responses 1!B:C""),2,FALSE),)"),17.0)</f>
        <v>17</v>
      </c>
      <c r="J51" s="60">
        <f>IFERROR(__xludf.DUMMYFUNCTION("IFERROR(VLOOKUP(A51,IMPORTRANGE(""16B_HaxNdsb7BY3AQ0xKagDsjOLkfb_DjPkxPwEpn8gc
"",""Form Responses 1!B:C""),2,FALSE),)"),9.0)</f>
        <v>9</v>
      </c>
      <c r="K51" s="60">
        <f>IFERROR(__xludf.DUMMYFUNCTION("IFERROR(VLOOKUP(A51,IMPORTRANGE(""1bUO_1Nv9gx3vZE_-m4w6HiuWUM1u8qsaqKByYyla14Q"",""Form Responses 1!B:C""),2,FALSE),)"),10.0)</f>
        <v>10</v>
      </c>
      <c r="L51" s="59">
        <f>IFERROR(__xludf.DUMMYFUNCTION("IFERROR(IF(COUNTIF(IMPORTRANGE(""1SG2BnFOinBZsm3_Rx1BzD670E652svXjlzWieKobj9o"",""Form Responses 1!B:B""),A51)&gt;0,10,),0)"),10.0)</f>
        <v>10</v>
      </c>
      <c r="M51" s="60">
        <f>IFERROR(__xludf.DUMMYFUNCTION("IFERROR(VLOOKUP(A51,IMPORTRANGE(""1Zpz_ArqUHJZzCwyJqFKkEASeqFw0lZ4HLK4wQdLXj3w
"",""Form Responses 1!B:C""),2,FALSE),)"),17.0)</f>
        <v>17</v>
      </c>
      <c r="N51" s="60">
        <f>IFERROR(__xludf.DUMMYFUNCTION("IFERROR(VLOOKUP(A51,IMPORTRANGE(""1c318JgcKMkTMtHFS6SjH7x3TAnZwddcZMI9Jx-B9VOM
"",""Form Responses 1!B:C""),2,FALSE),)"),24.0)</f>
        <v>24</v>
      </c>
      <c r="O51" s="60">
        <f>IFERROR(__xludf.DUMMYFUNCTION("IFERROR(VLOOKUP(A51,IMPORTRANGE(""1kp8AvADOUteLDy1-i5F9JvR64ee_UwN5UoIn-tH5zPQ
"",""Form Responses 1!B:C""),2,FALSE),)"),21.0)</f>
        <v>21</v>
      </c>
      <c r="P51" s="60">
        <f>IFERROR(__xludf.DUMMYFUNCTION("IFERROR(VLOOKUP(A51,IMPORTRANGE(""1PSjtsRk3dryPdI2Zls_iIpRgVVwBTGQ0ryRujA_ayZ0"",""Form Responses 1!B:C""),2,FALSE),)"),14.0)</f>
        <v>14</v>
      </c>
      <c r="Q51" s="59">
        <f>IFERROR(__xludf.DUMMYFUNCTION("IFERROR(VLOOKUP(TRIM(A51),IMPORTRANGE(""1ciMZmE3_Ia8QatZf9u-RYqeCzLjcP66olwhReBx-Pwc"",""Form Responses 1!B:C""),2,0),"""")"),4.0)</f>
        <v>4</v>
      </c>
      <c r="R51" s="60">
        <f>IFERROR(__xludf.DUMMYFUNCTION("IFERROR(VLOOKUP(TRIM(A51),IMPORTRANGE(""1dEvtr9f2UAemMjkvEwBFPyuEw3YQPqez4Kgo-0l7vS4"",""Form Responses 1!B:C""),2,0),"""")"),12.0)</f>
        <v>12</v>
      </c>
      <c r="S51" s="60">
        <f>IFERROR(__xludf.DUMMYFUNCTION("IFERROR(VLOOKUP(TRIM(A51),IMPORTRANGE(""1B6nP1Ts7cF60F-9DocMTsAaVFKfuimLnUoxweBavHeU"",""Form Responses 1!B:C""),2,0),"""")"),4.0)</f>
        <v>4</v>
      </c>
      <c r="T51" s="60">
        <f>IFERROR(__xludf.DUMMYFUNCTION("IFERROR(VLOOKUP(TRIM(A51),IMPORTRANGE(""1Urfs_Vy5SE9U8tp1-UR-7FoEAxcNy8MifWBH8GiFXd8"",""Form Responses 1!B:C""),2,0),"""")"),4.0)</f>
        <v>4</v>
      </c>
      <c r="U51" s="60">
        <f>IFERROR(__xludf.DUMMYFUNCTION("IFERROR(VLOOKUP(TRIM(A51),IMPORTRANGE(""1aXWUim-N4mxaoEzA3XAIdaDH-QYLEvzF2WdP7MGXYAE"",""Form Responses 1!B:C""),2,0),"""")"),7.0)</f>
        <v>7</v>
      </c>
      <c r="V51" s="61">
        <v>6.0</v>
      </c>
      <c r="W51" s="62">
        <f>IFERROR(__xludf.DUMMYFUNCTION("IFERROR(1/(1/MAX(
  IFERROR(VLOOKUP(TRIM(A51),IMPORTRANGE(""1ZA1PTk3mXTxdasMFIUL3_HnhZbSrjlYI0jroyR74oDM"",""Form Responses 1!B:C""),2,0),),
  IFERROR(VLOOKUP(TRIM(A51),IMPORTRANGE(""197C8yvLyfR59JPOCjQdNv3jtQAWqA9lyzhiAtksREXI"",""Form Responses 1!B:C"")"&amp;",2,0),)
)),)"),9.0)</f>
        <v>9</v>
      </c>
      <c r="X51" s="62">
        <f>IFERROR(__xludf.DUMMYFUNCTION("IFERROR(VLOOKUP(TRIM(A51),IMPORTRANGE(""1S55NQGXzV1_qOWKXpsQUC871e5j71TNZ9qXJwwhlcsg"",""Form Responses 1!B:C""),2,0),"""")"),10.0)</f>
        <v>10</v>
      </c>
      <c r="Y51" s="62" t="str">
        <f>IFERROR(__xludf.DUMMYFUNCTION("IFERROR(VLOOKUP(TRIM(A51),IMPORTRANGE(""1tpV5_mFhbN6YKRuO1MZvSbUMIPr8PmwiNyIZJpY0iKs"",""Form Responses 1!B:C""),2,0),"""")"),"")</f>
        <v/>
      </c>
      <c r="Z51" s="62" t="str">
        <f>IFERROR(__xludf.DUMMYFUNCTION("IFERROR(VLOOKUP(TRIM(A51),IMPORTRANGE(""1wfMRO2uDQNJ1PCwTpHdQ8iUrPUKVHyvbfqf8TasTViU"",""Form Responses 1!B:C""),2,0),"""")"),"")</f>
        <v/>
      </c>
      <c r="AA51" s="62" t="str">
        <f>IFERROR(__xludf.DUMMYFUNCTION("IFERROR(VLOOKUP(TRIM(A51),IMPORTRANGE(""1ZOlAPpjCs7qXcQpCvrHzmJ4FOraZ9bKV8IEd78oT7sE"",""Form Responses 1!B:C""),2,0),"""")"),"")</f>
        <v/>
      </c>
      <c r="AB51" s="62">
        <f>IFERROR(__xludf.DUMMYFUNCTION("IFERROR(VLOOKUP(TRIM(A51),IMPORTRANGE(""1oPrvVT6QDWEUmx87GoqLd1CXTtfLo6WfrreUocg_I08"",""Form Responses 1!B:C""),2,0),"""")"),9.0)</f>
        <v>9</v>
      </c>
      <c r="AC51" s="62" t="str">
        <f>IFERROR(__xludf.DUMMYFUNCTION("IFERROR(VLOOKUP(TRIM(A51),IMPORTRANGE(""1WKNusCM8GAvNDFdV2AjY5sTwyti4BFZk9I1rFa74mxo"",""Form Responses 1!B:C""),2,0),"""")"),"")</f>
        <v/>
      </c>
      <c r="AD51" s="62" t="str">
        <f>IFERROR(__xludf.DUMMYFUNCTION("IFERROR(VLOOKUP(TRIM(A51),IMPORTRANGE(""1ezPhPfgGBlZIzMnymbnrUr2FhcM_6Sv_nk0hxcbuzTQ"",""Form Responses 1!B:C""),2,0),"""")"),"")</f>
        <v/>
      </c>
      <c r="AE51" s="62" t="str">
        <f>IFERROR(__xludf.DUMMYFUNCTION("IFERROR(VLOOKUP(TRIM(A51),IMPORTRANGE(""1nCvx2881PQ64OQinwpUfP8HphDEhFD0vPRxp_AAAdlM"",""Form Responses 1!B:C""),2,0),"""")"),"")</f>
        <v/>
      </c>
      <c r="AF51" s="62" t="str">
        <f>IFERROR(__xludf.DUMMYFUNCTION("IFERROR(VLOOKUP(TRIM(A51),IMPORTRANGE(""1cImVBctl3mh_jlEmJoy6CEEFe_DDCxRGkjB_Jp-qsU8"",""Form Responses 1!B:C""),2,0),"""")"),"")</f>
        <v/>
      </c>
      <c r="AG51" s="57"/>
      <c r="AH51" s="57"/>
      <c r="AI51" s="57"/>
      <c r="AJ51" s="57"/>
      <c r="AK51" s="57"/>
      <c r="AL51" s="57"/>
      <c r="AM51" s="57"/>
      <c r="AN51" s="57"/>
      <c r="AO51" s="57"/>
      <c r="AP51" s="57"/>
      <c r="AQ51" s="57"/>
      <c r="AR51" s="57"/>
      <c r="AS51" s="57"/>
      <c r="AT51" s="57"/>
      <c r="AU51" s="57"/>
      <c r="AV51" s="57"/>
      <c r="AW51" s="57"/>
      <c r="AX51" s="57"/>
      <c r="AY51" s="57"/>
      <c r="AZ51" s="57"/>
    </row>
    <row r="52">
      <c r="A52" s="57"/>
      <c r="B52" s="57"/>
      <c r="C52" s="57"/>
      <c r="D52" s="57"/>
      <c r="E52" s="57"/>
      <c r="F52" s="57"/>
      <c r="G52" s="58"/>
      <c r="H52" s="65"/>
      <c r="I52" s="65"/>
      <c r="J52" s="65"/>
      <c r="K52" s="65"/>
      <c r="L52" s="57"/>
      <c r="M52" s="57"/>
      <c r="N52" s="57"/>
      <c r="O52" s="57"/>
      <c r="P52" s="57"/>
      <c r="Q52" s="59" t="str">
        <f>IFERROR(__xludf.DUMMYFUNCTION("IFERROR(VLOOKUP(TRIM(A52),IMPORTRANGE(""1ciMZmE3_Ia8QatZf9u-RYqeCzLjcP66olwhReBx-Pwc"",""Form Responses 1!B:C""),2,0),"""")"),"")</f>
        <v/>
      </c>
      <c r="R52" s="60" t="str">
        <f>IFERROR(__xludf.DUMMYFUNCTION("IFERROR(VLOOKUP(TRIM(A52),IMPORTRANGE(""1dEvtr9f2UAemMjkvEwBFPyuEw3YQPqez4Kgo-0l7vS4"",""Form Responses 1!B:C""),2,0),"""")"),"")</f>
        <v/>
      </c>
      <c r="S52" s="60" t="str">
        <f>IFERROR(__xludf.DUMMYFUNCTION("IFERROR(VLOOKUP(TRIM(A52),IMPORTRANGE(""1B6nP1Ts7cF60F-9DocMTsAaVFKfuimLnUoxweBavHeU"",""Form Responses 1!B:C""),2,0),"""")"),"")</f>
        <v/>
      </c>
      <c r="T52" s="60" t="str">
        <f>IFERROR(__xludf.DUMMYFUNCTION("IFERROR(VLOOKUP(TRIM(A52),IMPORTRANGE(""1Urfs_Vy5SE9U8tp1-UR-7FoEAxcNy8MifWBH8GiFXd8"",""Form Responses 1!B:C""),2,0),"""")"),"")</f>
        <v/>
      </c>
      <c r="U52" s="60" t="str">
        <f>IFERROR(__xludf.DUMMYFUNCTION("IFERROR(VLOOKUP(TRIM(A52),IMPORTRANGE(""1aXWUim-N4mxaoEzA3XAIdaDH-QYLEvzF2WdP7MGXYAE"",""Form Responses 1!B:C""),2,0),"""")"),"")</f>
        <v/>
      </c>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row>
    <row r="53">
      <c r="A53" s="57"/>
      <c r="B53" s="57"/>
      <c r="C53" s="57"/>
      <c r="D53" s="57"/>
      <c r="E53" s="57"/>
      <c r="F53" s="57"/>
      <c r="G53" s="58"/>
      <c r="H53" s="65"/>
      <c r="I53" s="65"/>
      <c r="J53" s="65"/>
      <c r="K53" s="65"/>
      <c r="L53" s="57"/>
      <c r="M53" s="57"/>
      <c r="N53" s="57"/>
      <c r="O53" s="57"/>
      <c r="P53" s="57"/>
      <c r="Q53" s="59" t="str">
        <f>IFERROR(__xludf.DUMMYFUNCTION("IFERROR(VLOOKUP(TRIM(A53),IMPORTRANGE(""1ciMZmE3_Ia8QatZf9u-RYqeCzLjcP66olwhReBx-Pwc"",""Form Responses 1!B:C""),2,0),"""")"),"")</f>
        <v/>
      </c>
      <c r="R53" s="60" t="str">
        <f>IFERROR(__xludf.DUMMYFUNCTION("IFERROR(VLOOKUP(TRIM(A53),IMPORTRANGE(""1dEvtr9f2UAemMjkvEwBFPyuEw3YQPqez4Kgo-0l7vS4"",""Form Responses 1!B:C""),2,0),"""")"),"")</f>
        <v/>
      </c>
      <c r="S53" s="60" t="str">
        <f>IFERROR(__xludf.DUMMYFUNCTION("IFERROR(VLOOKUP(TRIM(A53),IMPORTRANGE(""1B6nP1Ts7cF60F-9DocMTsAaVFKfuimLnUoxweBavHeU"",""Form Responses 1!B:C""),2,0),"""")"),"")</f>
        <v/>
      </c>
      <c r="T53" s="60" t="str">
        <f>IFERROR(__xludf.DUMMYFUNCTION("IFERROR(VLOOKUP(TRIM(A53),IMPORTRANGE(""1Urfs_Vy5SE9U8tp1-UR-7FoEAxcNy8MifWBH8GiFXd8"",""Form Responses 1!B:C""),2,0),"""")"),"")</f>
        <v/>
      </c>
      <c r="U53" s="60" t="str">
        <f>IFERROR(__xludf.DUMMYFUNCTION("IFERROR(VLOOKUP(TRIM(A53),IMPORTRANGE(""1aXWUim-N4mxaoEzA3XAIdaDH-QYLEvzF2WdP7MGXYAE"",""Form Responses 1!B:C""),2,0),"""")"),"")</f>
        <v/>
      </c>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row>
    <row r="54">
      <c r="A54" s="57"/>
      <c r="B54" s="57"/>
      <c r="C54" s="57"/>
      <c r="D54" s="57"/>
      <c r="E54" s="57"/>
      <c r="F54" s="57"/>
      <c r="G54" s="58"/>
      <c r="H54" s="65"/>
      <c r="I54" s="65"/>
      <c r="J54" s="65"/>
      <c r="K54" s="65"/>
      <c r="L54" s="57"/>
      <c r="M54" s="57"/>
      <c r="N54" s="57"/>
      <c r="O54" s="57"/>
      <c r="P54" s="57"/>
      <c r="Q54" s="59" t="str">
        <f>IFERROR(__xludf.DUMMYFUNCTION("IFERROR(VLOOKUP(TRIM(A54),IMPORTRANGE(""1ciMZmE3_Ia8QatZf9u-RYqeCzLjcP66olwhReBx-Pwc"",""Form Responses 1!B:C""),2,0),"""")"),"")</f>
        <v/>
      </c>
      <c r="R54" s="60" t="str">
        <f>IFERROR(__xludf.DUMMYFUNCTION("IFERROR(VLOOKUP(TRIM(A54),IMPORTRANGE(""1dEvtr9f2UAemMjkvEwBFPyuEw3YQPqez4Kgo-0l7vS4"",""Form Responses 1!B:C""),2,0),"""")"),"")</f>
        <v/>
      </c>
      <c r="S54" s="60" t="str">
        <f>IFERROR(__xludf.DUMMYFUNCTION("IFERROR(VLOOKUP(TRIM(A54),IMPORTRANGE(""1B6nP1Ts7cF60F-9DocMTsAaVFKfuimLnUoxweBavHeU"",""Form Responses 1!B:C""),2,0),"""")"),"")</f>
        <v/>
      </c>
      <c r="T54" s="60" t="str">
        <f>IFERROR(__xludf.DUMMYFUNCTION("IFERROR(VLOOKUP(TRIM(A54),IMPORTRANGE(""1Urfs_Vy5SE9U8tp1-UR-7FoEAxcNy8MifWBH8GiFXd8"",""Form Responses 1!B:C""),2,0),"""")"),"")</f>
        <v/>
      </c>
      <c r="U54" s="60" t="str">
        <f>IFERROR(__xludf.DUMMYFUNCTION("IFERROR(VLOOKUP(TRIM(A54),IMPORTRANGE(""1aXWUim-N4mxaoEzA3XAIdaDH-QYLEvzF2WdP7MGXYAE"",""Form Responses 1!B:C""),2,0),"""")"),"")</f>
        <v/>
      </c>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row>
    <row r="55">
      <c r="A55" s="57"/>
      <c r="B55" s="57"/>
      <c r="C55" s="57"/>
      <c r="D55" s="57"/>
      <c r="E55" s="57"/>
      <c r="F55" s="57"/>
      <c r="G55" s="58"/>
      <c r="H55" s="65"/>
      <c r="I55" s="65"/>
      <c r="J55" s="65"/>
      <c r="K55" s="65"/>
      <c r="L55" s="57"/>
      <c r="M55" s="57"/>
      <c r="N55" s="57"/>
      <c r="O55" s="57"/>
      <c r="P55" s="57"/>
      <c r="Q55" s="59" t="str">
        <f>IFERROR(__xludf.DUMMYFUNCTION("IFERROR(VLOOKUP(TRIM(A55),IMPORTRANGE(""1ciMZmE3_Ia8QatZf9u-RYqeCzLjcP66olwhReBx-Pwc"",""Form Responses 1!B:C""),2,0),"""")"),"")</f>
        <v/>
      </c>
      <c r="R55" s="60" t="str">
        <f>IFERROR(__xludf.DUMMYFUNCTION("IFERROR(VLOOKUP(TRIM(A55),IMPORTRANGE(""1dEvtr9f2UAemMjkvEwBFPyuEw3YQPqez4Kgo-0l7vS4"",""Form Responses 1!B:C""),2,0),"""")"),"")</f>
        <v/>
      </c>
      <c r="S55" s="60" t="str">
        <f>IFERROR(__xludf.DUMMYFUNCTION("IFERROR(VLOOKUP(TRIM(A55),IMPORTRANGE(""1B6nP1Ts7cF60F-9DocMTsAaVFKfuimLnUoxweBavHeU"",""Form Responses 1!B:C""),2,0),"""")"),"")</f>
        <v/>
      </c>
      <c r="T55" s="60" t="str">
        <f>IFERROR(__xludf.DUMMYFUNCTION("IFERROR(VLOOKUP(TRIM(A55),IMPORTRANGE(""1Urfs_Vy5SE9U8tp1-UR-7FoEAxcNy8MifWBH8GiFXd8"",""Form Responses 1!B:C""),2,0),"""")"),"")</f>
        <v/>
      </c>
      <c r="U55" s="60" t="str">
        <f>IFERROR(__xludf.DUMMYFUNCTION("IFERROR(VLOOKUP(TRIM(A55),IMPORTRANGE(""1aXWUim-N4mxaoEzA3XAIdaDH-QYLEvzF2WdP7MGXYAE"",""Form Responses 1!B:C""),2,0),"""")"),"")</f>
        <v/>
      </c>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row>
    <row r="56">
      <c r="A56" s="57"/>
      <c r="B56" s="57"/>
      <c r="C56" s="57"/>
      <c r="D56" s="57"/>
      <c r="E56" s="57"/>
      <c r="F56" s="57"/>
      <c r="G56" s="58"/>
      <c r="H56" s="65"/>
      <c r="I56" s="65"/>
      <c r="J56" s="65"/>
      <c r="K56" s="65"/>
      <c r="L56" s="57"/>
      <c r="M56" s="57"/>
      <c r="N56" s="57"/>
      <c r="O56" s="57"/>
      <c r="P56" s="57"/>
      <c r="Q56" s="59" t="str">
        <f>IFERROR(__xludf.DUMMYFUNCTION("IFERROR(VLOOKUP(TRIM(A56),IMPORTRANGE(""1ciMZmE3_Ia8QatZf9u-RYqeCzLjcP66olwhReBx-Pwc"",""Form Responses 1!B:C""),2,0),"""")"),"")</f>
        <v/>
      </c>
      <c r="R56" s="60" t="str">
        <f>IFERROR(__xludf.DUMMYFUNCTION("IFERROR(VLOOKUP(TRIM(A56),IMPORTRANGE(""1dEvtr9f2UAemMjkvEwBFPyuEw3YQPqez4Kgo-0l7vS4"",""Form Responses 1!B:C""),2,0),"""")"),"")</f>
        <v/>
      </c>
      <c r="S56" s="60" t="str">
        <f>IFERROR(__xludf.DUMMYFUNCTION("IFERROR(VLOOKUP(TRIM(A56),IMPORTRANGE(""1B6nP1Ts7cF60F-9DocMTsAaVFKfuimLnUoxweBavHeU"",""Form Responses 1!B:C""),2,0),"""")"),"")</f>
        <v/>
      </c>
      <c r="T56" s="60" t="str">
        <f>IFERROR(__xludf.DUMMYFUNCTION("IFERROR(VLOOKUP(TRIM(A56),IMPORTRANGE(""1Urfs_Vy5SE9U8tp1-UR-7FoEAxcNy8MifWBH8GiFXd8"",""Form Responses 1!B:C""),2,0),"""")"),"")</f>
        <v/>
      </c>
      <c r="U56" s="60" t="str">
        <f>IFERROR(__xludf.DUMMYFUNCTION("IFERROR(VLOOKUP(TRIM(A56),IMPORTRANGE(""1aXWUim-N4mxaoEzA3XAIdaDH-QYLEvzF2WdP7MGXYAE"",""Form Responses 1!B:C""),2,0),"""")"),"")</f>
        <v/>
      </c>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row>
    <row r="57">
      <c r="A57" s="57"/>
      <c r="B57" s="57"/>
      <c r="C57" s="57"/>
      <c r="D57" s="57"/>
      <c r="E57" s="57"/>
      <c r="F57" s="57"/>
      <c r="G57" s="58"/>
      <c r="H57" s="65"/>
      <c r="I57" s="65"/>
      <c r="J57" s="65"/>
      <c r="K57" s="65"/>
      <c r="L57" s="57"/>
      <c r="M57" s="57"/>
      <c r="N57" s="57"/>
      <c r="O57" s="57"/>
      <c r="P57" s="57"/>
      <c r="Q57" s="59" t="str">
        <f>IFERROR(__xludf.DUMMYFUNCTION("IFERROR(VLOOKUP(TRIM(A57),IMPORTRANGE(""1ciMZmE3_Ia8QatZf9u-RYqeCzLjcP66olwhReBx-Pwc"",""Form Responses 1!B:C""),2,0),"""")"),"")</f>
        <v/>
      </c>
      <c r="R57" s="60" t="str">
        <f>IFERROR(__xludf.DUMMYFUNCTION("IFERROR(VLOOKUP(TRIM(A57),IMPORTRANGE(""1dEvtr9f2UAemMjkvEwBFPyuEw3YQPqez4Kgo-0l7vS4"",""Form Responses 1!B:C""),2,0),"""")"),"")</f>
        <v/>
      </c>
      <c r="S57" s="60" t="str">
        <f>IFERROR(__xludf.DUMMYFUNCTION("IFERROR(VLOOKUP(TRIM(A57),IMPORTRANGE(""1B6nP1Ts7cF60F-9DocMTsAaVFKfuimLnUoxweBavHeU"",""Form Responses 1!B:C""),2,0),"""")"),"")</f>
        <v/>
      </c>
      <c r="T57" s="60" t="str">
        <f>IFERROR(__xludf.DUMMYFUNCTION("IFERROR(VLOOKUP(TRIM(A57),IMPORTRANGE(""1Urfs_Vy5SE9U8tp1-UR-7FoEAxcNy8MifWBH8GiFXd8"",""Form Responses 1!B:C""),2,0),"""")"),"")</f>
        <v/>
      </c>
      <c r="U57" s="60" t="str">
        <f>IFERROR(__xludf.DUMMYFUNCTION("IFERROR(VLOOKUP(TRIM(A57),IMPORTRANGE(""1aXWUim-N4mxaoEzA3XAIdaDH-QYLEvzF2WdP7MGXYAE"",""Form Responses 1!B:C""),2,0),"""")"),"")</f>
        <v/>
      </c>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row>
    <row r="58">
      <c r="A58" s="57"/>
      <c r="B58" s="57"/>
      <c r="C58" s="57"/>
      <c r="D58" s="57"/>
      <c r="E58" s="57"/>
      <c r="F58" s="57"/>
      <c r="G58" s="58"/>
      <c r="H58" s="65"/>
      <c r="I58" s="65"/>
      <c r="J58" s="65"/>
      <c r="K58" s="65"/>
      <c r="L58" s="57"/>
      <c r="M58" s="57"/>
      <c r="N58" s="57"/>
      <c r="O58" s="57"/>
      <c r="P58" s="57"/>
      <c r="Q58" s="59" t="str">
        <f>IFERROR(__xludf.DUMMYFUNCTION("IFERROR(VLOOKUP(TRIM(A58),IMPORTRANGE(""1ciMZmE3_Ia8QatZf9u-RYqeCzLjcP66olwhReBx-Pwc"",""Form Responses 1!B:C""),2,0),"""")"),"")</f>
        <v/>
      </c>
      <c r="R58" s="60" t="str">
        <f>IFERROR(__xludf.DUMMYFUNCTION("IFERROR(VLOOKUP(TRIM(A58),IMPORTRANGE(""1dEvtr9f2UAemMjkvEwBFPyuEw3YQPqez4Kgo-0l7vS4"",""Form Responses 1!B:C""),2,0),"""")"),"")</f>
        <v/>
      </c>
      <c r="S58" s="60" t="str">
        <f>IFERROR(__xludf.DUMMYFUNCTION("IFERROR(VLOOKUP(TRIM(A58),IMPORTRANGE(""1B6nP1Ts7cF60F-9DocMTsAaVFKfuimLnUoxweBavHeU"",""Form Responses 1!B:C""),2,0),"""")"),"")</f>
        <v/>
      </c>
      <c r="T58" s="60" t="str">
        <f>IFERROR(__xludf.DUMMYFUNCTION("IFERROR(VLOOKUP(TRIM(A58),IMPORTRANGE(""1Urfs_Vy5SE9U8tp1-UR-7FoEAxcNy8MifWBH8GiFXd8"",""Form Responses 1!B:C""),2,0),"""")"),"")</f>
        <v/>
      </c>
      <c r="U58" s="60" t="str">
        <f>IFERROR(__xludf.DUMMYFUNCTION("IFERROR(VLOOKUP(TRIM(A58),IMPORTRANGE(""1aXWUim-N4mxaoEzA3XAIdaDH-QYLEvzF2WdP7MGXYAE"",""Form Responses 1!B:C""),2,0),"""")"),"")</f>
        <v/>
      </c>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row>
    <row r="59">
      <c r="A59" s="57"/>
      <c r="B59" s="57"/>
      <c r="C59" s="57"/>
      <c r="D59" s="57"/>
      <c r="E59" s="57"/>
      <c r="F59" s="57"/>
      <c r="G59" s="58"/>
      <c r="H59" s="65"/>
      <c r="I59" s="65"/>
      <c r="J59" s="65"/>
      <c r="K59" s="65"/>
      <c r="L59" s="57"/>
      <c r="M59" s="57"/>
      <c r="N59" s="57"/>
      <c r="O59" s="57"/>
      <c r="P59" s="57"/>
      <c r="Q59" s="59" t="str">
        <f>IFERROR(__xludf.DUMMYFUNCTION("IFERROR(VLOOKUP(TRIM(A59),IMPORTRANGE(""1ciMZmE3_Ia8QatZf9u-RYqeCzLjcP66olwhReBx-Pwc"",""Form Responses 1!B:C""),2,0),"""")"),"")</f>
        <v/>
      </c>
      <c r="R59" s="60" t="str">
        <f>IFERROR(__xludf.DUMMYFUNCTION("IFERROR(VLOOKUP(TRIM(A59),IMPORTRANGE(""1dEvtr9f2UAemMjkvEwBFPyuEw3YQPqez4Kgo-0l7vS4"",""Form Responses 1!B:C""),2,0),"""")"),"")</f>
        <v/>
      </c>
      <c r="S59" s="60" t="str">
        <f>IFERROR(__xludf.DUMMYFUNCTION("IFERROR(VLOOKUP(TRIM(A59),IMPORTRANGE(""1B6nP1Ts7cF60F-9DocMTsAaVFKfuimLnUoxweBavHeU"",""Form Responses 1!B:C""),2,0),"""")"),"")</f>
        <v/>
      </c>
      <c r="T59" s="60" t="str">
        <f>IFERROR(__xludf.DUMMYFUNCTION("IFERROR(VLOOKUP(TRIM(A59),IMPORTRANGE(""1Urfs_Vy5SE9U8tp1-UR-7FoEAxcNy8MifWBH8GiFXd8"",""Form Responses 1!B:C""),2,0),"""")"),"")</f>
        <v/>
      </c>
      <c r="U59" s="60" t="str">
        <f>IFERROR(__xludf.DUMMYFUNCTION("IFERROR(VLOOKUP(TRIM(A59),IMPORTRANGE(""1aXWUim-N4mxaoEzA3XAIdaDH-QYLEvzF2WdP7MGXYAE"",""Form Responses 1!B:C""),2,0),"""")"),"")</f>
        <v/>
      </c>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row>
    <row r="60">
      <c r="A60" s="57"/>
      <c r="B60" s="57"/>
      <c r="C60" s="57"/>
      <c r="D60" s="57"/>
      <c r="E60" s="57"/>
      <c r="F60" s="57"/>
      <c r="G60" s="58"/>
      <c r="H60" s="65"/>
      <c r="I60" s="65"/>
      <c r="J60" s="65"/>
      <c r="K60" s="65"/>
      <c r="L60" s="57"/>
      <c r="M60" s="57"/>
      <c r="N60" s="57"/>
      <c r="O60" s="57"/>
      <c r="P60" s="57"/>
      <c r="Q60" s="59" t="str">
        <f>IFERROR(__xludf.DUMMYFUNCTION("IFERROR(VLOOKUP(TRIM(A60),IMPORTRANGE(""1ciMZmE3_Ia8QatZf9u-RYqeCzLjcP66olwhReBx-Pwc"",""Form Responses 1!B:C""),2,0),"""")"),"")</f>
        <v/>
      </c>
      <c r="R60" s="60" t="str">
        <f>IFERROR(__xludf.DUMMYFUNCTION("IFERROR(VLOOKUP(TRIM(A60),IMPORTRANGE(""1dEvtr9f2UAemMjkvEwBFPyuEw3YQPqez4Kgo-0l7vS4"",""Form Responses 1!B:C""),2,0),"""")"),"")</f>
        <v/>
      </c>
      <c r="S60" s="60" t="str">
        <f>IFERROR(__xludf.DUMMYFUNCTION("IFERROR(VLOOKUP(TRIM(A60),IMPORTRANGE(""1B6nP1Ts7cF60F-9DocMTsAaVFKfuimLnUoxweBavHeU"",""Form Responses 1!B:C""),2,0),"""")"),"")</f>
        <v/>
      </c>
      <c r="T60" s="60" t="str">
        <f>IFERROR(__xludf.DUMMYFUNCTION("IFERROR(VLOOKUP(TRIM(A60),IMPORTRANGE(""1Urfs_Vy5SE9U8tp1-UR-7FoEAxcNy8MifWBH8GiFXd8"",""Form Responses 1!B:C""),2,0),"""")"),"")</f>
        <v/>
      </c>
      <c r="U60" s="60" t="str">
        <f>IFERROR(__xludf.DUMMYFUNCTION("IFERROR(VLOOKUP(TRIM(A60),IMPORTRANGE(""1aXWUim-N4mxaoEzA3XAIdaDH-QYLEvzF2WdP7MGXYAE"",""Form Responses 1!B:C""),2,0),"""")"),"")</f>
        <v/>
      </c>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row>
    <row r="61">
      <c r="A61" s="57"/>
      <c r="B61" s="57"/>
      <c r="C61" s="57"/>
      <c r="D61" s="57"/>
      <c r="E61" s="57"/>
      <c r="F61" s="57"/>
      <c r="G61" s="58"/>
      <c r="H61" s="65"/>
      <c r="I61" s="65"/>
      <c r="J61" s="65"/>
      <c r="K61" s="65"/>
      <c r="L61" s="57"/>
      <c r="M61" s="57"/>
      <c r="N61" s="57"/>
      <c r="O61" s="57"/>
      <c r="P61" s="57"/>
      <c r="Q61" s="59" t="str">
        <f>IFERROR(__xludf.DUMMYFUNCTION("IFERROR(VLOOKUP(TRIM(A61),IMPORTRANGE(""1ciMZmE3_Ia8QatZf9u-RYqeCzLjcP66olwhReBx-Pwc"",""Form Responses 1!B:C""),2,0),"""")"),"")</f>
        <v/>
      </c>
      <c r="R61" s="60" t="str">
        <f>IFERROR(__xludf.DUMMYFUNCTION("IFERROR(VLOOKUP(TRIM(A61),IMPORTRANGE(""1dEvtr9f2UAemMjkvEwBFPyuEw3YQPqez4Kgo-0l7vS4"",""Form Responses 1!B:C""),2,0),"""")"),"")</f>
        <v/>
      </c>
      <c r="S61" s="60" t="str">
        <f>IFERROR(__xludf.DUMMYFUNCTION("IFERROR(VLOOKUP(TRIM(A61),IMPORTRANGE(""1B6nP1Ts7cF60F-9DocMTsAaVFKfuimLnUoxweBavHeU"",""Form Responses 1!B:C""),2,0),"""")"),"")</f>
        <v/>
      </c>
      <c r="T61" s="60" t="str">
        <f>IFERROR(__xludf.DUMMYFUNCTION("IFERROR(VLOOKUP(TRIM(A61),IMPORTRANGE(""1Urfs_Vy5SE9U8tp1-UR-7FoEAxcNy8MifWBH8GiFXd8"",""Form Responses 1!B:C""),2,0),"""")"),"")</f>
        <v/>
      </c>
      <c r="U61" s="60" t="str">
        <f>IFERROR(__xludf.DUMMYFUNCTION("IFERROR(VLOOKUP(TRIM(A61),IMPORTRANGE(""1aXWUim-N4mxaoEzA3XAIdaDH-QYLEvzF2WdP7MGXYAE"",""Form Responses 1!B:C""),2,0),"""")"),"")</f>
        <v/>
      </c>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row>
    <row r="62">
      <c r="A62" s="57"/>
      <c r="B62" s="57"/>
      <c r="C62" s="57"/>
      <c r="D62" s="57"/>
      <c r="E62" s="57"/>
      <c r="F62" s="57"/>
      <c r="G62" s="58"/>
      <c r="H62" s="65"/>
      <c r="I62" s="65"/>
      <c r="J62" s="65"/>
      <c r="K62" s="65"/>
      <c r="L62" s="57"/>
      <c r="M62" s="57"/>
      <c r="N62" s="57"/>
      <c r="O62" s="57"/>
      <c r="P62" s="57"/>
      <c r="Q62" s="59" t="str">
        <f>IFERROR(__xludf.DUMMYFUNCTION("IFERROR(VLOOKUP(TRIM(A62),IMPORTRANGE(""1ciMZmE3_Ia8QatZf9u-RYqeCzLjcP66olwhReBx-Pwc"",""Form Responses 1!B:C""),2,0),"""")"),"")</f>
        <v/>
      </c>
      <c r="R62" s="60" t="str">
        <f>IFERROR(__xludf.DUMMYFUNCTION("IFERROR(VLOOKUP(TRIM(A62),IMPORTRANGE(""1dEvtr9f2UAemMjkvEwBFPyuEw3YQPqez4Kgo-0l7vS4"",""Form Responses 1!B:C""),2,0),"""")"),"")</f>
        <v/>
      </c>
      <c r="S62" s="60" t="str">
        <f>IFERROR(__xludf.DUMMYFUNCTION("IFERROR(VLOOKUP(TRIM(A62),IMPORTRANGE(""1B6nP1Ts7cF60F-9DocMTsAaVFKfuimLnUoxweBavHeU"",""Form Responses 1!B:C""),2,0),"""")"),"")</f>
        <v/>
      </c>
      <c r="T62" s="60" t="str">
        <f>IFERROR(__xludf.DUMMYFUNCTION("IFERROR(VLOOKUP(TRIM(A62),IMPORTRANGE(""1Urfs_Vy5SE9U8tp1-UR-7FoEAxcNy8MifWBH8GiFXd8"",""Form Responses 1!B:C""),2,0),"""")"),"")</f>
        <v/>
      </c>
      <c r="U62" s="60" t="str">
        <f>IFERROR(__xludf.DUMMYFUNCTION("IFERROR(VLOOKUP(TRIM(A62),IMPORTRANGE(""1aXWUim-N4mxaoEzA3XAIdaDH-QYLEvzF2WdP7MGXYAE"",""Form Responses 1!B:C""),2,0),"""")"),"")</f>
        <v/>
      </c>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row>
    <row r="63">
      <c r="A63" s="57"/>
      <c r="B63" s="57"/>
      <c r="C63" s="57"/>
      <c r="D63" s="57"/>
      <c r="E63" s="57"/>
      <c r="F63" s="57"/>
      <c r="G63" s="58"/>
      <c r="H63" s="65"/>
      <c r="I63" s="65"/>
      <c r="J63" s="65"/>
      <c r="K63" s="65"/>
      <c r="L63" s="57"/>
      <c r="M63" s="57"/>
      <c r="N63" s="57"/>
      <c r="O63" s="57"/>
      <c r="P63" s="57"/>
      <c r="Q63" s="59" t="str">
        <f>IFERROR(__xludf.DUMMYFUNCTION("IFERROR(VLOOKUP(TRIM(A63),IMPORTRANGE(""1ciMZmE3_Ia8QatZf9u-RYqeCzLjcP66olwhReBx-Pwc"",""Form Responses 1!B:C""),2,0),"""")"),"")</f>
        <v/>
      </c>
      <c r="R63" s="60" t="str">
        <f>IFERROR(__xludf.DUMMYFUNCTION("IFERROR(VLOOKUP(TRIM(A63),IMPORTRANGE(""1dEvtr9f2UAemMjkvEwBFPyuEw3YQPqez4Kgo-0l7vS4"",""Form Responses 1!B:C""),2,0),"""")"),"")</f>
        <v/>
      </c>
      <c r="S63" s="60" t="str">
        <f>IFERROR(__xludf.DUMMYFUNCTION("IFERROR(VLOOKUP(TRIM(A63),IMPORTRANGE(""1B6nP1Ts7cF60F-9DocMTsAaVFKfuimLnUoxweBavHeU"",""Form Responses 1!B:C""),2,0),"""")"),"")</f>
        <v/>
      </c>
      <c r="T63" s="60" t="str">
        <f>IFERROR(__xludf.DUMMYFUNCTION("IFERROR(VLOOKUP(TRIM(A63),IMPORTRANGE(""1Urfs_Vy5SE9U8tp1-UR-7FoEAxcNy8MifWBH8GiFXd8"",""Form Responses 1!B:C""),2,0),"""")"),"")</f>
        <v/>
      </c>
      <c r="U63" s="60" t="str">
        <f>IFERROR(__xludf.DUMMYFUNCTION("IFERROR(VLOOKUP(TRIM(A63),IMPORTRANGE(""1aXWUim-N4mxaoEzA3XAIdaDH-QYLEvzF2WdP7MGXYAE"",""Form Responses 1!B:C""),2,0),"""")"),"")</f>
        <v/>
      </c>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row>
    <row r="64">
      <c r="A64" s="57"/>
      <c r="B64" s="57"/>
      <c r="C64" s="57"/>
      <c r="D64" s="57"/>
      <c r="E64" s="57"/>
      <c r="F64" s="57"/>
      <c r="G64" s="58"/>
      <c r="H64" s="65"/>
      <c r="I64" s="65"/>
      <c r="J64" s="65"/>
      <c r="K64" s="65"/>
      <c r="L64" s="57"/>
      <c r="M64" s="57"/>
      <c r="N64" s="57"/>
      <c r="O64" s="57"/>
      <c r="P64" s="57"/>
      <c r="Q64" s="59" t="str">
        <f>IFERROR(__xludf.DUMMYFUNCTION("IFERROR(VLOOKUP(TRIM(A64),IMPORTRANGE(""1ciMZmE3_Ia8QatZf9u-RYqeCzLjcP66olwhReBx-Pwc"",""Form Responses 1!B:C""),2,0),"""")"),"")</f>
        <v/>
      </c>
      <c r="R64" s="60" t="str">
        <f>IFERROR(__xludf.DUMMYFUNCTION("IFERROR(VLOOKUP(TRIM(A64),IMPORTRANGE(""1dEvtr9f2UAemMjkvEwBFPyuEw3YQPqez4Kgo-0l7vS4"",""Form Responses 1!B:C""),2,0),"""")"),"")</f>
        <v/>
      </c>
      <c r="S64" s="60" t="str">
        <f>IFERROR(__xludf.DUMMYFUNCTION("IFERROR(VLOOKUP(TRIM(A64),IMPORTRANGE(""1B6nP1Ts7cF60F-9DocMTsAaVFKfuimLnUoxweBavHeU"",""Form Responses 1!B:C""),2,0),"""")"),"")</f>
        <v/>
      </c>
      <c r="T64" s="60" t="str">
        <f>IFERROR(__xludf.DUMMYFUNCTION("IFERROR(VLOOKUP(TRIM(A64),IMPORTRANGE(""1Urfs_Vy5SE9U8tp1-UR-7FoEAxcNy8MifWBH8GiFXd8"",""Form Responses 1!B:C""),2,0),"""")"),"")</f>
        <v/>
      </c>
      <c r="U64" s="60" t="str">
        <f>IFERROR(__xludf.DUMMYFUNCTION("IFERROR(VLOOKUP(TRIM(A64),IMPORTRANGE(""1aXWUim-N4mxaoEzA3XAIdaDH-QYLEvzF2WdP7MGXYAE"",""Form Responses 1!B:C""),2,0),"""")"),"")</f>
        <v/>
      </c>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row>
    <row r="65">
      <c r="A65" s="57"/>
      <c r="B65" s="57"/>
      <c r="C65" s="57"/>
      <c r="D65" s="57"/>
      <c r="E65" s="57"/>
      <c r="F65" s="57"/>
      <c r="G65" s="58"/>
      <c r="H65" s="65"/>
      <c r="I65" s="65"/>
      <c r="J65" s="65"/>
      <c r="K65" s="65"/>
      <c r="L65" s="57"/>
      <c r="M65" s="57"/>
      <c r="N65" s="57"/>
      <c r="O65" s="57"/>
      <c r="P65" s="57"/>
      <c r="Q65" s="59" t="str">
        <f>IFERROR(__xludf.DUMMYFUNCTION("IFERROR(VLOOKUP(TRIM(A65),IMPORTRANGE(""1ciMZmE3_Ia8QatZf9u-RYqeCzLjcP66olwhReBx-Pwc"",""Form Responses 1!B:C""),2,0),"""")"),"")</f>
        <v/>
      </c>
      <c r="R65" s="60" t="str">
        <f>IFERROR(__xludf.DUMMYFUNCTION("IFERROR(VLOOKUP(TRIM(A65),IMPORTRANGE(""1dEvtr9f2UAemMjkvEwBFPyuEw3YQPqez4Kgo-0l7vS4"",""Form Responses 1!B:C""),2,0),"""")"),"")</f>
        <v/>
      </c>
      <c r="S65" s="60" t="str">
        <f>IFERROR(__xludf.DUMMYFUNCTION("IFERROR(VLOOKUP(TRIM(A65),IMPORTRANGE(""1B6nP1Ts7cF60F-9DocMTsAaVFKfuimLnUoxweBavHeU"",""Form Responses 1!B:C""),2,0),"""")"),"")</f>
        <v/>
      </c>
      <c r="T65" s="60" t="str">
        <f>IFERROR(__xludf.DUMMYFUNCTION("IFERROR(VLOOKUP(TRIM(A65),IMPORTRANGE(""1Urfs_Vy5SE9U8tp1-UR-7FoEAxcNy8MifWBH8GiFXd8"",""Form Responses 1!B:C""),2,0),"""")"),"")</f>
        <v/>
      </c>
      <c r="U65" s="60" t="str">
        <f>IFERROR(__xludf.DUMMYFUNCTION("IFERROR(VLOOKUP(TRIM(A65),IMPORTRANGE(""1aXWUim-N4mxaoEzA3XAIdaDH-QYLEvzF2WdP7MGXYAE"",""Form Responses 1!B:C""),2,0),"""")"),"")</f>
        <v/>
      </c>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row>
    <row r="66">
      <c r="A66" s="57"/>
      <c r="B66" s="57"/>
      <c r="C66" s="57"/>
      <c r="D66" s="57"/>
      <c r="E66" s="57"/>
      <c r="F66" s="57"/>
      <c r="G66" s="58"/>
      <c r="H66" s="65"/>
      <c r="I66" s="65"/>
      <c r="J66" s="65"/>
      <c r="K66" s="65"/>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row>
    <row r="67">
      <c r="A67" s="57"/>
      <c r="B67" s="57"/>
      <c r="C67" s="57"/>
      <c r="D67" s="57"/>
      <c r="E67" s="57"/>
      <c r="F67" s="57"/>
      <c r="G67" s="58"/>
      <c r="H67" s="65"/>
      <c r="I67" s="65"/>
      <c r="J67" s="65"/>
      <c r="K67" s="65"/>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row>
    <row r="68">
      <c r="A68" s="57"/>
      <c r="B68" s="57"/>
      <c r="C68" s="57"/>
      <c r="D68" s="57"/>
      <c r="E68" s="57"/>
      <c r="F68" s="57"/>
      <c r="G68" s="58"/>
      <c r="H68" s="65"/>
      <c r="I68" s="65"/>
      <c r="J68" s="65"/>
      <c r="K68" s="65"/>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row>
    <row r="69">
      <c r="A69" s="57"/>
      <c r="B69" s="57"/>
      <c r="C69" s="57"/>
      <c r="D69" s="57"/>
      <c r="E69" s="57"/>
      <c r="F69" s="57"/>
      <c r="G69" s="58"/>
      <c r="H69" s="65"/>
      <c r="I69" s="65"/>
      <c r="J69" s="65"/>
      <c r="K69" s="65"/>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row>
    <row r="70">
      <c r="A70" s="57"/>
      <c r="B70" s="57"/>
      <c r="C70" s="57"/>
      <c r="D70" s="57"/>
      <c r="E70" s="57"/>
      <c r="F70" s="57"/>
      <c r="G70" s="58"/>
      <c r="H70" s="65"/>
      <c r="I70" s="65"/>
      <c r="J70" s="65"/>
      <c r="K70" s="65"/>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row>
    <row r="71">
      <c r="A71" s="57"/>
      <c r="B71" s="57"/>
      <c r="C71" s="57"/>
      <c r="D71" s="57"/>
      <c r="E71" s="57"/>
      <c r="F71" s="57"/>
      <c r="G71" s="58"/>
      <c r="H71" s="65"/>
      <c r="I71" s="65"/>
      <c r="J71" s="65"/>
      <c r="K71" s="65"/>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row>
    <row r="72">
      <c r="A72" s="57"/>
      <c r="B72" s="57"/>
      <c r="C72" s="57"/>
      <c r="D72" s="57"/>
      <c r="E72" s="57"/>
      <c r="F72" s="57"/>
      <c r="G72" s="58"/>
      <c r="H72" s="65"/>
      <c r="I72" s="65"/>
      <c r="J72" s="65"/>
      <c r="K72" s="65"/>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row>
    <row r="73">
      <c r="A73" s="57"/>
      <c r="B73" s="57"/>
      <c r="C73" s="57"/>
      <c r="D73" s="57"/>
      <c r="E73" s="57"/>
      <c r="F73" s="57"/>
      <c r="G73" s="58"/>
      <c r="H73" s="65"/>
      <c r="I73" s="65"/>
      <c r="J73" s="65"/>
      <c r="K73" s="65"/>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row>
    <row r="74">
      <c r="A74" s="57"/>
      <c r="B74" s="57"/>
      <c r="C74" s="57"/>
      <c r="D74" s="57"/>
      <c r="E74" s="57"/>
      <c r="F74" s="57"/>
      <c r="G74" s="58"/>
      <c r="H74" s="65"/>
      <c r="I74" s="65"/>
      <c r="J74" s="65"/>
      <c r="K74" s="65"/>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row>
    <row r="75">
      <c r="A75" s="57"/>
      <c r="B75" s="57"/>
      <c r="C75" s="57"/>
      <c r="D75" s="57"/>
      <c r="E75" s="57"/>
      <c r="F75" s="57"/>
      <c r="G75" s="58"/>
      <c r="H75" s="65"/>
      <c r="I75" s="65"/>
      <c r="J75" s="65"/>
      <c r="K75" s="65"/>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row>
    <row r="76">
      <c r="A76" s="57"/>
      <c r="B76" s="57"/>
      <c r="C76" s="57"/>
      <c r="D76" s="57"/>
      <c r="E76" s="57"/>
      <c r="F76" s="57"/>
      <c r="G76" s="58"/>
      <c r="H76" s="65"/>
      <c r="I76" s="65"/>
      <c r="J76" s="65"/>
      <c r="K76" s="65"/>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row>
    <row r="77">
      <c r="A77" s="57"/>
      <c r="B77" s="57"/>
      <c r="C77" s="57"/>
      <c r="D77" s="57"/>
      <c r="E77" s="57"/>
      <c r="F77" s="57"/>
      <c r="G77" s="58"/>
      <c r="H77" s="65"/>
      <c r="I77" s="65"/>
      <c r="J77" s="65"/>
      <c r="K77" s="65"/>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row>
    <row r="78">
      <c r="A78" s="57"/>
      <c r="B78" s="57"/>
      <c r="C78" s="57"/>
      <c r="D78" s="57"/>
      <c r="E78" s="57"/>
      <c r="F78" s="57"/>
      <c r="G78" s="58"/>
      <c r="H78" s="65"/>
      <c r="I78" s="65"/>
      <c r="J78" s="65"/>
      <c r="K78" s="65"/>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row>
    <row r="79">
      <c r="A79" s="57"/>
      <c r="B79" s="57"/>
      <c r="C79" s="57"/>
      <c r="D79" s="57"/>
      <c r="E79" s="57"/>
      <c r="F79" s="57"/>
      <c r="G79" s="58"/>
      <c r="H79" s="65"/>
      <c r="I79" s="65"/>
      <c r="J79" s="65"/>
      <c r="K79" s="65"/>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row>
    <row r="80">
      <c r="A80" s="57"/>
      <c r="B80" s="57"/>
      <c r="C80" s="57"/>
      <c r="D80" s="57"/>
      <c r="E80" s="57"/>
      <c r="F80" s="57"/>
      <c r="G80" s="58"/>
      <c r="H80" s="65"/>
      <c r="I80" s="65"/>
      <c r="J80" s="65"/>
      <c r="K80" s="65"/>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row>
    <row r="81">
      <c r="A81" s="57"/>
      <c r="B81" s="57"/>
      <c r="C81" s="57"/>
      <c r="D81" s="57"/>
      <c r="E81" s="57"/>
      <c r="F81" s="57"/>
      <c r="G81" s="58"/>
      <c r="H81" s="65"/>
      <c r="I81" s="65"/>
      <c r="J81" s="65"/>
      <c r="K81" s="65"/>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row>
    <row r="82">
      <c r="A82" s="57"/>
      <c r="B82" s="57"/>
      <c r="C82" s="57"/>
      <c r="D82" s="57"/>
      <c r="E82" s="57"/>
      <c r="F82" s="57"/>
      <c r="G82" s="58"/>
      <c r="H82" s="65"/>
      <c r="I82" s="65"/>
      <c r="J82" s="65"/>
      <c r="K82" s="65"/>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row>
    <row r="83">
      <c r="A83" s="57"/>
      <c r="B83" s="57"/>
      <c r="C83" s="57"/>
      <c r="D83" s="57"/>
      <c r="E83" s="57"/>
      <c r="F83" s="57"/>
      <c r="G83" s="58"/>
      <c r="H83" s="65"/>
      <c r="I83" s="65"/>
      <c r="J83" s="65"/>
      <c r="K83" s="65"/>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row>
    <row r="84">
      <c r="A84" s="57"/>
      <c r="B84" s="57"/>
      <c r="C84" s="57"/>
      <c r="D84" s="57"/>
      <c r="E84" s="57"/>
      <c r="F84" s="57"/>
      <c r="G84" s="58"/>
      <c r="H84" s="65"/>
      <c r="I84" s="65"/>
      <c r="J84" s="65"/>
      <c r="K84" s="65"/>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row>
    <row r="85">
      <c r="A85" s="57"/>
      <c r="B85" s="57"/>
      <c r="C85" s="57"/>
      <c r="D85" s="57"/>
      <c r="E85" s="57"/>
      <c r="F85" s="57"/>
      <c r="G85" s="58"/>
      <c r="H85" s="65"/>
      <c r="I85" s="65"/>
      <c r="J85" s="65"/>
      <c r="K85" s="65"/>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row>
    <row r="86">
      <c r="A86" s="57"/>
      <c r="B86" s="57"/>
      <c r="C86" s="57"/>
      <c r="D86" s="57"/>
      <c r="E86" s="57"/>
      <c r="F86" s="57"/>
      <c r="G86" s="58"/>
      <c r="H86" s="65"/>
      <c r="I86" s="65"/>
      <c r="J86" s="65"/>
      <c r="K86" s="65"/>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row>
    <row r="87">
      <c r="A87" s="57"/>
      <c r="B87" s="57"/>
      <c r="C87" s="57"/>
      <c r="D87" s="57"/>
      <c r="E87" s="57"/>
      <c r="F87" s="57"/>
      <c r="G87" s="58"/>
      <c r="H87" s="65"/>
      <c r="I87" s="65"/>
      <c r="J87" s="65"/>
      <c r="K87" s="65"/>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row>
    <row r="88">
      <c r="A88" s="57"/>
      <c r="B88" s="57"/>
      <c r="C88" s="57"/>
      <c r="D88" s="57"/>
      <c r="E88" s="57"/>
      <c r="F88" s="57"/>
      <c r="G88" s="58"/>
      <c r="H88" s="65"/>
      <c r="I88" s="65"/>
      <c r="J88" s="65"/>
      <c r="K88" s="65"/>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row>
    <row r="89">
      <c r="A89" s="57"/>
      <c r="B89" s="57"/>
      <c r="C89" s="57"/>
      <c r="D89" s="57"/>
      <c r="E89" s="57"/>
      <c r="F89" s="57"/>
      <c r="G89" s="58"/>
      <c r="H89" s="65"/>
      <c r="I89" s="65"/>
      <c r="J89" s="65"/>
      <c r="K89" s="65"/>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row>
    <row r="90">
      <c r="A90" s="57"/>
      <c r="B90" s="57"/>
      <c r="C90" s="57"/>
      <c r="D90" s="57"/>
      <c r="E90" s="57"/>
      <c r="F90" s="57"/>
      <c r="G90" s="58"/>
      <c r="H90" s="65"/>
      <c r="I90" s="65"/>
      <c r="J90" s="65"/>
      <c r="K90" s="65"/>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row>
    <row r="91">
      <c r="A91" s="57"/>
      <c r="B91" s="57"/>
      <c r="C91" s="57"/>
      <c r="D91" s="57"/>
      <c r="E91" s="57"/>
      <c r="F91" s="57"/>
      <c r="G91" s="58"/>
      <c r="H91" s="65"/>
      <c r="I91" s="65"/>
      <c r="J91" s="65"/>
      <c r="K91" s="65"/>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row>
    <row r="92">
      <c r="A92" s="57"/>
      <c r="B92" s="57"/>
      <c r="C92" s="57"/>
      <c r="D92" s="57"/>
      <c r="E92" s="57"/>
      <c r="F92" s="57"/>
      <c r="G92" s="58"/>
      <c r="H92" s="65"/>
      <c r="I92" s="65"/>
      <c r="J92" s="65"/>
      <c r="K92" s="65"/>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row>
    <row r="93">
      <c r="A93" s="57"/>
      <c r="B93" s="57"/>
      <c r="C93" s="57"/>
      <c r="D93" s="57"/>
      <c r="E93" s="57"/>
      <c r="F93" s="57"/>
      <c r="G93" s="58"/>
      <c r="H93" s="65"/>
      <c r="I93" s="65"/>
      <c r="J93" s="65"/>
      <c r="K93" s="65"/>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row>
    <row r="94">
      <c r="A94" s="57"/>
      <c r="B94" s="57"/>
      <c r="C94" s="57"/>
      <c r="D94" s="57"/>
      <c r="E94" s="57"/>
      <c r="F94" s="57"/>
      <c r="G94" s="58"/>
      <c r="H94" s="65"/>
      <c r="I94" s="65"/>
      <c r="J94" s="65"/>
      <c r="K94" s="65"/>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row>
    <row r="95">
      <c r="A95" s="57"/>
      <c r="B95" s="57"/>
      <c r="C95" s="57"/>
      <c r="D95" s="57"/>
      <c r="E95" s="57"/>
      <c r="F95" s="57"/>
      <c r="G95" s="58"/>
      <c r="H95" s="65"/>
      <c r="I95" s="65"/>
      <c r="J95" s="65"/>
      <c r="K95" s="65"/>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row>
    <row r="96">
      <c r="A96" s="57"/>
      <c r="B96" s="57"/>
      <c r="C96" s="57"/>
      <c r="D96" s="57"/>
      <c r="E96" s="57"/>
      <c r="F96" s="57"/>
      <c r="G96" s="58"/>
      <c r="H96" s="65"/>
      <c r="I96" s="65"/>
      <c r="J96" s="65"/>
      <c r="K96" s="65"/>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row>
    <row r="97">
      <c r="A97" s="57"/>
      <c r="B97" s="57"/>
      <c r="C97" s="57"/>
      <c r="D97" s="57"/>
      <c r="E97" s="57"/>
      <c r="F97" s="57"/>
      <c r="G97" s="58"/>
      <c r="H97" s="65"/>
      <c r="I97" s="65"/>
      <c r="J97" s="65"/>
      <c r="K97" s="65"/>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row>
    <row r="98">
      <c r="A98" s="57"/>
      <c r="B98" s="57"/>
      <c r="C98" s="57"/>
      <c r="D98" s="57"/>
      <c r="E98" s="57"/>
      <c r="F98" s="57"/>
      <c r="G98" s="58"/>
      <c r="H98" s="65"/>
      <c r="I98" s="65"/>
      <c r="J98" s="65"/>
      <c r="K98" s="65"/>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row>
    <row r="99">
      <c r="A99" s="57"/>
      <c r="B99" s="57"/>
      <c r="C99" s="57"/>
      <c r="D99" s="57"/>
      <c r="E99" s="57"/>
      <c r="F99" s="57"/>
      <c r="G99" s="58"/>
      <c r="H99" s="65"/>
      <c r="I99" s="65"/>
      <c r="J99" s="65"/>
      <c r="K99" s="65"/>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row>
    <row r="100">
      <c r="A100" s="57"/>
      <c r="B100" s="57"/>
      <c r="C100" s="57"/>
      <c r="D100" s="57"/>
      <c r="E100" s="57"/>
      <c r="F100" s="57"/>
      <c r="G100" s="58"/>
      <c r="H100" s="65"/>
      <c r="I100" s="65"/>
      <c r="J100" s="65"/>
      <c r="K100" s="65"/>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row>
    <row r="101">
      <c r="A101" s="57"/>
      <c r="B101" s="57"/>
      <c r="C101" s="57"/>
      <c r="D101" s="57"/>
      <c r="E101" s="57"/>
      <c r="F101" s="57"/>
      <c r="G101" s="58"/>
      <c r="H101" s="65"/>
      <c r="I101" s="65"/>
      <c r="J101" s="65"/>
      <c r="K101" s="65"/>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row>
    <row r="102">
      <c r="A102" s="57"/>
      <c r="B102" s="57"/>
      <c r="C102" s="57"/>
      <c r="D102" s="57"/>
      <c r="E102" s="57"/>
      <c r="F102" s="57"/>
      <c r="G102" s="58"/>
      <c r="H102" s="65"/>
      <c r="I102" s="65"/>
      <c r="J102" s="65"/>
      <c r="K102" s="65"/>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row>
    <row r="103">
      <c r="A103" s="57"/>
      <c r="B103" s="57"/>
      <c r="C103" s="57"/>
      <c r="D103" s="57"/>
      <c r="E103" s="57"/>
      <c r="F103" s="57"/>
      <c r="G103" s="58"/>
      <c r="H103" s="65"/>
      <c r="I103" s="65"/>
      <c r="J103" s="65"/>
      <c r="K103" s="65"/>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row>
    <row r="104">
      <c r="A104" s="57"/>
      <c r="B104" s="57"/>
      <c r="C104" s="57"/>
      <c r="D104" s="57"/>
      <c r="E104" s="57"/>
      <c r="F104" s="57"/>
      <c r="G104" s="58"/>
      <c r="H104" s="65"/>
      <c r="I104" s="65"/>
      <c r="J104" s="65"/>
      <c r="K104" s="65"/>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row>
    <row r="105">
      <c r="A105" s="57"/>
      <c r="B105" s="57"/>
      <c r="C105" s="57"/>
      <c r="D105" s="57"/>
      <c r="E105" s="57"/>
      <c r="F105" s="57"/>
      <c r="G105" s="58"/>
      <c r="H105" s="65"/>
      <c r="I105" s="65"/>
      <c r="J105" s="65"/>
      <c r="K105" s="65"/>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row>
    <row r="106">
      <c r="A106" s="57"/>
      <c r="B106" s="57"/>
      <c r="C106" s="57"/>
      <c r="D106" s="57"/>
      <c r="E106" s="57"/>
      <c r="F106" s="57"/>
      <c r="G106" s="58"/>
      <c r="H106" s="65"/>
      <c r="I106" s="65"/>
      <c r="J106" s="65"/>
      <c r="K106" s="65"/>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row>
    <row r="107">
      <c r="A107" s="57"/>
      <c r="B107" s="57"/>
      <c r="C107" s="57"/>
      <c r="D107" s="57"/>
      <c r="E107" s="57"/>
      <c r="F107" s="57"/>
      <c r="G107" s="58"/>
      <c r="H107" s="65"/>
      <c r="I107" s="65"/>
      <c r="J107" s="65"/>
      <c r="K107" s="65"/>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row>
    <row r="108">
      <c r="A108" s="57"/>
      <c r="B108" s="57"/>
      <c r="C108" s="57"/>
      <c r="D108" s="57"/>
      <c r="E108" s="57"/>
      <c r="F108" s="57"/>
      <c r="G108" s="58"/>
      <c r="H108" s="65"/>
      <c r="I108" s="65"/>
      <c r="J108" s="65"/>
      <c r="K108" s="65"/>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row>
    <row r="109">
      <c r="A109" s="57"/>
      <c r="B109" s="57"/>
      <c r="C109" s="57"/>
      <c r="D109" s="57"/>
      <c r="E109" s="57"/>
      <c r="F109" s="57"/>
      <c r="G109" s="58"/>
      <c r="H109" s="65"/>
      <c r="I109" s="65"/>
      <c r="J109" s="65"/>
      <c r="K109" s="65"/>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row>
    <row r="110">
      <c r="A110" s="57"/>
      <c r="B110" s="57"/>
      <c r="C110" s="57"/>
      <c r="D110" s="57"/>
      <c r="E110" s="57"/>
      <c r="F110" s="57"/>
      <c r="G110" s="58"/>
      <c r="H110" s="65"/>
      <c r="I110" s="65"/>
      <c r="J110" s="65"/>
      <c r="K110" s="65"/>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row>
    <row r="111">
      <c r="A111" s="57"/>
      <c r="B111" s="57"/>
      <c r="C111" s="57"/>
      <c r="D111" s="57"/>
      <c r="E111" s="57"/>
      <c r="F111" s="57"/>
      <c r="G111" s="58"/>
      <c r="H111" s="65"/>
      <c r="I111" s="65"/>
      <c r="J111" s="65"/>
      <c r="K111" s="65"/>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row>
    <row r="112">
      <c r="A112" s="57"/>
      <c r="B112" s="57"/>
      <c r="C112" s="57"/>
      <c r="D112" s="57"/>
      <c r="E112" s="57"/>
      <c r="F112" s="57"/>
      <c r="G112" s="58"/>
      <c r="H112" s="65"/>
      <c r="I112" s="65"/>
      <c r="J112" s="65"/>
      <c r="K112" s="65"/>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row>
    <row r="113">
      <c r="A113" s="57"/>
      <c r="B113" s="57"/>
      <c r="C113" s="57"/>
      <c r="D113" s="57"/>
      <c r="E113" s="57"/>
      <c r="F113" s="57"/>
      <c r="G113" s="58"/>
      <c r="H113" s="65"/>
      <c r="I113" s="65"/>
      <c r="J113" s="65"/>
      <c r="K113" s="65"/>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row>
    <row r="114">
      <c r="A114" s="57"/>
      <c r="B114" s="57"/>
      <c r="C114" s="57"/>
      <c r="D114" s="57"/>
      <c r="E114" s="57"/>
      <c r="F114" s="57"/>
      <c r="G114" s="58"/>
      <c r="H114" s="65"/>
      <c r="I114" s="65"/>
      <c r="J114" s="65"/>
      <c r="K114" s="65"/>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row>
    <row r="115">
      <c r="A115" s="57"/>
      <c r="B115" s="57"/>
      <c r="C115" s="57"/>
      <c r="D115" s="57"/>
      <c r="E115" s="57"/>
      <c r="F115" s="57"/>
      <c r="G115" s="58"/>
      <c r="H115" s="65"/>
      <c r="I115" s="65"/>
      <c r="J115" s="65"/>
      <c r="K115" s="65"/>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row>
    <row r="116">
      <c r="A116" s="57"/>
      <c r="B116" s="57"/>
      <c r="C116" s="57"/>
      <c r="D116" s="57"/>
      <c r="E116" s="57"/>
      <c r="F116" s="57"/>
      <c r="G116" s="58"/>
      <c r="H116" s="65"/>
      <c r="I116" s="65"/>
      <c r="J116" s="65"/>
      <c r="K116" s="65"/>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row>
    <row r="117">
      <c r="A117" s="57"/>
      <c r="B117" s="57"/>
      <c r="C117" s="57"/>
      <c r="D117" s="57"/>
      <c r="E117" s="57"/>
      <c r="F117" s="57"/>
      <c r="G117" s="58"/>
      <c r="H117" s="65"/>
      <c r="I117" s="65"/>
      <c r="J117" s="65"/>
      <c r="K117" s="65"/>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row>
    <row r="118">
      <c r="A118" s="57"/>
      <c r="B118" s="57"/>
      <c r="C118" s="57"/>
      <c r="D118" s="57"/>
      <c r="E118" s="57"/>
      <c r="F118" s="57"/>
      <c r="G118" s="58"/>
      <c r="H118" s="65"/>
      <c r="I118" s="65"/>
      <c r="J118" s="65"/>
      <c r="K118" s="65"/>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row>
    <row r="119">
      <c r="A119" s="57"/>
      <c r="B119" s="57"/>
      <c r="C119" s="57"/>
      <c r="D119" s="57"/>
      <c r="E119" s="57"/>
      <c r="F119" s="57"/>
      <c r="G119" s="58"/>
      <c r="H119" s="65"/>
      <c r="I119" s="65"/>
      <c r="J119" s="65"/>
      <c r="K119" s="65"/>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row>
    <row r="120">
      <c r="A120" s="57"/>
      <c r="B120" s="57"/>
      <c r="C120" s="57"/>
      <c r="D120" s="57"/>
      <c r="E120" s="57"/>
      <c r="F120" s="57"/>
      <c r="G120" s="58"/>
      <c r="H120" s="65"/>
      <c r="I120" s="65"/>
      <c r="J120" s="65"/>
      <c r="K120" s="65"/>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row>
    <row r="121">
      <c r="A121" s="57"/>
      <c r="B121" s="57"/>
      <c r="C121" s="57"/>
      <c r="D121" s="57"/>
      <c r="E121" s="57"/>
      <c r="F121" s="57"/>
      <c r="G121" s="58"/>
      <c r="H121" s="65"/>
      <c r="I121" s="65"/>
      <c r="J121" s="65"/>
      <c r="K121" s="65"/>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row>
    <row r="122">
      <c r="A122" s="57"/>
      <c r="B122" s="57"/>
      <c r="C122" s="57"/>
      <c r="D122" s="57"/>
      <c r="E122" s="57"/>
      <c r="F122" s="57"/>
      <c r="G122" s="58"/>
      <c r="H122" s="65"/>
      <c r="I122" s="65"/>
      <c r="J122" s="65"/>
      <c r="K122" s="65"/>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row>
    <row r="123">
      <c r="A123" s="57"/>
      <c r="B123" s="57"/>
      <c r="C123" s="57"/>
      <c r="D123" s="57"/>
      <c r="E123" s="57"/>
      <c r="F123" s="57"/>
      <c r="G123" s="58"/>
      <c r="H123" s="65"/>
      <c r="I123" s="65"/>
      <c r="J123" s="65"/>
      <c r="K123" s="65"/>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row>
    <row r="124">
      <c r="A124" s="57"/>
      <c r="B124" s="57"/>
      <c r="C124" s="57"/>
      <c r="D124" s="57"/>
      <c r="E124" s="57"/>
      <c r="F124" s="57"/>
      <c r="G124" s="58"/>
      <c r="H124" s="65"/>
      <c r="I124" s="65"/>
      <c r="J124" s="65"/>
      <c r="K124" s="65"/>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row>
    <row r="125">
      <c r="A125" s="57"/>
      <c r="B125" s="57"/>
      <c r="C125" s="57"/>
      <c r="D125" s="57"/>
      <c r="E125" s="57"/>
      <c r="F125" s="57"/>
      <c r="G125" s="58"/>
      <c r="H125" s="65"/>
      <c r="I125" s="65"/>
      <c r="J125" s="65"/>
      <c r="K125" s="65"/>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row>
    <row r="126">
      <c r="A126" s="57"/>
      <c r="B126" s="57"/>
      <c r="C126" s="57"/>
      <c r="D126" s="57"/>
      <c r="E126" s="57"/>
      <c r="F126" s="57"/>
      <c r="G126" s="58"/>
      <c r="H126" s="65"/>
      <c r="I126" s="65"/>
      <c r="J126" s="65"/>
      <c r="K126" s="65"/>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row>
    <row r="127">
      <c r="A127" s="57"/>
      <c r="B127" s="57"/>
      <c r="C127" s="57"/>
      <c r="D127" s="57"/>
      <c r="E127" s="57"/>
      <c r="F127" s="57"/>
      <c r="G127" s="58"/>
      <c r="H127" s="65"/>
      <c r="I127" s="65"/>
      <c r="J127" s="65"/>
      <c r="K127" s="65"/>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row>
    <row r="128">
      <c r="A128" s="57"/>
      <c r="B128" s="57"/>
      <c r="C128" s="57"/>
      <c r="D128" s="57"/>
      <c r="E128" s="57"/>
      <c r="F128" s="57"/>
      <c r="G128" s="58"/>
      <c r="H128" s="65"/>
      <c r="I128" s="65"/>
      <c r="J128" s="65"/>
      <c r="K128" s="65"/>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row>
    <row r="129">
      <c r="A129" s="57"/>
      <c r="B129" s="57"/>
      <c r="C129" s="57"/>
      <c r="D129" s="57"/>
      <c r="E129" s="57"/>
      <c r="F129" s="57"/>
      <c r="G129" s="58"/>
      <c r="H129" s="65"/>
      <c r="I129" s="65"/>
      <c r="J129" s="65"/>
      <c r="K129" s="65"/>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row>
    <row r="130">
      <c r="A130" s="57"/>
      <c r="B130" s="57"/>
      <c r="C130" s="57"/>
      <c r="D130" s="57"/>
      <c r="E130" s="57"/>
      <c r="F130" s="57"/>
      <c r="G130" s="58"/>
      <c r="H130" s="65"/>
      <c r="I130" s="65"/>
      <c r="J130" s="65"/>
      <c r="K130" s="65"/>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row>
    <row r="131">
      <c r="A131" s="57"/>
      <c r="B131" s="57"/>
      <c r="C131" s="57"/>
      <c r="D131" s="57"/>
      <c r="E131" s="57"/>
      <c r="F131" s="57"/>
      <c r="G131" s="58"/>
      <c r="H131" s="65"/>
      <c r="I131" s="65"/>
      <c r="J131" s="65"/>
      <c r="K131" s="65"/>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row>
    <row r="132">
      <c r="A132" s="57"/>
      <c r="B132" s="57"/>
      <c r="C132" s="57"/>
      <c r="D132" s="57"/>
      <c r="E132" s="57"/>
      <c r="F132" s="57"/>
      <c r="G132" s="58"/>
      <c r="H132" s="65"/>
      <c r="I132" s="65"/>
      <c r="J132" s="65"/>
      <c r="K132" s="65"/>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row>
    <row r="133">
      <c r="A133" s="57"/>
      <c r="B133" s="57"/>
      <c r="C133" s="57"/>
      <c r="D133" s="57"/>
      <c r="E133" s="57"/>
      <c r="F133" s="57"/>
      <c r="G133" s="58"/>
      <c r="H133" s="65"/>
      <c r="I133" s="65"/>
      <c r="J133" s="65"/>
      <c r="K133" s="65"/>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row>
    <row r="134">
      <c r="A134" s="57"/>
      <c r="B134" s="57"/>
      <c r="C134" s="57"/>
      <c r="D134" s="57"/>
      <c r="E134" s="57"/>
      <c r="F134" s="57"/>
      <c r="G134" s="58"/>
      <c r="H134" s="65"/>
      <c r="I134" s="65"/>
      <c r="J134" s="65"/>
      <c r="K134" s="65"/>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row>
    <row r="135">
      <c r="A135" s="57"/>
      <c r="B135" s="57"/>
      <c r="C135" s="57"/>
      <c r="D135" s="57"/>
      <c r="E135" s="57"/>
      <c r="F135" s="57"/>
      <c r="G135" s="58"/>
      <c r="H135" s="65"/>
      <c r="I135" s="65"/>
      <c r="J135" s="65"/>
      <c r="K135" s="65"/>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row>
    <row r="136">
      <c r="A136" s="57"/>
      <c r="B136" s="57"/>
      <c r="C136" s="57"/>
      <c r="D136" s="57"/>
      <c r="E136" s="57"/>
      <c r="F136" s="57"/>
      <c r="G136" s="58"/>
      <c r="H136" s="65"/>
      <c r="I136" s="65"/>
      <c r="J136" s="65"/>
      <c r="K136" s="65"/>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row>
    <row r="137">
      <c r="A137" s="57"/>
      <c r="B137" s="57"/>
      <c r="C137" s="57"/>
      <c r="D137" s="57"/>
      <c r="E137" s="57"/>
      <c r="F137" s="57"/>
      <c r="G137" s="58"/>
      <c r="H137" s="65"/>
      <c r="I137" s="65"/>
      <c r="J137" s="65"/>
      <c r="K137" s="65"/>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row>
    <row r="138">
      <c r="A138" s="57"/>
      <c r="B138" s="57"/>
      <c r="C138" s="57"/>
      <c r="D138" s="57"/>
      <c r="E138" s="57"/>
      <c r="F138" s="57"/>
      <c r="G138" s="58"/>
      <c r="H138" s="65"/>
      <c r="I138" s="65"/>
      <c r="J138" s="65"/>
      <c r="K138" s="65"/>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row>
    <row r="139">
      <c r="A139" s="57"/>
      <c r="B139" s="57"/>
      <c r="C139" s="57"/>
      <c r="D139" s="57"/>
      <c r="E139" s="57"/>
      <c r="F139" s="57"/>
      <c r="G139" s="58"/>
      <c r="H139" s="65"/>
      <c r="I139" s="65"/>
      <c r="J139" s="65"/>
      <c r="K139" s="65"/>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row>
    <row r="140">
      <c r="A140" s="57"/>
      <c r="B140" s="57"/>
      <c r="C140" s="57"/>
      <c r="D140" s="57"/>
      <c r="E140" s="57"/>
      <c r="F140" s="57"/>
      <c r="G140" s="58"/>
      <c r="H140" s="65"/>
      <c r="I140" s="65"/>
      <c r="J140" s="65"/>
      <c r="K140" s="65"/>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row>
    <row r="141">
      <c r="A141" s="57"/>
      <c r="B141" s="57"/>
      <c r="C141" s="57"/>
      <c r="D141" s="57"/>
      <c r="E141" s="57"/>
      <c r="F141" s="57"/>
      <c r="G141" s="58"/>
      <c r="H141" s="65"/>
      <c r="I141" s="65"/>
      <c r="J141" s="65"/>
      <c r="K141" s="65"/>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row>
    <row r="142">
      <c r="A142" s="57"/>
      <c r="B142" s="57"/>
      <c r="C142" s="57"/>
      <c r="D142" s="57"/>
      <c r="E142" s="57"/>
      <c r="F142" s="57"/>
      <c r="G142" s="58"/>
      <c r="H142" s="65"/>
      <c r="I142" s="65"/>
      <c r="J142" s="65"/>
      <c r="K142" s="65"/>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row>
    <row r="143">
      <c r="A143" s="57"/>
      <c r="B143" s="57"/>
      <c r="C143" s="57"/>
      <c r="D143" s="57"/>
      <c r="E143" s="57"/>
      <c r="F143" s="57"/>
      <c r="G143" s="58"/>
      <c r="H143" s="65"/>
      <c r="I143" s="65"/>
      <c r="J143" s="65"/>
      <c r="K143" s="65"/>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row>
    <row r="144">
      <c r="A144" s="57"/>
      <c r="B144" s="57"/>
      <c r="C144" s="57"/>
      <c r="D144" s="57"/>
      <c r="E144" s="57"/>
      <c r="F144" s="57"/>
      <c r="G144" s="58"/>
      <c r="H144" s="65"/>
      <c r="I144" s="65"/>
      <c r="J144" s="65"/>
      <c r="K144" s="65"/>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row>
    <row r="145">
      <c r="A145" s="57"/>
      <c r="B145" s="57"/>
      <c r="C145" s="57"/>
      <c r="D145" s="57"/>
      <c r="E145" s="57"/>
      <c r="F145" s="57"/>
      <c r="G145" s="58"/>
      <c r="H145" s="65"/>
      <c r="I145" s="65"/>
      <c r="J145" s="65"/>
      <c r="K145" s="65"/>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row>
    <row r="146">
      <c r="A146" s="57"/>
      <c r="B146" s="57"/>
      <c r="C146" s="57"/>
      <c r="D146" s="57"/>
      <c r="E146" s="57"/>
      <c r="F146" s="57"/>
      <c r="G146" s="58"/>
      <c r="H146" s="65"/>
      <c r="I146" s="65"/>
      <c r="J146" s="65"/>
      <c r="K146" s="65"/>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row>
    <row r="147">
      <c r="A147" s="57"/>
      <c r="B147" s="57"/>
      <c r="C147" s="57"/>
      <c r="D147" s="57"/>
      <c r="E147" s="57"/>
      <c r="F147" s="57"/>
      <c r="G147" s="58"/>
      <c r="H147" s="65"/>
      <c r="I147" s="65"/>
      <c r="J147" s="65"/>
      <c r="K147" s="65"/>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row>
    <row r="148">
      <c r="A148" s="57"/>
      <c r="B148" s="57"/>
      <c r="C148" s="57"/>
      <c r="D148" s="57"/>
      <c r="E148" s="57"/>
      <c r="F148" s="57"/>
      <c r="G148" s="58"/>
      <c r="H148" s="65"/>
      <c r="I148" s="65"/>
      <c r="J148" s="65"/>
      <c r="K148" s="65"/>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row>
    <row r="149">
      <c r="A149" s="57"/>
      <c r="B149" s="57"/>
      <c r="C149" s="57"/>
      <c r="D149" s="57"/>
      <c r="E149" s="57"/>
      <c r="F149" s="57"/>
      <c r="G149" s="58"/>
      <c r="H149" s="65"/>
      <c r="I149" s="65"/>
      <c r="J149" s="65"/>
      <c r="K149" s="65"/>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row>
    <row r="150">
      <c r="A150" s="57"/>
      <c r="B150" s="57"/>
      <c r="C150" s="57"/>
      <c r="D150" s="57"/>
      <c r="E150" s="57"/>
      <c r="F150" s="57"/>
      <c r="G150" s="58"/>
      <c r="H150" s="65"/>
      <c r="I150" s="65"/>
      <c r="J150" s="65"/>
      <c r="K150" s="65"/>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row>
    <row r="151">
      <c r="A151" s="57"/>
      <c r="B151" s="57"/>
      <c r="C151" s="57"/>
      <c r="D151" s="57"/>
      <c r="E151" s="57"/>
      <c r="F151" s="57"/>
      <c r="G151" s="58"/>
      <c r="H151" s="65"/>
      <c r="I151" s="65"/>
      <c r="J151" s="65"/>
      <c r="K151" s="65"/>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row>
    <row r="152">
      <c r="A152" s="57"/>
      <c r="B152" s="57"/>
      <c r="C152" s="57"/>
      <c r="D152" s="57"/>
      <c r="E152" s="57"/>
      <c r="F152" s="57"/>
      <c r="G152" s="58"/>
      <c r="H152" s="65"/>
      <c r="I152" s="65"/>
      <c r="J152" s="65"/>
      <c r="K152" s="65"/>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row>
    <row r="153">
      <c r="A153" s="57"/>
      <c r="B153" s="57"/>
      <c r="C153" s="57"/>
      <c r="D153" s="57"/>
      <c r="E153" s="57"/>
      <c r="F153" s="57"/>
      <c r="G153" s="58"/>
      <c r="H153" s="65"/>
      <c r="I153" s="65"/>
      <c r="J153" s="65"/>
      <c r="K153" s="65"/>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row>
    <row r="154">
      <c r="A154" s="57"/>
      <c r="B154" s="57"/>
      <c r="C154" s="57"/>
      <c r="D154" s="57"/>
      <c r="E154" s="57"/>
      <c r="F154" s="57"/>
      <c r="G154" s="58"/>
      <c r="H154" s="65"/>
      <c r="I154" s="65"/>
      <c r="J154" s="65"/>
      <c r="K154" s="65"/>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row>
    <row r="155">
      <c r="A155" s="57"/>
      <c r="B155" s="57"/>
      <c r="C155" s="57"/>
      <c r="D155" s="57"/>
      <c r="E155" s="57"/>
      <c r="F155" s="57"/>
      <c r="G155" s="58"/>
      <c r="H155" s="65"/>
      <c r="I155" s="65"/>
      <c r="J155" s="65"/>
      <c r="K155" s="65"/>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row>
    <row r="156">
      <c r="A156" s="57"/>
      <c r="B156" s="57"/>
      <c r="C156" s="57"/>
      <c r="D156" s="57"/>
      <c r="E156" s="57"/>
      <c r="F156" s="57"/>
      <c r="G156" s="58"/>
      <c r="H156" s="65"/>
      <c r="I156" s="65"/>
      <c r="J156" s="65"/>
      <c r="K156" s="65"/>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row>
    <row r="157">
      <c r="A157" s="57"/>
      <c r="B157" s="57"/>
      <c r="C157" s="57"/>
      <c r="D157" s="57"/>
      <c r="E157" s="57"/>
      <c r="F157" s="57"/>
      <c r="G157" s="58"/>
      <c r="H157" s="65"/>
      <c r="I157" s="65"/>
      <c r="J157" s="65"/>
      <c r="K157" s="65"/>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row>
    <row r="158">
      <c r="A158" s="57"/>
      <c r="B158" s="57"/>
      <c r="C158" s="57"/>
      <c r="D158" s="57"/>
      <c r="E158" s="57"/>
      <c r="F158" s="57"/>
      <c r="G158" s="58"/>
      <c r="H158" s="65"/>
      <c r="I158" s="65"/>
      <c r="J158" s="65"/>
      <c r="K158" s="65"/>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row>
    <row r="159">
      <c r="A159" s="57"/>
      <c r="B159" s="57"/>
      <c r="C159" s="57"/>
      <c r="D159" s="57"/>
      <c r="E159" s="57"/>
      <c r="F159" s="57"/>
      <c r="G159" s="58"/>
      <c r="H159" s="65"/>
      <c r="I159" s="65"/>
      <c r="J159" s="65"/>
      <c r="K159" s="65"/>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row>
    <row r="160">
      <c r="A160" s="57"/>
      <c r="B160" s="57"/>
      <c r="C160" s="57"/>
      <c r="D160" s="57"/>
      <c r="E160" s="57"/>
      <c r="F160" s="57"/>
      <c r="G160" s="58"/>
      <c r="H160" s="65"/>
      <c r="I160" s="65"/>
      <c r="J160" s="65"/>
      <c r="K160" s="65"/>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row>
    <row r="161">
      <c r="A161" s="57"/>
      <c r="B161" s="57"/>
      <c r="C161" s="57"/>
      <c r="D161" s="57"/>
      <c r="E161" s="57"/>
      <c r="F161" s="57"/>
      <c r="G161" s="58"/>
      <c r="H161" s="65"/>
      <c r="I161" s="65"/>
      <c r="J161" s="65"/>
      <c r="K161" s="65"/>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row>
    <row r="162">
      <c r="A162" s="57"/>
      <c r="B162" s="57"/>
      <c r="C162" s="57"/>
      <c r="D162" s="57"/>
      <c r="E162" s="57"/>
      <c r="F162" s="57"/>
      <c r="G162" s="58"/>
      <c r="H162" s="65"/>
      <c r="I162" s="65"/>
      <c r="J162" s="65"/>
      <c r="K162" s="65"/>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row>
    <row r="163">
      <c r="A163" s="57"/>
      <c r="B163" s="57"/>
      <c r="C163" s="57"/>
      <c r="D163" s="57"/>
      <c r="E163" s="57"/>
      <c r="F163" s="57"/>
      <c r="G163" s="58"/>
      <c r="H163" s="65"/>
      <c r="I163" s="65"/>
      <c r="J163" s="65"/>
      <c r="K163" s="65"/>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row>
    <row r="164">
      <c r="A164" s="57"/>
      <c r="B164" s="57"/>
      <c r="C164" s="57"/>
      <c r="D164" s="57"/>
      <c r="E164" s="57"/>
      <c r="F164" s="57"/>
      <c r="G164" s="58"/>
      <c r="H164" s="65"/>
      <c r="I164" s="65"/>
      <c r="J164" s="65"/>
      <c r="K164" s="65"/>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row>
    <row r="165">
      <c r="A165" s="57"/>
      <c r="B165" s="57"/>
      <c r="C165" s="57"/>
      <c r="D165" s="57"/>
      <c r="E165" s="57"/>
      <c r="F165" s="57"/>
      <c r="G165" s="58"/>
      <c r="H165" s="65"/>
      <c r="I165" s="65"/>
      <c r="J165" s="65"/>
      <c r="K165" s="65"/>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row>
    <row r="166">
      <c r="A166" s="57"/>
      <c r="B166" s="57"/>
      <c r="C166" s="57"/>
      <c r="D166" s="57"/>
      <c r="E166" s="57"/>
      <c r="F166" s="57"/>
      <c r="G166" s="58"/>
      <c r="H166" s="65"/>
      <c r="I166" s="65"/>
      <c r="J166" s="65"/>
      <c r="K166" s="65"/>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row>
    <row r="167">
      <c r="A167" s="57"/>
      <c r="B167" s="57"/>
      <c r="C167" s="57"/>
      <c r="D167" s="57"/>
      <c r="E167" s="57"/>
      <c r="F167" s="57"/>
      <c r="G167" s="58"/>
      <c r="H167" s="65"/>
      <c r="I167" s="65"/>
      <c r="J167" s="65"/>
      <c r="K167" s="65"/>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row>
    <row r="168">
      <c r="A168" s="57"/>
      <c r="B168" s="57"/>
      <c r="C168" s="57"/>
      <c r="D168" s="57"/>
      <c r="E168" s="57"/>
      <c r="F168" s="57"/>
      <c r="G168" s="58"/>
      <c r="H168" s="65"/>
      <c r="I168" s="65"/>
      <c r="J168" s="65"/>
      <c r="K168" s="65"/>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row>
    <row r="169">
      <c r="A169" s="57"/>
      <c r="B169" s="57"/>
      <c r="C169" s="57"/>
      <c r="D169" s="57"/>
      <c r="E169" s="57"/>
      <c r="F169" s="57"/>
      <c r="G169" s="58"/>
      <c r="H169" s="65"/>
      <c r="I169" s="65"/>
      <c r="J169" s="65"/>
      <c r="K169" s="65"/>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row>
    <row r="170">
      <c r="A170" s="57"/>
      <c r="B170" s="57"/>
      <c r="C170" s="57"/>
      <c r="D170" s="57"/>
      <c r="E170" s="57"/>
      <c r="F170" s="57"/>
      <c r="G170" s="58"/>
      <c r="H170" s="65"/>
      <c r="I170" s="65"/>
      <c r="J170" s="65"/>
      <c r="K170" s="65"/>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row>
    <row r="171">
      <c r="A171" s="57"/>
      <c r="B171" s="57"/>
      <c r="C171" s="57"/>
      <c r="D171" s="57"/>
      <c r="E171" s="57"/>
      <c r="F171" s="57"/>
      <c r="G171" s="58"/>
      <c r="H171" s="65"/>
      <c r="I171" s="65"/>
      <c r="J171" s="65"/>
      <c r="K171" s="65"/>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row>
    <row r="172">
      <c r="A172" s="57"/>
      <c r="B172" s="57"/>
      <c r="C172" s="57"/>
      <c r="D172" s="57"/>
      <c r="E172" s="57"/>
      <c r="F172" s="57"/>
      <c r="G172" s="58"/>
      <c r="H172" s="65"/>
      <c r="I172" s="65"/>
      <c r="J172" s="65"/>
      <c r="K172" s="65"/>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row>
    <row r="173">
      <c r="A173" s="57"/>
      <c r="B173" s="57"/>
      <c r="C173" s="57"/>
      <c r="D173" s="57"/>
      <c r="E173" s="57"/>
      <c r="F173" s="57"/>
      <c r="G173" s="58"/>
      <c r="H173" s="65"/>
      <c r="I173" s="65"/>
      <c r="J173" s="65"/>
      <c r="K173" s="65"/>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row>
    <row r="174">
      <c r="A174" s="57"/>
      <c r="B174" s="57"/>
      <c r="C174" s="57"/>
      <c r="D174" s="57"/>
      <c r="E174" s="57"/>
      <c r="F174" s="57"/>
      <c r="G174" s="58"/>
      <c r="H174" s="65"/>
      <c r="I174" s="65"/>
      <c r="J174" s="65"/>
      <c r="K174" s="65"/>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row>
    <row r="175">
      <c r="A175" s="57"/>
      <c r="B175" s="57"/>
      <c r="C175" s="57"/>
      <c r="D175" s="57"/>
      <c r="E175" s="57"/>
      <c r="F175" s="57"/>
      <c r="G175" s="58"/>
      <c r="H175" s="65"/>
      <c r="I175" s="65"/>
      <c r="J175" s="65"/>
      <c r="K175" s="65"/>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row>
    <row r="176">
      <c r="A176" s="57"/>
      <c r="B176" s="57"/>
      <c r="C176" s="57"/>
      <c r="D176" s="57"/>
      <c r="E176" s="57"/>
      <c r="F176" s="57"/>
      <c r="G176" s="58"/>
      <c r="H176" s="65"/>
      <c r="I176" s="65"/>
      <c r="J176" s="65"/>
      <c r="K176" s="65"/>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c r="AT176" s="57"/>
      <c r="AU176" s="57"/>
      <c r="AV176" s="57"/>
      <c r="AW176" s="57"/>
      <c r="AX176" s="57"/>
      <c r="AY176" s="57"/>
      <c r="AZ176" s="57"/>
    </row>
    <row r="177">
      <c r="A177" s="57"/>
      <c r="B177" s="57"/>
      <c r="C177" s="57"/>
      <c r="D177" s="57"/>
      <c r="E177" s="57"/>
      <c r="F177" s="57"/>
      <c r="G177" s="58"/>
      <c r="H177" s="65"/>
      <c r="I177" s="65"/>
      <c r="J177" s="65"/>
      <c r="K177" s="65"/>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c r="AT177" s="57"/>
      <c r="AU177" s="57"/>
      <c r="AV177" s="57"/>
      <c r="AW177" s="57"/>
      <c r="AX177" s="57"/>
      <c r="AY177" s="57"/>
      <c r="AZ177" s="57"/>
    </row>
    <row r="178">
      <c r="A178" s="57"/>
      <c r="B178" s="57"/>
      <c r="C178" s="57"/>
      <c r="D178" s="57"/>
      <c r="E178" s="57"/>
      <c r="F178" s="57"/>
      <c r="G178" s="58"/>
      <c r="H178" s="65"/>
      <c r="I178" s="65"/>
      <c r="J178" s="65"/>
      <c r="K178" s="65"/>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row>
    <row r="179">
      <c r="A179" s="57"/>
      <c r="B179" s="57"/>
      <c r="C179" s="57"/>
      <c r="D179" s="57"/>
      <c r="E179" s="57"/>
      <c r="F179" s="57"/>
      <c r="G179" s="58"/>
      <c r="H179" s="65"/>
      <c r="I179" s="65"/>
      <c r="J179" s="65"/>
      <c r="K179" s="65"/>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57"/>
      <c r="AY179" s="57"/>
      <c r="AZ179" s="57"/>
    </row>
    <row r="180">
      <c r="A180" s="57"/>
      <c r="B180" s="57"/>
      <c r="C180" s="57"/>
      <c r="D180" s="57"/>
      <c r="E180" s="57"/>
      <c r="F180" s="57"/>
      <c r="G180" s="58"/>
      <c r="H180" s="65"/>
      <c r="I180" s="65"/>
      <c r="J180" s="65"/>
      <c r="K180" s="65"/>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row>
    <row r="181">
      <c r="A181" s="57"/>
      <c r="B181" s="57"/>
      <c r="C181" s="57"/>
      <c r="D181" s="57"/>
      <c r="E181" s="57"/>
      <c r="F181" s="57"/>
      <c r="G181" s="58"/>
      <c r="H181" s="65"/>
      <c r="I181" s="65"/>
      <c r="J181" s="65"/>
      <c r="K181" s="65"/>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row>
    <row r="182">
      <c r="A182" s="57"/>
      <c r="B182" s="57"/>
      <c r="C182" s="57"/>
      <c r="D182" s="57"/>
      <c r="E182" s="57"/>
      <c r="F182" s="57"/>
      <c r="G182" s="58"/>
      <c r="H182" s="65"/>
      <c r="I182" s="65"/>
      <c r="J182" s="65"/>
      <c r="K182" s="65"/>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row>
    <row r="183">
      <c r="A183" s="57"/>
      <c r="B183" s="57"/>
      <c r="C183" s="57"/>
      <c r="D183" s="57"/>
      <c r="E183" s="57"/>
      <c r="F183" s="57"/>
      <c r="G183" s="58"/>
      <c r="H183" s="65"/>
      <c r="I183" s="65"/>
      <c r="J183" s="65"/>
      <c r="K183" s="65"/>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row>
    <row r="184">
      <c r="A184" s="57"/>
      <c r="B184" s="57"/>
      <c r="C184" s="57"/>
      <c r="D184" s="57"/>
      <c r="E184" s="57"/>
      <c r="F184" s="57"/>
      <c r="G184" s="58"/>
      <c r="H184" s="65"/>
      <c r="I184" s="65"/>
      <c r="J184" s="65"/>
      <c r="K184" s="65"/>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row>
    <row r="185">
      <c r="A185" s="57"/>
      <c r="B185" s="57"/>
      <c r="C185" s="57"/>
      <c r="D185" s="57"/>
      <c r="E185" s="57"/>
      <c r="F185" s="57"/>
      <c r="G185" s="58"/>
      <c r="H185" s="65"/>
      <c r="I185" s="65"/>
      <c r="J185" s="65"/>
      <c r="K185" s="65"/>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row>
    <row r="186">
      <c r="A186" s="57"/>
      <c r="B186" s="57"/>
      <c r="C186" s="57"/>
      <c r="D186" s="57"/>
      <c r="E186" s="57"/>
      <c r="F186" s="57"/>
      <c r="G186" s="58"/>
      <c r="H186" s="65"/>
      <c r="I186" s="65"/>
      <c r="J186" s="65"/>
      <c r="K186" s="65"/>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row>
    <row r="187">
      <c r="A187" s="57"/>
      <c r="B187" s="57"/>
      <c r="C187" s="57"/>
      <c r="D187" s="57"/>
      <c r="E187" s="57"/>
      <c r="F187" s="57"/>
      <c r="G187" s="58"/>
      <c r="H187" s="65"/>
      <c r="I187" s="65"/>
      <c r="J187" s="65"/>
      <c r="K187" s="65"/>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row>
    <row r="188">
      <c r="A188" s="57"/>
      <c r="B188" s="57"/>
      <c r="C188" s="57"/>
      <c r="D188" s="57"/>
      <c r="E188" s="57"/>
      <c r="F188" s="57"/>
      <c r="G188" s="58"/>
      <c r="H188" s="65"/>
      <c r="I188" s="65"/>
      <c r="J188" s="65"/>
      <c r="K188" s="65"/>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row>
    <row r="189">
      <c r="A189" s="57"/>
      <c r="B189" s="57"/>
      <c r="C189" s="57"/>
      <c r="D189" s="57"/>
      <c r="E189" s="57"/>
      <c r="F189" s="57"/>
      <c r="G189" s="58"/>
      <c r="H189" s="65"/>
      <c r="I189" s="65"/>
      <c r="J189" s="65"/>
      <c r="K189" s="65"/>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row>
    <row r="190">
      <c r="A190" s="57"/>
      <c r="B190" s="57"/>
      <c r="C190" s="57"/>
      <c r="D190" s="57"/>
      <c r="E190" s="57"/>
      <c r="F190" s="57"/>
      <c r="G190" s="58"/>
      <c r="H190" s="65"/>
      <c r="I190" s="65"/>
      <c r="J190" s="65"/>
      <c r="K190" s="65"/>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row>
    <row r="191">
      <c r="A191" s="57"/>
      <c r="B191" s="57"/>
      <c r="C191" s="57"/>
      <c r="D191" s="57"/>
      <c r="E191" s="57"/>
      <c r="F191" s="57"/>
      <c r="G191" s="58"/>
      <c r="H191" s="65"/>
      <c r="I191" s="65"/>
      <c r="J191" s="65"/>
      <c r="K191" s="65"/>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row>
    <row r="192">
      <c r="A192" s="57"/>
      <c r="B192" s="57"/>
      <c r="C192" s="57"/>
      <c r="D192" s="57"/>
      <c r="E192" s="57"/>
      <c r="F192" s="57"/>
      <c r="G192" s="58"/>
      <c r="H192" s="65"/>
      <c r="I192" s="65"/>
      <c r="J192" s="65"/>
      <c r="K192" s="65"/>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row>
    <row r="193">
      <c r="A193" s="57"/>
      <c r="B193" s="57"/>
      <c r="C193" s="57"/>
      <c r="D193" s="57"/>
      <c r="E193" s="57"/>
      <c r="F193" s="57"/>
      <c r="G193" s="58"/>
      <c r="H193" s="65"/>
      <c r="I193" s="65"/>
      <c r="J193" s="65"/>
      <c r="K193" s="65"/>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row>
    <row r="194">
      <c r="A194" s="57"/>
      <c r="B194" s="57"/>
      <c r="C194" s="57"/>
      <c r="D194" s="57"/>
      <c r="E194" s="57"/>
      <c r="F194" s="57"/>
      <c r="G194" s="58"/>
      <c r="H194" s="65"/>
      <c r="I194" s="65"/>
      <c r="J194" s="65"/>
      <c r="K194" s="65"/>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row>
    <row r="195">
      <c r="A195" s="57"/>
      <c r="B195" s="57"/>
      <c r="C195" s="57"/>
      <c r="D195" s="57"/>
      <c r="E195" s="57"/>
      <c r="F195" s="57"/>
      <c r="G195" s="58"/>
      <c r="H195" s="65"/>
      <c r="I195" s="65"/>
      <c r="J195" s="65"/>
      <c r="K195" s="65"/>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row>
    <row r="196">
      <c r="A196" s="57"/>
      <c r="B196" s="57"/>
      <c r="C196" s="57"/>
      <c r="D196" s="57"/>
      <c r="E196" s="57"/>
      <c r="F196" s="57"/>
      <c r="G196" s="58"/>
      <c r="H196" s="65"/>
      <c r="I196" s="65"/>
      <c r="J196" s="65"/>
      <c r="K196" s="65"/>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row>
    <row r="197">
      <c r="A197" s="57"/>
      <c r="B197" s="57"/>
      <c r="C197" s="57"/>
      <c r="D197" s="57"/>
      <c r="E197" s="57"/>
      <c r="F197" s="57"/>
      <c r="G197" s="58"/>
      <c r="H197" s="65"/>
      <c r="I197" s="65"/>
      <c r="J197" s="65"/>
      <c r="K197" s="65"/>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row>
    <row r="198">
      <c r="A198" s="57"/>
      <c r="B198" s="57"/>
      <c r="C198" s="57"/>
      <c r="D198" s="57"/>
      <c r="E198" s="57"/>
      <c r="F198" s="57"/>
      <c r="G198" s="58"/>
      <c r="H198" s="65"/>
      <c r="I198" s="65"/>
      <c r="J198" s="65"/>
      <c r="K198" s="65"/>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row>
    <row r="199">
      <c r="A199" s="57"/>
      <c r="B199" s="57"/>
      <c r="C199" s="57"/>
      <c r="D199" s="57"/>
      <c r="E199" s="57"/>
      <c r="F199" s="57"/>
      <c r="G199" s="58"/>
      <c r="H199" s="65"/>
      <c r="I199" s="65"/>
      <c r="J199" s="65"/>
      <c r="K199" s="65"/>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row>
    <row r="200">
      <c r="A200" s="57"/>
      <c r="B200" s="57"/>
      <c r="C200" s="57"/>
      <c r="D200" s="57"/>
      <c r="E200" s="57"/>
      <c r="F200" s="57"/>
      <c r="G200" s="58"/>
      <c r="H200" s="65"/>
      <c r="I200" s="65"/>
      <c r="J200" s="65"/>
      <c r="K200" s="65"/>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row>
    <row r="201">
      <c r="A201" s="57"/>
      <c r="B201" s="57"/>
      <c r="C201" s="57"/>
      <c r="D201" s="57"/>
      <c r="E201" s="57"/>
      <c r="F201" s="57"/>
      <c r="G201" s="58"/>
      <c r="H201" s="65"/>
      <c r="I201" s="65"/>
      <c r="J201" s="65"/>
      <c r="K201" s="65"/>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row>
    <row r="202">
      <c r="A202" s="57"/>
      <c r="B202" s="57"/>
      <c r="C202" s="57"/>
      <c r="D202" s="57"/>
      <c r="E202" s="57"/>
      <c r="F202" s="57"/>
      <c r="G202" s="58"/>
      <c r="H202" s="65"/>
      <c r="I202" s="65"/>
      <c r="J202" s="65"/>
      <c r="K202" s="65"/>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row>
    <row r="203">
      <c r="A203" s="57"/>
      <c r="B203" s="57"/>
      <c r="C203" s="57"/>
      <c r="D203" s="57"/>
      <c r="E203" s="57"/>
      <c r="F203" s="57"/>
      <c r="G203" s="58"/>
      <c r="H203" s="65"/>
      <c r="I203" s="65"/>
      <c r="J203" s="65"/>
      <c r="K203" s="65"/>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row>
    <row r="204">
      <c r="A204" s="57"/>
      <c r="B204" s="57"/>
      <c r="C204" s="57"/>
      <c r="D204" s="57"/>
      <c r="E204" s="57"/>
      <c r="F204" s="57"/>
      <c r="G204" s="58"/>
      <c r="H204" s="65"/>
      <c r="I204" s="65"/>
      <c r="J204" s="65"/>
      <c r="K204" s="65"/>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row>
    <row r="205">
      <c r="A205" s="57"/>
      <c r="B205" s="57"/>
      <c r="C205" s="57"/>
      <c r="D205" s="57"/>
      <c r="E205" s="57"/>
      <c r="F205" s="57"/>
      <c r="G205" s="58"/>
      <c r="H205" s="65"/>
      <c r="I205" s="65"/>
      <c r="J205" s="65"/>
      <c r="K205" s="65"/>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row>
    <row r="206">
      <c r="A206" s="57"/>
      <c r="B206" s="57"/>
      <c r="C206" s="57"/>
      <c r="D206" s="57"/>
      <c r="E206" s="57"/>
      <c r="F206" s="57"/>
      <c r="G206" s="58"/>
      <c r="H206" s="65"/>
      <c r="I206" s="65"/>
      <c r="J206" s="65"/>
      <c r="K206" s="65"/>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row>
    <row r="207">
      <c r="A207" s="57"/>
      <c r="B207" s="57"/>
      <c r="C207" s="57"/>
      <c r="D207" s="57"/>
      <c r="E207" s="57"/>
      <c r="F207" s="57"/>
      <c r="G207" s="58"/>
      <c r="H207" s="65"/>
      <c r="I207" s="65"/>
      <c r="J207" s="65"/>
      <c r="K207" s="65"/>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row>
    <row r="208">
      <c r="A208" s="57"/>
      <c r="B208" s="57"/>
      <c r="C208" s="57"/>
      <c r="D208" s="57"/>
      <c r="E208" s="57"/>
      <c r="F208" s="57"/>
      <c r="G208" s="58"/>
      <c r="H208" s="65"/>
      <c r="I208" s="65"/>
      <c r="J208" s="65"/>
      <c r="K208" s="65"/>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row>
    <row r="209">
      <c r="A209" s="57"/>
      <c r="B209" s="57"/>
      <c r="C209" s="57"/>
      <c r="D209" s="57"/>
      <c r="E209" s="57"/>
      <c r="F209" s="57"/>
      <c r="G209" s="58"/>
      <c r="H209" s="65"/>
      <c r="I209" s="65"/>
      <c r="J209" s="65"/>
      <c r="K209" s="65"/>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row>
    <row r="210">
      <c r="A210" s="57"/>
      <c r="B210" s="57"/>
      <c r="C210" s="57"/>
      <c r="D210" s="57"/>
      <c r="E210" s="57"/>
      <c r="F210" s="57"/>
      <c r="G210" s="58"/>
      <c r="H210" s="65"/>
      <c r="I210" s="65"/>
      <c r="J210" s="65"/>
      <c r="K210" s="65"/>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row>
    <row r="211">
      <c r="A211" s="57"/>
      <c r="B211" s="57"/>
      <c r="C211" s="57"/>
      <c r="D211" s="57"/>
      <c r="E211" s="57"/>
      <c r="F211" s="57"/>
      <c r="G211" s="58"/>
      <c r="H211" s="65"/>
      <c r="I211" s="65"/>
      <c r="J211" s="65"/>
      <c r="K211" s="65"/>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row>
    <row r="212">
      <c r="A212" s="57"/>
      <c r="B212" s="57"/>
      <c r="C212" s="57"/>
      <c r="D212" s="57"/>
      <c r="E212" s="57"/>
      <c r="F212" s="57"/>
      <c r="G212" s="58"/>
      <c r="H212" s="65"/>
      <c r="I212" s="65"/>
      <c r="J212" s="65"/>
      <c r="K212" s="65"/>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row>
    <row r="213">
      <c r="A213" s="57"/>
      <c r="B213" s="57"/>
      <c r="C213" s="57"/>
      <c r="D213" s="57"/>
      <c r="E213" s="57"/>
      <c r="F213" s="57"/>
      <c r="G213" s="58"/>
      <c r="H213" s="65"/>
      <c r="I213" s="65"/>
      <c r="J213" s="65"/>
      <c r="K213" s="65"/>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row>
    <row r="214">
      <c r="A214" s="57"/>
      <c r="B214" s="57"/>
      <c r="C214" s="57"/>
      <c r="D214" s="57"/>
      <c r="E214" s="57"/>
      <c r="F214" s="57"/>
      <c r="G214" s="58"/>
      <c r="H214" s="65"/>
      <c r="I214" s="65"/>
      <c r="J214" s="65"/>
      <c r="K214" s="65"/>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row>
    <row r="215">
      <c r="A215" s="57"/>
      <c r="B215" s="57"/>
      <c r="C215" s="57"/>
      <c r="D215" s="57"/>
      <c r="E215" s="57"/>
      <c r="F215" s="57"/>
      <c r="G215" s="58"/>
      <c r="H215" s="65"/>
      <c r="I215" s="65"/>
      <c r="J215" s="65"/>
      <c r="K215" s="65"/>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row>
    <row r="216">
      <c r="A216" s="57"/>
      <c r="B216" s="57"/>
      <c r="C216" s="57"/>
      <c r="D216" s="57"/>
      <c r="E216" s="57"/>
      <c r="F216" s="57"/>
      <c r="G216" s="58"/>
      <c r="H216" s="65"/>
      <c r="I216" s="65"/>
      <c r="J216" s="65"/>
      <c r="K216" s="65"/>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row>
    <row r="217">
      <c r="A217" s="57"/>
      <c r="B217" s="57"/>
      <c r="C217" s="57"/>
      <c r="D217" s="57"/>
      <c r="E217" s="57"/>
      <c r="F217" s="57"/>
      <c r="G217" s="58"/>
      <c r="H217" s="65"/>
      <c r="I217" s="65"/>
      <c r="J217" s="65"/>
      <c r="K217" s="65"/>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row>
    <row r="218">
      <c r="A218" s="57"/>
      <c r="B218" s="57"/>
      <c r="C218" s="57"/>
      <c r="D218" s="57"/>
      <c r="E218" s="57"/>
      <c r="F218" s="57"/>
      <c r="G218" s="58"/>
      <c r="H218" s="65"/>
      <c r="I218" s="65"/>
      <c r="J218" s="65"/>
      <c r="K218" s="65"/>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row>
    <row r="219">
      <c r="A219" s="57"/>
      <c r="B219" s="57"/>
      <c r="C219" s="57"/>
      <c r="D219" s="57"/>
      <c r="E219" s="57"/>
      <c r="F219" s="57"/>
      <c r="G219" s="58"/>
      <c r="H219" s="65"/>
      <c r="I219" s="65"/>
      <c r="J219" s="65"/>
      <c r="K219" s="65"/>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row>
    <row r="220">
      <c r="A220" s="57"/>
      <c r="B220" s="57"/>
      <c r="C220" s="57"/>
      <c r="D220" s="57"/>
      <c r="E220" s="57"/>
      <c r="F220" s="57"/>
      <c r="G220" s="58"/>
      <c r="H220" s="65"/>
      <c r="I220" s="65"/>
      <c r="J220" s="65"/>
      <c r="K220" s="65"/>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row>
    <row r="221">
      <c r="A221" s="57"/>
      <c r="B221" s="57"/>
      <c r="C221" s="57"/>
      <c r="D221" s="57"/>
      <c r="E221" s="57"/>
      <c r="F221" s="57"/>
      <c r="G221" s="58"/>
      <c r="H221" s="65"/>
      <c r="I221" s="65"/>
      <c r="J221" s="65"/>
      <c r="K221" s="65"/>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row>
    <row r="222">
      <c r="A222" s="57"/>
      <c r="B222" s="57"/>
      <c r="C222" s="57"/>
      <c r="D222" s="57"/>
      <c r="E222" s="57"/>
      <c r="F222" s="57"/>
      <c r="G222" s="58"/>
      <c r="H222" s="65"/>
      <c r="I222" s="65"/>
      <c r="J222" s="65"/>
      <c r="K222" s="65"/>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row>
    <row r="223">
      <c r="A223" s="57"/>
      <c r="B223" s="57"/>
      <c r="C223" s="57"/>
      <c r="D223" s="57"/>
      <c r="E223" s="57"/>
      <c r="F223" s="57"/>
      <c r="G223" s="58"/>
      <c r="H223" s="65"/>
      <c r="I223" s="65"/>
      <c r="J223" s="65"/>
      <c r="K223" s="65"/>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row>
    <row r="224">
      <c r="A224" s="57"/>
      <c r="B224" s="57"/>
      <c r="C224" s="57"/>
      <c r="D224" s="57"/>
      <c r="E224" s="57"/>
      <c r="F224" s="57"/>
      <c r="G224" s="58"/>
      <c r="H224" s="65"/>
      <c r="I224" s="65"/>
      <c r="J224" s="65"/>
      <c r="K224" s="65"/>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c r="AY224" s="57"/>
      <c r="AZ224" s="57"/>
    </row>
    <row r="225">
      <c r="A225" s="57"/>
      <c r="B225" s="57"/>
      <c r="C225" s="57"/>
      <c r="D225" s="57"/>
      <c r="E225" s="57"/>
      <c r="F225" s="57"/>
      <c r="G225" s="58"/>
      <c r="H225" s="65"/>
      <c r="I225" s="65"/>
      <c r="J225" s="65"/>
      <c r="K225" s="65"/>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c r="AY225" s="57"/>
      <c r="AZ225" s="57"/>
    </row>
    <row r="226">
      <c r="A226" s="57"/>
      <c r="B226" s="57"/>
      <c r="C226" s="57"/>
      <c r="D226" s="57"/>
      <c r="E226" s="57"/>
      <c r="F226" s="57"/>
      <c r="G226" s="58"/>
      <c r="H226" s="65"/>
      <c r="I226" s="65"/>
      <c r="J226" s="65"/>
      <c r="K226" s="65"/>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row>
    <row r="227">
      <c r="A227" s="57"/>
      <c r="B227" s="57"/>
      <c r="C227" s="57"/>
      <c r="D227" s="57"/>
      <c r="E227" s="57"/>
      <c r="F227" s="57"/>
      <c r="G227" s="58"/>
      <c r="H227" s="65"/>
      <c r="I227" s="65"/>
      <c r="J227" s="65"/>
      <c r="K227" s="65"/>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c r="AT227" s="57"/>
      <c r="AU227" s="57"/>
      <c r="AV227" s="57"/>
      <c r="AW227" s="57"/>
      <c r="AX227" s="57"/>
      <c r="AY227" s="57"/>
      <c r="AZ227" s="57"/>
    </row>
    <row r="228">
      <c r="A228" s="57"/>
      <c r="B228" s="57"/>
      <c r="C228" s="57"/>
      <c r="D228" s="57"/>
      <c r="E228" s="57"/>
      <c r="F228" s="57"/>
      <c r="G228" s="58"/>
      <c r="H228" s="65"/>
      <c r="I228" s="65"/>
      <c r="J228" s="65"/>
      <c r="K228" s="65"/>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c r="AY228" s="57"/>
      <c r="AZ228" s="57"/>
    </row>
    <row r="229">
      <c r="A229" s="57"/>
      <c r="B229" s="57"/>
      <c r="C229" s="57"/>
      <c r="D229" s="57"/>
      <c r="E229" s="57"/>
      <c r="F229" s="57"/>
      <c r="G229" s="58"/>
      <c r="H229" s="65"/>
      <c r="I229" s="65"/>
      <c r="J229" s="65"/>
      <c r="K229" s="65"/>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row>
    <row r="230">
      <c r="A230" s="57"/>
      <c r="B230" s="57"/>
      <c r="C230" s="57"/>
      <c r="D230" s="57"/>
      <c r="E230" s="57"/>
      <c r="F230" s="57"/>
      <c r="G230" s="58"/>
      <c r="H230" s="65"/>
      <c r="I230" s="65"/>
      <c r="J230" s="65"/>
      <c r="K230" s="65"/>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row>
    <row r="231">
      <c r="A231" s="57"/>
      <c r="B231" s="57"/>
      <c r="C231" s="57"/>
      <c r="D231" s="57"/>
      <c r="E231" s="57"/>
      <c r="F231" s="57"/>
      <c r="G231" s="58"/>
      <c r="H231" s="65"/>
      <c r="I231" s="65"/>
      <c r="J231" s="65"/>
      <c r="K231" s="65"/>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row>
    <row r="232">
      <c r="A232" s="57"/>
      <c r="B232" s="57"/>
      <c r="C232" s="57"/>
      <c r="D232" s="57"/>
      <c r="E232" s="57"/>
      <c r="F232" s="57"/>
      <c r="G232" s="58"/>
      <c r="H232" s="65"/>
      <c r="I232" s="65"/>
      <c r="J232" s="65"/>
      <c r="K232" s="65"/>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57"/>
      <c r="AV232" s="57"/>
      <c r="AW232" s="57"/>
      <c r="AX232" s="57"/>
      <c r="AY232" s="57"/>
      <c r="AZ232" s="57"/>
    </row>
    <row r="233">
      <c r="A233" s="57"/>
      <c r="B233" s="57"/>
      <c r="C233" s="57"/>
      <c r="D233" s="57"/>
      <c r="E233" s="57"/>
      <c r="F233" s="57"/>
      <c r="G233" s="58"/>
      <c r="H233" s="65"/>
      <c r="I233" s="65"/>
      <c r="J233" s="65"/>
      <c r="K233" s="65"/>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row>
    <row r="234">
      <c r="A234" s="57"/>
      <c r="B234" s="57"/>
      <c r="C234" s="57"/>
      <c r="D234" s="57"/>
      <c r="E234" s="57"/>
      <c r="F234" s="57"/>
      <c r="G234" s="58"/>
      <c r="H234" s="65"/>
      <c r="I234" s="65"/>
      <c r="J234" s="65"/>
      <c r="K234" s="65"/>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row>
    <row r="235">
      <c r="A235" s="57"/>
      <c r="B235" s="57"/>
      <c r="C235" s="57"/>
      <c r="D235" s="57"/>
      <c r="E235" s="57"/>
      <c r="F235" s="57"/>
      <c r="G235" s="58"/>
      <c r="H235" s="65"/>
      <c r="I235" s="65"/>
      <c r="J235" s="65"/>
      <c r="K235" s="65"/>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row>
    <row r="236">
      <c r="A236" s="57"/>
      <c r="B236" s="57"/>
      <c r="C236" s="57"/>
      <c r="D236" s="57"/>
      <c r="E236" s="57"/>
      <c r="F236" s="57"/>
      <c r="G236" s="58"/>
      <c r="H236" s="65"/>
      <c r="I236" s="65"/>
      <c r="J236" s="65"/>
      <c r="K236" s="65"/>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row>
    <row r="237">
      <c r="A237" s="57"/>
      <c r="B237" s="57"/>
      <c r="C237" s="57"/>
      <c r="D237" s="57"/>
      <c r="E237" s="57"/>
      <c r="F237" s="57"/>
      <c r="G237" s="58"/>
      <c r="H237" s="65"/>
      <c r="I237" s="65"/>
      <c r="J237" s="65"/>
      <c r="K237" s="65"/>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row>
    <row r="238">
      <c r="A238" s="57"/>
      <c r="B238" s="57"/>
      <c r="C238" s="57"/>
      <c r="D238" s="57"/>
      <c r="E238" s="57"/>
      <c r="F238" s="57"/>
      <c r="G238" s="58"/>
      <c r="H238" s="65"/>
      <c r="I238" s="65"/>
      <c r="J238" s="65"/>
      <c r="K238" s="65"/>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row>
    <row r="239">
      <c r="A239" s="57"/>
      <c r="B239" s="57"/>
      <c r="C239" s="57"/>
      <c r="D239" s="57"/>
      <c r="E239" s="57"/>
      <c r="F239" s="57"/>
      <c r="G239" s="58"/>
      <c r="H239" s="65"/>
      <c r="I239" s="65"/>
      <c r="J239" s="65"/>
      <c r="K239" s="65"/>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row>
    <row r="240">
      <c r="A240" s="57"/>
      <c r="B240" s="57"/>
      <c r="C240" s="57"/>
      <c r="D240" s="57"/>
      <c r="E240" s="57"/>
      <c r="F240" s="57"/>
      <c r="G240" s="58"/>
      <c r="H240" s="65"/>
      <c r="I240" s="65"/>
      <c r="J240" s="65"/>
      <c r="K240" s="65"/>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row>
    <row r="241">
      <c r="A241" s="57"/>
      <c r="B241" s="57"/>
      <c r="C241" s="57"/>
      <c r="D241" s="57"/>
      <c r="E241" s="57"/>
      <c r="F241" s="57"/>
      <c r="G241" s="58"/>
      <c r="H241" s="65"/>
      <c r="I241" s="65"/>
      <c r="J241" s="65"/>
      <c r="K241" s="65"/>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row>
    <row r="242">
      <c r="A242" s="57"/>
      <c r="B242" s="57"/>
      <c r="C242" s="57"/>
      <c r="D242" s="57"/>
      <c r="E242" s="57"/>
      <c r="F242" s="57"/>
      <c r="G242" s="58"/>
      <c r="H242" s="65"/>
      <c r="I242" s="65"/>
      <c r="J242" s="65"/>
      <c r="K242" s="65"/>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row>
    <row r="243">
      <c r="A243" s="57"/>
      <c r="B243" s="57"/>
      <c r="C243" s="57"/>
      <c r="D243" s="57"/>
      <c r="E243" s="57"/>
      <c r="F243" s="57"/>
      <c r="G243" s="58"/>
      <c r="H243" s="65"/>
      <c r="I243" s="65"/>
      <c r="J243" s="65"/>
      <c r="K243" s="65"/>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row>
    <row r="244">
      <c r="A244" s="57"/>
      <c r="B244" s="57"/>
      <c r="C244" s="57"/>
      <c r="D244" s="57"/>
      <c r="E244" s="57"/>
      <c r="F244" s="57"/>
      <c r="G244" s="58"/>
      <c r="H244" s="65"/>
      <c r="I244" s="65"/>
      <c r="J244" s="65"/>
      <c r="K244" s="65"/>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row>
    <row r="245">
      <c r="A245" s="57"/>
      <c r="B245" s="57"/>
      <c r="C245" s="57"/>
      <c r="D245" s="57"/>
      <c r="E245" s="57"/>
      <c r="F245" s="57"/>
      <c r="G245" s="58"/>
      <c r="H245" s="65"/>
      <c r="I245" s="65"/>
      <c r="J245" s="65"/>
      <c r="K245" s="65"/>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row>
    <row r="246">
      <c r="A246" s="57"/>
      <c r="B246" s="57"/>
      <c r="C246" s="57"/>
      <c r="D246" s="57"/>
      <c r="E246" s="57"/>
      <c r="F246" s="57"/>
      <c r="G246" s="58"/>
      <c r="H246" s="65"/>
      <c r="I246" s="65"/>
      <c r="J246" s="65"/>
      <c r="K246" s="65"/>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row>
    <row r="247">
      <c r="A247" s="57"/>
      <c r="B247" s="57"/>
      <c r="C247" s="57"/>
      <c r="D247" s="57"/>
      <c r="E247" s="57"/>
      <c r="F247" s="57"/>
      <c r="G247" s="58"/>
      <c r="H247" s="65"/>
      <c r="I247" s="65"/>
      <c r="J247" s="65"/>
      <c r="K247" s="65"/>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row>
    <row r="248">
      <c r="A248" s="57"/>
      <c r="B248" s="57"/>
      <c r="C248" s="57"/>
      <c r="D248" s="57"/>
      <c r="E248" s="57"/>
      <c r="F248" s="57"/>
      <c r="G248" s="58"/>
      <c r="H248" s="65"/>
      <c r="I248" s="65"/>
      <c r="J248" s="65"/>
      <c r="K248" s="65"/>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row>
    <row r="249">
      <c r="A249" s="57"/>
      <c r="B249" s="57"/>
      <c r="C249" s="57"/>
      <c r="D249" s="57"/>
      <c r="E249" s="57"/>
      <c r="F249" s="57"/>
      <c r="G249" s="58"/>
      <c r="H249" s="65"/>
      <c r="I249" s="65"/>
      <c r="J249" s="65"/>
      <c r="K249" s="65"/>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c r="AT249" s="57"/>
      <c r="AU249" s="57"/>
      <c r="AV249" s="57"/>
      <c r="AW249" s="57"/>
      <c r="AX249" s="57"/>
      <c r="AY249" s="57"/>
      <c r="AZ249" s="57"/>
    </row>
    <row r="250">
      <c r="A250" s="57"/>
      <c r="B250" s="57"/>
      <c r="C250" s="57"/>
      <c r="D250" s="57"/>
      <c r="E250" s="57"/>
      <c r="F250" s="57"/>
      <c r="G250" s="58"/>
      <c r="H250" s="65"/>
      <c r="I250" s="65"/>
      <c r="J250" s="65"/>
      <c r="K250" s="65"/>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row>
    <row r="251">
      <c r="A251" s="57"/>
      <c r="B251" s="57"/>
      <c r="C251" s="57"/>
      <c r="D251" s="57"/>
      <c r="E251" s="57"/>
      <c r="F251" s="57"/>
      <c r="G251" s="58"/>
      <c r="H251" s="65"/>
      <c r="I251" s="65"/>
      <c r="J251" s="65"/>
      <c r="K251" s="65"/>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row>
    <row r="252">
      <c r="A252" s="57"/>
      <c r="B252" s="57"/>
      <c r="C252" s="57"/>
      <c r="D252" s="57"/>
      <c r="E252" s="57"/>
      <c r="F252" s="57"/>
      <c r="G252" s="58"/>
      <c r="H252" s="65"/>
      <c r="I252" s="65"/>
      <c r="J252" s="65"/>
      <c r="K252" s="65"/>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row>
    <row r="253">
      <c r="A253" s="57"/>
      <c r="B253" s="57"/>
      <c r="C253" s="57"/>
      <c r="D253" s="57"/>
      <c r="E253" s="57"/>
      <c r="F253" s="57"/>
      <c r="G253" s="58"/>
      <c r="H253" s="65"/>
      <c r="I253" s="65"/>
      <c r="J253" s="65"/>
      <c r="K253" s="65"/>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row>
    <row r="254">
      <c r="A254" s="57"/>
      <c r="B254" s="57"/>
      <c r="C254" s="57"/>
      <c r="D254" s="57"/>
      <c r="E254" s="57"/>
      <c r="F254" s="57"/>
      <c r="G254" s="58"/>
      <c r="H254" s="65"/>
      <c r="I254" s="65"/>
      <c r="J254" s="65"/>
      <c r="K254" s="65"/>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row>
    <row r="255">
      <c r="A255" s="57"/>
      <c r="B255" s="57"/>
      <c r="C255" s="57"/>
      <c r="D255" s="57"/>
      <c r="E255" s="57"/>
      <c r="F255" s="57"/>
      <c r="G255" s="58"/>
      <c r="H255" s="65"/>
      <c r="I255" s="65"/>
      <c r="J255" s="65"/>
      <c r="K255" s="65"/>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row>
    <row r="256">
      <c r="A256" s="57"/>
      <c r="B256" s="57"/>
      <c r="C256" s="57"/>
      <c r="D256" s="57"/>
      <c r="E256" s="57"/>
      <c r="F256" s="57"/>
      <c r="G256" s="58"/>
      <c r="H256" s="65"/>
      <c r="I256" s="65"/>
      <c r="J256" s="65"/>
      <c r="K256" s="65"/>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57"/>
      <c r="AU256" s="57"/>
      <c r="AV256" s="57"/>
      <c r="AW256" s="57"/>
      <c r="AX256" s="57"/>
      <c r="AY256" s="57"/>
      <c r="AZ256" s="57"/>
    </row>
    <row r="257">
      <c r="A257" s="57"/>
      <c r="B257" s="57"/>
      <c r="C257" s="57"/>
      <c r="D257" s="57"/>
      <c r="E257" s="57"/>
      <c r="F257" s="57"/>
      <c r="G257" s="58"/>
      <c r="H257" s="65"/>
      <c r="I257" s="65"/>
      <c r="J257" s="65"/>
      <c r="K257" s="65"/>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row>
    <row r="258">
      <c r="A258" s="57"/>
      <c r="B258" s="57"/>
      <c r="C258" s="57"/>
      <c r="D258" s="57"/>
      <c r="E258" s="57"/>
      <c r="F258" s="57"/>
      <c r="G258" s="58"/>
      <c r="H258" s="65"/>
      <c r="I258" s="65"/>
      <c r="J258" s="65"/>
      <c r="K258" s="65"/>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c r="AY258" s="57"/>
      <c r="AZ258" s="57"/>
    </row>
    <row r="259">
      <c r="A259" s="57"/>
      <c r="B259" s="57"/>
      <c r="C259" s="57"/>
      <c r="D259" s="57"/>
      <c r="E259" s="57"/>
      <c r="F259" s="57"/>
      <c r="G259" s="58"/>
      <c r="H259" s="65"/>
      <c r="I259" s="65"/>
      <c r="J259" s="65"/>
      <c r="K259" s="65"/>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row>
    <row r="260">
      <c r="A260" s="57"/>
      <c r="B260" s="57"/>
      <c r="C260" s="57"/>
      <c r="D260" s="57"/>
      <c r="E260" s="57"/>
      <c r="F260" s="57"/>
      <c r="G260" s="58"/>
      <c r="H260" s="65"/>
      <c r="I260" s="65"/>
      <c r="J260" s="65"/>
      <c r="K260" s="65"/>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c r="AY260" s="57"/>
      <c r="AZ260" s="57"/>
    </row>
    <row r="261">
      <c r="A261" s="57"/>
      <c r="B261" s="57"/>
      <c r="C261" s="57"/>
      <c r="D261" s="57"/>
      <c r="E261" s="57"/>
      <c r="F261" s="57"/>
      <c r="G261" s="58"/>
      <c r="H261" s="65"/>
      <c r="I261" s="65"/>
      <c r="J261" s="65"/>
      <c r="K261" s="65"/>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row>
    <row r="262">
      <c r="A262" s="57"/>
      <c r="B262" s="57"/>
      <c r="C262" s="57"/>
      <c r="D262" s="57"/>
      <c r="E262" s="57"/>
      <c r="F262" s="57"/>
      <c r="G262" s="58"/>
      <c r="H262" s="65"/>
      <c r="I262" s="65"/>
      <c r="J262" s="65"/>
      <c r="K262" s="65"/>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row>
    <row r="263">
      <c r="A263" s="57"/>
      <c r="B263" s="57"/>
      <c r="C263" s="57"/>
      <c r="D263" s="57"/>
      <c r="E263" s="57"/>
      <c r="F263" s="57"/>
      <c r="G263" s="58"/>
      <c r="H263" s="65"/>
      <c r="I263" s="65"/>
      <c r="J263" s="65"/>
      <c r="K263" s="65"/>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57"/>
      <c r="AV263" s="57"/>
      <c r="AW263" s="57"/>
      <c r="AX263" s="57"/>
      <c r="AY263" s="57"/>
      <c r="AZ263" s="57"/>
    </row>
    <row r="264">
      <c r="A264" s="57"/>
      <c r="B264" s="57"/>
      <c r="C264" s="57"/>
      <c r="D264" s="57"/>
      <c r="E264" s="57"/>
      <c r="F264" s="57"/>
      <c r="G264" s="58"/>
      <c r="H264" s="65"/>
      <c r="I264" s="65"/>
      <c r="J264" s="65"/>
      <c r="K264" s="65"/>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row>
    <row r="265">
      <c r="A265" s="57"/>
      <c r="B265" s="57"/>
      <c r="C265" s="57"/>
      <c r="D265" s="57"/>
      <c r="E265" s="57"/>
      <c r="F265" s="57"/>
      <c r="G265" s="58"/>
      <c r="H265" s="65"/>
      <c r="I265" s="65"/>
      <c r="J265" s="65"/>
      <c r="K265" s="65"/>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row>
    <row r="266">
      <c r="A266" s="57"/>
      <c r="B266" s="57"/>
      <c r="C266" s="57"/>
      <c r="D266" s="57"/>
      <c r="E266" s="57"/>
      <c r="F266" s="57"/>
      <c r="G266" s="58"/>
      <c r="H266" s="65"/>
      <c r="I266" s="65"/>
      <c r="J266" s="65"/>
      <c r="K266" s="65"/>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c r="AT266" s="57"/>
      <c r="AU266" s="57"/>
      <c r="AV266" s="57"/>
      <c r="AW266" s="57"/>
      <c r="AX266" s="57"/>
      <c r="AY266" s="57"/>
      <c r="AZ266" s="57"/>
    </row>
    <row r="267">
      <c r="A267" s="57"/>
      <c r="B267" s="57"/>
      <c r="C267" s="57"/>
      <c r="D267" s="57"/>
      <c r="E267" s="57"/>
      <c r="F267" s="57"/>
      <c r="G267" s="58"/>
      <c r="H267" s="65"/>
      <c r="I267" s="65"/>
      <c r="J267" s="65"/>
      <c r="K267" s="65"/>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c r="AT267" s="57"/>
      <c r="AU267" s="57"/>
      <c r="AV267" s="57"/>
      <c r="AW267" s="57"/>
      <c r="AX267" s="57"/>
      <c r="AY267" s="57"/>
      <c r="AZ267" s="57"/>
    </row>
    <row r="268">
      <c r="A268" s="57"/>
      <c r="B268" s="57"/>
      <c r="C268" s="57"/>
      <c r="D268" s="57"/>
      <c r="E268" s="57"/>
      <c r="F268" s="57"/>
      <c r="G268" s="58"/>
      <c r="H268" s="65"/>
      <c r="I268" s="65"/>
      <c r="J268" s="65"/>
      <c r="K268" s="65"/>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row>
    <row r="269">
      <c r="A269" s="57"/>
      <c r="B269" s="57"/>
      <c r="C269" s="57"/>
      <c r="D269" s="57"/>
      <c r="E269" s="57"/>
      <c r="F269" s="57"/>
      <c r="G269" s="58"/>
      <c r="H269" s="65"/>
      <c r="I269" s="65"/>
      <c r="J269" s="65"/>
      <c r="K269" s="65"/>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c r="AT269" s="57"/>
      <c r="AU269" s="57"/>
      <c r="AV269" s="57"/>
      <c r="AW269" s="57"/>
      <c r="AX269" s="57"/>
      <c r="AY269" s="57"/>
      <c r="AZ269" s="57"/>
    </row>
    <row r="270">
      <c r="A270" s="57"/>
      <c r="B270" s="57"/>
      <c r="C270" s="57"/>
      <c r="D270" s="57"/>
      <c r="E270" s="57"/>
      <c r="F270" s="57"/>
      <c r="G270" s="58"/>
      <c r="H270" s="65"/>
      <c r="I270" s="65"/>
      <c r="J270" s="65"/>
      <c r="K270" s="65"/>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c r="AT270" s="57"/>
      <c r="AU270" s="57"/>
      <c r="AV270" s="57"/>
      <c r="AW270" s="57"/>
      <c r="AX270" s="57"/>
      <c r="AY270" s="57"/>
      <c r="AZ270" s="57"/>
    </row>
    <row r="271">
      <c r="A271" s="57"/>
      <c r="B271" s="57"/>
      <c r="C271" s="57"/>
      <c r="D271" s="57"/>
      <c r="E271" s="57"/>
      <c r="F271" s="57"/>
      <c r="G271" s="58"/>
      <c r="H271" s="65"/>
      <c r="I271" s="65"/>
      <c r="J271" s="65"/>
      <c r="K271" s="65"/>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row>
    <row r="272">
      <c r="A272" s="57"/>
      <c r="B272" s="57"/>
      <c r="C272" s="57"/>
      <c r="D272" s="57"/>
      <c r="E272" s="57"/>
      <c r="F272" s="57"/>
      <c r="G272" s="58"/>
      <c r="H272" s="65"/>
      <c r="I272" s="65"/>
      <c r="J272" s="65"/>
      <c r="K272" s="65"/>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row>
    <row r="273">
      <c r="A273" s="57"/>
      <c r="B273" s="57"/>
      <c r="C273" s="57"/>
      <c r="D273" s="57"/>
      <c r="E273" s="57"/>
      <c r="F273" s="57"/>
      <c r="G273" s="58"/>
      <c r="H273" s="65"/>
      <c r="I273" s="65"/>
      <c r="J273" s="65"/>
      <c r="K273" s="65"/>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c r="AT273" s="57"/>
      <c r="AU273" s="57"/>
      <c r="AV273" s="57"/>
      <c r="AW273" s="57"/>
      <c r="AX273" s="57"/>
      <c r="AY273" s="57"/>
      <c r="AZ273" s="57"/>
    </row>
    <row r="274">
      <c r="A274" s="57"/>
      <c r="B274" s="57"/>
      <c r="C274" s="57"/>
      <c r="D274" s="57"/>
      <c r="E274" s="57"/>
      <c r="F274" s="57"/>
      <c r="G274" s="58"/>
      <c r="H274" s="65"/>
      <c r="I274" s="65"/>
      <c r="J274" s="65"/>
      <c r="K274" s="65"/>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row>
    <row r="275">
      <c r="A275" s="57"/>
      <c r="B275" s="57"/>
      <c r="C275" s="57"/>
      <c r="D275" s="57"/>
      <c r="E275" s="57"/>
      <c r="F275" s="57"/>
      <c r="G275" s="58"/>
      <c r="H275" s="65"/>
      <c r="I275" s="65"/>
      <c r="J275" s="65"/>
      <c r="K275" s="65"/>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row>
    <row r="276">
      <c r="A276" s="57"/>
      <c r="B276" s="57"/>
      <c r="C276" s="57"/>
      <c r="D276" s="57"/>
      <c r="E276" s="57"/>
      <c r="F276" s="57"/>
      <c r="G276" s="58"/>
      <c r="H276" s="65"/>
      <c r="I276" s="65"/>
      <c r="J276" s="65"/>
      <c r="K276" s="65"/>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row>
    <row r="277">
      <c r="A277" s="57"/>
      <c r="B277" s="57"/>
      <c r="C277" s="57"/>
      <c r="D277" s="57"/>
      <c r="E277" s="57"/>
      <c r="F277" s="57"/>
      <c r="G277" s="58"/>
      <c r="H277" s="65"/>
      <c r="I277" s="65"/>
      <c r="J277" s="65"/>
      <c r="K277" s="65"/>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c r="AT277" s="57"/>
      <c r="AU277" s="57"/>
      <c r="AV277" s="57"/>
      <c r="AW277" s="57"/>
      <c r="AX277" s="57"/>
      <c r="AY277" s="57"/>
      <c r="AZ277" s="57"/>
    </row>
    <row r="278">
      <c r="A278" s="57"/>
      <c r="B278" s="57"/>
      <c r="C278" s="57"/>
      <c r="D278" s="57"/>
      <c r="E278" s="57"/>
      <c r="F278" s="57"/>
      <c r="G278" s="58"/>
      <c r="H278" s="65"/>
      <c r="I278" s="65"/>
      <c r="J278" s="65"/>
      <c r="K278" s="65"/>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row>
    <row r="279">
      <c r="A279" s="57"/>
      <c r="B279" s="57"/>
      <c r="C279" s="57"/>
      <c r="D279" s="57"/>
      <c r="E279" s="57"/>
      <c r="F279" s="57"/>
      <c r="G279" s="58"/>
      <c r="H279" s="65"/>
      <c r="I279" s="65"/>
      <c r="J279" s="65"/>
      <c r="K279" s="65"/>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row>
    <row r="280">
      <c r="A280" s="57"/>
      <c r="B280" s="57"/>
      <c r="C280" s="57"/>
      <c r="D280" s="57"/>
      <c r="E280" s="57"/>
      <c r="F280" s="57"/>
      <c r="G280" s="58"/>
      <c r="H280" s="65"/>
      <c r="I280" s="65"/>
      <c r="J280" s="65"/>
      <c r="K280" s="65"/>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row>
    <row r="281">
      <c r="A281" s="57"/>
      <c r="B281" s="57"/>
      <c r="C281" s="57"/>
      <c r="D281" s="57"/>
      <c r="E281" s="57"/>
      <c r="F281" s="57"/>
      <c r="G281" s="58"/>
      <c r="H281" s="65"/>
      <c r="I281" s="65"/>
      <c r="J281" s="65"/>
      <c r="K281" s="65"/>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row>
    <row r="282">
      <c r="A282" s="57"/>
      <c r="B282" s="57"/>
      <c r="C282" s="57"/>
      <c r="D282" s="57"/>
      <c r="E282" s="57"/>
      <c r="F282" s="57"/>
      <c r="G282" s="58"/>
      <c r="H282" s="65"/>
      <c r="I282" s="65"/>
      <c r="J282" s="65"/>
      <c r="K282" s="65"/>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row>
    <row r="283">
      <c r="A283" s="57"/>
      <c r="B283" s="57"/>
      <c r="C283" s="57"/>
      <c r="D283" s="57"/>
      <c r="E283" s="57"/>
      <c r="F283" s="57"/>
      <c r="G283" s="58"/>
      <c r="H283" s="65"/>
      <c r="I283" s="65"/>
      <c r="J283" s="65"/>
      <c r="K283" s="65"/>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row>
    <row r="284">
      <c r="A284" s="57"/>
      <c r="B284" s="57"/>
      <c r="C284" s="57"/>
      <c r="D284" s="57"/>
      <c r="E284" s="57"/>
      <c r="F284" s="57"/>
      <c r="G284" s="58"/>
      <c r="H284" s="65"/>
      <c r="I284" s="65"/>
      <c r="J284" s="65"/>
      <c r="K284" s="65"/>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row>
    <row r="285">
      <c r="A285" s="57"/>
      <c r="B285" s="57"/>
      <c r="C285" s="57"/>
      <c r="D285" s="57"/>
      <c r="E285" s="57"/>
      <c r="F285" s="57"/>
      <c r="G285" s="58"/>
      <c r="H285" s="65"/>
      <c r="I285" s="65"/>
      <c r="J285" s="65"/>
      <c r="K285" s="65"/>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row>
    <row r="286">
      <c r="A286" s="57"/>
      <c r="B286" s="57"/>
      <c r="C286" s="57"/>
      <c r="D286" s="57"/>
      <c r="E286" s="57"/>
      <c r="F286" s="57"/>
      <c r="G286" s="58"/>
      <c r="H286" s="65"/>
      <c r="I286" s="65"/>
      <c r="J286" s="65"/>
      <c r="K286" s="65"/>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row>
    <row r="287">
      <c r="A287" s="57"/>
      <c r="B287" s="57"/>
      <c r="C287" s="57"/>
      <c r="D287" s="57"/>
      <c r="E287" s="57"/>
      <c r="F287" s="57"/>
      <c r="G287" s="58"/>
      <c r="H287" s="65"/>
      <c r="I287" s="65"/>
      <c r="J287" s="65"/>
      <c r="K287" s="65"/>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row>
    <row r="288">
      <c r="A288" s="57"/>
      <c r="B288" s="57"/>
      <c r="C288" s="57"/>
      <c r="D288" s="57"/>
      <c r="E288" s="57"/>
      <c r="F288" s="57"/>
      <c r="G288" s="58"/>
      <c r="H288" s="65"/>
      <c r="I288" s="65"/>
      <c r="J288" s="65"/>
      <c r="K288" s="65"/>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row>
    <row r="289">
      <c r="A289" s="57"/>
      <c r="B289" s="57"/>
      <c r="C289" s="57"/>
      <c r="D289" s="57"/>
      <c r="E289" s="57"/>
      <c r="F289" s="57"/>
      <c r="G289" s="58"/>
      <c r="H289" s="65"/>
      <c r="I289" s="65"/>
      <c r="J289" s="65"/>
      <c r="K289" s="65"/>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row>
    <row r="290">
      <c r="A290" s="57"/>
      <c r="B290" s="57"/>
      <c r="C290" s="57"/>
      <c r="D290" s="57"/>
      <c r="E290" s="57"/>
      <c r="F290" s="57"/>
      <c r="G290" s="58"/>
      <c r="H290" s="65"/>
      <c r="I290" s="65"/>
      <c r="J290" s="65"/>
      <c r="K290" s="65"/>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row>
    <row r="291">
      <c r="A291" s="57"/>
      <c r="B291" s="57"/>
      <c r="C291" s="57"/>
      <c r="D291" s="57"/>
      <c r="E291" s="57"/>
      <c r="F291" s="57"/>
      <c r="G291" s="58"/>
      <c r="H291" s="65"/>
      <c r="I291" s="65"/>
      <c r="J291" s="65"/>
      <c r="K291" s="65"/>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row>
    <row r="292">
      <c r="A292" s="57"/>
      <c r="B292" s="57"/>
      <c r="C292" s="57"/>
      <c r="D292" s="57"/>
      <c r="E292" s="57"/>
      <c r="F292" s="57"/>
      <c r="G292" s="58"/>
      <c r="H292" s="65"/>
      <c r="I292" s="65"/>
      <c r="J292" s="65"/>
      <c r="K292" s="65"/>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row>
    <row r="293">
      <c r="A293" s="57"/>
      <c r="B293" s="57"/>
      <c r="C293" s="57"/>
      <c r="D293" s="57"/>
      <c r="E293" s="57"/>
      <c r="F293" s="57"/>
      <c r="G293" s="58"/>
      <c r="H293" s="65"/>
      <c r="I293" s="65"/>
      <c r="J293" s="65"/>
      <c r="K293" s="65"/>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row>
    <row r="294">
      <c r="A294" s="57"/>
      <c r="B294" s="57"/>
      <c r="C294" s="57"/>
      <c r="D294" s="57"/>
      <c r="E294" s="57"/>
      <c r="F294" s="57"/>
      <c r="G294" s="58"/>
      <c r="H294" s="65"/>
      <c r="I294" s="65"/>
      <c r="J294" s="65"/>
      <c r="K294" s="65"/>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row>
    <row r="295">
      <c r="A295" s="57"/>
      <c r="B295" s="57"/>
      <c r="C295" s="57"/>
      <c r="D295" s="57"/>
      <c r="E295" s="57"/>
      <c r="F295" s="57"/>
      <c r="G295" s="58"/>
      <c r="H295" s="65"/>
      <c r="I295" s="65"/>
      <c r="J295" s="65"/>
      <c r="K295" s="65"/>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row>
    <row r="296">
      <c r="A296" s="57"/>
      <c r="B296" s="57"/>
      <c r="C296" s="57"/>
      <c r="D296" s="57"/>
      <c r="E296" s="57"/>
      <c r="F296" s="57"/>
      <c r="G296" s="58"/>
      <c r="H296" s="65"/>
      <c r="I296" s="65"/>
      <c r="J296" s="65"/>
      <c r="K296" s="65"/>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row>
    <row r="297">
      <c r="A297" s="57"/>
      <c r="B297" s="57"/>
      <c r="C297" s="57"/>
      <c r="D297" s="57"/>
      <c r="E297" s="57"/>
      <c r="F297" s="57"/>
      <c r="G297" s="58"/>
      <c r="H297" s="65"/>
      <c r="I297" s="65"/>
      <c r="J297" s="65"/>
      <c r="K297" s="65"/>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row>
    <row r="298">
      <c r="A298" s="57"/>
      <c r="B298" s="57"/>
      <c r="C298" s="57"/>
      <c r="D298" s="57"/>
      <c r="E298" s="57"/>
      <c r="F298" s="57"/>
      <c r="G298" s="58"/>
      <c r="H298" s="65"/>
      <c r="I298" s="65"/>
      <c r="J298" s="65"/>
      <c r="K298" s="65"/>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row>
    <row r="299">
      <c r="A299" s="57"/>
      <c r="B299" s="57"/>
      <c r="C299" s="57"/>
      <c r="D299" s="57"/>
      <c r="E299" s="57"/>
      <c r="F299" s="57"/>
      <c r="G299" s="58"/>
      <c r="H299" s="65"/>
      <c r="I299" s="65"/>
      <c r="J299" s="65"/>
      <c r="K299" s="65"/>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row>
    <row r="300">
      <c r="A300" s="57"/>
      <c r="B300" s="57"/>
      <c r="C300" s="57"/>
      <c r="D300" s="57"/>
      <c r="E300" s="57"/>
      <c r="F300" s="57"/>
      <c r="G300" s="58"/>
      <c r="H300" s="65"/>
      <c r="I300" s="65"/>
      <c r="J300" s="65"/>
      <c r="K300" s="65"/>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row>
    <row r="301">
      <c r="A301" s="57"/>
      <c r="B301" s="57"/>
      <c r="C301" s="57"/>
      <c r="D301" s="57"/>
      <c r="E301" s="57"/>
      <c r="F301" s="57"/>
      <c r="G301" s="58"/>
      <c r="H301" s="65"/>
      <c r="I301" s="65"/>
      <c r="J301" s="65"/>
      <c r="K301" s="65"/>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row>
    <row r="302">
      <c r="A302" s="57"/>
      <c r="B302" s="57"/>
      <c r="C302" s="57"/>
      <c r="D302" s="57"/>
      <c r="E302" s="57"/>
      <c r="F302" s="57"/>
      <c r="G302" s="58"/>
      <c r="H302" s="65"/>
      <c r="I302" s="65"/>
      <c r="J302" s="65"/>
      <c r="K302" s="65"/>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row>
    <row r="303">
      <c r="A303" s="57"/>
      <c r="B303" s="57"/>
      <c r="C303" s="57"/>
      <c r="D303" s="57"/>
      <c r="E303" s="57"/>
      <c r="F303" s="57"/>
      <c r="G303" s="58"/>
      <c r="H303" s="65"/>
      <c r="I303" s="65"/>
      <c r="J303" s="65"/>
      <c r="K303" s="65"/>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row>
    <row r="304">
      <c r="A304" s="57"/>
      <c r="B304" s="57"/>
      <c r="C304" s="57"/>
      <c r="D304" s="57"/>
      <c r="E304" s="57"/>
      <c r="F304" s="57"/>
      <c r="G304" s="58"/>
      <c r="H304" s="65"/>
      <c r="I304" s="65"/>
      <c r="J304" s="65"/>
      <c r="K304" s="65"/>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row>
    <row r="305">
      <c r="A305" s="57"/>
      <c r="B305" s="57"/>
      <c r="C305" s="57"/>
      <c r="D305" s="57"/>
      <c r="E305" s="57"/>
      <c r="F305" s="57"/>
      <c r="G305" s="58"/>
      <c r="H305" s="65"/>
      <c r="I305" s="65"/>
      <c r="J305" s="65"/>
      <c r="K305" s="65"/>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row>
    <row r="306">
      <c r="A306" s="57"/>
      <c r="B306" s="57"/>
      <c r="C306" s="57"/>
      <c r="D306" s="57"/>
      <c r="E306" s="57"/>
      <c r="F306" s="57"/>
      <c r="G306" s="58"/>
      <c r="H306" s="65"/>
      <c r="I306" s="65"/>
      <c r="J306" s="65"/>
      <c r="K306" s="65"/>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row>
    <row r="307">
      <c r="A307" s="57"/>
      <c r="B307" s="57"/>
      <c r="C307" s="57"/>
      <c r="D307" s="57"/>
      <c r="E307" s="57"/>
      <c r="F307" s="57"/>
      <c r="G307" s="58"/>
      <c r="H307" s="65"/>
      <c r="I307" s="65"/>
      <c r="J307" s="65"/>
      <c r="K307" s="65"/>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row>
    <row r="308">
      <c r="A308" s="57"/>
      <c r="B308" s="57"/>
      <c r="C308" s="57"/>
      <c r="D308" s="57"/>
      <c r="E308" s="57"/>
      <c r="F308" s="57"/>
      <c r="G308" s="58"/>
      <c r="H308" s="65"/>
      <c r="I308" s="65"/>
      <c r="J308" s="65"/>
      <c r="K308" s="65"/>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row>
    <row r="309">
      <c r="A309" s="57"/>
      <c r="B309" s="57"/>
      <c r="C309" s="57"/>
      <c r="D309" s="57"/>
      <c r="E309" s="57"/>
      <c r="F309" s="57"/>
      <c r="G309" s="58"/>
      <c r="H309" s="65"/>
      <c r="I309" s="65"/>
      <c r="J309" s="65"/>
      <c r="K309" s="65"/>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row>
    <row r="310">
      <c r="A310" s="57"/>
      <c r="B310" s="57"/>
      <c r="C310" s="57"/>
      <c r="D310" s="57"/>
      <c r="E310" s="57"/>
      <c r="F310" s="57"/>
      <c r="G310" s="58"/>
      <c r="H310" s="65"/>
      <c r="I310" s="65"/>
      <c r="J310" s="65"/>
      <c r="K310" s="65"/>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row>
    <row r="311">
      <c r="A311" s="57"/>
      <c r="B311" s="57"/>
      <c r="C311" s="57"/>
      <c r="D311" s="57"/>
      <c r="E311" s="57"/>
      <c r="F311" s="57"/>
      <c r="G311" s="58"/>
      <c r="H311" s="65"/>
      <c r="I311" s="65"/>
      <c r="J311" s="65"/>
      <c r="K311" s="65"/>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row>
    <row r="312">
      <c r="A312" s="57"/>
      <c r="B312" s="57"/>
      <c r="C312" s="57"/>
      <c r="D312" s="57"/>
      <c r="E312" s="57"/>
      <c r="F312" s="57"/>
      <c r="G312" s="58"/>
      <c r="H312" s="65"/>
      <c r="I312" s="65"/>
      <c r="J312" s="65"/>
      <c r="K312" s="65"/>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row>
    <row r="313">
      <c r="A313" s="57"/>
      <c r="B313" s="57"/>
      <c r="C313" s="57"/>
      <c r="D313" s="57"/>
      <c r="E313" s="57"/>
      <c r="F313" s="57"/>
      <c r="G313" s="58"/>
      <c r="H313" s="65"/>
      <c r="I313" s="65"/>
      <c r="J313" s="65"/>
      <c r="K313" s="65"/>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row>
    <row r="314">
      <c r="A314" s="57"/>
      <c r="B314" s="57"/>
      <c r="C314" s="57"/>
      <c r="D314" s="57"/>
      <c r="E314" s="57"/>
      <c r="F314" s="57"/>
      <c r="G314" s="58"/>
      <c r="H314" s="65"/>
      <c r="I314" s="65"/>
      <c r="J314" s="65"/>
      <c r="K314" s="65"/>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row>
    <row r="315">
      <c r="A315" s="57"/>
      <c r="B315" s="57"/>
      <c r="C315" s="57"/>
      <c r="D315" s="57"/>
      <c r="E315" s="57"/>
      <c r="F315" s="57"/>
      <c r="G315" s="58"/>
      <c r="H315" s="65"/>
      <c r="I315" s="65"/>
      <c r="J315" s="65"/>
      <c r="K315" s="65"/>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row>
    <row r="316">
      <c r="A316" s="57"/>
      <c r="B316" s="57"/>
      <c r="C316" s="57"/>
      <c r="D316" s="57"/>
      <c r="E316" s="57"/>
      <c r="F316" s="57"/>
      <c r="G316" s="58"/>
      <c r="H316" s="65"/>
      <c r="I316" s="65"/>
      <c r="J316" s="65"/>
      <c r="K316" s="65"/>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row>
    <row r="317">
      <c r="A317" s="57"/>
      <c r="B317" s="57"/>
      <c r="C317" s="57"/>
      <c r="D317" s="57"/>
      <c r="E317" s="57"/>
      <c r="F317" s="57"/>
      <c r="G317" s="58"/>
      <c r="H317" s="65"/>
      <c r="I317" s="65"/>
      <c r="J317" s="65"/>
      <c r="K317" s="65"/>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row>
    <row r="318">
      <c r="A318" s="57"/>
      <c r="B318" s="57"/>
      <c r="C318" s="57"/>
      <c r="D318" s="57"/>
      <c r="E318" s="57"/>
      <c r="F318" s="57"/>
      <c r="G318" s="58"/>
      <c r="H318" s="65"/>
      <c r="I318" s="65"/>
      <c r="J318" s="65"/>
      <c r="K318" s="65"/>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row>
    <row r="319">
      <c r="A319" s="57"/>
      <c r="B319" s="57"/>
      <c r="C319" s="57"/>
      <c r="D319" s="57"/>
      <c r="E319" s="57"/>
      <c r="F319" s="57"/>
      <c r="G319" s="58"/>
      <c r="H319" s="65"/>
      <c r="I319" s="65"/>
      <c r="J319" s="65"/>
      <c r="K319" s="65"/>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row>
    <row r="320">
      <c r="A320" s="57"/>
      <c r="B320" s="57"/>
      <c r="C320" s="57"/>
      <c r="D320" s="57"/>
      <c r="E320" s="57"/>
      <c r="F320" s="57"/>
      <c r="G320" s="58"/>
      <c r="H320" s="65"/>
      <c r="I320" s="65"/>
      <c r="J320" s="65"/>
      <c r="K320" s="65"/>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row>
    <row r="321">
      <c r="A321" s="57"/>
      <c r="B321" s="57"/>
      <c r="C321" s="57"/>
      <c r="D321" s="57"/>
      <c r="E321" s="57"/>
      <c r="F321" s="57"/>
      <c r="G321" s="58"/>
      <c r="H321" s="65"/>
      <c r="I321" s="65"/>
      <c r="J321" s="65"/>
      <c r="K321" s="65"/>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row>
    <row r="322">
      <c r="A322" s="57"/>
      <c r="B322" s="57"/>
      <c r="C322" s="57"/>
      <c r="D322" s="57"/>
      <c r="E322" s="57"/>
      <c r="F322" s="57"/>
      <c r="G322" s="58"/>
      <c r="H322" s="65"/>
      <c r="I322" s="65"/>
      <c r="J322" s="65"/>
      <c r="K322" s="65"/>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row>
    <row r="323">
      <c r="A323" s="57"/>
      <c r="B323" s="57"/>
      <c r="C323" s="57"/>
      <c r="D323" s="57"/>
      <c r="E323" s="57"/>
      <c r="F323" s="57"/>
      <c r="G323" s="58"/>
      <c r="H323" s="65"/>
      <c r="I323" s="65"/>
      <c r="J323" s="65"/>
      <c r="K323" s="65"/>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row>
    <row r="324">
      <c r="A324" s="57"/>
      <c r="B324" s="57"/>
      <c r="C324" s="57"/>
      <c r="D324" s="57"/>
      <c r="E324" s="57"/>
      <c r="F324" s="57"/>
      <c r="G324" s="58"/>
      <c r="H324" s="65"/>
      <c r="I324" s="65"/>
      <c r="J324" s="65"/>
      <c r="K324" s="65"/>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row>
    <row r="325">
      <c r="A325" s="57"/>
      <c r="B325" s="57"/>
      <c r="C325" s="57"/>
      <c r="D325" s="57"/>
      <c r="E325" s="57"/>
      <c r="F325" s="57"/>
      <c r="G325" s="58"/>
      <c r="H325" s="65"/>
      <c r="I325" s="65"/>
      <c r="J325" s="65"/>
      <c r="K325" s="65"/>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row>
    <row r="326">
      <c r="A326" s="57"/>
      <c r="B326" s="57"/>
      <c r="C326" s="57"/>
      <c r="D326" s="57"/>
      <c r="E326" s="57"/>
      <c r="F326" s="57"/>
      <c r="G326" s="58"/>
      <c r="H326" s="65"/>
      <c r="I326" s="65"/>
      <c r="J326" s="65"/>
      <c r="K326" s="65"/>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row>
    <row r="327">
      <c r="A327" s="57"/>
      <c r="B327" s="57"/>
      <c r="C327" s="57"/>
      <c r="D327" s="57"/>
      <c r="E327" s="57"/>
      <c r="F327" s="57"/>
      <c r="G327" s="58"/>
      <c r="H327" s="65"/>
      <c r="I327" s="65"/>
      <c r="J327" s="65"/>
      <c r="K327" s="65"/>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row>
    <row r="328">
      <c r="A328" s="57"/>
      <c r="B328" s="57"/>
      <c r="C328" s="57"/>
      <c r="D328" s="57"/>
      <c r="E328" s="57"/>
      <c r="F328" s="57"/>
      <c r="G328" s="58"/>
      <c r="H328" s="65"/>
      <c r="I328" s="65"/>
      <c r="J328" s="65"/>
      <c r="K328" s="65"/>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row>
    <row r="329">
      <c r="A329" s="57"/>
      <c r="B329" s="57"/>
      <c r="C329" s="57"/>
      <c r="D329" s="57"/>
      <c r="E329" s="57"/>
      <c r="F329" s="57"/>
      <c r="G329" s="58"/>
      <c r="H329" s="65"/>
      <c r="I329" s="65"/>
      <c r="J329" s="65"/>
      <c r="K329" s="65"/>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row>
    <row r="330">
      <c r="A330" s="57"/>
      <c r="B330" s="57"/>
      <c r="C330" s="57"/>
      <c r="D330" s="57"/>
      <c r="E330" s="57"/>
      <c r="F330" s="57"/>
      <c r="G330" s="58"/>
      <c r="H330" s="65"/>
      <c r="I330" s="65"/>
      <c r="J330" s="65"/>
      <c r="K330" s="65"/>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row>
    <row r="331">
      <c r="A331" s="57"/>
      <c r="B331" s="57"/>
      <c r="C331" s="57"/>
      <c r="D331" s="57"/>
      <c r="E331" s="57"/>
      <c r="F331" s="57"/>
      <c r="G331" s="58"/>
      <c r="H331" s="65"/>
      <c r="I331" s="65"/>
      <c r="J331" s="65"/>
      <c r="K331" s="65"/>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row>
    <row r="332">
      <c r="A332" s="57"/>
      <c r="B332" s="57"/>
      <c r="C332" s="57"/>
      <c r="D332" s="57"/>
      <c r="E332" s="57"/>
      <c r="F332" s="57"/>
      <c r="G332" s="58"/>
      <c r="H332" s="65"/>
      <c r="I332" s="65"/>
      <c r="J332" s="65"/>
      <c r="K332" s="65"/>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row>
    <row r="333">
      <c r="A333" s="57"/>
      <c r="B333" s="57"/>
      <c r="C333" s="57"/>
      <c r="D333" s="57"/>
      <c r="E333" s="57"/>
      <c r="F333" s="57"/>
      <c r="G333" s="58"/>
      <c r="H333" s="65"/>
      <c r="I333" s="65"/>
      <c r="J333" s="65"/>
      <c r="K333" s="65"/>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row>
    <row r="334">
      <c r="A334" s="57"/>
      <c r="B334" s="57"/>
      <c r="C334" s="57"/>
      <c r="D334" s="57"/>
      <c r="E334" s="57"/>
      <c r="F334" s="57"/>
      <c r="G334" s="58"/>
      <c r="H334" s="65"/>
      <c r="I334" s="65"/>
      <c r="J334" s="65"/>
      <c r="K334" s="65"/>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c r="AT334" s="57"/>
      <c r="AU334" s="57"/>
      <c r="AV334" s="57"/>
      <c r="AW334" s="57"/>
      <c r="AX334" s="57"/>
      <c r="AY334" s="57"/>
      <c r="AZ334" s="57"/>
    </row>
    <row r="335">
      <c r="A335" s="57"/>
      <c r="B335" s="57"/>
      <c r="C335" s="57"/>
      <c r="D335" s="57"/>
      <c r="E335" s="57"/>
      <c r="F335" s="57"/>
      <c r="G335" s="58"/>
      <c r="H335" s="65"/>
      <c r="I335" s="65"/>
      <c r="J335" s="65"/>
      <c r="K335" s="65"/>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row>
    <row r="336">
      <c r="A336" s="57"/>
      <c r="B336" s="57"/>
      <c r="C336" s="57"/>
      <c r="D336" s="57"/>
      <c r="E336" s="57"/>
      <c r="F336" s="57"/>
      <c r="G336" s="58"/>
      <c r="H336" s="65"/>
      <c r="I336" s="65"/>
      <c r="J336" s="65"/>
      <c r="K336" s="65"/>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row>
    <row r="337">
      <c r="A337" s="57"/>
      <c r="B337" s="57"/>
      <c r="C337" s="57"/>
      <c r="D337" s="57"/>
      <c r="E337" s="57"/>
      <c r="F337" s="57"/>
      <c r="G337" s="58"/>
      <c r="H337" s="65"/>
      <c r="I337" s="65"/>
      <c r="J337" s="65"/>
      <c r="K337" s="65"/>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row>
    <row r="338">
      <c r="A338" s="57"/>
      <c r="B338" s="57"/>
      <c r="C338" s="57"/>
      <c r="D338" s="57"/>
      <c r="E338" s="57"/>
      <c r="F338" s="57"/>
      <c r="G338" s="58"/>
      <c r="H338" s="65"/>
      <c r="I338" s="65"/>
      <c r="J338" s="65"/>
      <c r="K338" s="65"/>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row>
    <row r="339">
      <c r="A339" s="57"/>
      <c r="B339" s="57"/>
      <c r="C339" s="57"/>
      <c r="D339" s="57"/>
      <c r="E339" s="57"/>
      <c r="F339" s="57"/>
      <c r="G339" s="58"/>
      <c r="H339" s="65"/>
      <c r="I339" s="65"/>
      <c r="J339" s="65"/>
      <c r="K339" s="65"/>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row>
    <row r="340">
      <c r="A340" s="57"/>
      <c r="B340" s="57"/>
      <c r="C340" s="57"/>
      <c r="D340" s="57"/>
      <c r="E340" s="57"/>
      <c r="F340" s="57"/>
      <c r="G340" s="58"/>
      <c r="H340" s="65"/>
      <c r="I340" s="65"/>
      <c r="J340" s="65"/>
      <c r="K340" s="65"/>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row>
    <row r="341">
      <c r="A341" s="57"/>
      <c r="B341" s="57"/>
      <c r="C341" s="57"/>
      <c r="D341" s="57"/>
      <c r="E341" s="57"/>
      <c r="F341" s="57"/>
      <c r="G341" s="58"/>
      <c r="H341" s="65"/>
      <c r="I341" s="65"/>
      <c r="J341" s="65"/>
      <c r="K341" s="65"/>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c r="AT341" s="57"/>
      <c r="AU341" s="57"/>
      <c r="AV341" s="57"/>
      <c r="AW341" s="57"/>
      <c r="AX341" s="57"/>
      <c r="AY341" s="57"/>
      <c r="AZ341" s="57"/>
    </row>
    <row r="342">
      <c r="A342" s="57"/>
      <c r="B342" s="57"/>
      <c r="C342" s="57"/>
      <c r="D342" s="57"/>
      <c r="E342" s="57"/>
      <c r="F342" s="57"/>
      <c r="G342" s="58"/>
      <c r="H342" s="65"/>
      <c r="I342" s="65"/>
      <c r="J342" s="65"/>
      <c r="K342" s="65"/>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row>
    <row r="343">
      <c r="A343" s="57"/>
      <c r="B343" s="57"/>
      <c r="C343" s="57"/>
      <c r="D343" s="57"/>
      <c r="E343" s="57"/>
      <c r="F343" s="57"/>
      <c r="G343" s="58"/>
      <c r="H343" s="65"/>
      <c r="I343" s="65"/>
      <c r="J343" s="65"/>
      <c r="K343" s="65"/>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row>
    <row r="344">
      <c r="A344" s="57"/>
      <c r="B344" s="57"/>
      <c r="C344" s="57"/>
      <c r="D344" s="57"/>
      <c r="E344" s="57"/>
      <c r="F344" s="57"/>
      <c r="G344" s="58"/>
      <c r="H344" s="65"/>
      <c r="I344" s="65"/>
      <c r="J344" s="65"/>
      <c r="K344" s="65"/>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row>
    <row r="345">
      <c r="A345" s="57"/>
      <c r="B345" s="57"/>
      <c r="C345" s="57"/>
      <c r="D345" s="57"/>
      <c r="E345" s="57"/>
      <c r="F345" s="57"/>
      <c r="G345" s="58"/>
      <c r="H345" s="65"/>
      <c r="I345" s="65"/>
      <c r="J345" s="65"/>
      <c r="K345" s="65"/>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row>
    <row r="346">
      <c r="A346" s="57"/>
      <c r="B346" s="57"/>
      <c r="C346" s="57"/>
      <c r="D346" s="57"/>
      <c r="E346" s="57"/>
      <c r="F346" s="57"/>
      <c r="G346" s="58"/>
      <c r="H346" s="65"/>
      <c r="I346" s="65"/>
      <c r="J346" s="65"/>
      <c r="K346" s="65"/>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row>
    <row r="347">
      <c r="A347" s="57"/>
      <c r="B347" s="57"/>
      <c r="C347" s="57"/>
      <c r="D347" s="57"/>
      <c r="E347" s="57"/>
      <c r="F347" s="57"/>
      <c r="G347" s="58"/>
      <c r="H347" s="65"/>
      <c r="I347" s="65"/>
      <c r="J347" s="65"/>
      <c r="K347" s="65"/>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row>
    <row r="348">
      <c r="A348" s="57"/>
      <c r="B348" s="57"/>
      <c r="C348" s="57"/>
      <c r="D348" s="57"/>
      <c r="E348" s="57"/>
      <c r="F348" s="57"/>
      <c r="G348" s="58"/>
      <c r="H348" s="65"/>
      <c r="I348" s="65"/>
      <c r="J348" s="65"/>
      <c r="K348" s="65"/>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row>
    <row r="349">
      <c r="A349" s="57"/>
      <c r="B349" s="57"/>
      <c r="C349" s="57"/>
      <c r="D349" s="57"/>
      <c r="E349" s="57"/>
      <c r="F349" s="57"/>
      <c r="G349" s="58"/>
      <c r="H349" s="65"/>
      <c r="I349" s="65"/>
      <c r="J349" s="65"/>
      <c r="K349" s="65"/>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row>
    <row r="350">
      <c r="A350" s="57"/>
      <c r="B350" s="57"/>
      <c r="C350" s="57"/>
      <c r="D350" s="57"/>
      <c r="E350" s="57"/>
      <c r="F350" s="57"/>
      <c r="G350" s="58"/>
      <c r="H350" s="65"/>
      <c r="I350" s="65"/>
      <c r="J350" s="65"/>
      <c r="K350" s="65"/>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row>
    <row r="351">
      <c r="A351" s="57"/>
      <c r="B351" s="57"/>
      <c r="C351" s="57"/>
      <c r="D351" s="57"/>
      <c r="E351" s="57"/>
      <c r="F351" s="57"/>
      <c r="G351" s="58"/>
      <c r="H351" s="65"/>
      <c r="I351" s="65"/>
      <c r="J351" s="65"/>
      <c r="K351" s="65"/>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row>
    <row r="352">
      <c r="A352" s="57"/>
      <c r="B352" s="57"/>
      <c r="C352" s="57"/>
      <c r="D352" s="57"/>
      <c r="E352" s="57"/>
      <c r="F352" s="57"/>
      <c r="G352" s="58"/>
      <c r="H352" s="65"/>
      <c r="I352" s="65"/>
      <c r="J352" s="65"/>
      <c r="K352" s="65"/>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row>
    <row r="353">
      <c r="A353" s="57"/>
      <c r="B353" s="57"/>
      <c r="C353" s="57"/>
      <c r="D353" s="57"/>
      <c r="E353" s="57"/>
      <c r="F353" s="57"/>
      <c r="G353" s="58"/>
      <c r="H353" s="65"/>
      <c r="I353" s="65"/>
      <c r="J353" s="65"/>
      <c r="K353" s="65"/>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row>
    <row r="354">
      <c r="A354" s="57"/>
      <c r="B354" s="57"/>
      <c r="C354" s="57"/>
      <c r="D354" s="57"/>
      <c r="E354" s="57"/>
      <c r="F354" s="57"/>
      <c r="G354" s="58"/>
      <c r="H354" s="65"/>
      <c r="I354" s="65"/>
      <c r="J354" s="65"/>
      <c r="K354" s="65"/>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row>
    <row r="355">
      <c r="A355" s="57"/>
      <c r="B355" s="57"/>
      <c r="C355" s="57"/>
      <c r="D355" s="57"/>
      <c r="E355" s="57"/>
      <c r="F355" s="57"/>
      <c r="G355" s="58"/>
      <c r="H355" s="65"/>
      <c r="I355" s="65"/>
      <c r="J355" s="65"/>
      <c r="K355" s="65"/>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row>
    <row r="356">
      <c r="A356" s="57"/>
      <c r="B356" s="57"/>
      <c r="C356" s="57"/>
      <c r="D356" s="57"/>
      <c r="E356" s="57"/>
      <c r="F356" s="57"/>
      <c r="G356" s="58"/>
      <c r="H356" s="65"/>
      <c r="I356" s="65"/>
      <c r="J356" s="65"/>
      <c r="K356" s="65"/>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row>
    <row r="357">
      <c r="A357" s="57"/>
      <c r="B357" s="57"/>
      <c r="C357" s="57"/>
      <c r="D357" s="57"/>
      <c r="E357" s="57"/>
      <c r="F357" s="57"/>
      <c r="G357" s="58"/>
      <c r="H357" s="65"/>
      <c r="I357" s="65"/>
      <c r="J357" s="65"/>
      <c r="K357" s="65"/>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row>
    <row r="358">
      <c r="A358" s="57"/>
      <c r="B358" s="57"/>
      <c r="C358" s="57"/>
      <c r="D358" s="57"/>
      <c r="E358" s="57"/>
      <c r="F358" s="57"/>
      <c r="G358" s="58"/>
      <c r="H358" s="65"/>
      <c r="I358" s="65"/>
      <c r="J358" s="65"/>
      <c r="K358" s="65"/>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row>
    <row r="359">
      <c r="A359" s="57"/>
      <c r="B359" s="57"/>
      <c r="C359" s="57"/>
      <c r="D359" s="57"/>
      <c r="E359" s="57"/>
      <c r="F359" s="57"/>
      <c r="G359" s="58"/>
      <c r="H359" s="65"/>
      <c r="I359" s="65"/>
      <c r="J359" s="65"/>
      <c r="K359" s="65"/>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row>
    <row r="360">
      <c r="A360" s="57"/>
      <c r="B360" s="57"/>
      <c r="C360" s="57"/>
      <c r="D360" s="57"/>
      <c r="E360" s="57"/>
      <c r="F360" s="57"/>
      <c r="G360" s="58"/>
      <c r="H360" s="65"/>
      <c r="I360" s="65"/>
      <c r="J360" s="65"/>
      <c r="K360" s="65"/>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row>
    <row r="361">
      <c r="A361" s="57"/>
      <c r="B361" s="57"/>
      <c r="C361" s="57"/>
      <c r="D361" s="57"/>
      <c r="E361" s="57"/>
      <c r="F361" s="57"/>
      <c r="G361" s="58"/>
      <c r="H361" s="65"/>
      <c r="I361" s="65"/>
      <c r="J361" s="65"/>
      <c r="K361" s="65"/>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row>
    <row r="362">
      <c r="A362" s="57"/>
      <c r="B362" s="57"/>
      <c r="C362" s="57"/>
      <c r="D362" s="57"/>
      <c r="E362" s="57"/>
      <c r="F362" s="57"/>
      <c r="G362" s="58"/>
      <c r="H362" s="65"/>
      <c r="I362" s="65"/>
      <c r="J362" s="65"/>
      <c r="K362" s="65"/>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row>
    <row r="363">
      <c r="A363" s="57"/>
      <c r="B363" s="57"/>
      <c r="C363" s="57"/>
      <c r="D363" s="57"/>
      <c r="E363" s="57"/>
      <c r="F363" s="57"/>
      <c r="G363" s="58"/>
      <c r="H363" s="65"/>
      <c r="I363" s="65"/>
      <c r="J363" s="65"/>
      <c r="K363" s="65"/>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row>
    <row r="364">
      <c r="A364" s="57"/>
      <c r="B364" s="57"/>
      <c r="C364" s="57"/>
      <c r="D364" s="57"/>
      <c r="E364" s="57"/>
      <c r="F364" s="57"/>
      <c r="G364" s="58"/>
      <c r="H364" s="65"/>
      <c r="I364" s="65"/>
      <c r="J364" s="65"/>
      <c r="K364" s="65"/>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V364" s="57"/>
      <c r="AW364" s="57"/>
      <c r="AX364" s="57"/>
      <c r="AY364" s="57"/>
      <c r="AZ364" s="57"/>
    </row>
    <row r="365">
      <c r="A365" s="57"/>
      <c r="B365" s="57"/>
      <c r="C365" s="57"/>
      <c r="D365" s="57"/>
      <c r="E365" s="57"/>
      <c r="F365" s="57"/>
      <c r="G365" s="58"/>
      <c r="H365" s="65"/>
      <c r="I365" s="65"/>
      <c r="J365" s="65"/>
      <c r="K365" s="65"/>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V365" s="57"/>
      <c r="AW365" s="57"/>
      <c r="AX365" s="57"/>
      <c r="AY365" s="57"/>
      <c r="AZ365" s="57"/>
    </row>
    <row r="366">
      <c r="A366" s="57"/>
      <c r="B366" s="57"/>
      <c r="C366" s="57"/>
      <c r="D366" s="57"/>
      <c r="E366" s="57"/>
      <c r="F366" s="57"/>
      <c r="G366" s="58"/>
      <c r="H366" s="65"/>
      <c r="I366" s="65"/>
      <c r="J366" s="65"/>
      <c r="K366" s="65"/>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7"/>
      <c r="AX366" s="57"/>
      <c r="AY366" s="57"/>
      <c r="AZ366" s="57"/>
    </row>
    <row r="367">
      <c r="A367" s="57"/>
      <c r="B367" s="57"/>
      <c r="C367" s="57"/>
      <c r="D367" s="57"/>
      <c r="E367" s="57"/>
      <c r="F367" s="57"/>
      <c r="G367" s="58"/>
      <c r="H367" s="65"/>
      <c r="I367" s="65"/>
      <c r="J367" s="65"/>
      <c r="K367" s="65"/>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7"/>
      <c r="AX367" s="57"/>
      <c r="AY367" s="57"/>
      <c r="AZ367" s="57"/>
    </row>
    <row r="368">
      <c r="A368" s="57"/>
      <c r="B368" s="57"/>
      <c r="C368" s="57"/>
      <c r="D368" s="57"/>
      <c r="E368" s="57"/>
      <c r="F368" s="57"/>
      <c r="G368" s="58"/>
      <c r="H368" s="65"/>
      <c r="I368" s="65"/>
      <c r="J368" s="65"/>
      <c r="K368" s="65"/>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V368" s="57"/>
      <c r="AW368" s="57"/>
      <c r="AX368" s="57"/>
      <c r="AY368" s="57"/>
      <c r="AZ368" s="57"/>
    </row>
    <row r="369">
      <c r="A369" s="57"/>
      <c r="B369" s="57"/>
      <c r="C369" s="57"/>
      <c r="D369" s="57"/>
      <c r="E369" s="57"/>
      <c r="F369" s="57"/>
      <c r="G369" s="58"/>
      <c r="H369" s="65"/>
      <c r="I369" s="65"/>
      <c r="J369" s="65"/>
      <c r="K369" s="65"/>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V369" s="57"/>
      <c r="AW369" s="57"/>
      <c r="AX369" s="57"/>
      <c r="AY369" s="57"/>
      <c r="AZ369" s="57"/>
    </row>
    <row r="370">
      <c r="A370" s="57"/>
      <c r="B370" s="57"/>
      <c r="C370" s="57"/>
      <c r="D370" s="57"/>
      <c r="E370" s="57"/>
      <c r="F370" s="57"/>
      <c r="G370" s="58"/>
      <c r="H370" s="65"/>
      <c r="I370" s="65"/>
      <c r="J370" s="65"/>
      <c r="K370" s="65"/>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V370" s="57"/>
      <c r="AW370" s="57"/>
      <c r="AX370" s="57"/>
      <c r="AY370" s="57"/>
      <c r="AZ370" s="57"/>
    </row>
    <row r="371">
      <c r="A371" s="57"/>
      <c r="B371" s="57"/>
      <c r="C371" s="57"/>
      <c r="D371" s="57"/>
      <c r="E371" s="57"/>
      <c r="F371" s="57"/>
      <c r="G371" s="58"/>
      <c r="H371" s="65"/>
      <c r="I371" s="65"/>
      <c r="J371" s="65"/>
      <c r="K371" s="65"/>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7"/>
      <c r="AX371" s="57"/>
      <c r="AY371" s="57"/>
      <c r="AZ371" s="57"/>
    </row>
    <row r="372">
      <c r="A372" s="57"/>
      <c r="B372" s="57"/>
      <c r="C372" s="57"/>
      <c r="D372" s="57"/>
      <c r="E372" s="57"/>
      <c r="F372" s="57"/>
      <c r="G372" s="58"/>
      <c r="H372" s="65"/>
      <c r="I372" s="65"/>
      <c r="J372" s="65"/>
      <c r="K372" s="65"/>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V372" s="57"/>
      <c r="AW372" s="57"/>
      <c r="AX372" s="57"/>
      <c r="AY372" s="57"/>
      <c r="AZ372" s="57"/>
    </row>
    <row r="373">
      <c r="A373" s="57"/>
      <c r="B373" s="57"/>
      <c r="C373" s="57"/>
      <c r="D373" s="57"/>
      <c r="E373" s="57"/>
      <c r="F373" s="57"/>
      <c r="G373" s="58"/>
      <c r="H373" s="65"/>
      <c r="I373" s="65"/>
      <c r="J373" s="65"/>
      <c r="K373" s="65"/>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V373" s="57"/>
      <c r="AW373" s="57"/>
      <c r="AX373" s="57"/>
      <c r="AY373" s="57"/>
      <c r="AZ373" s="57"/>
    </row>
    <row r="374">
      <c r="A374" s="57"/>
      <c r="B374" s="57"/>
      <c r="C374" s="57"/>
      <c r="D374" s="57"/>
      <c r="E374" s="57"/>
      <c r="F374" s="57"/>
      <c r="G374" s="58"/>
      <c r="H374" s="65"/>
      <c r="I374" s="65"/>
      <c r="J374" s="65"/>
      <c r="K374" s="65"/>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V374" s="57"/>
      <c r="AW374" s="57"/>
      <c r="AX374" s="57"/>
      <c r="AY374" s="57"/>
      <c r="AZ374" s="57"/>
    </row>
    <row r="375">
      <c r="A375" s="57"/>
      <c r="B375" s="57"/>
      <c r="C375" s="57"/>
      <c r="D375" s="57"/>
      <c r="E375" s="57"/>
      <c r="F375" s="57"/>
      <c r="G375" s="58"/>
      <c r="H375" s="65"/>
      <c r="I375" s="65"/>
      <c r="J375" s="65"/>
      <c r="K375" s="65"/>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V375" s="57"/>
      <c r="AW375" s="57"/>
      <c r="AX375" s="57"/>
      <c r="AY375" s="57"/>
      <c r="AZ375" s="57"/>
    </row>
    <row r="376">
      <c r="A376" s="57"/>
      <c r="B376" s="57"/>
      <c r="C376" s="57"/>
      <c r="D376" s="57"/>
      <c r="E376" s="57"/>
      <c r="F376" s="57"/>
      <c r="G376" s="58"/>
      <c r="H376" s="65"/>
      <c r="I376" s="65"/>
      <c r="J376" s="65"/>
      <c r="K376" s="65"/>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V376" s="57"/>
      <c r="AW376" s="57"/>
      <c r="AX376" s="57"/>
      <c r="AY376" s="57"/>
      <c r="AZ376" s="57"/>
    </row>
    <row r="377">
      <c r="A377" s="57"/>
      <c r="B377" s="57"/>
      <c r="C377" s="57"/>
      <c r="D377" s="57"/>
      <c r="E377" s="57"/>
      <c r="F377" s="57"/>
      <c r="G377" s="58"/>
      <c r="H377" s="65"/>
      <c r="I377" s="65"/>
      <c r="J377" s="65"/>
      <c r="K377" s="65"/>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V377" s="57"/>
      <c r="AW377" s="57"/>
      <c r="AX377" s="57"/>
      <c r="AY377" s="57"/>
      <c r="AZ377" s="57"/>
    </row>
    <row r="378">
      <c r="A378" s="57"/>
      <c r="B378" s="57"/>
      <c r="C378" s="57"/>
      <c r="D378" s="57"/>
      <c r="E378" s="57"/>
      <c r="F378" s="57"/>
      <c r="G378" s="58"/>
      <c r="H378" s="65"/>
      <c r="I378" s="65"/>
      <c r="J378" s="65"/>
      <c r="K378" s="65"/>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V378" s="57"/>
      <c r="AW378" s="57"/>
      <c r="AX378" s="57"/>
      <c r="AY378" s="57"/>
      <c r="AZ378" s="57"/>
    </row>
    <row r="379">
      <c r="A379" s="57"/>
      <c r="B379" s="57"/>
      <c r="C379" s="57"/>
      <c r="D379" s="57"/>
      <c r="E379" s="57"/>
      <c r="F379" s="57"/>
      <c r="G379" s="58"/>
      <c r="H379" s="65"/>
      <c r="I379" s="65"/>
      <c r="J379" s="65"/>
      <c r="K379" s="65"/>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V379" s="57"/>
      <c r="AW379" s="57"/>
      <c r="AX379" s="57"/>
      <c r="AY379" s="57"/>
      <c r="AZ379" s="57"/>
    </row>
    <row r="380">
      <c r="A380" s="57"/>
      <c r="B380" s="57"/>
      <c r="C380" s="57"/>
      <c r="D380" s="57"/>
      <c r="E380" s="57"/>
      <c r="F380" s="57"/>
      <c r="G380" s="58"/>
      <c r="H380" s="65"/>
      <c r="I380" s="65"/>
      <c r="J380" s="65"/>
      <c r="K380" s="65"/>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V380" s="57"/>
      <c r="AW380" s="57"/>
      <c r="AX380" s="57"/>
      <c r="AY380" s="57"/>
      <c r="AZ380" s="57"/>
    </row>
    <row r="381">
      <c r="A381" s="57"/>
      <c r="B381" s="57"/>
      <c r="C381" s="57"/>
      <c r="D381" s="57"/>
      <c r="E381" s="57"/>
      <c r="F381" s="57"/>
      <c r="G381" s="58"/>
      <c r="H381" s="65"/>
      <c r="I381" s="65"/>
      <c r="J381" s="65"/>
      <c r="K381" s="65"/>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row>
    <row r="382">
      <c r="A382" s="57"/>
      <c r="B382" s="57"/>
      <c r="C382" s="57"/>
      <c r="D382" s="57"/>
      <c r="E382" s="57"/>
      <c r="F382" s="57"/>
      <c r="G382" s="58"/>
      <c r="H382" s="65"/>
      <c r="I382" s="65"/>
      <c r="J382" s="65"/>
      <c r="K382" s="65"/>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V382" s="57"/>
      <c r="AW382" s="57"/>
      <c r="AX382" s="57"/>
      <c r="AY382" s="57"/>
      <c r="AZ382" s="57"/>
    </row>
    <row r="383">
      <c r="A383" s="57"/>
      <c r="B383" s="57"/>
      <c r="C383" s="57"/>
      <c r="D383" s="57"/>
      <c r="E383" s="57"/>
      <c r="F383" s="57"/>
      <c r="G383" s="58"/>
      <c r="H383" s="65"/>
      <c r="I383" s="65"/>
      <c r="J383" s="65"/>
      <c r="K383" s="65"/>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row>
    <row r="384">
      <c r="A384" s="57"/>
      <c r="B384" s="57"/>
      <c r="C384" s="57"/>
      <c r="D384" s="57"/>
      <c r="E384" s="57"/>
      <c r="F384" s="57"/>
      <c r="G384" s="58"/>
      <c r="H384" s="65"/>
      <c r="I384" s="65"/>
      <c r="J384" s="65"/>
      <c r="K384" s="65"/>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V384" s="57"/>
      <c r="AW384" s="57"/>
      <c r="AX384" s="57"/>
      <c r="AY384" s="57"/>
      <c r="AZ384" s="57"/>
    </row>
    <row r="385">
      <c r="A385" s="57"/>
      <c r="B385" s="57"/>
      <c r="C385" s="57"/>
      <c r="D385" s="57"/>
      <c r="E385" s="57"/>
      <c r="F385" s="57"/>
      <c r="G385" s="58"/>
      <c r="H385" s="65"/>
      <c r="I385" s="65"/>
      <c r="J385" s="65"/>
      <c r="K385" s="65"/>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V385" s="57"/>
      <c r="AW385" s="57"/>
      <c r="AX385" s="57"/>
      <c r="AY385" s="57"/>
      <c r="AZ385" s="57"/>
    </row>
    <row r="386">
      <c r="A386" s="57"/>
      <c r="B386" s="57"/>
      <c r="C386" s="57"/>
      <c r="D386" s="57"/>
      <c r="E386" s="57"/>
      <c r="F386" s="57"/>
      <c r="G386" s="58"/>
      <c r="H386" s="65"/>
      <c r="I386" s="65"/>
      <c r="J386" s="65"/>
      <c r="K386" s="65"/>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row>
    <row r="387">
      <c r="A387" s="57"/>
      <c r="B387" s="57"/>
      <c r="C387" s="57"/>
      <c r="D387" s="57"/>
      <c r="E387" s="57"/>
      <c r="F387" s="57"/>
      <c r="G387" s="58"/>
      <c r="H387" s="65"/>
      <c r="I387" s="65"/>
      <c r="J387" s="65"/>
      <c r="K387" s="65"/>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row>
    <row r="388">
      <c r="A388" s="57"/>
      <c r="B388" s="57"/>
      <c r="C388" s="57"/>
      <c r="D388" s="57"/>
      <c r="E388" s="57"/>
      <c r="F388" s="57"/>
      <c r="G388" s="58"/>
      <c r="H388" s="65"/>
      <c r="I388" s="65"/>
      <c r="J388" s="65"/>
      <c r="K388" s="65"/>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7"/>
      <c r="AX388" s="57"/>
      <c r="AY388" s="57"/>
      <c r="AZ388" s="57"/>
    </row>
    <row r="389">
      <c r="A389" s="57"/>
      <c r="B389" s="57"/>
      <c r="C389" s="57"/>
      <c r="D389" s="57"/>
      <c r="E389" s="57"/>
      <c r="F389" s="57"/>
      <c r="G389" s="58"/>
      <c r="H389" s="65"/>
      <c r="I389" s="65"/>
      <c r="J389" s="65"/>
      <c r="K389" s="65"/>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row>
    <row r="390">
      <c r="A390" s="57"/>
      <c r="B390" s="57"/>
      <c r="C390" s="57"/>
      <c r="D390" s="57"/>
      <c r="E390" s="57"/>
      <c r="F390" s="57"/>
      <c r="G390" s="58"/>
      <c r="H390" s="65"/>
      <c r="I390" s="65"/>
      <c r="J390" s="65"/>
      <c r="K390" s="65"/>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V390" s="57"/>
      <c r="AW390" s="57"/>
      <c r="AX390" s="57"/>
      <c r="AY390" s="57"/>
      <c r="AZ390" s="57"/>
    </row>
    <row r="391">
      <c r="A391" s="57"/>
      <c r="B391" s="57"/>
      <c r="C391" s="57"/>
      <c r="D391" s="57"/>
      <c r="E391" s="57"/>
      <c r="F391" s="57"/>
      <c r="G391" s="58"/>
      <c r="H391" s="65"/>
      <c r="I391" s="65"/>
      <c r="J391" s="65"/>
      <c r="K391" s="65"/>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V391" s="57"/>
      <c r="AW391" s="57"/>
      <c r="AX391" s="57"/>
      <c r="AY391" s="57"/>
      <c r="AZ391" s="57"/>
    </row>
    <row r="392">
      <c r="A392" s="57"/>
      <c r="B392" s="57"/>
      <c r="C392" s="57"/>
      <c r="D392" s="57"/>
      <c r="E392" s="57"/>
      <c r="F392" s="57"/>
      <c r="G392" s="58"/>
      <c r="H392" s="65"/>
      <c r="I392" s="65"/>
      <c r="J392" s="65"/>
      <c r="K392" s="65"/>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V392" s="57"/>
      <c r="AW392" s="57"/>
      <c r="AX392" s="57"/>
      <c r="AY392" s="57"/>
      <c r="AZ392" s="57"/>
    </row>
    <row r="393">
      <c r="A393" s="57"/>
      <c r="B393" s="57"/>
      <c r="C393" s="57"/>
      <c r="D393" s="57"/>
      <c r="E393" s="57"/>
      <c r="F393" s="57"/>
      <c r="G393" s="58"/>
      <c r="H393" s="65"/>
      <c r="I393" s="65"/>
      <c r="J393" s="65"/>
      <c r="K393" s="65"/>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V393" s="57"/>
      <c r="AW393" s="57"/>
      <c r="AX393" s="57"/>
      <c r="AY393" s="57"/>
      <c r="AZ393" s="57"/>
    </row>
    <row r="394">
      <c r="A394" s="57"/>
      <c r="B394" s="57"/>
      <c r="C394" s="57"/>
      <c r="D394" s="57"/>
      <c r="E394" s="57"/>
      <c r="F394" s="57"/>
      <c r="G394" s="58"/>
      <c r="H394" s="65"/>
      <c r="I394" s="65"/>
      <c r="J394" s="65"/>
      <c r="K394" s="65"/>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V394" s="57"/>
      <c r="AW394" s="57"/>
      <c r="AX394" s="57"/>
      <c r="AY394" s="57"/>
      <c r="AZ394" s="57"/>
    </row>
    <row r="395">
      <c r="A395" s="57"/>
      <c r="B395" s="57"/>
      <c r="C395" s="57"/>
      <c r="D395" s="57"/>
      <c r="E395" s="57"/>
      <c r="F395" s="57"/>
      <c r="G395" s="58"/>
      <c r="H395" s="65"/>
      <c r="I395" s="65"/>
      <c r="J395" s="65"/>
      <c r="K395" s="65"/>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c r="AT395" s="57"/>
      <c r="AU395" s="57"/>
      <c r="AV395" s="57"/>
      <c r="AW395" s="57"/>
      <c r="AX395" s="57"/>
      <c r="AY395" s="57"/>
      <c r="AZ395" s="57"/>
    </row>
    <row r="396">
      <c r="A396" s="57"/>
      <c r="B396" s="57"/>
      <c r="C396" s="57"/>
      <c r="D396" s="57"/>
      <c r="E396" s="57"/>
      <c r="F396" s="57"/>
      <c r="G396" s="58"/>
      <c r="H396" s="65"/>
      <c r="I396" s="65"/>
      <c r="J396" s="65"/>
      <c r="K396" s="65"/>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V396" s="57"/>
      <c r="AW396" s="57"/>
      <c r="AX396" s="57"/>
      <c r="AY396" s="57"/>
      <c r="AZ396" s="57"/>
    </row>
    <row r="397">
      <c r="A397" s="57"/>
      <c r="B397" s="57"/>
      <c r="C397" s="57"/>
      <c r="D397" s="57"/>
      <c r="E397" s="57"/>
      <c r="F397" s="57"/>
      <c r="G397" s="58"/>
      <c r="H397" s="65"/>
      <c r="I397" s="65"/>
      <c r="J397" s="65"/>
      <c r="K397" s="65"/>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V397" s="57"/>
      <c r="AW397" s="57"/>
      <c r="AX397" s="57"/>
      <c r="AY397" s="57"/>
      <c r="AZ397" s="57"/>
    </row>
    <row r="398">
      <c r="A398" s="57"/>
      <c r="B398" s="57"/>
      <c r="C398" s="57"/>
      <c r="D398" s="57"/>
      <c r="E398" s="57"/>
      <c r="F398" s="57"/>
      <c r="G398" s="58"/>
      <c r="H398" s="65"/>
      <c r="I398" s="65"/>
      <c r="J398" s="65"/>
      <c r="K398" s="65"/>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V398" s="57"/>
      <c r="AW398" s="57"/>
      <c r="AX398" s="57"/>
      <c r="AY398" s="57"/>
      <c r="AZ398" s="57"/>
    </row>
    <row r="399">
      <c r="A399" s="57"/>
      <c r="B399" s="57"/>
      <c r="C399" s="57"/>
      <c r="D399" s="57"/>
      <c r="E399" s="57"/>
      <c r="F399" s="57"/>
      <c r="G399" s="58"/>
      <c r="H399" s="65"/>
      <c r="I399" s="65"/>
      <c r="J399" s="65"/>
      <c r="K399" s="65"/>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V399" s="57"/>
      <c r="AW399" s="57"/>
      <c r="AX399" s="57"/>
      <c r="AY399" s="57"/>
      <c r="AZ399" s="57"/>
    </row>
    <row r="400">
      <c r="A400" s="57"/>
      <c r="B400" s="57"/>
      <c r="C400" s="57"/>
      <c r="D400" s="57"/>
      <c r="E400" s="57"/>
      <c r="F400" s="57"/>
      <c r="G400" s="58"/>
      <c r="H400" s="65"/>
      <c r="I400" s="65"/>
      <c r="J400" s="65"/>
      <c r="K400" s="65"/>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V400" s="57"/>
      <c r="AW400" s="57"/>
      <c r="AX400" s="57"/>
      <c r="AY400" s="57"/>
      <c r="AZ400" s="57"/>
    </row>
    <row r="401">
      <c r="A401" s="57"/>
      <c r="B401" s="57"/>
      <c r="C401" s="57"/>
      <c r="D401" s="57"/>
      <c r="E401" s="57"/>
      <c r="F401" s="57"/>
      <c r="G401" s="58"/>
      <c r="H401" s="65"/>
      <c r="I401" s="65"/>
      <c r="J401" s="65"/>
      <c r="K401" s="65"/>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V401" s="57"/>
      <c r="AW401" s="57"/>
      <c r="AX401" s="57"/>
      <c r="AY401" s="57"/>
      <c r="AZ401" s="57"/>
    </row>
    <row r="402">
      <c r="A402" s="57"/>
      <c r="B402" s="57"/>
      <c r="C402" s="57"/>
      <c r="D402" s="57"/>
      <c r="E402" s="57"/>
      <c r="F402" s="57"/>
      <c r="G402" s="58"/>
      <c r="H402" s="65"/>
      <c r="I402" s="65"/>
      <c r="J402" s="65"/>
      <c r="K402" s="65"/>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V402" s="57"/>
      <c r="AW402" s="57"/>
      <c r="AX402" s="57"/>
      <c r="AY402" s="57"/>
      <c r="AZ402" s="57"/>
    </row>
    <row r="403">
      <c r="A403" s="57"/>
      <c r="B403" s="57"/>
      <c r="C403" s="57"/>
      <c r="D403" s="57"/>
      <c r="E403" s="57"/>
      <c r="F403" s="57"/>
      <c r="G403" s="58"/>
      <c r="H403" s="65"/>
      <c r="I403" s="65"/>
      <c r="J403" s="65"/>
      <c r="K403" s="65"/>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V403" s="57"/>
      <c r="AW403" s="57"/>
      <c r="AX403" s="57"/>
      <c r="AY403" s="57"/>
      <c r="AZ403" s="57"/>
    </row>
    <row r="404">
      <c r="A404" s="57"/>
      <c r="B404" s="57"/>
      <c r="C404" s="57"/>
      <c r="D404" s="57"/>
      <c r="E404" s="57"/>
      <c r="F404" s="57"/>
      <c r="G404" s="58"/>
      <c r="H404" s="65"/>
      <c r="I404" s="65"/>
      <c r="J404" s="65"/>
      <c r="K404" s="65"/>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7"/>
      <c r="AR404" s="57"/>
      <c r="AS404" s="57"/>
      <c r="AT404" s="57"/>
      <c r="AU404" s="57"/>
      <c r="AV404" s="57"/>
      <c r="AW404" s="57"/>
      <c r="AX404" s="57"/>
      <c r="AY404" s="57"/>
      <c r="AZ404" s="57"/>
    </row>
    <row r="405">
      <c r="A405" s="57"/>
      <c r="B405" s="57"/>
      <c r="C405" s="57"/>
      <c r="D405" s="57"/>
      <c r="E405" s="57"/>
      <c r="F405" s="57"/>
      <c r="G405" s="57"/>
      <c r="H405" s="65"/>
      <c r="I405" s="65"/>
      <c r="J405" s="65"/>
      <c r="K405" s="65"/>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7"/>
      <c r="AR405" s="57"/>
      <c r="AS405" s="57"/>
      <c r="AT405" s="57"/>
      <c r="AU405" s="57"/>
      <c r="AV405" s="57"/>
      <c r="AW405" s="57"/>
      <c r="AX405" s="57"/>
      <c r="AY405" s="57"/>
      <c r="AZ405" s="57"/>
    </row>
    <row r="406">
      <c r="A406" s="57"/>
      <c r="B406" s="57"/>
      <c r="C406" s="57"/>
      <c r="D406" s="57"/>
      <c r="E406" s="57"/>
      <c r="F406" s="57"/>
      <c r="G406" s="57"/>
      <c r="H406" s="65"/>
      <c r="I406" s="65"/>
      <c r="J406" s="65"/>
      <c r="K406" s="65"/>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V406" s="57"/>
      <c r="AW406" s="57"/>
      <c r="AX406" s="57"/>
      <c r="AY406" s="57"/>
      <c r="AZ406" s="57"/>
    </row>
    <row r="407">
      <c r="A407" s="57"/>
      <c r="B407" s="57"/>
      <c r="C407" s="57"/>
      <c r="D407" s="57"/>
      <c r="E407" s="57"/>
      <c r="F407" s="57"/>
      <c r="G407" s="57"/>
      <c r="H407" s="65"/>
      <c r="I407" s="65"/>
      <c r="J407" s="65"/>
      <c r="K407" s="65"/>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V407" s="57"/>
      <c r="AW407" s="57"/>
      <c r="AX407" s="57"/>
      <c r="AY407" s="57"/>
      <c r="AZ407" s="57"/>
    </row>
    <row r="408">
      <c r="A408" s="57"/>
      <c r="B408" s="57"/>
      <c r="C408" s="57"/>
      <c r="D408" s="57"/>
      <c r="E408" s="57"/>
      <c r="F408" s="57"/>
      <c r="G408" s="57"/>
      <c r="H408" s="65"/>
      <c r="I408" s="65"/>
      <c r="J408" s="65"/>
      <c r="K408" s="65"/>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row>
    <row r="409">
      <c r="A409" s="57"/>
      <c r="B409" s="57"/>
      <c r="C409" s="57"/>
      <c r="D409" s="57"/>
      <c r="E409" s="57"/>
      <c r="F409" s="57"/>
      <c r="G409" s="57"/>
      <c r="H409" s="65"/>
      <c r="I409" s="65"/>
      <c r="J409" s="65"/>
      <c r="K409" s="65"/>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7"/>
      <c r="AR409" s="57"/>
      <c r="AS409" s="57"/>
      <c r="AT409" s="57"/>
      <c r="AU409" s="57"/>
      <c r="AV409" s="57"/>
      <c r="AW409" s="57"/>
      <c r="AX409" s="57"/>
      <c r="AY409" s="57"/>
      <c r="AZ409" s="57"/>
    </row>
    <row r="410">
      <c r="A410" s="57"/>
      <c r="B410" s="57"/>
      <c r="C410" s="57"/>
      <c r="D410" s="57"/>
      <c r="E410" s="57"/>
      <c r="F410" s="57"/>
      <c r="G410" s="57"/>
      <c r="H410" s="65"/>
      <c r="I410" s="65"/>
      <c r="J410" s="65"/>
      <c r="K410" s="65"/>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57"/>
      <c r="AT410" s="57"/>
      <c r="AU410" s="57"/>
      <c r="AV410" s="57"/>
      <c r="AW410" s="57"/>
      <c r="AX410" s="57"/>
      <c r="AY410" s="57"/>
      <c r="AZ410" s="57"/>
    </row>
    <row r="411">
      <c r="A411" s="57"/>
      <c r="B411" s="57"/>
      <c r="C411" s="57"/>
      <c r="D411" s="57"/>
      <c r="E411" s="57"/>
      <c r="F411" s="57"/>
      <c r="G411" s="57"/>
      <c r="H411" s="65"/>
      <c r="I411" s="65"/>
      <c r="J411" s="65"/>
      <c r="K411" s="65"/>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57"/>
      <c r="AT411" s="57"/>
      <c r="AU411" s="57"/>
      <c r="AV411" s="57"/>
      <c r="AW411" s="57"/>
      <c r="AX411" s="57"/>
      <c r="AY411" s="57"/>
      <c r="AZ411" s="57"/>
    </row>
    <row r="412">
      <c r="A412" s="57"/>
      <c r="B412" s="57"/>
      <c r="C412" s="57"/>
      <c r="D412" s="57"/>
      <c r="E412" s="57"/>
      <c r="F412" s="57"/>
      <c r="G412" s="57"/>
      <c r="H412" s="65"/>
      <c r="I412" s="65"/>
      <c r="J412" s="65"/>
      <c r="K412" s="65"/>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7"/>
      <c r="AR412" s="57"/>
      <c r="AS412" s="57"/>
      <c r="AT412" s="57"/>
      <c r="AU412" s="57"/>
      <c r="AV412" s="57"/>
      <c r="AW412" s="57"/>
      <c r="AX412" s="57"/>
      <c r="AY412" s="57"/>
      <c r="AZ412" s="57"/>
    </row>
    <row r="413">
      <c r="A413" s="57"/>
      <c r="B413" s="57"/>
      <c r="C413" s="57"/>
      <c r="D413" s="57"/>
      <c r="E413" s="57"/>
      <c r="F413" s="57"/>
      <c r="G413" s="57"/>
      <c r="H413" s="65"/>
      <c r="I413" s="65"/>
      <c r="J413" s="65"/>
      <c r="K413" s="65"/>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7"/>
      <c r="AR413" s="57"/>
      <c r="AS413" s="57"/>
      <c r="AT413" s="57"/>
      <c r="AU413" s="57"/>
      <c r="AV413" s="57"/>
      <c r="AW413" s="57"/>
      <c r="AX413" s="57"/>
      <c r="AY413" s="57"/>
      <c r="AZ413" s="57"/>
    </row>
    <row r="414">
      <c r="A414" s="57"/>
      <c r="B414" s="57"/>
      <c r="C414" s="57"/>
      <c r="D414" s="57"/>
      <c r="E414" s="57"/>
      <c r="F414" s="57"/>
      <c r="G414" s="57"/>
      <c r="H414" s="65"/>
      <c r="I414" s="65"/>
      <c r="J414" s="65"/>
      <c r="K414" s="65"/>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57"/>
      <c r="AT414" s="57"/>
      <c r="AU414" s="57"/>
      <c r="AV414" s="57"/>
      <c r="AW414" s="57"/>
      <c r="AX414" s="57"/>
      <c r="AY414" s="57"/>
      <c r="AZ414" s="57"/>
    </row>
    <row r="415">
      <c r="A415" s="57"/>
      <c r="B415" s="57"/>
      <c r="C415" s="57"/>
      <c r="D415" s="57"/>
      <c r="E415" s="57"/>
      <c r="F415" s="57"/>
      <c r="G415" s="57"/>
      <c r="H415" s="65"/>
      <c r="I415" s="65"/>
      <c r="J415" s="65"/>
      <c r="K415" s="65"/>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57"/>
      <c r="AT415" s="57"/>
      <c r="AU415" s="57"/>
      <c r="AV415" s="57"/>
      <c r="AW415" s="57"/>
      <c r="AX415" s="57"/>
      <c r="AY415" s="57"/>
      <c r="AZ415" s="57"/>
    </row>
    <row r="416">
      <c r="A416" s="57"/>
      <c r="B416" s="57"/>
      <c r="C416" s="57"/>
      <c r="D416" s="57"/>
      <c r="E416" s="57"/>
      <c r="F416" s="57"/>
      <c r="G416" s="57"/>
      <c r="H416" s="65"/>
      <c r="I416" s="65"/>
      <c r="J416" s="65"/>
      <c r="K416" s="65"/>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57"/>
      <c r="AT416" s="57"/>
      <c r="AU416" s="57"/>
      <c r="AV416" s="57"/>
      <c r="AW416" s="57"/>
      <c r="AX416" s="57"/>
      <c r="AY416" s="57"/>
      <c r="AZ416" s="57"/>
    </row>
    <row r="417">
      <c r="A417" s="57"/>
      <c r="B417" s="57"/>
      <c r="C417" s="57"/>
      <c r="D417" s="57"/>
      <c r="E417" s="57"/>
      <c r="F417" s="57"/>
      <c r="G417" s="57"/>
      <c r="H417" s="65"/>
      <c r="I417" s="65"/>
      <c r="J417" s="65"/>
      <c r="K417" s="65"/>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57"/>
      <c r="AT417" s="57"/>
      <c r="AU417" s="57"/>
      <c r="AV417" s="57"/>
      <c r="AW417" s="57"/>
      <c r="AX417" s="57"/>
      <c r="AY417" s="57"/>
      <c r="AZ417" s="57"/>
    </row>
    <row r="418">
      <c r="A418" s="57"/>
      <c r="B418" s="57"/>
      <c r="C418" s="57"/>
      <c r="D418" s="57"/>
      <c r="E418" s="57"/>
      <c r="F418" s="57"/>
      <c r="G418" s="57"/>
      <c r="H418" s="65"/>
      <c r="I418" s="65"/>
      <c r="J418" s="65"/>
      <c r="K418" s="65"/>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7"/>
      <c r="AR418" s="57"/>
      <c r="AS418" s="57"/>
      <c r="AT418" s="57"/>
      <c r="AU418" s="57"/>
      <c r="AV418" s="57"/>
      <c r="AW418" s="57"/>
      <c r="AX418" s="57"/>
      <c r="AY418" s="57"/>
      <c r="AZ418" s="57"/>
    </row>
    <row r="419">
      <c r="A419" s="57"/>
      <c r="B419" s="57"/>
      <c r="C419" s="57"/>
      <c r="D419" s="57"/>
      <c r="E419" s="57"/>
      <c r="F419" s="57"/>
      <c r="G419" s="57"/>
      <c r="H419" s="65"/>
      <c r="I419" s="65"/>
      <c r="J419" s="65"/>
      <c r="K419" s="65"/>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7"/>
      <c r="AR419" s="57"/>
      <c r="AS419" s="57"/>
      <c r="AT419" s="57"/>
      <c r="AU419" s="57"/>
      <c r="AV419" s="57"/>
      <c r="AW419" s="57"/>
      <c r="AX419" s="57"/>
      <c r="AY419" s="57"/>
      <c r="AZ419" s="57"/>
    </row>
    <row r="420">
      <c r="A420" s="57"/>
      <c r="B420" s="57"/>
      <c r="C420" s="57"/>
      <c r="D420" s="57"/>
      <c r="E420" s="57"/>
      <c r="F420" s="57"/>
      <c r="G420" s="57"/>
      <c r="H420" s="65"/>
      <c r="I420" s="65"/>
      <c r="J420" s="65"/>
      <c r="K420" s="65"/>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7"/>
      <c r="AR420" s="57"/>
      <c r="AS420" s="57"/>
      <c r="AT420" s="57"/>
      <c r="AU420" s="57"/>
      <c r="AV420" s="57"/>
      <c r="AW420" s="57"/>
      <c r="AX420" s="57"/>
      <c r="AY420" s="57"/>
      <c r="AZ420" s="57"/>
    </row>
    <row r="421">
      <c r="A421" s="57"/>
      <c r="B421" s="57"/>
      <c r="C421" s="57"/>
      <c r="D421" s="57"/>
      <c r="E421" s="57"/>
      <c r="F421" s="57"/>
      <c r="G421" s="57"/>
      <c r="H421" s="65"/>
      <c r="I421" s="65"/>
      <c r="J421" s="65"/>
      <c r="K421" s="65"/>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7"/>
      <c r="AR421" s="57"/>
      <c r="AS421" s="57"/>
      <c r="AT421" s="57"/>
      <c r="AU421" s="57"/>
      <c r="AV421" s="57"/>
      <c r="AW421" s="57"/>
      <c r="AX421" s="57"/>
      <c r="AY421" s="57"/>
      <c r="AZ421" s="57"/>
    </row>
    <row r="422">
      <c r="A422" s="57"/>
      <c r="B422" s="57"/>
      <c r="C422" s="57"/>
      <c r="D422" s="57"/>
      <c r="E422" s="57"/>
      <c r="F422" s="57"/>
      <c r="G422" s="57"/>
      <c r="H422" s="65"/>
      <c r="I422" s="65"/>
      <c r="J422" s="65"/>
      <c r="K422" s="65"/>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57"/>
      <c r="AT422" s="57"/>
      <c r="AU422" s="57"/>
      <c r="AV422" s="57"/>
      <c r="AW422" s="57"/>
      <c r="AX422" s="57"/>
      <c r="AY422" s="57"/>
      <c r="AZ422" s="57"/>
    </row>
    <row r="423">
      <c r="A423" s="57"/>
      <c r="B423" s="57"/>
      <c r="C423" s="57"/>
      <c r="D423" s="57"/>
      <c r="E423" s="57"/>
      <c r="F423" s="57"/>
      <c r="G423" s="57"/>
      <c r="H423" s="65"/>
      <c r="I423" s="65"/>
      <c r="J423" s="65"/>
      <c r="K423" s="65"/>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7"/>
      <c r="AR423" s="57"/>
      <c r="AS423" s="57"/>
      <c r="AT423" s="57"/>
      <c r="AU423" s="57"/>
      <c r="AV423" s="57"/>
      <c r="AW423" s="57"/>
      <c r="AX423" s="57"/>
      <c r="AY423" s="57"/>
      <c r="AZ423" s="57"/>
    </row>
    <row r="424">
      <c r="A424" s="57"/>
      <c r="B424" s="57"/>
      <c r="C424" s="57"/>
      <c r="D424" s="57"/>
      <c r="E424" s="57"/>
      <c r="F424" s="57"/>
      <c r="G424" s="57"/>
      <c r="H424" s="65"/>
      <c r="I424" s="65"/>
      <c r="J424" s="65"/>
      <c r="K424" s="65"/>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7"/>
      <c r="AR424" s="57"/>
      <c r="AS424" s="57"/>
      <c r="AT424" s="57"/>
      <c r="AU424" s="57"/>
      <c r="AV424" s="57"/>
      <c r="AW424" s="57"/>
      <c r="AX424" s="57"/>
      <c r="AY424" s="57"/>
      <c r="AZ424" s="57"/>
    </row>
    <row r="425">
      <c r="A425" s="57"/>
      <c r="B425" s="57"/>
      <c r="C425" s="57"/>
      <c r="D425" s="57"/>
      <c r="E425" s="57"/>
      <c r="F425" s="57"/>
      <c r="G425" s="57"/>
      <c r="H425" s="65"/>
      <c r="I425" s="65"/>
      <c r="J425" s="65"/>
      <c r="K425" s="65"/>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7"/>
      <c r="AR425" s="57"/>
      <c r="AS425" s="57"/>
      <c r="AT425" s="57"/>
      <c r="AU425" s="57"/>
      <c r="AV425" s="57"/>
      <c r="AW425" s="57"/>
      <c r="AX425" s="57"/>
      <c r="AY425" s="57"/>
      <c r="AZ425" s="57"/>
    </row>
    <row r="426">
      <c r="A426" s="57"/>
      <c r="B426" s="57"/>
      <c r="C426" s="57"/>
      <c r="D426" s="57"/>
      <c r="E426" s="57"/>
      <c r="F426" s="57"/>
      <c r="G426" s="57"/>
      <c r="H426" s="65"/>
      <c r="I426" s="65"/>
      <c r="J426" s="65"/>
      <c r="K426" s="65"/>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7"/>
      <c r="AR426" s="57"/>
      <c r="AS426" s="57"/>
      <c r="AT426" s="57"/>
      <c r="AU426" s="57"/>
      <c r="AV426" s="57"/>
      <c r="AW426" s="57"/>
      <c r="AX426" s="57"/>
      <c r="AY426" s="57"/>
      <c r="AZ426" s="57"/>
    </row>
    <row r="427">
      <c r="A427" s="57"/>
      <c r="B427" s="57"/>
      <c r="C427" s="57"/>
      <c r="D427" s="57"/>
      <c r="E427" s="57"/>
      <c r="F427" s="57"/>
      <c r="G427" s="57"/>
      <c r="H427" s="65"/>
      <c r="I427" s="65"/>
      <c r="J427" s="65"/>
      <c r="K427" s="65"/>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7"/>
      <c r="AR427" s="57"/>
      <c r="AS427" s="57"/>
      <c r="AT427" s="57"/>
      <c r="AU427" s="57"/>
      <c r="AV427" s="57"/>
      <c r="AW427" s="57"/>
      <c r="AX427" s="57"/>
      <c r="AY427" s="57"/>
      <c r="AZ427" s="57"/>
    </row>
    <row r="428">
      <c r="A428" s="57"/>
      <c r="B428" s="57"/>
      <c r="C428" s="57"/>
      <c r="D428" s="57"/>
      <c r="E428" s="57"/>
      <c r="F428" s="57"/>
      <c r="G428" s="57"/>
      <c r="H428" s="65"/>
      <c r="I428" s="65"/>
      <c r="J428" s="65"/>
      <c r="K428" s="65"/>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7"/>
      <c r="AR428" s="57"/>
      <c r="AS428" s="57"/>
      <c r="AT428" s="57"/>
      <c r="AU428" s="57"/>
      <c r="AV428" s="57"/>
      <c r="AW428" s="57"/>
      <c r="AX428" s="57"/>
      <c r="AY428" s="57"/>
      <c r="AZ428" s="57"/>
    </row>
    <row r="429">
      <c r="A429" s="57"/>
      <c r="B429" s="57"/>
      <c r="C429" s="57"/>
      <c r="D429" s="57"/>
      <c r="E429" s="57"/>
      <c r="F429" s="57"/>
      <c r="G429" s="57"/>
      <c r="H429" s="65"/>
      <c r="I429" s="65"/>
      <c r="J429" s="65"/>
      <c r="K429" s="65"/>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7"/>
      <c r="AR429" s="57"/>
      <c r="AS429" s="57"/>
      <c r="AT429" s="57"/>
      <c r="AU429" s="57"/>
      <c r="AV429" s="57"/>
      <c r="AW429" s="57"/>
      <c r="AX429" s="57"/>
      <c r="AY429" s="57"/>
      <c r="AZ429" s="57"/>
    </row>
    <row r="430">
      <c r="A430" s="57"/>
      <c r="B430" s="57"/>
      <c r="C430" s="57"/>
      <c r="D430" s="57"/>
      <c r="E430" s="57"/>
      <c r="F430" s="57"/>
      <c r="G430" s="57"/>
      <c r="H430" s="65"/>
      <c r="I430" s="65"/>
      <c r="J430" s="65"/>
      <c r="K430" s="65"/>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7"/>
      <c r="AR430" s="57"/>
      <c r="AS430" s="57"/>
      <c r="AT430" s="57"/>
      <c r="AU430" s="57"/>
      <c r="AV430" s="57"/>
      <c r="AW430" s="57"/>
      <c r="AX430" s="57"/>
      <c r="AY430" s="57"/>
      <c r="AZ430" s="57"/>
    </row>
    <row r="431">
      <c r="A431" s="57"/>
      <c r="B431" s="57"/>
      <c r="C431" s="57"/>
      <c r="D431" s="57"/>
      <c r="E431" s="57"/>
      <c r="F431" s="57"/>
      <c r="G431" s="57"/>
      <c r="H431" s="65"/>
      <c r="I431" s="65"/>
      <c r="J431" s="65"/>
      <c r="K431" s="65"/>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7"/>
      <c r="AR431" s="57"/>
      <c r="AS431" s="57"/>
      <c r="AT431" s="57"/>
      <c r="AU431" s="57"/>
      <c r="AV431" s="57"/>
      <c r="AW431" s="57"/>
      <c r="AX431" s="57"/>
      <c r="AY431" s="57"/>
      <c r="AZ431" s="57"/>
    </row>
    <row r="432">
      <c r="A432" s="57"/>
      <c r="B432" s="57"/>
      <c r="C432" s="57"/>
      <c r="D432" s="57"/>
      <c r="E432" s="57"/>
      <c r="F432" s="57"/>
      <c r="G432" s="57"/>
      <c r="H432" s="65"/>
      <c r="I432" s="65"/>
      <c r="J432" s="65"/>
      <c r="K432" s="65"/>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7"/>
      <c r="AR432" s="57"/>
      <c r="AS432" s="57"/>
      <c r="AT432" s="57"/>
      <c r="AU432" s="57"/>
      <c r="AV432" s="57"/>
      <c r="AW432" s="57"/>
      <c r="AX432" s="57"/>
      <c r="AY432" s="57"/>
      <c r="AZ432" s="57"/>
    </row>
    <row r="433">
      <c r="A433" s="57"/>
      <c r="B433" s="57"/>
      <c r="C433" s="57"/>
      <c r="D433" s="57"/>
      <c r="E433" s="57"/>
      <c r="F433" s="57"/>
      <c r="G433" s="57"/>
      <c r="H433" s="65"/>
      <c r="I433" s="65"/>
      <c r="J433" s="65"/>
      <c r="K433" s="65"/>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57"/>
      <c r="AT433" s="57"/>
      <c r="AU433" s="57"/>
      <c r="AV433" s="57"/>
      <c r="AW433" s="57"/>
      <c r="AX433" s="57"/>
      <c r="AY433" s="57"/>
      <c r="AZ433" s="57"/>
    </row>
    <row r="434">
      <c r="A434" s="57"/>
      <c r="B434" s="57"/>
      <c r="C434" s="57"/>
      <c r="D434" s="57"/>
      <c r="E434" s="57"/>
      <c r="F434" s="57"/>
      <c r="G434" s="57"/>
      <c r="H434" s="65"/>
      <c r="I434" s="65"/>
      <c r="J434" s="65"/>
      <c r="K434" s="65"/>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7"/>
      <c r="AR434" s="57"/>
      <c r="AS434" s="57"/>
      <c r="AT434" s="57"/>
      <c r="AU434" s="57"/>
      <c r="AV434" s="57"/>
      <c r="AW434" s="57"/>
      <c r="AX434" s="57"/>
      <c r="AY434" s="57"/>
      <c r="AZ434" s="57"/>
    </row>
    <row r="435">
      <c r="A435" s="57"/>
      <c r="B435" s="57"/>
      <c r="C435" s="57"/>
      <c r="D435" s="57"/>
      <c r="E435" s="57"/>
      <c r="F435" s="57"/>
      <c r="G435" s="57"/>
      <c r="H435" s="65"/>
      <c r="I435" s="65"/>
      <c r="J435" s="65"/>
      <c r="K435" s="65"/>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57"/>
      <c r="AT435" s="57"/>
      <c r="AU435" s="57"/>
      <c r="AV435" s="57"/>
      <c r="AW435" s="57"/>
      <c r="AX435" s="57"/>
      <c r="AY435" s="57"/>
      <c r="AZ435" s="57"/>
    </row>
    <row r="436">
      <c r="A436" s="57"/>
      <c r="B436" s="57"/>
      <c r="C436" s="57"/>
      <c r="D436" s="57"/>
      <c r="E436" s="57"/>
      <c r="F436" s="57"/>
      <c r="G436" s="57"/>
      <c r="H436" s="65"/>
      <c r="I436" s="65"/>
      <c r="J436" s="65"/>
      <c r="K436" s="65"/>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7"/>
      <c r="AR436" s="57"/>
      <c r="AS436" s="57"/>
      <c r="AT436" s="57"/>
      <c r="AU436" s="57"/>
      <c r="AV436" s="57"/>
      <c r="AW436" s="57"/>
      <c r="AX436" s="57"/>
      <c r="AY436" s="57"/>
      <c r="AZ436" s="57"/>
    </row>
    <row r="437">
      <c r="A437" s="57"/>
      <c r="B437" s="57"/>
      <c r="C437" s="57"/>
      <c r="D437" s="57"/>
      <c r="E437" s="57"/>
      <c r="F437" s="57"/>
      <c r="G437" s="57"/>
      <c r="H437" s="65"/>
      <c r="I437" s="65"/>
      <c r="J437" s="65"/>
      <c r="K437" s="65"/>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7"/>
      <c r="AR437" s="57"/>
      <c r="AS437" s="57"/>
      <c r="AT437" s="57"/>
      <c r="AU437" s="57"/>
      <c r="AV437" s="57"/>
      <c r="AW437" s="57"/>
      <c r="AX437" s="57"/>
      <c r="AY437" s="57"/>
      <c r="AZ437" s="57"/>
    </row>
    <row r="438">
      <c r="A438" s="57"/>
      <c r="B438" s="57"/>
      <c r="C438" s="57"/>
      <c r="D438" s="57"/>
      <c r="E438" s="57"/>
      <c r="F438" s="57"/>
      <c r="G438" s="57"/>
      <c r="H438" s="65"/>
      <c r="I438" s="65"/>
      <c r="J438" s="65"/>
      <c r="K438" s="65"/>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7"/>
      <c r="AR438" s="57"/>
      <c r="AS438" s="57"/>
      <c r="AT438" s="57"/>
      <c r="AU438" s="57"/>
      <c r="AV438" s="57"/>
      <c r="AW438" s="57"/>
      <c r="AX438" s="57"/>
      <c r="AY438" s="57"/>
      <c r="AZ438" s="57"/>
    </row>
    <row r="439">
      <c r="A439" s="57"/>
      <c r="B439" s="57"/>
      <c r="C439" s="57"/>
      <c r="D439" s="57"/>
      <c r="E439" s="57"/>
      <c r="F439" s="57"/>
      <c r="G439" s="57"/>
      <c r="H439" s="65"/>
      <c r="I439" s="65"/>
      <c r="J439" s="65"/>
      <c r="K439" s="65"/>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7"/>
      <c r="AR439" s="57"/>
      <c r="AS439" s="57"/>
      <c r="AT439" s="57"/>
      <c r="AU439" s="57"/>
      <c r="AV439" s="57"/>
      <c r="AW439" s="57"/>
      <c r="AX439" s="57"/>
      <c r="AY439" s="57"/>
      <c r="AZ439" s="57"/>
    </row>
    <row r="440">
      <c r="A440" s="57"/>
      <c r="B440" s="57"/>
      <c r="C440" s="57"/>
      <c r="D440" s="57"/>
      <c r="E440" s="57"/>
      <c r="F440" s="57"/>
      <c r="G440" s="57"/>
      <c r="H440" s="65"/>
      <c r="I440" s="65"/>
      <c r="J440" s="65"/>
      <c r="K440" s="65"/>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7"/>
      <c r="AR440" s="57"/>
      <c r="AS440" s="57"/>
      <c r="AT440" s="57"/>
      <c r="AU440" s="57"/>
      <c r="AV440" s="57"/>
      <c r="AW440" s="57"/>
      <c r="AX440" s="57"/>
      <c r="AY440" s="57"/>
      <c r="AZ440" s="57"/>
    </row>
    <row r="441">
      <c r="A441" s="57"/>
      <c r="B441" s="57"/>
      <c r="C441" s="57"/>
      <c r="D441" s="57"/>
      <c r="E441" s="57"/>
      <c r="F441" s="57"/>
      <c r="G441" s="57"/>
      <c r="H441" s="65"/>
      <c r="I441" s="65"/>
      <c r="J441" s="65"/>
      <c r="K441" s="65"/>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7"/>
      <c r="AR441" s="57"/>
      <c r="AS441" s="57"/>
      <c r="AT441" s="57"/>
      <c r="AU441" s="57"/>
      <c r="AV441" s="57"/>
      <c r="AW441" s="57"/>
      <c r="AX441" s="57"/>
      <c r="AY441" s="57"/>
      <c r="AZ441" s="57"/>
    </row>
    <row r="442">
      <c r="A442" s="57"/>
      <c r="B442" s="57"/>
      <c r="C442" s="57"/>
      <c r="D442" s="57"/>
      <c r="E442" s="57"/>
      <c r="F442" s="57"/>
      <c r="G442" s="57"/>
      <c r="H442" s="65"/>
      <c r="I442" s="65"/>
      <c r="J442" s="65"/>
      <c r="K442" s="65"/>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7"/>
      <c r="AR442" s="57"/>
      <c r="AS442" s="57"/>
      <c r="AT442" s="57"/>
      <c r="AU442" s="57"/>
      <c r="AV442" s="57"/>
      <c r="AW442" s="57"/>
      <c r="AX442" s="57"/>
      <c r="AY442" s="57"/>
      <c r="AZ442" s="57"/>
    </row>
    <row r="443">
      <c r="A443" s="57"/>
      <c r="B443" s="57"/>
      <c r="C443" s="57"/>
      <c r="D443" s="57"/>
      <c r="E443" s="57"/>
      <c r="F443" s="57"/>
      <c r="G443" s="57"/>
      <c r="H443" s="65"/>
      <c r="I443" s="65"/>
      <c r="J443" s="65"/>
      <c r="K443" s="65"/>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7"/>
      <c r="AR443" s="57"/>
      <c r="AS443" s="57"/>
      <c r="AT443" s="57"/>
      <c r="AU443" s="57"/>
      <c r="AV443" s="57"/>
      <c r="AW443" s="57"/>
      <c r="AX443" s="57"/>
      <c r="AY443" s="57"/>
      <c r="AZ443" s="57"/>
    </row>
    <row r="444">
      <c r="A444" s="57"/>
      <c r="B444" s="57"/>
      <c r="C444" s="57"/>
      <c r="D444" s="57"/>
      <c r="E444" s="57"/>
      <c r="F444" s="57"/>
      <c r="G444" s="57"/>
      <c r="H444" s="65"/>
      <c r="I444" s="65"/>
      <c r="J444" s="65"/>
      <c r="K444" s="65"/>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7"/>
      <c r="AR444" s="57"/>
      <c r="AS444" s="57"/>
      <c r="AT444" s="57"/>
      <c r="AU444" s="57"/>
      <c r="AV444" s="57"/>
      <c r="AW444" s="57"/>
      <c r="AX444" s="57"/>
      <c r="AY444" s="57"/>
      <c r="AZ444" s="57"/>
    </row>
    <row r="445">
      <c r="A445" s="57"/>
      <c r="B445" s="57"/>
      <c r="C445" s="57"/>
      <c r="D445" s="57"/>
      <c r="E445" s="57"/>
      <c r="F445" s="57"/>
      <c r="G445" s="57"/>
      <c r="H445" s="65"/>
      <c r="I445" s="65"/>
      <c r="J445" s="65"/>
      <c r="K445" s="65"/>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7"/>
      <c r="AR445" s="57"/>
      <c r="AS445" s="57"/>
      <c r="AT445" s="57"/>
      <c r="AU445" s="57"/>
      <c r="AV445" s="57"/>
      <c r="AW445" s="57"/>
      <c r="AX445" s="57"/>
      <c r="AY445" s="57"/>
      <c r="AZ445" s="57"/>
    </row>
    <row r="446">
      <c r="A446" s="57"/>
      <c r="B446" s="57"/>
      <c r="C446" s="57"/>
      <c r="D446" s="57"/>
      <c r="E446" s="57"/>
      <c r="F446" s="57"/>
      <c r="G446" s="57"/>
      <c r="H446" s="65"/>
      <c r="I446" s="65"/>
      <c r="J446" s="65"/>
      <c r="K446" s="65"/>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7"/>
      <c r="AR446" s="57"/>
      <c r="AS446" s="57"/>
      <c r="AT446" s="57"/>
      <c r="AU446" s="57"/>
      <c r="AV446" s="57"/>
      <c r="AW446" s="57"/>
      <c r="AX446" s="57"/>
      <c r="AY446" s="57"/>
      <c r="AZ446" s="57"/>
    </row>
    <row r="447">
      <c r="A447" s="57"/>
      <c r="B447" s="57"/>
      <c r="C447" s="57"/>
      <c r="D447" s="57"/>
      <c r="E447" s="57"/>
      <c r="F447" s="57"/>
      <c r="G447" s="57"/>
      <c r="H447" s="65"/>
      <c r="I447" s="65"/>
      <c r="J447" s="65"/>
      <c r="K447" s="65"/>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7"/>
      <c r="AR447" s="57"/>
      <c r="AS447" s="57"/>
      <c r="AT447" s="57"/>
      <c r="AU447" s="57"/>
      <c r="AV447" s="57"/>
      <c r="AW447" s="57"/>
      <c r="AX447" s="57"/>
      <c r="AY447" s="57"/>
      <c r="AZ447" s="57"/>
    </row>
    <row r="448">
      <c r="A448" s="57"/>
      <c r="B448" s="57"/>
      <c r="C448" s="57"/>
      <c r="D448" s="57"/>
      <c r="E448" s="57"/>
      <c r="F448" s="57"/>
      <c r="G448" s="57"/>
      <c r="H448" s="65"/>
      <c r="I448" s="65"/>
      <c r="J448" s="65"/>
      <c r="K448" s="65"/>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57"/>
      <c r="AT448" s="57"/>
      <c r="AU448" s="57"/>
      <c r="AV448" s="57"/>
      <c r="AW448" s="57"/>
      <c r="AX448" s="57"/>
      <c r="AY448" s="57"/>
      <c r="AZ448" s="57"/>
    </row>
    <row r="449">
      <c r="A449" s="57"/>
      <c r="B449" s="57"/>
      <c r="C449" s="57"/>
      <c r="D449" s="57"/>
      <c r="E449" s="57"/>
      <c r="F449" s="57"/>
      <c r="G449" s="57"/>
      <c r="H449" s="65"/>
      <c r="I449" s="65"/>
      <c r="J449" s="65"/>
      <c r="K449" s="65"/>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57"/>
      <c r="AT449" s="57"/>
      <c r="AU449" s="57"/>
      <c r="AV449" s="57"/>
      <c r="AW449" s="57"/>
      <c r="AX449" s="57"/>
      <c r="AY449" s="57"/>
      <c r="AZ449" s="57"/>
    </row>
    <row r="450">
      <c r="A450" s="57"/>
      <c r="B450" s="57"/>
      <c r="C450" s="57"/>
      <c r="D450" s="57"/>
      <c r="E450" s="57"/>
      <c r="F450" s="57"/>
      <c r="G450" s="57"/>
      <c r="H450" s="65"/>
      <c r="I450" s="65"/>
      <c r="J450" s="65"/>
      <c r="K450" s="65"/>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7"/>
      <c r="AR450" s="57"/>
      <c r="AS450" s="57"/>
      <c r="AT450" s="57"/>
      <c r="AU450" s="57"/>
      <c r="AV450" s="57"/>
      <c r="AW450" s="57"/>
      <c r="AX450" s="57"/>
      <c r="AY450" s="57"/>
      <c r="AZ450" s="57"/>
    </row>
    <row r="451">
      <c r="A451" s="57"/>
      <c r="B451" s="57"/>
      <c r="C451" s="57"/>
      <c r="D451" s="57"/>
      <c r="E451" s="57"/>
      <c r="F451" s="57"/>
      <c r="G451" s="57"/>
      <c r="H451" s="65"/>
      <c r="I451" s="65"/>
      <c r="J451" s="65"/>
      <c r="K451" s="65"/>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7"/>
      <c r="AR451" s="57"/>
      <c r="AS451" s="57"/>
      <c r="AT451" s="57"/>
      <c r="AU451" s="57"/>
      <c r="AV451" s="57"/>
      <c r="AW451" s="57"/>
      <c r="AX451" s="57"/>
      <c r="AY451" s="57"/>
      <c r="AZ451" s="57"/>
    </row>
    <row r="452">
      <c r="A452" s="57"/>
      <c r="B452" s="57"/>
      <c r="C452" s="57"/>
      <c r="D452" s="57"/>
      <c r="E452" s="57"/>
      <c r="F452" s="57"/>
      <c r="G452" s="57"/>
      <c r="H452" s="65"/>
      <c r="I452" s="65"/>
      <c r="J452" s="65"/>
      <c r="K452" s="65"/>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57"/>
      <c r="AT452" s="57"/>
      <c r="AU452" s="57"/>
      <c r="AV452" s="57"/>
      <c r="AW452" s="57"/>
      <c r="AX452" s="57"/>
      <c r="AY452" s="57"/>
      <c r="AZ452" s="57"/>
    </row>
    <row r="453">
      <c r="A453" s="57"/>
      <c r="B453" s="57"/>
      <c r="C453" s="57"/>
      <c r="D453" s="57"/>
      <c r="E453" s="57"/>
      <c r="F453" s="57"/>
      <c r="G453" s="57"/>
      <c r="H453" s="65"/>
      <c r="I453" s="65"/>
      <c r="J453" s="65"/>
      <c r="K453" s="65"/>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57"/>
      <c r="AT453" s="57"/>
      <c r="AU453" s="57"/>
      <c r="AV453" s="57"/>
      <c r="AW453" s="57"/>
      <c r="AX453" s="57"/>
      <c r="AY453" s="57"/>
      <c r="AZ453" s="57"/>
    </row>
    <row r="454">
      <c r="A454" s="57"/>
      <c r="B454" s="57"/>
      <c r="C454" s="57"/>
      <c r="D454" s="57"/>
      <c r="E454" s="57"/>
      <c r="F454" s="57"/>
      <c r="G454" s="57"/>
      <c r="H454" s="65"/>
      <c r="I454" s="65"/>
      <c r="J454" s="65"/>
      <c r="K454" s="65"/>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57"/>
      <c r="AT454" s="57"/>
      <c r="AU454" s="57"/>
      <c r="AV454" s="57"/>
      <c r="AW454" s="57"/>
      <c r="AX454" s="57"/>
      <c r="AY454" s="57"/>
      <c r="AZ454" s="57"/>
    </row>
    <row r="455">
      <c r="A455" s="57"/>
      <c r="B455" s="57"/>
      <c r="C455" s="57"/>
      <c r="D455" s="57"/>
      <c r="E455" s="57"/>
      <c r="F455" s="57"/>
      <c r="G455" s="57"/>
      <c r="H455" s="65"/>
      <c r="I455" s="65"/>
      <c r="J455" s="65"/>
      <c r="K455" s="65"/>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57"/>
      <c r="AT455" s="57"/>
      <c r="AU455" s="57"/>
      <c r="AV455" s="57"/>
      <c r="AW455" s="57"/>
      <c r="AX455" s="57"/>
      <c r="AY455" s="57"/>
      <c r="AZ455" s="57"/>
    </row>
    <row r="456">
      <c r="A456" s="57"/>
      <c r="B456" s="57"/>
      <c r="C456" s="57"/>
      <c r="D456" s="57"/>
      <c r="E456" s="57"/>
      <c r="F456" s="57"/>
      <c r="G456" s="57"/>
      <c r="H456" s="65"/>
      <c r="I456" s="65"/>
      <c r="J456" s="65"/>
      <c r="K456" s="65"/>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57"/>
      <c r="AT456" s="57"/>
      <c r="AU456" s="57"/>
      <c r="AV456" s="57"/>
      <c r="AW456" s="57"/>
      <c r="AX456" s="57"/>
      <c r="AY456" s="57"/>
      <c r="AZ456" s="57"/>
    </row>
    <row r="457">
      <c r="A457" s="57"/>
      <c r="B457" s="57"/>
      <c r="C457" s="57"/>
      <c r="D457" s="57"/>
      <c r="E457" s="57"/>
      <c r="F457" s="57"/>
      <c r="G457" s="57"/>
      <c r="H457" s="65"/>
      <c r="I457" s="65"/>
      <c r="J457" s="65"/>
      <c r="K457" s="65"/>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57"/>
      <c r="AT457" s="57"/>
      <c r="AU457" s="57"/>
      <c r="AV457" s="57"/>
      <c r="AW457" s="57"/>
      <c r="AX457" s="57"/>
      <c r="AY457" s="57"/>
      <c r="AZ457" s="57"/>
    </row>
    <row r="458">
      <c r="A458" s="57"/>
      <c r="B458" s="57"/>
      <c r="C458" s="57"/>
      <c r="D458" s="57"/>
      <c r="E458" s="57"/>
      <c r="F458" s="57"/>
      <c r="G458" s="57"/>
      <c r="H458" s="65"/>
      <c r="I458" s="65"/>
      <c r="J458" s="65"/>
      <c r="K458" s="65"/>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57"/>
      <c r="AT458" s="57"/>
      <c r="AU458" s="57"/>
      <c r="AV458" s="57"/>
      <c r="AW458" s="57"/>
      <c r="AX458" s="57"/>
      <c r="AY458" s="57"/>
      <c r="AZ458" s="57"/>
    </row>
    <row r="459">
      <c r="A459" s="57"/>
      <c r="B459" s="57"/>
      <c r="C459" s="57"/>
      <c r="D459" s="57"/>
      <c r="E459" s="57"/>
      <c r="F459" s="57"/>
      <c r="G459" s="57"/>
      <c r="H459" s="65"/>
      <c r="I459" s="65"/>
      <c r="J459" s="65"/>
      <c r="K459" s="65"/>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57"/>
      <c r="AT459" s="57"/>
      <c r="AU459" s="57"/>
      <c r="AV459" s="57"/>
      <c r="AW459" s="57"/>
      <c r="AX459" s="57"/>
      <c r="AY459" s="57"/>
      <c r="AZ459" s="57"/>
    </row>
    <row r="460">
      <c r="A460" s="57"/>
      <c r="B460" s="57"/>
      <c r="C460" s="57"/>
      <c r="D460" s="57"/>
      <c r="E460" s="57"/>
      <c r="F460" s="57"/>
      <c r="G460" s="57"/>
      <c r="H460" s="65"/>
      <c r="I460" s="65"/>
      <c r="J460" s="65"/>
      <c r="K460" s="65"/>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57"/>
      <c r="AT460" s="57"/>
      <c r="AU460" s="57"/>
      <c r="AV460" s="57"/>
      <c r="AW460" s="57"/>
      <c r="AX460" s="57"/>
      <c r="AY460" s="57"/>
      <c r="AZ460" s="57"/>
    </row>
    <row r="461">
      <c r="A461" s="57"/>
      <c r="B461" s="57"/>
      <c r="C461" s="57"/>
      <c r="D461" s="57"/>
      <c r="E461" s="57"/>
      <c r="F461" s="57"/>
      <c r="G461" s="57"/>
      <c r="H461" s="65"/>
      <c r="I461" s="65"/>
      <c r="J461" s="65"/>
      <c r="K461" s="65"/>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7"/>
      <c r="AR461" s="57"/>
      <c r="AS461" s="57"/>
      <c r="AT461" s="57"/>
      <c r="AU461" s="57"/>
      <c r="AV461" s="57"/>
      <c r="AW461" s="57"/>
      <c r="AX461" s="57"/>
      <c r="AY461" s="57"/>
      <c r="AZ461" s="57"/>
    </row>
    <row r="462">
      <c r="A462" s="57"/>
      <c r="B462" s="57"/>
      <c r="C462" s="57"/>
      <c r="D462" s="57"/>
      <c r="E462" s="57"/>
      <c r="F462" s="57"/>
      <c r="G462" s="57"/>
      <c r="H462" s="65"/>
      <c r="I462" s="65"/>
      <c r="J462" s="65"/>
      <c r="K462" s="65"/>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7"/>
      <c r="AR462" s="57"/>
      <c r="AS462" s="57"/>
      <c r="AT462" s="57"/>
      <c r="AU462" s="57"/>
      <c r="AV462" s="57"/>
      <c r="AW462" s="57"/>
      <c r="AX462" s="57"/>
      <c r="AY462" s="57"/>
      <c r="AZ462" s="57"/>
    </row>
    <row r="463">
      <c r="A463" s="57"/>
      <c r="B463" s="57"/>
      <c r="C463" s="57"/>
      <c r="D463" s="57"/>
      <c r="E463" s="57"/>
      <c r="F463" s="57"/>
      <c r="G463" s="57"/>
      <c r="H463" s="65"/>
      <c r="I463" s="65"/>
      <c r="J463" s="65"/>
      <c r="K463" s="65"/>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7"/>
      <c r="AR463" s="57"/>
      <c r="AS463" s="57"/>
      <c r="AT463" s="57"/>
      <c r="AU463" s="57"/>
      <c r="AV463" s="57"/>
      <c r="AW463" s="57"/>
      <c r="AX463" s="57"/>
      <c r="AY463" s="57"/>
      <c r="AZ463" s="57"/>
    </row>
    <row r="464">
      <c r="A464" s="57"/>
      <c r="B464" s="57"/>
      <c r="C464" s="57"/>
      <c r="D464" s="57"/>
      <c r="E464" s="57"/>
      <c r="F464" s="57"/>
      <c r="G464" s="57"/>
      <c r="H464" s="65"/>
      <c r="I464" s="65"/>
      <c r="J464" s="65"/>
      <c r="K464" s="65"/>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7"/>
      <c r="AR464" s="57"/>
      <c r="AS464" s="57"/>
      <c r="AT464" s="57"/>
      <c r="AU464" s="57"/>
      <c r="AV464" s="57"/>
      <c r="AW464" s="57"/>
      <c r="AX464" s="57"/>
      <c r="AY464" s="57"/>
      <c r="AZ464" s="57"/>
    </row>
    <row r="465">
      <c r="A465" s="57"/>
      <c r="B465" s="57"/>
      <c r="C465" s="57"/>
      <c r="D465" s="57"/>
      <c r="E465" s="57"/>
      <c r="F465" s="57"/>
      <c r="G465" s="57"/>
      <c r="H465" s="65"/>
      <c r="I465" s="65"/>
      <c r="J465" s="65"/>
      <c r="K465" s="65"/>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7"/>
      <c r="AR465" s="57"/>
      <c r="AS465" s="57"/>
      <c r="AT465" s="57"/>
      <c r="AU465" s="57"/>
      <c r="AV465" s="57"/>
      <c r="AW465" s="57"/>
      <c r="AX465" s="57"/>
      <c r="AY465" s="57"/>
      <c r="AZ465" s="57"/>
    </row>
    <row r="466">
      <c r="A466" s="57"/>
      <c r="B466" s="57"/>
      <c r="C466" s="57"/>
      <c r="D466" s="57"/>
      <c r="E466" s="57"/>
      <c r="F466" s="57"/>
      <c r="G466" s="57"/>
      <c r="H466" s="65"/>
      <c r="I466" s="65"/>
      <c r="J466" s="65"/>
      <c r="K466" s="65"/>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7"/>
      <c r="AR466" s="57"/>
      <c r="AS466" s="57"/>
      <c r="AT466" s="57"/>
      <c r="AU466" s="57"/>
      <c r="AV466" s="57"/>
      <c r="AW466" s="57"/>
      <c r="AX466" s="57"/>
      <c r="AY466" s="57"/>
      <c r="AZ466" s="57"/>
    </row>
    <row r="467">
      <c r="A467" s="57"/>
      <c r="B467" s="57"/>
      <c r="C467" s="57"/>
      <c r="D467" s="57"/>
      <c r="E467" s="57"/>
      <c r="F467" s="57"/>
      <c r="G467" s="57"/>
      <c r="H467" s="65"/>
      <c r="I467" s="65"/>
      <c r="J467" s="65"/>
      <c r="K467" s="65"/>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c r="AT467" s="57"/>
      <c r="AU467" s="57"/>
      <c r="AV467" s="57"/>
      <c r="AW467" s="57"/>
      <c r="AX467" s="57"/>
      <c r="AY467" s="57"/>
      <c r="AZ467" s="57"/>
    </row>
    <row r="468">
      <c r="A468" s="57"/>
      <c r="B468" s="57"/>
      <c r="C468" s="57"/>
      <c r="D468" s="57"/>
      <c r="E468" s="57"/>
      <c r="F468" s="57"/>
      <c r="G468" s="57"/>
      <c r="H468" s="65"/>
      <c r="I468" s="65"/>
      <c r="J468" s="65"/>
      <c r="K468" s="65"/>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c r="AT468" s="57"/>
      <c r="AU468" s="57"/>
      <c r="AV468" s="57"/>
      <c r="AW468" s="57"/>
      <c r="AX468" s="57"/>
      <c r="AY468" s="57"/>
      <c r="AZ468" s="57"/>
    </row>
    <row r="469">
      <c r="A469" s="57"/>
      <c r="B469" s="57"/>
      <c r="C469" s="57"/>
      <c r="D469" s="57"/>
      <c r="E469" s="57"/>
      <c r="F469" s="57"/>
      <c r="G469" s="57"/>
      <c r="H469" s="65"/>
      <c r="I469" s="65"/>
      <c r="J469" s="65"/>
      <c r="K469" s="65"/>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7"/>
      <c r="AR469" s="57"/>
      <c r="AS469" s="57"/>
      <c r="AT469" s="57"/>
      <c r="AU469" s="57"/>
      <c r="AV469" s="57"/>
      <c r="AW469" s="57"/>
      <c r="AX469" s="57"/>
      <c r="AY469" s="57"/>
      <c r="AZ469" s="57"/>
    </row>
    <row r="470">
      <c r="A470" s="57"/>
      <c r="B470" s="57"/>
      <c r="C470" s="57"/>
      <c r="D470" s="57"/>
      <c r="E470" s="57"/>
      <c r="F470" s="57"/>
      <c r="G470" s="57"/>
      <c r="H470" s="65"/>
      <c r="I470" s="65"/>
      <c r="J470" s="65"/>
      <c r="K470" s="65"/>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7"/>
      <c r="AR470" s="57"/>
      <c r="AS470" s="57"/>
      <c r="AT470" s="57"/>
      <c r="AU470" s="57"/>
      <c r="AV470" s="57"/>
      <c r="AW470" s="57"/>
      <c r="AX470" s="57"/>
      <c r="AY470" s="57"/>
      <c r="AZ470" s="57"/>
    </row>
    <row r="471">
      <c r="A471" s="57"/>
      <c r="B471" s="57"/>
      <c r="C471" s="57"/>
      <c r="D471" s="57"/>
      <c r="E471" s="57"/>
      <c r="F471" s="57"/>
      <c r="G471" s="57"/>
      <c r="H471" s="65"/>
      <c r="I471" s="65"/>
      <c r="J471" s="65"/>
      <c r="K471" s="65"/>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7"/>
      <c r="AR471" s="57"/>
      <c r="AS471" s="57"/>
      <c r="AT471" s="57"/>
      <c r="AU471" s="57"/>
      <c r="AV471" s="57"/>
      <c r="AW471" s="57"/>
      <c r="AX471" s="57"/>
      <c r="AY471" s="57"/>
      <c r="AZ471" s="57"/>
    </row>
    <row r="472">
      <c r="A472" s="57"/>
      <c r="B472" s="57"/>
      <c r="C472" s="57"/>
      <c r="D472" s="57"/>
      <c r="E472" s="57"/>
      <c r="F472" s="57"/>
      <c r="G472" s="57"/>
      <c r="H472" s="65"/>
      <c r="I472" s="65"/>
      <c r="J472" s="65"/>
      <c r="K472" s="65"/>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7"/>
      <c r="AR472" s="57"/>
      <c r="AS472" s="57"/>
      <c r="AT472" s="57"/>
      <c r="AU472" s="57"/>
      <c r="AV472" s="57"/>
      <c r="AW472" s="57"/>
      <c r="AX472" s="57"/>
      <c r="AY472" s="57"/>
      <c r="AZ472" s="57"/>
    </row>
    <row r="473">
      <c r="A473" s="57"/>
      <c r="B473" s="57"/>
      <c r="C473" s="57"/>
      <c r="D473" s="57"/>
      <c r="E473" s="57"/>
      <c r="F473" s="57"/>
      <c r="G473" s="57"/>
      <c r="H473" s="65"/>
      <c r="I473" s="65"/>
      <c r="J473" s="65"/>
      <c r="K473" s="65"/>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57"/>
      <c r="AT473" s="57"/>
      <c r="AU473" s="57"/>
      <c r="AV473" s="57"/>
      <c r="AW473" s="57"/>
      <c r="AX473" s="57"/>
      <c r="AY473" s="57"/>
      <c r="AZ473" s="57"/>
    </row>
    <row r="474">
      <c r="A474" s="57"/>
      <c r="B474" s="57"/>
      <c r="C474" s="57"/>
      <c r="D474" s="57"/>
      <c r="E474" s="57"/>
      <c r="F474" s="57"/>
      <c r="G474" s="57"/>
      <c r="H474" s="65"/>
      <c r="I474" s="65"/>
      <c r="J474" s="65"/>
      <c r="K474" s="65"/>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7"/>
      <c r="AR474" s="57"/>
      <c r="AS474" s="57"/>
      <c r="AT474" s="57"/>
      <c r="AU474" s="57"/>
      <c r="AV474" s="57"/>
      <c r="AW474" s="57"/>
      <c r="AX474" s="57"/>
      <c r="AY474" s="57"/>
      <c r="AZ474" s="57"/>
    </row>
    <row r="475">
      <c r="A475" s="57"/>
      <c r="B475" s="57"/>
      <c r="C475" s="57"/>
      <c r="D475" s="57"/>
      <c r="E475" s="57"/>
      <c r="F475" s="57"/>
      <c r="G475" s="57"/>
      <c r="H475" s="65"/>
      <c r="I475" s="65"/>
      <c r="J475" s="65"/>
      <c r="K475" s="65"/>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7"/>
      <c r="AR475" s="57"/>
      <c r="AS475" s="57"/>
      <c r="AT475" s="57"/>
      <c r="AU475" s="57"/>
      <c r="AV475" s="57"/>
      <c r="AW475" s="57"/>
      <c r="AX475" s="57"/>
      <c r="AY475" s="57"/>
      <c r="AZ475" s="57"/>
    </row>
    <row r="476">
      <c r="A476" s="57"/>
      <c r="B476" s="57"/>
      <c r="C476" s="57"/>
      <c r="D476" s="57"/>
      <c r="E476" s="57"/>
      <c r="F476" s="57"/>
      <c r="G476" s="57"/>
      <c r="H476" s="65"/>
      <c r="I476" s="65"/>
      <c r="J476" s="65"/>
      <c r="K476" s="65"/>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7"/>
      <c r="AR476" s="57"/>
      <c r="AS476" s="57"/>
      <c r="AT476" s="57"/>
      <c r="AU476" s="57"/>
      <c r="AV476" s="57"/>
      <c r="AW476" s="57"/>
      <c r="AX476" s="57"/>
      <c r="AY476" s="57"/>
      <c r="AZ476" s="57"/>
    </row>
    <row r="477">
      <c r="A477" s="57"/>
      <c r="B477" s="57"/>
      <c r="C477" s="57"/>
      <c r="D477" s="57"/>
      <c r="E477" s="57"/>
      <c r="F477" s="57"/>
      <c r="G477" s="57"/>
      <c r="H477" s="65"/>
      <c r="I477" s="65"/>
      <c r="J477" s="65"/>
      <c r="K477" s="65"/>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7"/>
      <c r="AR477" s="57"/>
      <c r="AS477" s="57"/>
      <c r="AT477" s="57"/>
      <c r="AU477" s="57"/>
      <c r="AV477" s="57"/>
      <c r="AW477" s="57"/>
      <c r="AX477" s="57"/>
      <c r="AY477" s="57"/>
      <c r="AZ477" s="57"/>
    </row>
    <row r="478">
      <c r="A478" s="57"/>
      <c r="B478" s="57"/>
      <c r="C478" s="57"/>
      <c r="D478" s="57"/>
      <c r="E478" s="57"/>
      <c r="F478" s="57"/>
      <c r="G478" s="57"/>
      <c r="H478" s="65"/>
      <c r="I478" s="65"/>
      <c r="J478" s="65"/>
      <c r="K478" s="65"/>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7"/>
      <c r="AR478" s="57"/>
      <c r="AS478" s="57"/>
      <c r="AT478" s="57"/>
      <c r="AU478" s="57"/>
      <c r="AV478" s="57"/>
      <c r="AW478" s="57"/>
      <c r="AX478" s="57"/>
      <c r="AY478" s="57"/>
      <c r="AZ478" s="57"/>
    </row>
    <row r="479">
      <c r="A479" s="57"/>
      <c r="B479" s="57"/>
      <c r="C479" s="57"/>
      <c r="D479" s="57"/>
      <c r="E479" s="57"/>
      <c r="F479" s="57"/>
      <c r="G479" s="57"/>
      <c r="H479" s="65"/>
      <c r="I479" s="65"/>
      <c r="J479" s="65"/>
      <c r="K479" s="65"/>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7"/>
      <c r="AR479" s="57"/>
      <c r="AS479" s="57"/>
      <c r="AT479" s="57"/>
      <c r="AU479" s="57"/>
      <c r="AV479" s="57"/>
      <c r="AW479" s="57"/>
      <c r="AX479" s="57"/>
      <c r="AY479" s="57"/>
      <c r="AZ479" s="57"/>
    </row>
    <row r="480">
      <c r="A480" s="57"/>
      <c r="B480" s="57"/>
      <c r="C480" s="57"/>
      <c r="D480" s="57"/>
      <c r="E480" s="57"/>
      <c r="F480" s="57"/>
      <c r="G480" s="57"/>
      <c r="H480" s="65"/>
      <c r="I480" s="65"/>
      <c r="J480" s="65"/>
      <c r="K480" s="65"/>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7"/>
      <c r="AR480" s="57"/>
      <c r="AS480" s="57"/>
      <c r="AT480" s="57"/>
      <c r="AU480" s="57"/>
      <c r="AV480" s="57"/>
      <c r="AW480" s="57"/>
      <c r="AX480" s="57"/>
      <c r="AY480" s="57"/>
      <c r="AZ480" s="57"/>
    </row>
    <row r="481">
      <c r="A481" s="57"/>
      <c r="B481" s="57"/>
      <c r="C481" s="57"/>
      <c r="D481" s="57"/>
      <c r="E481" s="57"/>
      <c r="F481" s="57"/>
      <c r="G481" s="57"/>
      <c r="H481" s="65"/>
      <c r="I481" s="65"/>
      <c r="J481" s="65"/>
      <c r="K481" s="65"/>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7"/>
      <c r="AR481" s="57"/>
      <c r="AS481" s="57"/>
      <c r="AT481" s="57"/>
      <c r="AU481" s="57"/>
      <c r="AV481" s="57"/>
      <c r="AW481" s="57"/>
      <c r="AX481" s="57"/>
      <c r="AY481" s="57"/>
      <c r="AZ481" s="57"/>
    </row>
    <row r="482">
      <c r="A482" s="57"/>
      <c r="B482" s="57"/>
      <c r="C482" s="57"/>
      <c r="D482" s="57"/>
      <c r="E482" s="57"/>
      <c r="F482" s="57"/>
      <c r="G482" s="57"/>
      <c r="H482" s="65"/>
      <c r="I482" s="65"/>
      <c r="J482" s="65"/>
      <c r="K482" s="65"/>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7"/>
      <c r="AR482" s="57"/>
      <c r="AS482" s="57"/>
      <c r="AT482" s="57"/>
      <c r="AU482" s="57"/>
      <c r="AV482" s="57"/>
      <c r="AW482" s="57"/>
      <c r="AX482" s="57"/>
      <c r="AY482" s="57"/>
      <c r="AZ482" s="57"/>
    </row>
    <row r="483">
      <c r="A483" s="57"/>
      <c r="B483" s="57"/>
      <c r="C483" s="57"/>
      <c r="D483" s="57"/>
      <c r="E483" s="57"/>
      <c r="F483" s="57"/>
      <c r="G483" s="57"/>
      <c r="H483" s="65"/>
      <c r="I483" s="65"/>
      <c r="J483" s="65"/>
      <c r="K483" s="65"/>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57"/>
      <c r="AT483" s="57"/>
      <c r="AU483" s="57"/>
      <c r="AV483" s="57"/>
      <c r="AW483" s="57"/>
      <c r="AX483" s="57"/>
      <c r="AY483" s="57"/>
      <c r="AZ483" s="57"/>
    </row>
    <row r="484">
      <c r="A484" s="57"/>
      <c r="B484" s="57"/>
      <c r="C484" s="57"/>
      <c r="D484" s="57"/>
      <c r="E484" s="57"/>
      <c r="F484" s="57"/>
      <c r="G484" s="57"/>
      <c r="H484" s="65"/>
      <c r="I484" s="65"/>
      <c r="J484" s="65"/>
      <c r="K484" s="65"/>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7"/>
      <c r="AR484" s="57"/>
      <c r="AS484" s="57"/>
      <c r="AT484" s="57"/>
      <c r="AU484" s="57"/>
      <c r="AV484" s="57"/>
      <c r="AW484" s="57"/>
      <c r="AX484" s="57"/>
      <c r="AY484" s="57"/>
      <c r="AZ484" s="57"/>
    </row>
    <row r="485">
      <c r="A485" s="57"/>
      <c r="B485" s="57"/>
      <c r="C485" s="57"/>
      <c r="D485" s="57"/>
      <c r="E485" s="57"/>
      <c r="F485" s="57"/>
      <c r="G485" s="57"/>
      <c r="H485" s="65"/>
      <c r="I485" s="65"/>
      <c r="J485" s="65"/>
      <c r="K485" s="65"/>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7"/>
      <c r="AR485" s="57"/>
      <c r="AS485" s="57"/>
      <c r="AT485" s="57"/>
      <c r="AU485" s="57"/>
      <c r="AV485" s="57"/>
      <c r="AW485" s="57"/>
      <c r="AX485" s="57"/>
      <c r="AY485" s="57"/>
      <c r="AZ485" s="57"/>
    </row>
    <row r="486">
      <c r="A486" s="57"/>
      <c r="B486" s="57"/>
      <c r="C486" s="57"/>
      <c r="D486" s="57"/>
      <c r="E486" s="57"/>
      <c r="F486" s="57"/>
      <c r="G486" s="57"/>
      <c r="H486" s="65"/>
      <c r="I486" s="65"/>
      <c r="J486" s="65"/>
      <c r="K486" s="65"/>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57"/>
      <c r="AT486" s="57"/>
      <c r="AU486" s="57"/>
      <c r="AV486" s="57"/>
      <c r="AW486" s="57"/>
      <c r="AX486" s="57"/>
      <c r="AY486" s="57"/>
      <c r="AZ486" s="57"/>
    </row>
    <row r="487">
      <c r="A487" s="57"/>
      <c r="B487" s="57"/>
      <c r="C487" s="57"/>
      <c r="D487" s="57"/>
      <c r="E487" s="57"/>
      <c r="F487" s="57"/>
      <c r="G487" s="57"/>
      <c r="H487" s="65"/>
      <c r="I487" s="65"/>
      <c r="J487" s="65"/>
      <c r="K487" s="65"/>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7"/>
      <c r="AR487" s="57"/>
      <c r="AS487" s="57"/>
      <c r="AT487" s="57"/>
      <c r="AU487" s="57"/>
      <c r="AV487" s="57"/>
      <c r="AW487" s="57"/>
      <c r="AX487" s="57"/>
      <c r="AY487" s="57"/>
      <c r="AZ487" s="57"/>
    </row>
    <row r="488">
      <c r="A488" s="57"/>
      <c r="B488" s="57"/>
      <c r="C488" s="57"/>
      <c r="D488" s="57"/>
      <c r="E488" s="57"/>
      <c r="F488" s="57"/>
      <c r="G488" s="57"/>
      <c r="H488" s="65"/>
      <c r="I488" s="65"/>
      <c r="J488" s="65"/>
      <c r="K488" s="65"/>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7"/>
      <c r="AR488" s="57"/>
      <c r="AS488" s="57"/>
      <c r="AT488" s="57"/>
      <c r="AU488" s="57"/>
      <c r="AV488" s="57"/>
      <c r="AW488" s="57"/>
      <c r="AX488" s="57"/>
      <c r="AY488" s="57"/>
      <c r="AZ488" s="57"/>
    </row>
    <row r="489">
      <c r="A489" s="57"/>
      <c r="B489" s="57"/>
      <c r="C489" s="57"/>
      <c r="D489" s="57"/>
      <c r="E489" s="57"/>
      <c r="F489" s="57"/>
      <c r="G489" s="57"/>
      <c r="H489" s="65"/>
      <c r="I489" s="65"/>
      <c r="J489" s="65"/>
      <c r="K489" s="65"/>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7"/>
      <c r="AR489" s="57"/>
      <c r="AS489" s="57"/>
      <c r="AT489" s="57"/>
      <c r="AU489" s="57"/>
      <c r="AV489" s="57"/>
      <c r="AW489" s="57"/>
      <c r="AX489" s="57"/>
      <c r="AY489" s="57"/>
      <c r="AZ489" s="57"/>
    </row>
    <row r="490">
      <c r="A490" s="57"/>
      <c r="B490" s="57"/>
      <c r="C490" s="57"/>
      <c r="D490" s="57"/>
      <c r="E490" s="57"/>
      <c r="F490" s="57"/>
      <c r="G490" s="57"/>
      <c r="H490" s="65"/>
      <c r="I490" s="65"/>
      <c r="J490" s="65"/>
      <c r="K490" s="65"/>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7"/>
      <c r="AR490" s="57"/>
      <c r="AS490" s="57"/>
      <c r="AT490" s="57"/>
      <c r="AU490" s="57"/>
      <c r="AV490" s="57"/>
      <c r="AW490" s="57"/>
      <c r="AX490" s="57"/>
      <c r="AY490" s="57"/>
      <c r="AZ490" s="57"/>
    </row>
    <row r="491">
      <c r="A491" s="57"/>
      <c r="B491" s="57"/>
      <c r="C491" s="57"/>
      <c r="D491" s="57"/>
      <c r="E491" s="57"/>
      <c r="F491" s="57"/>
      <c r="G491" s="57"/>
      <c r="H491" s="65"/>
      <c r="I491" s="65"/>
      <c r="J491" s="65"/>
      <c r="K491" s="65"/>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7"/>
      <c r="AR491" s="57"/>
      <c r="AS491" s="57"/>
      <c r="AT491" s="57"/>
      <c r="AU491" s="57"/>
      <c r="AV491" s="57"/>
      <c r="AW491" s="57"/>
      <c r="AX491" s="57"/>
      <c r="AY491" s="57"/>
      <c r="AZ491" s="57"/>
    </row>
    <row r="492">
      <c r="A492" s="57"/>
      <c r="B492" s="57"/>
      <c r="C492" s="57"/>
      <c r="D492" s="57"/>
      <c r="E492" s="57"/>
      <c r="F492" s="57"/>
      <c r="G492" s="57"/>
      <c r="H492" s="65"/>
      <c r="I492" s="65"/>
      <c r="J492" s="65"/>
      <c r="K492" s="65"/>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7"/>
      <c r="AR492" s="57"/>
      <c r="AS492" s="57"/>
      <c r="AT492" s="57"/>
      <c r="AU492" s="57"/>
      <c r="AV492" s="57"/>
      <c r="AW492" s="57"/>
      <c r="AX492" s="57"/>
      <c r="AY492" s="57"/>
      <c r="AZ492" s="57"/>
    </row>
    <row r="493">
      <c r="A493" s="57"/>
      <c r="B493" s="57"/>
      <c r="C493" s="57"/>
      <c r="D493" s="57"/>
      <c r="E493" s="57"/>
      <c r="F493" s="57"/>
      <c r="G493" s="57"/>
      <c r="H493" s="65"/>
      <c r="I493" s="65"/>
      <c r="J493" s="65"/>
      <c r="K493" s="65"/>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7"/>
      <c r="AR493" s="57"/>
      <c r="AS493" s="57"/>
      <c r="AT493" s="57"/>
      <c r="AU493" s="57"/>
      <c r="AV493" s="57"/>
      <c r="AW493" s="57"/>
      <c r="AX493" s="57"/>
      <c r="AY493" s="57"/>
      <c r="AZ493" s="57"/>
    </row>
    <row r="494">
      <c r="A494" s="57"/>
      <c r="B494" s="57"/>
      <c r="C494" s="57"/>
      <c r="D494" s="57"/>
      <c r="E494" s="57"/>
      <c r="F494" s="57"/>
      <c r="G494" s="57"/>
      <c r="H494" s="65"/>
      <c r="I494" s="65"/>
      <c r="J494" s="65"/>
      <c r="K494" s="65"/>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7"/>
      <c r="AR494" s="57"/>
      <c r="AS494" s="57"/>
      <c r="AT494" s="57"/>
      <c r="AU494" s="57"/>
      <c r="AV494" s="57"/>
      <c r="AW494" s="57"/>
      <c r="AX494" s="57"/>
      <c r="AY494" s="57"/>
      <c r="AZ494" s="57"/>
    </row>
    <row r="495">
      <c r="A495" s="57"/>
      <c r="B495" s="57"/>
      <c r="C495" s="57"/>
      <c r="D495" s="57"/>
      <c r="E495" s="57"/>
      <c r="F495" s="57"/>
      <c r="G495" s="57"/>
      <c r="H495" s="65"/>
      <c r="I495" s="65"/>
      <c r="J495" s="65"/>
      <c r="K495" s="65"/>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7"/>
      <c r="AR495" s="57"/>
      <c r="AS495" s="57"/>
      <c r="AT495" s="57"/>
      <c r="AU495" s="57"/>
      <c r="AV495" s="57"/>
      <c r="AW495" s="57"/>
      <c r="AX495" s="57"/>
      <c r="AY495" s="57"/>
      <c r="AZ495" s="57"/>
    </row>
    <row r="496">
      <c r="A496" s="57"/>
      <c r="B496" s="57"/>
      <c r="C496" s="57"/>
      <c r="D496" s="57"/>
      <c r="E496" s="57"/>
      <c r="F496" s="57"/>
      <c r="G496" s="57"/>
      <c r="H496" s="65"/>
      <c r="I496" s="65"/>
      <c r="J496" s="65"/>
      <c r="K496" s="65"/>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7"/>
      <c r="AR496" s="57"/>
      <c r="AS496" s="57"/>
      <c r="AT496" s="57"/>
      <c r="AU496" s="57"/>
      <c r="AV496" s="57"/>
      <c r="AW496" s="57"/>
      <c r="AX496" s="57"/>
      <c r="AY496" s="57"/>
      <c r="AZ496" s="57"/>
    </row>
    <row r="497">
      <c r="A497" s="57"/>
      <c r="B497" s="57"/>
      <c r="C497" s="57"/>
      <c r="D497" s="57"/>
      <c r="E497" s="57"/>
      <c r="F497" s="57"/>
      <c r="G497" s="57"/>
      <c r="H497" s="65"/>
      <c r="I497" s="65"/>
      <c r="J497" s="65"/>
      <c r="K497" s="65"/>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7"/>
      <c r="AR497" s="57"/>
      <c r="AS497" s="57"/>
      <c r="AT497" s="57"/>
      <c r="AU497" s="57"/>
      <c r="AV497" s="57"/>
      <c r="AW497" s="57"/>
      <c r="AX497" s="57"/>
      <c r="AY497" s="57"/>
      <c r="AZ497" s="57"/>
    </row>
    <row r="498">
      <c r="A498" s="57"/>
      <c r="B498" s="57"/>
      <c r="C498" s="57"/>
      <c r="D498" s="57"/>
      <c r="E498" s="57"/>
      <c r="F498" s="57"/>
      <c r="G498" s="57"/>
      <c r="H498" s="65"/>
      <c r="I498" s="65"/>
      <c r="J498" s="65"/>
      <c r="K498" s="65"/>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7"/>
      <c r="AR498" s="57"/>
      <c r="AS498" s="57"/>
      <c r="AT498" s="57"/>
      <c r="AU498" s="57"/>
      <c r="AV498" s="57"/>
      <c r="AW498" s="57"/>
      <c r="AX498" s="57"/>
      <c r="AY498" s="57"/>
      <c r="AZ498" s="57"/>
    </row>
    <row r="499">
      <c r="A499" s="57"/>
      <c r="B499" s="57"/>
      <c r="C499" s="57"/>
      <c r="D499" s="57"/>
      <c r="E499" s="57"/>
      <c r="F499" s="57"/>
      <c r="G499" s="57"/>
      <c r="H499" s="65"/>
      <c r="I499" s="65"/>
      <c r="J499" s="65"/>
      <c r="K499" s="65"/>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7"/>
      <c r="AR499" s="57"/>
      <c r="AS499" s="57"/>
      <c r="AT499" s="57"/>
      <c r="AU499" s="57"/>
      <c r="AV499" s="57"/>
      <c r="AW499" s="57"/>
      <c r="AX499" s="57"/>
      <c r="AY499" s="57"/>
      <c r="AZ499" s="57"/>
    </row>
    <row r="500">
      <c r="A500" s="57"/>
      <c r="B500" s="57"/>
      <c r="C500" s="57"/>
      <c r="D500" s="57"/>
      <c r="E500" s="57"/>
      <c r="F500" s="57"/>
      <c r="G500" s="57"/>
      <c r="H500" s="65"/>
      <c r="I500" s="65"/>
      <c r="J500" s="65"/>
      <c r="K500" s="65"/>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7"/>
      <c r="AR500" s="57"/>
      <c r="AS500" s="57"/>
      <c r="AT500" s="57"/>
      <c r="AU500" s="57"/>
      <c r="AV500" s="57"/>
      <c r="AW500" s="57"/>
      <c r="AX500" s="57"/>
      <c r="AY500" s="57"/>
      <c r="AZ500" s="57"/>
    </row>
    <row r="501">
      <c r="A501" s="57"/>
      <c r="B501" s="57"/>
      <c r="C501" s="57"/>
      <c r="D501" s="57"/>
      <c r="E501" s="57"/>
      <c r="F501" s="57"/>
      <c r="G501" s="57"/>
      <c r="H501" s="65"/>
      <c r="I501" s="65"/>
      <c r="J501" s="65"/>
      <c r="K501" s="65"/>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7"/>
      <c r="AR501" s="57"/>
      <c r="AS501" s="57"/>
      <c r="AT501" s="57"/>
      <c r="AU501" s="57"/>
      <c r="AV501" s="57"/>
      <c r="AW501" s="57"/>
      <c r="AX501" s="57"/>
      <c r="AY501" s="57"/>
      <c r="AZ501" s="57"/>
    </row>
    <row r="502">
      <c r="A502" s="57"/>
      <c r="B502" s="57"/>
      <c r="C502" s="57"/>
      <c r="D502" s="57"/>
      <c r="E502" s="57"/>
      <c r="F502" s="57"/>
      <c r="G502" s="57"/>
      <c r="H502" s="65"/>
      <c r="I502" s="65"/>
      <c r="J502" s="65"/>
      <c r="K502" s="65"/>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7"/>
      <c r="AR502" s="57"/>
      <c r="AS502" s="57"/>
      <c r="AT502" s="57"/>
      <c r="AU502" s="57"/>
      <c r="AV502" s="57"/>
      <c r="AW502" s="57"/>
      <c r="AX502" s="57"/>
      <c r="AY502" s="57"/>
      <c r="AZ502" s="57"/>
    </row>
    <row r="503">
      <c r="A503" s="57"/>
      <c r="B503" s="57"/>
      <c r="C503" s="57"/>
      <c r="D503" s="57"/>
      <c r="E503" s="57"/>
      <c r="F503" s="57"/>
      <c r="G503" s="57"/>
      <c r="H503" s="65"/>
      <c r="I503" s="65"/>
      <c r="J503" s="65"/>
      <c r="K503" s="65"/>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7"/>
      <c r="AR503" s="57"/>
      <c r="AS503" s="57"/>
      <c r="AT503" s="57"/>
      <c r="AU503" s="57"/>
      <c r="AV503" s="57"/>
      <c r="AW503" s="57"/>
      <c r="AX503" s="57"/>
      <c r="AY503" s="57"/>
      <c r="AZ503" s="57"/>
    </row>
    <row r="504">
      <c r="A504" s="57"/>
      <c r="B504" s="57"/>
      <c r="C504" s="57"/>
      <c r="D504" s="57"/>
      <c r="E504" s="57"/>
      <c r="F504" s="57"/>
      <c r="G504" s="57"/>
      <c r="H504" s="65"/>
      <c r="I504" s="65"/>
      <c r="J504" s="65"/>
      <c r="K504" s="65"/>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7"/>
      <c r="AR504" s="57"/>
      <c r="AS504" s="57"/>
      <c r="AT504" s="57"/>
      <c r="AU504" s="57"/>
      <c r="AV504" s="57"/>
      <c r="AW504" s="57"/>
      <c r="AX504" s="57"/>
      <c r="AY504" s="57"/>
      <c r="AZ504" s="57"/>
    </row>
    <row r="505">
      <c r="A505" s="57"/>
      <c r="B505" s="57"/>
      <c r="C505" s="57"/>
      <c r="D505" s="57"/>
      <c r="E505" s="57"/>
      <c r="F505" s="57"/>
      <c r="G505" s="57"/>
      <c r="H505" s="65"/>
      <c r="I505" s="65"/>
      <c r="J505" s="65"/>
      <c r="K505" s="65"/>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7"/>
      <c r="AR505" s="57"/>
      <c r="AS505" s="57"/>
      <c r="AT505" s="57"/>
      <c r="AU505" s="57"/>
      <c r="AV505" s="57"/>
      <c r="AW505" s="57"/>
      <c r="AX505" s="57"/>
      <c r="AY505" s="57"/>
      <c r="AZ505" s="57"/>
    </row>
    <row r="506">
      <c r="A506" s="57"/>
      <c r="B506" s="57"/>
      <c r="C506" s="57"/>
      <c r="D506" s="57"/>
      <c r="E506" s="57"/>
      <c r="F506" s="57"/>
      <c r="G506" s="57"/>
      <c r="H506" s="65"/>
      <c r="I506" s="65"/>
      <c r="J506" s="65"/>
      <c r="K506" s="65"/>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7"/>
      <c r="AR506" s="57"/>
      <c r="AS506" s="57"/>
      <c r="AT506" s="57"/>
      <c r="AU506" s="57"/>
      <c r="AV506" s="57"/>
      <c r="AW506" s="57"/>
      <c r="AX506" s="57"/>
      <c r="AY506" s="57"/>
      <c r="AZ506" s="57"/>
    </row>
    <row r="507">
      <c r="A507" s="57"/>
      <c r="B507" s="57"/>
      <c r="C507" s="57"/>
      <c r="D507" s="57"/>
      <c r="E507" s="57"/>
      <c r="F507" s="57"/>
      <c r="G507" s="57"/>
      <c r="H507" s="65"/>
      <c r="I507" s="65"/>
      <c r="J507" s="65"/>
      <c r="K507" s="65"/>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c r="AS507" s="57"/>
      <c r="AT507" s="57"/>
      <c r="AU507" s="57"/>
      <c r="AV507" s="57"/>
      <c r="AW507" s="57"/>
      <c r="AX507" s="57"/>
      <c r="AY507" s="57"/>
      <c r="AZ507" s="57"/>
    </row>
    <row r="508">
      <c r="A508" s="57"/>
      <c r="B508" s="57"/>
      <c r="C508" s="57"/>
      <c r="D508" s="57"/>
      <c r="E508" s="57"/>
      <c r="F508" s="57"/>
      <c r="G508" s="57"/>
      <c r="H508" s="65"/>
      <c r="I508" s="65"/>
      <c r="J508" s="65"/>
      <c r="K508" s="65"/>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c r="AS508" s="57"/>
      <c r="AT508" s="57"/>
      <c r="AU508" s="57"/>
      <c r="AV508" s="57"/>
      <c r="AW508" s="57"/>
      <c r="AX508" s="57"/>
      <c r="AY508" s="57"/>
      <c r="AZ508" s="57"/>
    </row>
    <row r="509">
      <c r="A509" s="57"/>
      <c r="B509" s="57"/>
      <c r="C509" s="57"/>
      <c r="D509" s="57"/>
      <c r="E509" s="57"/>
      <c r="F509" s="57"/>
      <c r="G509" s="57"/>
      <c r="H509" s="65"/>
      <c r="I509" s="65"/>
      <c r="J509" s="65"/>
      <c r="K509" s="65"/>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7"/>
      <c r="AR509" s="57"/>
      <c r="AS509" s="57"/>
      <c r="AT509" s="57"/>
      <c r="AU509" s="57"/>
      <c r="AV509" s="57"/>
      <c r="AW509" s="57"/>
      <c r="AX509" s="57"/>
      <c r="AY509" s="57"/>
      <c r="AZ509" s="57"/>
    </row>
    <row r="510">
      <c r="A510" s="57"/>
      <c r="B510" s="57"/>
      <c r="C510" s="57"/>
      <c r="D510" s="57"/>
      <c r="E510" s="57"/>
      <c r="F510" s="57"/>
      <c r="G510" s="57"/>
      <c r="H510" s="65"/>
      <c r="I510" s="65"/>
      <c r="J510" s="65"/>
      <c r="K510" s="65"/>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7"/>
      <c r="AR510" s="57"/>
      <c r="AS510" s="57"/>
      <c r="AT510" s="57"/>
      <c r="AU510" s="57"/>
      <c r="AV510" s="57"/>
      <c r="AW510" s="57"/>
      <c r="AX510" s="57"/>
      <c r="AY510" s="57"/>
      <c r="AZ510" s="57"/>
    </row>
    <row r="511">
      <c r="A511" s="57"/>
      <c r="B511" s="57"/>
      <c r="C511" s="57"/>
      <c r="D511" s="57"/>
      <c r="E511" s="57"/>
      <c r="F511" s="57"/>
      <c r="G511" s="57"/>
      <c r="H511" s="65"/>
      <c r="I511" s="65"/>
      <c r="J511" s="65"/>
      <c r="K511" s="65"/>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7"/>
      <c r="AR511" s="57"/>
      <c r="AS511" s="57"/>
      <c r="AT511" s="57"/>
      <c r="AU511" s="57"/>
      <c r="AV511" s="57"/>
      <c r="AW511" s="57"/>
      <c r="AX511" s="57"/>
      <c r="AY511" s="57"/>
      <c r="AZ511" s="57"/>
    </row>
    <row r="512">
      <c r="A512" s="57"/>
      <c r="B512" s="57"/>
      <c r="C512" s="57"/>
      <c r="D512" s="57"/>
      <c r="E512" s="57"/>
      <c r="F512" s="57"/>
      <c r="G512" s="57"/>
      <c r="H512" s="65"/>
      <c r="I512" s="65"/>
      <c r="J512" s="65"/>
      <c r="K512" s="65"/>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7"/>
      <c r="AR512" s="57"/>
      <c r="AS512" s="57"/>
      <c r="AT512" s="57"/>
      <c r="AU512" s="57"/>
      <c r="AV512" s="57"/>
      <c r="AW512" s="57"/>
      <c r="AX512" s="57"/>
      <c r="AY512" s="57"/>
      <c r="AZ512" s="57"/>
    </row>
    <row r="513">
      <c r="A513" s="57"/>
      <c r="B513" s="57"/>
      <c r="C513" s="57"/>
      <c r="D513" s="57"/>
      <c r="E513" s="57"/>
      <c r="F513" s="57"/>
      <c r="G513" s="57"/>
      <c r="H513" s="65"/>
      <c r="I513" s="65"/>
      <c r="J513" s="65"/>
      <c r="K513" s="65"/>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7"/>
      <c r="AR513" s="57"/>
      <c r="AS513" s="57"/>
      <c r="AT513" s="57"/>
      <c r="AU513" s="57"/>
      <c r="AV513" s="57"/>
      <c r="AW513" s="57"/>
      <c r="AX513" s="57"/>
      <c r="AY513" s="57"/>
      <c r="AZ513" s="57"/>
    </row>
    <row r="514">
      <c r="A514" s="57"/>
      <c r="B514" s="57"/>
      <c r="C514" s="57"/>
      <c r="D514" s="57"/>
      <c r="E514" s="57"/>
      <c r="F514" s="57"/>
      <c r="G514" s="57"/>
      <c r="H514" s="65"/>
      <c r="I514" s="65"/>
      <c r="J514" s="65"/>
      <c r="K514" s="65"/>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7"/>
      <c r="AR514" s="57"/>
      <c r="AS514" s="57"/>
      <c r="AT514" s="57"/>
      <c r="AU514" s="57"/>
      <c r="AV514" s="57"/>
      <c r="AW514" s="57"/>
      <c r="AX514" s="57"/>
      <c r="AY514" s="57"/>
      <c r="AZ514" s="57"/>
    </row>
    <row r="515">
      <c r="A515" s="57"/>
      <c r="B515" s="57"/>
      <c r="C515" s="57"/>
      <c r="D515" s="57"/>
      <c r="E515" s="57"/>
      <c r="F515" s="57"/>
      <c r="G515" s="57"/>
      <c r="H515" s="65"/>
      <c r="I515" s="65"/>
      <c r="J515" s="65"/>
      <c r="K515" s="65"/>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7"/>
      <c r="AR515" s="57"/>
      <c r="AS515" s="57"/>
      <c r="AT515" s="57"/>
      <c r="AU515" s="57"/>
      <c r="AV515" s="57"/>
      <c r="AW515" s="57"/>
      <c r="AX515" s="57"/>
      <c r="AY515" s="57"/>
      <c r="AZ515" s="57"/>
    </row>
    <row r="516">
      <c r="A516" s="57"/>
      <c r="B516" s="57"/>
      <c r="C516" s="57"/>
      <c r="D516" s="57"/>
      <c r="E516" s="57"/>
      <c r="F516" s="57"/>
      <c r="G516" s="57"/>
      <c r="H516" s="65"/>
      <c r="I516" s="65"/>
      <c r="J516" s="65"/>
      <c r="K516" s="65"/>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7"/>
      <c r="AR516" s="57"/>
      <c r="AS516" s="57"/>
      <c r="AT516" s="57"/>
      <c r="AU516" s="57"/>
      <c r="AV516" s="57"/>
      <c r="AW516" s="57"/>
      <c r="AX516" s="57"/>
      <c r="AY516" s="57"/>
      <c r="AZ516" s="57"/>
    </row>
    <row r="517">
      <c r="A517" s="57"/>
      <c r="B517" s="57"/>
      <c r="C517" s="57"/>
      <c r="D517" s="57"/>
      <c r="E517" s="57"/>
      <c r="F517" s="57"/>
      <c r="G517" s="57"/>
      <c r="H517" s="65"/>
      <c r="I517" s="65"/>
      <c r="J517" s="65"/>
      <c r="K517" s="65"/>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7"/>
      <c r="AR517" s="57"/>
      <c r="AS517" s="57"/>
      <c r="AT517" s="57"/>
      <c r="AU517" s="57"/>
      <c r="AV517" s="57"/>
      <c r="AW517" s="57"/>
      <c r="AX517" s="57"/>
      <c r="AY517" s="57"/>
      <c r="AZ517" s="57"/>
    </row>
    <row r="518">
      <c r="A518" s="57"/>
      <c r="B518" s="57"/>
      <c r="C518" s="57"/>
      <c r="D518" s="57"/>
      <c r="E518" s="57"/>
      <c r="F518" s="57"/>
      <c r="G518" s="57"/>
      <c r="H518" s="65"/>
      <c r="I518" s="65"/>
      <c r="J518" s="65"/>
      <c r="K518" s="65"/>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7"/>
      <c r="AR518" s="57"/>
      <c r="AS518" s="57"/>
      <c r="AT518" s="57"/>
      <c r="AU518" s="57"/>
      <c r="AV518" s="57"/>
      <c r="AW518" s="57"/>
      <c r="AX518" s="57"/>
      <c r="AY518" s="57"/>
      <c r="AZ518" s="57"/>
    </row>
    <row r="519">
      <c r="A519" s="57"/>
      <c r="B519" s="57"/>
      <c r="C519" s="57"/>
      <c r="D519" s="57"/>
      <c r="E519" s="57"/>
      <c r="F519" s="57"/>
      <c r="G519" s="57"/>
      <c r="H519" s="65"/>
      <c r="I519" s="65"/>
      <c r="J519" s="65"/>
      <c r="K519" s="65"/>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7"/>
      <c r="AR519" s="57"/>
      <c r="AS519" s="57"/>
      <c r="AT519" s="57"/>
      <c r="AU519" s="57"/>
      <c r="AV519" s="57"/>
      <c r="AW519" s="57"/>
      <c r="AX519" s="57"/>
      <c r="AY519" s="57"/>
      <c r="AZ519" s="57"/>
    </row>
    <row r="520">
      <c r="A520" s="57"/>
      <c r="B520" s="57"/>
      <c r="C520" s="57"/>
      <c r="D520" s="57"/>
      <c r="E520" s="57"/>
      <c r="F520" s="57"/>
      <c r="G520" s="57"/>
      <c r="H520" s="65"/>
      <c r="I520" s="65"/>
      <c r="J520" s="65"/>
      <c r="K520" s="65"/>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7"/>
      <c r="AR520" s="57"/>
      <c r="AS520" s="57"/>
      <c r="AT520" s="57"/>
      <c r="AU520" s="57"/>
      <c r="AV520" s="57"/>
      <c r="AW520" s="57"/>
      <c r="AX520" s="57"/>
      <c r="AY520" s="57"/>
      <c r="AZ520" s="57"/>
    </row>
    <row r="521">
      <c r="A521" s="57"/>
      <c r="B521" s="57"/>
      <c r="C521" s="57"/>
      <c r="D521" s="57"/>
      <c r="E521" s="57"/>
      <c r="F521" s="57"/>
      <c r="G521" s="57"/>
      <c r="H521" s="65"/>
      <c r="I521" s="65"/>
      <c r="J521" s="65"/>
      <c r="K521" s="65"/>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7"/>
      <c r="AR521" s="57"/>
      <c r="AS521" s="57"/>
      <c r="AT521" s="57"/>
      <c r="AU521" s="57"/>
      <c r="AV521" s="57"/>
      <c r="AW521" s="57"/>
      <c r="AX521" s="57"/>
      <c r="AY521" s="57"/>
      <c r="AZ521" s="57"/>
    </row>
    <row r="522">
      <c r="A522" s="57"/>
      <c r="B522" s="57"/>
      <c r="C522" s="57"/>
      <c r="D522" s="57"/>
      <c r="E522" s="57"/>
      <c r="F522" s="57"/>
      <c r="G522" s="57"/>
      <c r="H522" s="65"/>
      <c r="I522" s="65"/>
      <c r="J522" s="65"/>
      <c r="K522" s="65"/>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7"/>
      <c r="AR522" s="57"/>
      <c r="AS522" s="57"/>
      <c r="AT522" s="57"/>
      <c r="AU522" s="57"/>
      <c r="AV522" s="57"/>
      <c r="AW522" s="57"/>
      <c r="AX522" s="57"/>
      <c r="AY522" s="57"/>
      <c r="AZ522" s="57"/>
    </row>
    <row r="523">
      <c r="A523" s="57"/>
      <c r="B523" s="57"/>
      <c r="C523" s="57"/>
      <c r="D523" s="57"/>
      <c r="E523" s="57"/>
      <c r="F523" s="57"/>
      <c r="G523" s="57"/>
      <c r="H523" s="65"/>
      <c r="I523" s="65"/>
      <c r="J523" s="65"/>
      <c r="K523" s="65"/>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7"/>
      <c r="AR523" s="57"/>
      <c r="AS523" s="57"/>
      <c r="AT523" s="57"/>
      <c r="AU523" s="57"/>
      <c r="AV523" s="57"/>
      <c r="AW523" s="57"/>
      <c r="AX523" s="57"/>
      <c r="AY523" s="57"/>
      <c r="AZ523" s="57"/>
    </row>
    <row r="524">
      <c r="A524" s="57"/>
      <c r="B524" s="57"/>
      <c r="C524" s="57"/>
      <c r="D524" s="57"/>
      <c r="E524" s="57"/>
      <c r="F524" s="57"/>
      <c r="G524" s="57"/>
      <c r="H524" s="65"/>
      <c r="I524" s="65"/>
      <c r="J524" s="65"/>
      <c r="K524" s="65"/>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7"/>
      <c r="AR524" s="57"/>
      <c r="AS524" s="57"/>
      <c r="AT524" s="57"/>
      <c r="AU524" s="57"/>
      <c r="AV524" s="57"/>
      <c r="AW524" s="57"/>
      <c r="AX524" s="57"/>
      <c r="AY524" s="57"/>
      <c r="AZ524" s="57"/>
    </row>
    <row r="525">
      <c r="A525" s="57"/>
      <c r="B525" s="57"/>
      <c r="C525" s="57"/>
      <c r="D525" s="57"/>
      <c r="E525" s="57"/>
      <c r="F525" s="57"/>
      <c r="G525" s="57"/>
      <c r="H525" s="65"/>
      <c r="I525" s="65"/>
      <c r="J525" s="65"/>
      <c r="K525" s="65"/>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7"/>
      <c r="AR525" s="57"/>
      <c r="AS525" s="57"/>
      <c r="AT525" s="57"/>
      <c r="AU525" s="57"/>
      <c r="AV525" s="57"/>
      <c r="AW525" s="57"/>
      <c r="AX525" s="57"/>
      <c r="AY525" s="57"/>
      <c r="AZ525" s="57"/>
    </row>
    <row r="526">
      <c r="A526" s="57"/>
      <c r="B526" s="57"/>
      <c r="C526" s="57"/>
      <c r="D526" s="57"/>
      <c r="E526" s="57"/>
      <c r="F526" s="57"/>
      <c r="G526" s="57"/>
      <c r="H526" s="65"/>
      <c r="I526" s="65"/>
      <c r="J526" s="65"/>
      <c r="K526" s="65"/>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7"/>
      <c r="AR526" s="57"/>
      <c r="AS526" s="57"/>
      <c r="AT526" s="57"/>
      <c r="AU526" s="57"/>
      <c r="AV526" s="57"/>
      <c r="AW526" s="57"/>
      <c r="AX526" s="57"/>
      <c r="AY526" s="57"/>
      <c r="AZ526" s="57"/>
    </row>
    <row r="527">
      <c r="A527" s="57"/>
      <c r="B527" s="57"/>
      <c r="C527" s="57"/>
      <c r="D527" s="57"/>
      <c r="E527" s="57"/>
      <c r="F527" s="57"/>
      <c r="G527" s="57"/>
      <c r="H527" s="65"/>
      <c r="I527" s="65"/>
      <c r="J527" s="65"/>
      <c r="K527" s="65"/>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7"/>
      <c r="AR527" s="57"/>
      <c r="AS527" s="57"/>
      <c r="AT527" s="57"/>
      <c r="AU527" s="57"/>
      <c r="AV527" s="57"/>
      <c r="AW527" s="57"/>
      <c r="AX527" s="57"/>
      <c r="AY527" s="57"/>
      <c r="AZ527" s="57"/>
    </row>
    <row r="528">
      <c r="A528" s="57"/>
      <c r="B528" s="57"/>
      <c r="C528" s="57"/>
      <c r="D528" s="57"/>
      <c r="E528" s="57"/>
      <c r="F528" s="57"/>
      <c r="G528" s="57"/>
      <c r="H528" s="65"/>
      <c r="I528" s="65"/>
      <c r="J528" s="65"/>
      <c r="K528" s="65"/>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7"/>
      <c r="AR528" s="57"/>
      <c r="AS528" s="57"/>
      <c r="AT528" s="57"/>
      <c r="AU528" s="57"/>
      <c r="AV528" s="57"/>
      <c r="AW528" s="57"/>
      <c r="AX528" s="57"/>
      <c r="AY528" s="57"/>
      <c r="AZ528" s="57"/>
    </row>
    <row r="529">
      <c r="A529" s="57"/>
      <c r="B529" s="57"/>
      <c r="C529" s="57"/>
      <c r="D529" s="57"/>
      <c r="E529" s="57"/>
      <c r="F529" s="57"/>
      <c r="G529" s="57"/>
      <c r="H529" s="65"/>
      <c r="I529" s="65"/>
      <c r="J529" s="65"/>
      <c r="K529" s="65"/>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7"/>
      <c r="AR529" s="57"/>
      <c r="AS529" s="57"/>
      <c r="AT529" s="57"/>
      <c r="AU529" s="57"/>
      <c r="AV529" s="57"/>
      <c r="AW529" s="57"/>
      <c r="AX529" s="57"/>
      <c r="AY529" s="57"/>
      <c r="AZ529" s="57"/>
    </row>
    <row r="530">
      <c r="A530" s="57"/>
      <c r="B530" s="57"/>
      <c r="C530" s="57"/>
      <c r="D530" s="57"/>
      <c r="E530" s="57"/>
      <c r="F530" s="57"/>
      <c r="G530" s="57"/>
      <c r="H530" s="65"/>
      <c r="I530" s="65"/>
      <c r="J530" s="65"/>
      <c r="K530" s="65"/>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7"/>
      <c r="AR530" s="57"/>
      <c r="AS530" s="57"/>
      <c r="AT530" s="57"/>
      <c r="AU530" s="57"/>
      <c r="AV530" s="57"/>
      <c r="AW530" s="57"/>
      <c r="AX530" s="57"/>
      <c r="AY530" s="57"/>
      <c r="AZ530" s="57"/>
    </row>
    <row r="531">
      <c r="A531" s="57"/>
      <c r="B531" s="57"/>
      <c r="C531" s="57"/>
      <c r="D531" s="57"/>
      <c r="E531" s="57"/>
      <c r="F531" s="57"/>
      <c r="G531" s="57"/>
      <c r="H531" s="65"/>
      <c r="I531" s="65"/>
      <c r="J531" s="65"/>
      <c r="K531" s="65"/>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57"/>
      <c r="AT531" s="57"/>
      <c r="AU531" s="57"/>
      <c r="AV531" s="57"/>
      <c r="AW531" s="57"/>
      <c r="AX531" s="57"/>
      <c r="AY531" s="57"/>
      <c r="AZ531" s="57"/>
    </row>
    <row r="532">
      <c r="A532" s="57"/>
      <c r="B532" s="57"/>
      <c r="C532" s="57"/>
      <c r="D532" s="57"/>
      <c r="E532" s="57"/>
      <c r="F532" s="57"/>
      <c r="G532" s="57"/>
      <c r="H532" s="65"/>
      <c r="I532" s="65"/>
      <c r="J532" s="65"/>
      <c r="K532" s="65"/>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7"/>
      <c r="AR532" s="57"/>
      <c r="AS532" s="57"/>
      <c r="AT532" s="57"/>
      <c r="AU532" s="57"/>
      <c r="AV532" s="57"/>
      <c r="AW532" s="57"/>
      <c r="AX532" s="57"/>
      <c r="AY532" s="57"/>
      <c r="AZ532" s="57"/>
    </row>
    <row r="533">
      <c r="A533" s="57"/>
      <c r="B533" s="57"/>
      <c r="C533" s="57"/>
      <c r="D533" s="57"/>
      <c r="E533" s="57"/>
      <c r="F533" s="57"/>
      <c r="G533" s="57"/>
      <c r="H533" s="65"/>
      <c r="I533" s="65"/>
      <c r="J533" s="65"/>
      <c r="K533" s="65"/>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57"/>
      <c r="AT533" s="57"/>
      <c r="AU533" s="57"/>
      <c r="AV533" s="57"/>
      <c r="AW533" s="57"/>
      <c r="AX533" s="57"/>
      <c r="AY533" s="57"/>
      <c r="AZ533" s="57"/>
    </row>
    <row r="534">
      <c r="A534" s="57"/>
      <c r="B534" s="57"/>
      <c r="C534" s="57"/>
      <c r="D534" s="57"/>
      <c r="E534" s="57"/>
      <c r="F534" s="57"/>
      <c r="G534" s="57"/>
      <c r="H534" s="65"/>
      <c r="I534" s="65"/>
      <c r="J534" s="65"/>
      <c r="K534" s="65"/>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7"/>
      <c r="AR534" s="57"/>
      <c r="AS534" s="57"/>
      <c r="AT534" s="57"/>
      <c r="AU534" s="57"/>
      <c r="AV534" s="57"/>
      <c r="AW534" s="57"/>
      <c r="AX534" s="57"/>
      <c r="AY534" s="57"/>
      <c r="AZ534" s="57"/>
    </row>
    <row r="535">
      <c r="A535" s="57"/>
      <c r="B535" s="57"/>
      <c r="C535" s="57"/>
      <c r="D535" s="57"/>
      <c r="E535" s="57"/>
      <c r="F535" s="57"/>
      <c r="G535" s="57"/>
      <c r="H535" s="65"/>
      <c r="I535" s="65"/>
      <c r="J535" s="65"/>
      <c r="K535" s="65"/>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7"/>
      <c r="AR535" s="57"/>
      <c r="AS535" s="57"/>
      <c r="AT535" s="57"/>
      <c r="AU535" s="57"/>
      <c r="AV535" s="57"/>
      <c r="AW535" s="57"/>
      <c r="AX535" s="57"/>
      <c r="AY535" s="57"/>
      <c r="AZ535" s="57"/>
    </row>
    <row r="536">
      <c r="A536" s="57"/>
      <c r="B536" s="57"/>
      <c r="C536" s="57"/>
      <c r="D536" s="57"/>
      <c r="E536" s="57"/>
      <c r="F536" s="57"/>
      <c r="G536" s="57"/>
      <c r="H536" s="65"/>
      <c r="I536" s="65"/>
      <c r="J536" s="65"/>
      <c r="K536" s="65"/>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7"/>
      <c r="AR536" s="57"/>
      <c r="AS536" s="57"/>
      <c r="AT536" s="57"/>
      <c r="AU536" s="57"/>
      <c r="AV536" s="57"/>
      <c r="AW536" s="57"/>
      <c r="AX536" s="57"/>
      <c r="AY536" s="57"/>
      <c r="AZ536" s="57"/>
    </row>
    <row r="537">
      <c r="A537" s="57"/>
      <c r="B537" s="57"/>
      <c r="C537" s="57"/>
      <c r="D537" s="57"/>
      <c r="E537" s="57"/>
      <c r="F537" s="57"/>
      <c r="G537" s="57"/>
      <c r="H537" s="65"/>
      <c r="I537" s="65"/>
      <c r="J537" s="65"/>
      <c r="K537" s="65"/>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7"/>
      <c r="AR537" s="57"/>
      <c r="AS537" s="57"/>
      <c r="AT537" s="57"/>
      <c r="AU537" s="57"/>
      <c r="AV537" s="57"/>
      <c r="AW537" s="57"/>
      <c r="AX537" s="57"/>
      <c r="AY537" s="57"/>
      <c r="AZ537" s="57"/>
    </row>
    <row r="538">
      <c r="A538" s="57"/>
      <c r="B538" s="57"/>
      <c r="C538" s="57"/>
      <c r="D538" s="57"/>
      <c r="E538" s="57"/>
      <c r="F538" s="57"/>
      <c r="G538" s="57"/>
      <c r="H538" s="65"/>
      <c r="I538" s="65"/>
      <c r="J538" s="65"/>
      <c r="K538" s="65"/>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7"/>
      <c r="AR538" s="57"/>
      <c r="AS538" s="57"/>
      <c r="AT538" s="57"/>
      <c r="AU538" s="57"/>
      <c r="AV538" s="57"/>
      <c r="AW538" s="57"/>
      <c r="AX538" s="57"/>
      <c r="AY538" s="57"/>
      <c r="AZ538" s="57"/>
    </row>
    <row r="539">
      <c r="A539" s="57"/>
      <c r="B539" s="57"/>
      <c r="C539" s="57"/>
      <c r="D539" s="57"/>
      <c r="E539" s="57"/>
      <c r="F539" s="57"/>
      <c r="G539" s="57"/>
      <c r="H539" s="65"/>
      <c r="I539" s="65"/>
      <c r="J539" s="65"/>
      <c r="K539" s="65"/>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7"/>
      <c r="AR539" s="57"/>
      <c r="AS539" s="57"/>
      <c r="AT539" s="57"/>
      <c r="AU539" s="57"/>
      <c r="AV539" s="57"/>
      <c r="AW539" s="57"/>
      <c r="AX539" s="57"/>
      <c r="AY539" s="57"/>
      <c r="AZ539" s="57"/>
    </row>
    <row r="540">
      <c r="A540" s="57"/>
      <c r="B540" s="57"/>
      <c r="C540" s="57"/>
      <c r="D540" s="57"/>
      <c r="E540" s="57"/>
      <c r="F540" s="57"/>
      <c r="G540" s="57"/>
      <c r="H540" s="65"/>
      <c r="I540" s="65"/>
      <c r="J540" s="65"/>
      <c r="K540" s="65"/>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7"/>
      <c r="AR540" s="57"/>
      <c r="AS540" s="57"/>
      <c r="AT540" s="57"/>
      <c r="AU540" s="57"/>
      <c r="AV540" s="57"/>
      <c r="AW540" s="57"/>
      <c r="AX540" s="57"/>
      <c r="AY540" s="57"/>
      <c r="AZ540" s="57"/>
    </row>
    <row r="541">
      <c r="A541" s="57"/>
      <c r="B541" s="57"/>
      <c r="C541" s="57"/>
      <c r="D541" s="57"/>
      <c r="E541" s="57"/>
      <c r="F541" s="57"/>
      <c r="G541" s="57"/>
      <c r="H541" s="65"/>
      <c r="I541" s="65"/>
      <c r="J541" s="65"/>
      <c r="K541" s="65"/>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7"/>
      <c r="AR541" s="57"/>
      <c r="AS541" s="57"/>
      <c r="AT541" s="57"/>
      <c r="AU541" s="57"/>
      <c r="AV541" s="57"/>
      <c r="AW541" s="57"/>
      <c r="AX541" s="57"/>
      <c r="AY541" s="57"/>
      <c r="AZ541" s="57"/>
    </row>
    <row r="542">
      <c r="A542" s="57"/>
      <c r="B542" s="57"/>
      <c r="C542" s="57"/>
      <c r="D542" s="57"/>
      <c r="E542" s="57"/>
      <c r="F542" s="57"/>
      <c r="G542" s="57"/>
      <c r="H542" s="65"/>
      <c r="I542" s="65"/>
      <c r="J542" s="65"/>
      <c r="K542" s="65"/>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7"/>
      <c r="AR542" s="57"/>
      <c r="AS542" s="57"/>
      <c r="AT542" s="57"/>
      <c r="AU542" s="57"/>
      <c r="AV542" s="57"/>
      <c r="AW542" s="57"/>
      <c r="AX542" s="57"/>
      <c r="AY542" s="57"/>
      <c r="AZ542" s="57"/>
    </row>
    <row r="543">
      <c r="A543" s="57"/>
      <c r="B543" s="57"/>
      <c r="C543" s="57"/>
      <c r="D543" s="57"/>
      <c r="E543" s="57"/>
      <c r="F543" s="57"/>
      <c r="G543" s="57"/>
      <c r="H543" s="65"/>
      <c r="I543" s="65"/>
      <c r="J543" s="65"/>
      <c r="K543" s="65"/>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7"/>
      <c r="AR543" s="57"/>
      <c r="AS543" s="57"/>
      <c r="AT543" s="57"/>
      <c r="AU543" s="57"/>
      <c r="AV543" s="57"/>
      <c r="AW543" s="57"/>
      <c r="AX543" s="57"/>
      <c r="AY543" s="57"/>
      <c r="AZ543" s="57"/>
    </row>
    <row r="544">
      <c r="A544" s="57"/>
      <c r="B544" s="57"/>
      <c r="C544" s="57"/>
      <c r="D544" s="57"/>
      <c r="E544" s="57"/>
      <c r="F544" s="57"/>
      <c r="G544" s="57"/>
      <c r="H544" s="65"/>
      <c r="I544" s="65"/>
      <c r="J544" s="65"/>
      <c r="K544" s="65"/>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7"/>
      <c r="AR544" s="57"/>
      <c r="AS544" s="57"/>
      <c r="AT544" s="57"/>
      <c r="AU544" s="57"/>
      <c r="AV544" s="57"/>
      <c r="AW544" s="57"/>
      <c r="AX544" s="57"/>
      <c r="AY544" s="57"/>
      <c r="AZ544" s="57"/>
    </row>
    <row r="545">
      <c r="A545" s="57"/>
      <c r="B545" s="57"/>
      <c r="C545" s="57"/>
      <c r="D545" s="57"/>
      <c r="E545" s="57"/>
      <c r="F545" s="57"/>
      <c r="G545" s="57"/>
      <c r="H545" s="65"/>
      <c r="I545" s="65"/>
      <c r="J545" s="65"/>
      <c r="K545" s="65"/>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7"/>
      <c r="AR545" s="57"/>
      <c r="AS545" s="57"/>
      <c r="AT545" s="57"/>
      <c r="AU545" s="57"/>
      <c r="AV545" s="57"/>
      <c r="AW545" s="57"/>
      <c r="AX545" s="57"/>
      <c r="AY545" s="57"/>
      <c r="AZ545" s="57"/>
    </row>
    <row r="546">
      <c r="A546" s="57"/>
      <c r="B546" s="57"/>
      <c r="C546" s="57"/>
      <c r="D546" s="57"/>
      <c r="E546" s="57"/>
      <c r="F546" s="57"/>
      <c r="G546" s="57"/>
      <c r="H546" s="65"/>
      <c r="I546" s="65"/>
      <c r="J546" s="65"/>
      <c r="K546" s="65"/>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7"/>
      <c r="AR546" s="57"/>
      <c r="AS546" s="57"/>
      <c r="AT546" s="57"/>
      <c r="AU546" s="57"/>
      <c r="AV546" s="57"/>
      <c r="AW546" s="57"/>
      <c r="AX546" s="57"/>
      <c r="AY546" s="57"/>
      <c r="AZ546" s="57"/>
    </row>
    <row r="547">
      <c r="A547" s="57"/>
      <c r="B547" s="57"/>
      <c r="C547" s="57"/>
      <c r="D547" s="57"/>
      <c r="E547" s="57"/>
      <c r="F547" s="57"/>
      <c r="G547" s="57"/>
      <c r="H547" s="65"/>
      <c r="I547" s="65"/>
      <c r="J547" s="65"/>
      <c r="K547" s="65"/>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7"/>
      <c r="AR547" s="57"/>
      <c r="AS547" s="57"/>
      <c r="AT547" s="57"/>
      <c r="AU547" s="57"/>
      <c r="AV547" s="57"/>
      <c r="AW547" s="57"/>
      <c r="AX547" s="57"/>
      <c r="AY547" s="57"/>
      <c r="AZ547" s="57"/>
    </row>
    <row r="548">
      <c r="A548" s="57"/>
      <c r="B548" s="57"/>
      <c r="C548" s="57"/>
      <c r="D548" s="57"/>
      <c r="E548" s="57"/>
      <c r="F548" s="57"/>
      <c r="G548" s="57"/>
      <c r="H548" s="65"/>
      <c r="I548" s="65"/>
      <c r="J548" s="65"/>
      <c r="K548" s="65"/>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7"/>
      <c r="AR548" s="57"/>
      <c r="AS548" s="57"/>
      <c r="AT548" s="57"/>
      <c r="AU548" s="57"/>
      <c r="AV548" s="57"/>
      <c r="AW548" s="57"/>
      <c r="AX548" s="57"/>
      <c r="AY548" s="57"/>
      <c r="AZ548" s="57"/>
    </row>
    <row r="549">
      <c r="A549" s="57"/>
      <c r="B549" s="57"/>
      <c r="C549" s="57"/>
      <c r="D549" s="57"/>
      <c r="E549" s="57"/>
      <c r="F549" s="57"/>
      <c r="G549" s="57"/>
      <c r="H549" s="65"/>
      <c r="I549" s="65"/>
      <c r="J549" s="65"/>
      <c r="K549" s="65"/>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7"/>
      <c r="AR549" s="57"/>
      <c r="AS549" s="57"/>
      <c r="AT549" s="57"/>
      <c r="AU549" s="57"/>
      <c r="AV549" s="57"/>
      <c r="AW549" s="57"/>
      <c r="AX549" s="57"/>
      <c r="AY549" s="57"/>
      <c r="AZ549" s="57"/>
    </row>
    <row r="550">
      <c r="A550" s="57"/>
      <c r="B550" s="57"/>
      <c r="C550" s="57"/>
      <c r="D550" s="57"/>
      <c r="E550" s="57"/>
      <c r="F550" s="57"/>
      <c r="G550" s="57"/>
      <c r="H550" s="65"/>
      <c r="I550" s="65"/>
      <c r="J550" s="65"/>
      <c r="K550" s="65"/>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7"/>
      <c r="AR550" s="57"/>
      <c r="AS550" s="57"/>
      <c r="AT550" s="57"/>
      <c r="AU550" s="57"/>
      <c r="AV550" s="57"/>
      <c r="AW550" s="57"/>
      <c r="AX550" s="57"/>
      <c r="AY550" s="57"/>
      <c r="AZ550" s="57"/>
    </row>
    <row r="551">
      <c r="A551" s="57"/>
      <c r="B551" s="57"/>
      <c r="C551" s="57"/>
      <c r="D551" s="57"/>
      <c r="E551" s="57"/>
      <c r="F551" s="57"/>
      <c r="G551" s="57"/>
      <c r="H551" s="65"/>
      <c r="I551" s="65"/>
      <c r="J551" s="65"/>
      <c r="K551" s="65"/>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7"/>
      <c r="AR551" s="57"/>
      <c r="AS551" s="57"/>
      <c r="AT551" s="57"/>
      <c r="AU551" s="57"/>
      <c r="AV551" s="57"/>
      <c r="AW551" s="57"/>
      <c r="AX551" s="57"/>
      <c r="AY551" s="57"/>
      <c r="AZ551" s="57"/>
    </row>
    <row r="552">
      <c r="A552" s="57"/>
      <c r="B552" s="57"/>
      <c r="C552" s="57"/>
      <c r="D552" s="57"/>
      <c r="E552" s="57"/>
      <c r="F552" s="57"/>
      <c r="G552" s="57"/>
      <c r="H552" s="65"/>
      <c r="I552" s="65"/>
      <c r="J552" s="65"/>
      <c r="K552" s="65"/>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7"/>
      <c r="AR552" s="57"/>
      <c r="AS552" s="57"/>
      <c r="AT552" s="57"/>
      <c r="AU552" s="57"/>
      <c r="AV552" s="57"/>
      <c r="AW552" s="57"/>
      <c r="AX552" s="57"/>
      <c r="AY552" s="57"/>
      <c r="AZ552" s="57"/>
    </row>
    <row r="553">
      <c r="A553" s="57"/>
      <c r="B553" s="57"/>
      <c r="C553" s="57"/>
      <c r="D553" s="57"/>
      <c r="E553" s="57"/>
      <c r="F553" s="57"/>
      <c r="G553" s="57"/>
      <c r="H553" s="65"/>
      <c r="I553" s="65"/>
      <c r="J553" s="65"/>
      <c r="K553" s="65"/>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57"/>
      <c r="AT553" s="57"/>
      <c r="AU553" s="57"/>
      <c r="AV553" s="57"/>
      <c r="AW553" s="57"/>
      <c r="AX553" s="57"/>
      <c r="AY553" s="57"/>
      <c r="AZ553" s="57"/>
    </row>
    <row r="554">
      <c r="A554" s="57"/>
      <c r="B554" s="57"/>
      <c r="C554" s="57"/>
      <c r="D554" s="57"/>
      <c r="E554" s="57"/>
      <c r="F554" s="57"/>
      <c r="G554" s="57"/>
      <c r="H554" s="65"/>
      <c r="I554" s="65"/>
      <c r="J554" s="65"/>
      <c r="K554" s="65"/>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57"/>
      <c r="AT554" s="57"/>
      <c r="AU554" s="57"/>
      <c r="AV554" s="57"/>
      <c r="AW554" s="57"/>
      <c r="AX554" s="57"/>
      <c r="AY554" s="57"/>
      <c r="AZ554" s="57"/>
    </row>
    <row r="555">
      <c r="A555" s="57"/>
      <c r="B555" s="57"/>
      <c r="C555" s="57"/>
      <c r="D555" s="57"/>
      <c r="E555" s="57"/>
      <c r="F555" s="57"/>
      <c r="G555" s="57"/>
      <c r="H555" s="65"/>
      <c r="I555" s="65"/>
      <c r="J555" s="65"/>
      <c r="K555" s="65"/>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7"/>
      <c r="AR555" s="57"/>
      <c r="AS555" s="57"/>
      <c r="AT555" s="57"/>
      <c r="AU555" s="57"/>
      <c r="AV555" s="57"/>
      <c r="AW555" s="57"/>
      <c r="AX555" s="57"/>
      <c r="AY555" s="57"/>
      <c r="AZ555" s="57"/>
    </row>
    <row r="556">
      <c r="A556" s="57"/>
      <c r="B556" s="57"/>
      <c r="C556" s="57"/>
      <c r="D556" s="57"/>
      <c r="E556" s="57"/>
      <c r="F556" s="57"/>
      <c r="G556" s="57"/>
      <c r="H556" s="65"/>
      <c r="I556" s="65"/>
      <c r="J556" s="65"/>
      <c r="K556" s="65"/>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7"/>
      <c r="AR556" s="57"/>
      <c r="AS556" s="57"/>
      <c r="AT556" s="57"/>
      <c r="AU556" s="57"/>
      <c r="AV556" s="57"/>
      <c r="AW556" s="57"/>
      <c r="AX556" s="57"/>
      <c r="AY556" s="57"/>
      <c r="AZ556" s="57"/>
    </row>
    <row r="557">
      <c r="A557" s="57"/>
      <c r="B557" s="57"/>
      <c r="C557" s="57"/>
      <c r="D557" s="57"/>
      <c r="E557" s="57"/>
      <c r="F557" s="57"/>
      <c r="G557" s="57"/>
      <c r="H557" s="65"/>
      <c r="I557" s="65"/>
      <c r="J557" s="65"/>
      <c r="K557" s="65"/>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7"/>
      <c r="AR557" s="57"/>
      <c r="AS557" s="57"/>
      <c r="AT557" s="57"/>
      <c r="AU557" s="57"/>
      <c r="AV557" s="57"/>
      <c r="AW557" s="57"/>
      <c r="AX557" s="57"/>
      <c r="AY557" s="57"/>
      <c r="AZ557" s="57"/>
    </row>
    <row r="558">
      <c r="A558" s="57"/>
      <c r="B558" s="57"/>
      <c r="C558" s="57"/>
      <c r="D558" s="57"/>
      <c r="E558" s="57"/>
      <c r="F558" s="57"/>
      <c r="G558" s="57"/>
      <c r="H558" s="65"/>
      <c r="I558" s="65"/>
      <c r="J558" s="65"/>
      <c r="K558" s="65"/>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7"/>
      <c r="AR558" s="57"/>
      <c r="AS558" s="57"/>
      <c r="AT558" s="57"/>
      <c r="AU558" s="57"/>
      <c r="AV558" s="57"/>
      <c r="AW558" s="57"/>
      <c r="AX558" s="57"/>
      <c r="AY558" s="57"/>
      <c r="AZ558" s="57"/>
    </row>
    <row r="559">
      <c r="A559" s="57"/>
      <c r="B559" s="57"/>
      <c r="C559" s="57"/>
      <c r="D559" s="57"/>
      <c r="E559" s="57"/>
      <c r="F559" s="57"/>
      <c r="G559" s="57"/>
      <c r="H559" s="65"/>
      <c r="I559" s="65"/>
      <c r="J559" s="65"/>
      <c r="K559" s="65"/>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7"/>
      <c r="AR559" s="57"/>
      <c r="AS559" s="57"/>
      <c r="AT559" s="57"/>
      <c r="AU559" s="57"/>
      <c r="AV559" s="57"/>
      <c r="AW559" s="57"/>
      <c r="AX559" s="57"/>
      <c r="AY559" s="57"/>
      <c r="AZ559" s="57"/>
    </row>
    <row r="560">
      <c r="A560" s="57"/>
      <c r="B560" s="57"/>
      <c r="C560" s="57"/>
      <c r="D560" s="57"/>
      <c r="E560" s="57"/>
      <c r="F560" s="57"/>
      <c r="G560" s="57"/>
      <c r="H560" s="65"/>
      <c r="I560" s="65"/>
      <c r="J560" s="65"/>
      <c r="K560" s="65"/>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7"/>
      <c r="AR560" s="57"/>
      <c r="AS560" s="57"/>
      <c r="AT560" s="57"/>
      <c r="AU560" s="57"/>
      <c r="AV560" s="57"/>
      <c r="AW560" s="57"/>
      <c r="AX560" s="57"/>
      <c r="AY560" s="57"/>
      <c r="AZ560" s="57"/>
    </row>
    <row r="561">
      <c r="A561" s="57"/>
      <c r="B561" s="57"/>
      <c r="C561" s="57"/>
      <c r="D561" s="57"/>
      <c r="E561" s="57"/>
      <c r="F561" s="57"/>
      <c r="G561" s="57"/>
      <c r="H561" s="65"/>
      <c r="I561" s="65"/>
      <c r="J561" s="65"/>
      <c r="K561" s="65"/>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7"/>
      <c r="AR561" s="57"/>
      <c r="AS561" s="57"/>
      <c r="AT561" s="57"/>
      <c r="AU561" s="57"/>
      <c r="AV561" s="57"/>
      <c r="AW561" s="57"/>
      <c r="AX561" s="57"/>
      <c r="AY561" s="57"/>
      <c r="AZ561" s="57"/>
    </row>
    <row r="562">
      <c r="A562" s="57"/>
      <c r="B562" s="57"/>
      <c r="C562" s="57"/>
      <c r="D562" s="57"/>
      <c r="E562" s="57"/>
      <c r="F562" s="57"/>
      <c r="G562" s="57"/>
      <c r="H562" s="65"/>
      <c r="I562" s="65"/>
      <c r="J562" s="65"/>
      <c r="K562" s="65"/>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7"/>
      <c r="AR562" s="57"/>
      <c r="AS562" s="57"/>
      <c r="AT562" s="57"/>
      <c r="AU562" s="57"/>
      <c r="AV562" s="57"/>
      <c r="AW562" s="57"/>
      <c r="AX562" s="57"/>
      <c r="AY562" s="57"/>
      <c r="AZ562" s="57"/>
    </row>
    <row r="563">
      <c r="A563" s="57"/>
      <c r="B563" s="57"/>
      <c r="C563" s="57"/>
      <c r="D563" s="57"/>
      <c r="E563" s="57"/>
      <c r="F563" s="57"/>
      <c r="G563" s="57"/>
      <c r="H563" s="65"/>
      <c r="I563" s="65"/>
      <c r="J563" s="65"/>
      <c r="K563" s="65"/>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7"/>
      <c r="AR563" s="57"/>
      <c r="AS563" s="57"/>
      <c r="AT563" s="57"/>
      <c r="AU563" s="57"/>
      <c r="AV563" s="57"/>
      <c r="AW563" s="57"/>
      <c r="AX563" s="57"/>
      <c r="AY563" s="57"/>
      <c r="AZ563" s="57"/>
    </row>
    <row r="564">
      <c r="A564" s="57"/>
      <c r="B564" s="57"/>
      <c r="C564" s="57"/>
      <c r="D564" s="57"/>
      <c r="E564" s="57"/>
      <c r="F564" s="57"/>
      <c r="G564" s="57"/>
      <c r="H564" s="65"/>
      <c r="I564" s="65"/>
      <c r="J564" s="65"/>
      <c r="K564" s="65"/>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7"/>
      <c r="AR564" s="57"/>
      <c r="AS564" s="57"/>
      <c r="AT564" s="57"/>
      <c r="AU564" s="57"/>
      <c r="AV564" s="57"/>
      <c r="AW564" s="57"/>
      <c r="AX564" s="57"/>
      <c r="AY564" s="57"/>
      <c r="AZ564" s="57"/>
    </row>
    <row r="565">
      <c r="A565" s="57"/>
      <c r="B565" s="57"/>
      <c r="C565" s="57"/>
      <c r="D565" s="57"/>
      <c r="E565" s="57"/>
      <c r="F565" s="57"/>
      <c r="G565" s="57"/>
      <c r="H565" s="65"/>
      <c r="I565" s="65"/>
      <c r="J565" s="65"/>
      <c r="K565" s="65"/>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7"/>
      <c r="AR565" s="57"/>
      <c r="AS565" s="57"/>
      <c r="AT565" s="57"/>
      <c r="AU565" s="57"/>
      <c r="AV565" s="57"/>
      <c r="AW565" s="57"/>
      <c r="AX565" s="57"/>
      <c r="AY565" s="57"/>
      <c r="AZ565" s="57"/>
    </row>
    <row r="566">
      <c r="A566" s="57"/>
      <c r="B566" s="57"/>
      <c r="C566" s="57"/>
      <c r="D566" s="57"/>
      <c r="E566" s="57"/>
      <c r="F566" s="57"/>
      <c r="G566" s="57"/>
      <c r="H566" s="65"/>
      <c r="I566" s="65"/>
      <c r="J566" s="65"/>
      <c r="K566" s="65"/>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7"/>
      <c r="AR566" s="57"/>
      <c r="AS566" s="57"/>
      <c r="AT566" s="57"/>
      <c r="AU566" s="57"/>
      <c r="AV566" s="57"/>
      <c r="AW566" s="57"/>
      <c r="AX566" s="57"/>
      <c r="AY566" s="57"/>
      <c r="AZ566" s="57"/>
    </row>
    <row r="567">
      <c r="A567" s="57"/>
      <c r="B567" s="57"/>
      <c r="C567" s="57"/>
      <c r="D567" s="57"/>
      <c r="E567" s="57"/>
      <c r="F567" s="57"/>
      <c r="G567" s="57"/>
      <c r="H567" s="65"/>
      <c r="I567" s="65"/>
      <c r="J567" s="65"/>
      <c r="K567" s="65"/>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7"/>
      <c r="AR567" s="57"/>
      <c r="AS567" s="57"/>
      <c r="AT567" s="57"/>
      <c r="AU567" s="57"/>
      <c r="AV567" s="57"/>
      <c r="AW567" s="57"/>
      <c r="AX567" s="57"/>
      <c r="AY567" s="57"/>
      <c r="AZ567" s="57"/>
    </row>
    <row r="568">
      <c r="A568" s="57"/>
      <c r="B568" s="57"/>
      <c r="C568" s="57"/>
      <c r="D568" s="57"/>
      <c r="E568" s="57"/>
      <c r="F568" s="57"/>
      <c r="G568" s="57"/>
      <c r="H568" s="65"/>
      <c r="I568" s="65"/>
      <c r="J568" s="65"/>
      <c r="K568" s="65"/>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7"/>
      <c r="AR568" s="57"/>
      <c r="AS568" s="57"/>
      <c r="AT568" s="57"/>
      <c r="AU568" s="57"/>
      <c r="AV568" s="57"/>
      <c r="AW568" s="57"/>
      <c r="AX568" s="57"/>
      <c r="AY568" s="57"/>
      <c r="AZ568" s="57"/>
    </row>
    <row r="569">
      <c r="A569" s="57"/>
      <c r="B569" s="57"/>
      <c r="C569" s="57"/>
      <c r="D569" s="57"/>
      <c r="E569" s="57"/>
      <c r="F569" s="57"/>
      <c r="G569" s="57"/>
      <c r="H569" s="65"/>
      <c r="I569" s="65"/>
      <c r="J569" s="65"/>
      <c r="K569" s="65"/>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57"/>
      <c r="AT569" s="57"/>
      <c r="AU569" s="57"/>
      <c r="AV569" s="57"/>
      <c r="AW569" s="57"/>
      <c r="AX569" s="57"/>
      <c r="AY569" s="57"/>
      <c r="AZ569" s="57"/>
    </row>
    <row r="570">
      <c r="A570" s="57"/>
      <c r="B570" s="57"/>
      <c r="C570" s="57"/>
      <c r="D570" s="57"/>
      <c r="E570" s="57"/>
      <c r="F570" s="57"/>
      <c r="G570" s="57"/>
      <c r="H570" s="65"/>
      <c r="I570" s="65"/>
      <c r="J570" s="65"/>
      <c r="K570" s="65"/>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7"/>
      <c r="AR570" s="57"/>
      <c r="AS570" s="57"/>
      <c r="AT570" s="57"/>
      <c r="AU570" s="57"/>
      <c r="AV570" s="57"/>
      <c r="AW570" s="57"/>
      <c r="AX570" s="57"/>
      <c r="AY570" s="57"/>
      <c r="AZ570" s="57"/>
    </row>
    <row r="571">
      <c r="A571" s="57"/>
      <c r="B571" s="57"/>
      <c r="C571" s="57"/>
      <c r="D571" s="57"/>
      <c r="E571" s="57"/>
      <c r="F571" s="57"/>
      <c r="G571" s="57"/>
      <c r="H571" s="65"/>
      <c r="I571" s="65"/>
      <c r="J571" s="65"/>
      <c r="K571" s="65"/>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7"/>
      <c r="AR571" s="57"/>
      <c r="AS571" s="57"/>
      <c r="AT571" s="57"/>
      <c r="AU571" s="57"/>
      <c r="AV571" s="57"/>
      <c r="AW571" s="57"/>
      <c r="AX571" s="57"/>
      <c r="AY571" s="57"/>
      <c r="AZ571" s="57"/>
    </row>
    <row r="572">
      <c r="A572" s="57"/>
      <c r="B572" s="57"/>
      <c r="C572" s="57"/>
      <c r="D572" s="57"/>
      <c r="E572" s="57"/>
      <c r="F572" s="57"/>
      <c r="G572" s="57"/>
      <c r="H572" s="65"/>
      <c r="I572" s="65"/>
      <c r="J572" s="65"/>
      <c r="K572" s="65"/>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7"/>
      <c r="AR572" s="57"/>
      <c r="AS572" s="57"/>
      <c r="AT572" s="57"/>
      <c r="AU572" s="57"/>
      <c r="AV572" s="57"/>
      <c r="AW572" s="57"/>
      <c r="AX572" s="57"/>
      <c r="AY572" s="57"/>
      <c r="AZ572" s="57"/>
    </row>
    <row r="573">
      <c r="A573" s="57"/>
      <c r="B573" s="57"/>
      <c r="C573" s="57"/>
      <c r="D573" s="57"/>
      <c r="E573" s="57"/>
      <c r="F573" s="57"/>
      <c r="G573" s="57"/>
      <c r="H573" s="65"/>
      <c r="I573" s="65"/>
      <c r="J573" s="65"/>
      <c r="K573" s="65"/>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7"/>
      <c r="AR573" s="57"/>
      <c r="AS573" s="57"/>
      <c r="AT573" s="57"/>
      <c r="AU573" s="57"/>
      <c r="AV573" s="57"/>
      <c r="AW573" s="57"/>
      <c r="AX573" s="57"/>
      <c r="AY573" s="57"/>
      <c r="AZ573" s="57"/>
    </row>
    <row r="574">
      <c r="A574" s="57"/>
      <c r="B574" s="57"/>
      <c r="C574" s="57"/>
      <c r="D574" s="57"/>
      <c r="E574" s="57"/>
      <c r="F574" s="57"/>
      <c r="G574" s="57"/>
      <c r="H574" s="65"/>
      <c r="I574" s="65"/>
      <c r="J574" s="65"/>
      <c r="K574" s="65"/>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57"/>
      <c r="AT574" s="57"/>
      <c r="AU574" s="57"/>
      <c r="AV574" s="57"/>
      <c r="AW574" s="57"/>
      <c r="AX574" s="57"/>
      <c r="AY574" s="57"/>
      <c r="AZ574" s="57"/>
    </row>
    <row r="575">
      <c r="A575" s="57"/>
      <c r="B575" s="57"/>
      <c r="C575" s="57"/>
      <c r="D575" s="57"/>
      <c r="E575" s="57"/>
      <c r="F575" s="57"/>
      <c r="G575" s="57"/>
      <c r="H575" s="65"/>
      <c r="I575" s="65"/>
      <c r="J575" s="65"/>
      <c r="K575" s="65"/>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7"/>
      <c r="AR575" s="57"/>
      <c r="AS575" s="57"/>
      <c r="AT575" s="57"/>
      <c r="AU575" s="57"/>
      <c r="AV575" s="57"/>
      <c r="AW575" s="57"/>
      <c r="AX575" s="57"/>
      <c r="AY575" s="57"/>
      <c r="AZ575" s="57"/>
    </row>
    <row r="576">
      <c r="A576" s="57"/>
      <c r="B576" s="57"/>
      <c r="C576" s="57"/>
      <c r="D576" s="57"/>
      <c r="E576" s="57"/>
      <c r="F576" s="57"/>
      <c r="G576" s="57"/>
      <c r="H576" s="65"/>
      <c r="I576" s="65"/>
      <c r="J576" s="65"/>
      <c r="K576" s="65"/>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7"/>
      <c r="AR576" s="57"/>
      <c r="AS576" s="57"/>
      <c r="AT576" s="57"/>
      <c r="AU576" s="57"/>
      <c r="AV576" s="57"/>
      <c r="AW576" s="57"/>
      <c r="AX576" s="57"/>
      <c r="AY576" s="57"/>
      <c r="AZ576" s="57"/>
    </row>
    <row r="577">
      <c r="A577" s="57"/>
      <c r="B577" s="57"/>
      <c r="C577" s="57"/>
      <c r="D577" s="57"/>
      <c r="E577" s="57"/>
      <c r="F577" s="57"/>
      <c r="G577" s="57"/>
      <c r="H577" s="65"/>
      <c r="I577" s="65"/>
      <c r="J577" s="65"/>
      <c r="K577" s="65"/>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57"/>
      <c r="AT577" s="57"/>
      <c r="AU577" s="57"/>
      <c r="AV577" s="57"/>
      <c r="AW577" s="57"/>
      <c r="AX577" s="57"/>
      <c r="AY577" s="57"/>
      <c r="AZ577" s="57"/>
    </row>
    <row r="578">
      <c r="A578" s="57"/>
      <c r="B578" s="57"/>
      <c r="C578" s="57"/>
      <c r="D578" s="57"/>
      <c r="E578" s="57"/>
      <c r="F578" s="57"/>
      <c r="G578" s="57"/>
      <c r="H578" s="65"/>
      <c r="I578" s="65"/>
      <c r="J578" s="65"/>
      <c r="K578" s="65"/>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7"/>
      <c r="AR578" s="57"/>
      <c r="AS578" s="57"/>
      <c r="AT578" s="57"/>
      <c r="AU578" s="57"/>
      <c r="AV578" s="57"/>
      <c r="AW578" s="57"/>
      <c r="AX578" s="57"/>
      <c r="AY578" s="57"/>
      <c r="AZ578" s="57"/>
    </row>
    <row r="579">
      <c r="A579" s="57"/>
      <c r="B579" s="57"/>
      <c r="C579" s="57"/>
      <c r="D579" s="57"/>
      <c r="E579" s="57"/>
      <c r="F579" s="57"/>
      <c r="G579" s="57"/>
      <c r="H579" s="65"/>
      <c r="I579" s="65"/>
      <c r="J579" s="65"/>
      <c r="K579" s="65"/>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7"/>
      <c r="AR579" s="57"/>
      <c r="AS579" s="57"/>
      <c r="AT579" s="57"/>
      <c r="AU579" s="57"/>
      <c r="AV579" s="57"/>
      <c r="AW579" s="57"/>
      <c r="AX579" s="57"/>
      <c r="AY579" s="57"/>
      <c r="AZ579" s="57"/>
    </row>
    <row r="580">
      <c r="A580" s="57"/>
      <c r="B580" s="57"/>
      <c r="C580" s="57"/>
      <c r="D580" s="57"/>
      <c r="E580" s="57"/>
      <c r="F580" s="57"/>
      <c r="G580" s="57"/>
      <c r="H580" s="65"/>
      <c r="I580" s="65"/>
      <c r="J580" s="65"/>
      <c r="K580" s="65"/>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7"/>
      <c r="AR580" s="57"/>
      <c r="AS580" s="57"/>
      <c r="AT580" s="57"/>
      <c r="AU580" s="57"/>
      <c r="AV580" s="57"/>
      <c r="AW580" s="57"/>
      <c r="AX580" s="57"/>
      <c r="AY580" s="57"/>
      <c r="AZ580" s="57"/>
    </row>
    <row r="581">
      <c r="A581" s="57"/>
      <c r="B581" s="57"/>
      <c r="C581" s="57"/>
      <c r="D581" s="57"/>
      <c r="E581" s="57"/>
      <c r="F581" s="57"/>
      <c r="G581" s="57"/>
      <c r="H581" s="65"/>
      <c r="I581" s="65"/>
      <c r="J581" s="65"/>
      <c r="K581" s="65"/>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7"/>
      <c r="AR581" s="57"/>
      <c r="AS581" s="57"/>
      <c r="AT581" s="57"/>
      <c r="AU581" s="57"/>
      <c r="AV581" s="57"/>
      <c r="AW581" s="57"/>
      <c r="AX581" s="57"/>
      <c r="AY581" s="57"/>
      <c r="AZ581" s="57"/>
    </row>
    <row r="582">
      <c r="A582" s="57"/>
      <c r="B582" s="57"/>
      <c r="C582" s="57"/>
      <c r="D582" s="57"/>
      <c r="E582" s="57"/>
      <c r="F582" s="57"/>
      <c r="G582" s="57"/>
      <c r="H582" s="65"/>
      <c r="I582" s="65"/>
      <c r="J582" s="65"/>
      <c r="K582" s="65"/>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7"/>
      <c r="AR582" s="57"/>
      <c r="AS582" s="57"/>
      <c r="AT582" s="57"/>
      <c r="AU582" s="57"/>
      <c r="AV582" s="57"/>
      <c r="AW582" s="57"/>
      <c r="AX582" s="57"/>
      <c r="AY582" s="57"/>
      <c r="AZ582" s="57"/>
    </row>
    <row r="583">
      <c r="A583" s="57"/>
      <c r="B583" s="57"/>
      <c r="C583" s="57"/>
      <c r="D583" s="57"/>
      <c r="E583" s="57"/>
      <c r="F583" s="57"/>
      <c r="G583" s="57"/>
      <c r="H583" s="65"/>
      <c r="I583" s="65"/>
      <c r="J583" s="65"/>
      <c r="K583" s="65"/>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7"/>
      <c r="AR583" s="57"/>
      <c r="AS583" s="57"/>
      <c r="AT583" s="57"/>
      <c r="AU583" s="57"/>
      <c r="AV583" s="57"/>
      <c r="AW583" s="57"/>
      <c r="AX583" s="57"/>
      <c r="AY583" s="57"/>
      <c r="AZ583" s="57"/>
    </row>
    <row r="584">
      <c r="A584" s="57"/>
      <c r="B584" s="57"/>
      <c r="C584" s="57"/>
      <c r="D584" s="57"/>
      <c r="E584" s="57"/>
      <c r="F584" s="57"/>
      <c r="G584" s="57"/>
      <c r="H584" s="65"/>
      <c r="I584" s="65"/>
      <c r="J584" s="65"/>
      <c r="K584" s="65"/>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7"/>
      <c r="AR584" s="57"/>
      <c r="AS584" s="57"/>
      <c r="AT584" s="57"/>
      <c r="AU584" s="57"/>
      <c r="AV584" s="57"/>
      <c r="AW584" s="57"/>
      <c r="AX584" s="57"/>
      <c r="AY584" s="57"/>
      <c r="AZ584" s="57"/>
    </row>
    <row r="585">
      <c r="A585" s="57"/>
      <c r="B585" s="57"/>
      <c r="C585" s="57"/>
      <c r="D585" s="57"/>
      <c r="E585" s="57"/>
      <c r="F585" s="57"/>
      <c r="G585" s="57"/>
      <c r="H585" s="65"/>
      <c r="I585" s="65"/>
      <c r="J585" s="65"/>
      <c r="K585" s="65"/>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7"/>
      <c r="AR585" s="57"/>
      <c r="AS585" s="57"/>
      <c r="AT585" s="57"/>
      <c r="AU585" s="57"/>
      <c r="AV585" s="57"/>
      <c r="AW585" s="57"/>
      <c r="AX585" s="57"/>
      <c r="AY585" s="57"/>
      <c r="AZ585" s="57"/>
    </row>
    <row r="586">
      <c r="A586" s="57"/>
      <c r="B586" s="57"/>
      <c r="C586" s="57"/>
      <c r="D586" s="57"/>
      <c r="E586" s="57"/>
      <c r="F586" s="57"/>
      <c r="G586" s="57"/>
      <c r="H586" s="65"/>
      <c r="I586" s="65"/>
      <c r="J586" s="65"/>
      <c r="K586" s="65"/>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7"/>
      <c r="AR586" s="57"/>
      <c r="AS586" s="57"/>
      <c r="AT586" s="57"/>
      <c r="AU586" s="57"/>
      <c r="AV586" s="57"/>
      <c r="AW586" s="57"/>
      <c r="AX586" s="57"/>
      <c r="AY586" s="57"/>
      <c r="AZ586" s="57"/>
    </row>
    <row r="587">
      <c r="A587" s="57"/>
      <c r="B587" s="57"/>
      <c r="C587" s="57"/>
      <c r="D587" s="57"/>
      <c r="E587" s="57"/>
      <c r="F587" s="57"/>
      <c r="G587" s="57"/>
      <c r="H587" s="65"/>
      <c r="I587" s="65"/>
      <c r="J587" s="65"/>
      <c r="K587" s="65"/>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7"/>
      <c r="AR587" s="57"/>
      <c r="AS587" s="57"/>
      <c r="AT587" s="57"/>
      <c r="AU587" s="57"/>
      <c r="AV587" s="57"/>
      <c r="AW587" s="57"/>
      <c r="AX587" s="57"/>
      <c r="AY587" s="57"/>
      <c r="AZ587" s="57"/>
    </row>
    <row r="588">
      <c r="A588" s="57"/>
      <c r="B588" s="57"/>
      <c r="C588" s="57"/>
      <c r="D588" s="57"/>
      <c r="E588" s="57"/>
      <c r="F588" s="57"/>
      <c r="G588" s="57"/>
      <c r="H588" s="65"/>
      <c r="I588" s="65"/>
      <c r="J588" s="65"/>
      <c r="K588" s="65"/>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7"/>
      <c r="AR588" s="57"/>
      <c r="AS588" s="57"/>
      <c r="AT588" s="57"/>
      <c r="AU588" s="57"/>
      <c r="AV588" s="57"/>
      <c r="AW588" s="57"/>
      <c r="AX588" s="57"/>
      <c r="AY588" s="57"/>
      <c r="AZ588" s="57"/>
    </row>
    <row r="589">
      <c r="A589" s="57"/>
      <c r="B589" s="57"/>
      <c r="C589" s="57"/>
      <c r="D589" s="57"/>
      <c r="E589" s="57"/>
      <c r="F589" s="57"/>
      <c r="G589" s="57"/>
      <c r="H589" s="65"/>
      <c r="I589" s="65"/>
      <c r="J589" s="65"/>
      <c r="K589" s="65"/>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7"/>
      <c r="AR589" s="57"/>
      <c r="AS589" s="57"/>
      <c r="AT589" s="57"/>
      <c r="AU589" s="57"/>
      <c r="AV589" s="57"/>
      <c r="AW589" s="57"/>
      <c r="AX589" s="57"/>
      <c r="AY589" s="57"/>
      <c r="AZ589" s="57"/>
    </row>
    <row r="590">
      <c r="A590" s="57"/>
      <c r="B590" s="57"/>
      <c r="C590" s="57"/>
      <c r="D590" s="57"/>
      <c r="E590" s="57"/>
      <c r="F590" s="57"/>
      <c r="G590" s="57"/>
      <c r="H590" s="65"/>
      <c r="I590" s="65"/>
      <c r="J590" s="65"/>
      <c r="K590" s="65"/>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7"/>
      <c r="AR590" s="57"/>
      <c r="AS590" s="57"/>
      <c r="AT590" s="57"/>
      <c r="AU590" s="57"/>
      <c r="AV590" s="57"/>
      <c r="AW590" s="57"/>
      <c r="AX590" s="57"/>
      <c r="AY590" s="57"/>
      <c r="AZ590" s="57"/>
    </row>
    <row r="591">
      <c r="A591" s="57"/>
      <c r="B591" s="57"/>
      <c r="C591" s="57"/>
      <c r="D591" s="57"/>
      <c r="E591" s="57"/>
      <c r="F591" s="57"/>
      <c r="G591" s="57"/>
      <c r="H591" s="65"/>
      <c r="I591" s="65"/>
      <c r="J591" s="65"/>
      <c r="K591" s="65"/>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7"/>
      <c r="AR591" s="57"/>
      <c r="AS591" s="57"/>
      <c r="AT591" s="57"/>
      <c r="AU591" s="57"/>
      <c r="AV591" s="57"/>
      <c r="AW591" s="57"/>
      <c r="AX591" s="57"/>
      <c r="AY591" s="57"/>
      <c r="AZ591" s="57"/>
    </row>
    <row r="592">
      <c r="A592" s="57"/>
      <c r="B592" s="57"/>
      <c r="C592" s="57"/>
      <c r="D592" s="57"/>
      <c r="E592" s="57"/>
      <c r="F592" s="57"/>
      <c r="G592" s="57"/>
      <c r="H592" s="65"/>
      <c r="I592" s="65"/>
      <c r="J592" s="65"/>
      <c r="K592" s="65"/>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7"/>
      <c r="AR592" s="57"/>
      <c r="AS592" s="57"/>
      <c r="AT592" s="57"/>
      <c r="AU592" s="57"/>
      <c r="AV592" s="57"/>
      <c r="AW592" s="57"/>
      <c r="AX592" s="57"/>
      <c r="AY592" s="57"/>
      <c r="AZ592" s="57"/>
    </row>
    <row r="593">
      <c r="A593" s="57"/>
      <c r="B593" s="57"/>
      <c r="C593" s="57"/>
      <c r="D593" s="57"/>
      <c r="E593" s="57"/>
      <c r="F593" s="57"/>
      <c r="G593" s="57"/>
      <c r="H593" s="65"/>
      <c r="I593" s="65"/>
      <c r="J593" s="65"/>
      <c r="K593" s="65"/>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7"/>
      <c r="AR593" s="57"/>
      <c r="AS593" s="57"/>
      <c r="AT593" s="57"/>
      <c r="AU593" s="57"/>
      <c r="AV593" s="57"/>
      <c r="AW593" s="57"/>
      <c r="AX593" s="57"/>
      <c r="AY593" s="57"/>
      <c r="AZ593" s="57"/>
    </row>
    <row r="594">
      <c r="A594" s="57"/>
      <c r="B594" s="57"/>
      <c r="C594" s="57"/>
      <c r="D594" s="57"/>
      <c r="E594" s="57"/>
      <c r="F594" s="57"/>
      <c r="G594" s="57"/>
      <c r="H594" s="65"/>
      <c r="I594" s="65"/>
      <c r="J594" s="65"/>
      <c r="K594" s="65"/>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7"/>
      <c r="AR594" s="57"/>
      <c r="AS594" s="57"/>
      <c r="AT594" s="57"/>
      <c r="AU594" s="57"/>
      <c r="AV594" s="57"/>
      <c r="AW594" s="57"/>
      <c r="AX594" s="57"/>
      <c r="AY594" s="57"/>
      <c r="AZ594" s="57"/>
    </row>
    <row r="595">
      <c r="A595" s="57"/>
      <c r="B595" s="57"/>
      <c r="C595" s="57"/>
      <c r="D595" s="57"/>
      <c r="E595" s="57"/>
      <c r="F595" s="57"/>
      <c r="G595" s="57"/>
      <c r="H595" s="65"/>
      <c r="I595" s="65"/>
      <c r="J595" s="65"/>
      <c r="K595" s="65"/>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7"/>
      <c r="AR595" s="57"/>
      <c r="AS595" s="57"/>
      <c r="AT595" s="57"/>
      <c r="AU595" s="57"/>
      <c r="AV595" s="57"/>
      <c r="AW595" s="57"/>
      <c r="AX595" s="57"/>
      <c r="AY595" s="57"/>
      <c r="AZ595" s="57"/>
    </row>
    <row r="596">
      <c r="A596" s="57"/>
      <c r="B596" s="57"/>
      <c r="C596" s="57"/>
      <c r="D596" s="57"/>
      <c r="E596" s="57"/>
      <c r="F596" s="57"/>
      <c r="G596" s="57"/>
      <c r="H596" s="65"/>
      <c r="I596" s="65"/>
      <c r="J596" s="65"/>
      <c r="K596" s="65"/>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7"/>
      <c r="AR596" s="57"/>
      <c r="AS596" s="57"/>
      <c r="AT596" s="57"/>
      <c r="AU596" s="57"/>
      <c r="AV596" s="57"/>
      <c r="AW596" s="57"/>
      <c r="AX596" s="57"/>
      <c r="AY596" s="57"/>
      <c r="AZ596" s="57"/>
    </row>
    <row r="597">
      <c r="A597" s="57"/>
      <c r="B597" s="57"/>
      <c r="C597" s="57"/>
      <c r="D597" s="57"/>
      <c r="E597" s="57"/>
      <c r="F597" s="57"/>
      <c r="G597" s="57"/>
      <c r="H597" s="65"/>
      <c r="I597" s="65"/>
      <c r="J597" s="65"/>
      <c r="K597" s="65"/>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7"/>
      <c r="AR597" s="57"/>
      <c r="AS597" s="57"/>
      <c r="AT597" s="57"/>
      <c r="AU597" s="57"/>
      <c r="AV597" s="57"/>
      <c r="AW597" s="57"/>
      <c r="AX597" s="57"/>
      <c r="AY597" s="57"/>
      <c r="AZ597" s="57"/>
    </row>
    <row r="598">
      <c r="A598" s="57"/>
      <c r="B598" s="57"/>
      <c r="C598" s="57"/>
      <c r="D598" s="57"/>
      <c r="E598" s="57"/>
      <c r="F598" s="57"/>
      <c r="G598" s="57"/>
      <c r="H598" s="65"/>
      <c r="I598" s="65"/>
      <c r="J598" s="65"/>
      <c r="K598" s="65"/>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7"/>
      <c r="AR598" s="57"/>
      <c r="AS598" s="57"/>
      <c r="AT598" s="57"/>
      <c r="AU598" s="57"/>
      <c r="AV598" s="57"/>
      <c r="AW598" s="57"/>
      <c r="AX598" s="57"/>
      <c r="AY598" s="57"/>
      <c r="AZ598" s="57"/>
    </row>
    <row r="599">
      <c r="A599" s="57"/>
      <c r="B599" s="57"/>
      <c r="C599" s="57"/>
      <c r="D599" s="57"/>
      <c r="E599" s="57"/>
      <c r="F599" s="57"/>
      <c r="G599" s="57"/>
      <c r="H599" s="65"/>
      <c r="I599" s="65"/>
      <c r="J599" s="65"/>
      <c r="K599" s="65"/>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7"/>
      <c r="AR599" s="57"/>
      <c r="AS599" s="57"/>
      <c r="AT599" s="57"/>
      <c r="AU599" s="57"/>
      <c r="AV599" s="57"/>
      <c r="AW599" s="57"/>
      <c r="AX599" s="57"/>
      <c r="AY599" s="57"/>
      <c r="AZ599" s="57"/>
    </row>
    <row r="600">
      <c r="A600" s="57"/>
      <c r="B600" s="57"/>
      <c r="C600" s="57"/>
      <c r="D600" s="57"/>
      <c r="E600" s="57"/>
      <c r="F600" s="57"/>
      <c r="G600" s="57"/>
      <c r="H600" s="65"/>
      <c r="I600" s="65"/>
      <c r="J600" s="65"/>
      <c r="K600" s="65"/>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7"/>
      <c r="AR600" s="57"/>
      <c r="AS600" s="57"/>
      <c r="AT600" s="57"/>
      <c r="AU600" s="57"/>
      <c r="AV600" s="57"/>
      <c r="AW600" s="57"/>
      <c r="AX600" s="57"/>
      <c r="AY600" s="57"/>
      <c r="AZ600" s="57"/>
    </row>
    <row r="601">
      <c r="A601" s="57"/>
      <c r="B601" s="57"/>
      <c r="C601" s="57"/>
      <c r="D601" s="57"/>
      <c r="E601" s="57"/>
      <c r="F601" s="57"/>
      <c r="G601" s="57"/>
      <c r="H601" s="65"/>
      <c r="I601" s="65"/>
      <c r="J601" s="65"/>
      <c r="K601" s="65"/>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7"/>
      <c r="AR601" s="57"/>
      <c r="AS601" s="57"/>
      <c r="AT601" s="57"/>
      <c r="AU601" s="57"/>
      <c r="AV601" s="57"/>
      <c r="AW601" s="57"/>
      <c r="AX601" s="57"/>
      <c r="AY601" s="57"/>
      <c r="AZ601" s="57"/>
    </row>
    <row r="602">
      <c r="A602" s="57"/>
      <c r="B602" s="57"/>
      <c r="C602" s="57"/>
      <c r="D602" s="57"/>
      <c r="E602" s="57"/>
      <c r="F602" s="57"/>
      <c r="G602" s="57"/>
      <c r="H602" s="65"/>
      <c r="I602" s="65"/>
      <c r="J602" s="65"/>
      <c r="K602" s="65"/>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57"/>
      <c r="AT602" s="57"/>
      <c r="AU602" s="57"/>
      <c r="AV602" s="57"/>
      <c r="AW602" s="57"/>
      <c r="AX602" s="57"/>
      <c r="AY602" s="57"/>
      <c r="AZ602" s="57"/>
    </row>
    <row r="603">
      <c r="A603" s="57"/>
      <c r="B603" s="57"/>
      <c r="C603" s="57"/>
      <c r="D603" s="57"/>
      <c r="E603" s="57"/>
      <c r="F603" s="57"/>
      <c r="G603" s="57"/>
      <c r="H603" s="65"/>
      <c r="I603" s="65"/>
      <c r="J603" s="65"/>
      <c r="K603" s="65"/>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7"/>
      <c r="AR603" s="57"/>
      <c r="AS603" s="57"/>
      <c r="AT603" s="57"/>
      <c r="AU603" s="57"/>
      <c r="AV603" s="57"/>
      <c r="AW603" s="57"/>
      <c r="AX603" s="57"/>
      <c r="AY603" s="57"/>
      <c r="AZ603" s="57"/>
    </row>
    <row r="604">
      <c r="A604" s="57"/>
      <c r="B604" s="57"/>
      <c r="C604" s="57"/>
      <c r="D604" s="57"/>
      <c r="E604" s="57"/>
      <c r="F604" s="57"/>
      <c r="G604" s="57"/>
      <c r="H604" s="65"/>
      <c r="I604" s="65"/>
      <c r="J604" s="65"/>
      <c r="K604" s="65"/>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7"/>
      <c r="AR604" s="57"/>
      <c r="AS604" s="57"/>
      <c r="AT604" s="57"/>
      <c r="AU604" s="57"/>
      <c r="AV604" s="57"/>
      <c r="AW604" s="57"/>
      <c r="AX604" s="57"/>
      <c r="AY604" s="57"/>
      <c r="AZ604" s="57"/>
    </row>
    <row r="605">
      <c r="A605" s="57"/>
      <c r="B605" s="57"/>
      <c r="C605" s="57"/>
      <c r="D605" s="57"/>
      <c r="E605" s="57"/>
      <c r="F605" s="57"/>
      <c r="G605" s="57"/>
      <c r="H605" s="65"/>
      <c r="I605" s="65"/>
      <c r="J605" s="65"/>
      <c r="K605" s="65"/>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7"/>
      <c r="AR605" s="57"/>
      <c r="AS605" s="57"/>
      <c r="AT605" s="57"/>
      <c r="AU605" s="57"/>
      <c r="AV605" s="57"/>
      <c r="AW605" s="57"/>
      <c r="AX605" s="57"/>
      <c r="AY605" s="57"/>
      <c r="AZ605" s="57"/>
    </row>
    <row r="606">
      <c r="A606" s="57"/>
      <c r="B606" s="57"/>
      <c r="C606" s="57"/>
      <c r="D606" s="57"/>
      <c r="E606" s="57"/>
      <c r="F606" s="57"/>
      <c r="G606" s="57"/>
      <c r="H606" s="65"/>
      <c r="I606" s="65"/>
      <c r="J606" s="65"/>
      <c r="K606" s="65"/>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7"/>
      <c r="AR606" s="57"/>
      <c r="AS606" s="57"/>
      <c r="AT606" s="57"/>
      <c r="AU606" s="57"/>
      <c r="AV606" s="57"/>
      <c r="AW606" s="57"/>
      <c r="AX606" s="57"/>
      <c r="AY606" s="57"/>
      <c r="AZ606" s="57"/>
    </row>
    <row r="607">
      <c r="A607" s="57"/>
      <c r="B607" s="57"/>
      <c r="C607" s="57"/>
      <c r="D607" s="57"/>
      <c r="E607" s="57"/>
      <c r="F607" s="57"/>
      <c r="G607" s="57"/>
      <c r="H607" s="65"/>
      <c r="I607" s="65"/>
      <c r="J607" s="65"/>
      <c r="K607" s="65"/>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7"/>
      <c r="AR607" s="57"/>
      <c r="AS607" s="57"/>
      <c r="AT607" s="57"/>
      <c r="AU607" s="57"/>
      <c r="AV607" s="57"/>
      <c r="AW607" s="57"/>
      <c r="AX607" s="57"/>
      <c r="AY607" s="57"/>
      <c r="AZ607" s="57"/>
    </row>
    <row r="608">
      <c r="A608" s="57"/>
      <c r="B608" s="57"/>
      <c r="C608" s="57"/>
      <c r="D608" s="57"/>
      <c r="E608" s="57"/>
      <c r="F608" s="57"/>
      <c r="G608" s="57"/>
      <c r="H608" s="65"/>
      <c r="I608" s="65"/>
      <c r="J608" s="65"/>
      <c r="K608" s="65"/>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7"/>
      <c r="AR608" s="57"/>
      <c r="AS608" s="57"/>
      <c r="AT608" s="57"/>
      <c r="AU608" s="57"/>
      <c r="AV608" s="57"/>
      <c r="AW608" s="57"/>
      <c r="AX608" s="57"/>
      <c r="AY608" s="57"/>
      <c r="AZ608" s="57"/>
    </row>
    <row r="609">
      <c r="A609" s="57"/>
      <c r="B609" s="57"/>
      <c r="C609" s="57"/>
      <c r="D609" s="57"/>
      <c r="E609" s="57"/>
      <c r="F609" s="57"/>
      <c r="G609" s="57"/>
      <c r="H609" s="65"/>
      <c r="I609" s="65"/>
      <c r="J609" s="65"/>
      <c r="K609" s="65"/>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7"/>
      <c r="AR609" s="57"/>
      <c r="AS609" s="57"/>
      <c r="AT609" s="57"/>
      <c r="AU609" s="57"/>
      <c r="AV609" s="57"/>
      <c r="AW609" s="57"/>
      <c r="AX609" s="57"/>
      <c r="AY609" s="57"/>
      <c r="AZ609" s="57"/>
    </row>
    <row r="610">
      <c r="A610" s="57"/>
      <c r="B610" s="57"/>
      <c r="C610" s="57"/>
      <c r="D610" s="57"/>
      <c r="E610" s="57"/>
      <c r="F610" s="57"/>
      <c r="G610" s="57"/>
      <c r="H610" s="65"/>
      <c r="I610" s="65"/>
      <c r="J610" s="65"/>
      <c r="K610" s="65"/>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7"/>
      <c r="AR610" s="57"/>
      <c r="AS610" s="57"/>
      <c r="AT610" s="57"/>
      <c r="AU610" s="57"/>
      <c r="AV610" s="57"/>
      <c r="AW610" s="57"/>
      <c r="AX610" s="57"/>
      <c r="AY610" s="57"/>
      <c r="AZ610" s="57"/>
    </row>
    <row r="611">
      <c r="A611" s="57"/>
      <c r="B611" s="57"/>
      <c r="C611" s="57"/>
      <c r="D611" s="57"/>
      <c r="E611" s="57"/>
      <c r="F611" s="57"/>
      <c r="G611" s="57"/>
      <c r="H611" s="65"/>
      <c r="I611" s="65"/>
      <c r="J611" s="65"/>
      <c r="K611" s="65"/>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7"/>
      <c r="AR611" s="57"/>
      <c r="AS611" s="57"/>
      <c r="AT611" s="57"/>
      <c r="AU611" s="57"/>
      <c r="AV611" s="57"/>
      <c r="AW611" s="57"/>
      <c r="AX611" s="57"/>
      <c r="AY611" s="57"/>
      <c r="AZ611" s="57"/>
    </row>
    <row r="612">
      <c r="A612" s="57"/>
      <c r="B612" s="57"/>
      <c r="C612" s="57"/>
      <c r="D612" s="57"/>
      <c r="E612" s="57"/>
      <c r="F612" s="57"/>
      <c r="G612" s="57"/>
      <c r="H612" s="65"/>
      <c r="I612" s="65"/>
      <c r="J612" s="65"/>
      <c r="K612" s="65"/>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7"/>
      <c r="AR612" s="57"/>
      <c r="AS612" s="57"/>
      <c r="AT612" s="57"/>
      <c r="AU612" s="57"/>
      <c r="AV612" s="57"/>
      <c r="AW612" s="57"/>
      <c r="AX612" s="57"/>
      <c r="AY612" s="57"/>
      <c r="AZ612" s="57"/>
    </row>
    <row r="613">
      <c r="A613" s="57"/>
      <c r="B613" s="57"/>
      <c r="C613" s="57"/>
      <c r="D613" s="57"/>
      <c r="E613" s="57"/>
      <c r="F613" s="57"/>
      <c r="G613" s="57"/>
      <c r="H613" s="65"/>
      <c r="I613" s="65"/>
      <c r="J613" s="65"/>
      <c r="K613" s="65"/>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7"/>
      <c r="AR613" s="57"/>
      <c r="AS613" s="57"/>
      <c r="AT613" s="57"/>
      <c r="AU613" s="57"/>
      <c r="AV613" s="57"/>
      <c r="AW613" s="57"/>
      <c r="AX613" s="57"/>
      <c r="AY613" s="57"/>
      <c r="AZ613" s="57"/>
    </row>
    <row r="614">
      <c r="A614" s="57"/>
      <c r="B614" s="57"/>
      <c r="C614" s="57"/>
      <c r="D614" s="57"/>
      <c r="E614" s="57"/>
      <c r="F614" s="57"/>
      <c r="G614" s="57"/>
      <c r="H614" s="65"/>
      <c r="I614" s="65"/>
      <c r="J614" s="65"/>
      <c r="K614" s="65"/>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7"/>
      <c r="AR614" s="57"/>
      <c r="AS614" s="57"/>
      <c r="AT614" s="57"/>
      <c r="AU614" s="57"/>
      <c r="AV614" s="57"/>
      <c r="AW614" s="57"/>
      <c r="AX614" s="57"/>
      <c r="AY614" s="57"/>
      <c r="AZ614" s="57"/>
    </row>
    <row r="615">
      <c r="A615" s="57"/>
      <c r="B615" s="57"/>
      <c r="C615" s="57"/>
      <c r="D615" s="57"/>
      <c r="E615" s="57"/>
      <c r="F615" s="57"/>
      <c r="G615" s="57"/>
      <c r="H615" s="65"/>
      <c r="I615" s="65"/>
      <c r="J615" s="65"/>
      <c r="K615" s="65"/>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7"/>
      <c r="AR615" s="57"/>
      <c r="AS615" s="57"/>
      <c r="AT615" s="57"/>
      <c r="AU615" s="57"/>
      <c r="AV615" s="57"/>
      <c r="AW615" s="57"/>
      <c r="AX615" s="57"/>
      <c r="AY615" s="57"/>
      <c r="AZ615" s="57"/>
    </row>
    <row r="616">
      <c r="A616" s="57"/>
      <c r="B616" s="57"/>
      <c r="C616" s="57"/>
      <c r="D616" s="57"/>
      <c r="E616" s="57"/>
      <c r="F616" s="57"/>
      <c r="G616" s="57"/>
      <c r="H616" s="65"/>
      <c r="I616" s="65"/>
      <c r="J616" s="65"/>
      <c r="K616" s="65"/>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57"/>
      <c r="AT616" s="57"/>
      <c r="AU616" s="57"/>
      <c r="AV616" s="57"/>
      <c r="AW616" s="57"/>
      <c r="AX616" s="57"/>
      <c r="AY616" s="57"/>
      <c r="AZ616" s="57"/>
    </row>
    <row r="617">
      <c r="A617" s="57"/>
      <c r="B617" s="57"/>
      <c r="C617" s="57"/>
      <c r="D617" s="57"/>
      <c r="E617" s="57"/>
      <c r="F617" s="57"/>
      <c r="G617" s="57"/>
      <c r="H617" s="65"/>
      <c r="I617" s="65"/>
      <c r="J617" s="65"/>
      <c r="K617" s="65"/>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7"/>
      <c r="AR617" s="57"/>
      <c r="AS617" s="57"/>
      <c r="AT617" s="57"/>
      <c r="AU617" s="57"/>
      <c r="AV617" s="57"/>
      <c r="AW617" s="57"/>
      <c r="AX617" s="57"/>
      <c r="AY617" s="57"/>
      <c r="AZ617" s="57"/>
    </row>
    <row r="618">
      <c r="A618" s="57"/>
      <c r="B618" s="57"/>
      <c r="C618" s="57"/>
      <c r="D618" s="57"/>
      <c r="E618" s="57"/>
      <c r="F618" s="57"/>
      <c r="G618" s="57"/>
      <c r="H618" s="65"/>
      <c r="I618" s="65"/>
      <c r="J618" s="65"/>
      <c r="K618" s="65"/>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7"/>
      <c r="AR618" s="57"/>
      <c r="AS618" s="57"/>
      <c r="AT618" s="57"/>
      <c r="AU618" s="57"/>
      <c r="AV618" s="57"/>
      <c r="AW618" s="57"/>
      <c r="AX618" s="57"/>
      <c r="AY618" s="57"/>
      <c r="AZ618" s="57"/>
    </row>
    <row r="619">
      <c r="A619" s="57"/>
      <c r="B619" s="57"/>
      <c r="C619" s="57"/>
      <c r="D619" s="57"/>
      <c r="E619" s="57"/>
      <c r="F619" s="57"/>
      <c r="G619" s="57"/>
      <c r="H619" s="65"/>
      <c r="I619" s="65"/>
      <c r="J619" s="65"/>
      <c r="K619" s="65"/>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7"/>
      <c r="AR619" s="57"/>
      <c r="AS619" s="57"/>
      <c r="AT619" s="57"/>
      <c r="AU619" s="57"/>
      <c r="AV619" s="57"/>
      <c r="AW619" s="57"/>
      <c r="AX619" s="57"/>
      <c r="AY619" s="57"/>
      <c r="AZ619" s="57"/>
    </row>
    <row r="620">
      <c r="A620" s="57"/>
      <c r="B620" s="57"/>
      <c r="C620" s="57"/>
      <c r="D620" s="57"/>
      <c r="E620" s="57"/>
      <c r="F620" s="57"/>
      <c r="G620" s="57"/>
      <c r="H620" s="65"/>
      <c r="I620" s="65"/>
      <c r="J620" s="65"/>
      <c r="K620" s="65"/>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7"/>
      <c r="AR620" s="57"/>
      <c r="AS620" s="57"/>
      <c r="AT620" s="57"/>
      <c r="AU620" s="57"/>
      <c r="AV620" s="57"/>
      <c r="AW620" s="57"/>
      <c r="AX620" s="57"/>
      <c r="AY620" s="57"/>
      <c r="AZ620" s="57"/>
    </row>
    <row r="621">
      <c r="A621" s="57"/>
      <c r="B621" s="57"/>
      <c r="C621" s="57"/>
      <c r="D621" s="57"/>
      <c r="E621" s="57"/>
      <c r="F621" s="57"/>
      <c r="G621" s="57"/>
      <c r="H621" s="65"/>
      <c r="I621" s="65"/>
      <c r="J621" s="65"/>
      <c r="K621" s="65"/>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7"/>
      <c r="AR621" s="57"/>
      <c r="AS621" s="57"/>
      <c r="AT621" s="57"/>
      <c r="AU621" s="57"/>
      <c r="AV621" s="57"/>
      <c r="AW621" s="57"/>
      <c r="AX621" s="57"/>
      <c r="AY621" s="57"/>
      <c r="AZ621" s="57"/>
    </row>
    <row r="622">
      <c r="A622" s="57"/>
      <c r="B622" s="57"/>
      <c r="C622" s="57"/>
      <c r="D622" s="57"/>
      <c r="E622" s="57"/>
      <c r="F622" s="57"/>
      <c r="G622" s="57"/>
      <c r="H622" s="65"/>
      <c r="I622" s="65"/>
      <c r="J622" s="65"/>
      <c r="K622" s="65"/>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7"/>
      <c r="AR622" s="57"/>
      <c r="AS622" s="57"/>
      <c r="AT622" s="57"/>
      <c r="AU622" s="57"/>
      <c r="AV622" s="57"/>
      <c r="AW622" s="57"/>
      <c r="AX622" s="57"/>
      <c r="AY622" s="57"/>
      <c r="AZ622" s="57"/>
    </row>
    <row r="623">
      <c r="A623" s="57"/>
      <c r="B623" s="57"/>
      <c r="C623" s="57"/>
      <c r="D623" s="57"/>
      <c r="E623" s="57"/>
      <c r="F623" s="57"/>
      <c r="G623" s="57"/>
      <c r="H623" s="65"/>
      <c r="I623" s="65"/>
      <c r="J623" s="65"/>
      <c r="K623" s="65"/>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7"/>
      <c r="AR623" s="57"/>
      <c r="AS623" s="57"/>
      <c r="AT623" s="57"/>
      <c r="AU623" s="57"/>
      <c r="AV623" s="57"/>
      <c r="AW623" s="57"/>
      <c r="AX623" s="57"/>
      <c r="AY623" s="57"/>
      <c r="AZ623" s="57"/>
    </row>
    <row r="624">
      <c r="A624" s="57"/>
      <c r="B624" s="57"/>
      <c r="C624" s="57"/>
      <c r="D624" s="57"/>
      <c r="E624" s="57"/>
      <c r="F624" s="57"/>
      <c r="G624" s="57"/>
      <c r="H624" s="65"/>
      <c r="I624" s="65"/>
      <c r="J624" s="65"/>
      <c r="K624" s="65"/>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7"/>
      <c r="AR624" s="57"/>
      <c r="AS624" s="57"/>
      <c r="AT624" s="57"/>
      <c r="AU624" s="57"/>
      <c r="AV624" s="57"/>
      <c r="AW624" s="57"/>
      <c r="AX624" s="57"/>
      <c r="AY624" s="57"/>
      <c r="AZ624" s="57"/>
    </row>
    <row r="625">
      <c r="A625" s="57"/>
      <c r="B625" s="57"/>
      <c r="C625" s="57"/>
      <c r="D625" s="57"/>
      <c r="E625" s="57"/>
      <c r="F625" s="57"/>
      <c r="G625" s="57"/>
      <c r="H625" s="65"/>
      <c r="I625" s="65"/>
      <c r="J625" s="65"/>
      <c r="K625" s="65"/>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7"/>
      <c r="AR625" s="57"/>
      <c r="AS625" s="57"/>
      <c r="AT625" s="57"/>
      <c r="AU625" s="57"/>
      <c r="AV625" s="57"/>
      <c r="AW625" s="57"/>
      <c r="AX625" s="57"/>
      <c r="AY625" s="57"/>
      <c r="AZ625" s="57"/>
    </row>
    <row r="626">
      <c r="A626" s="57"/>
      <c r="B626" s="57"/>
      <c r="C626" s="57"/>
      <c r="D626" s="57"/>
      <c r="E626" s="57"/>
      <c r="F626" s="57"/>
      <c r="G626" s="57"/>
      <c r="H626" s="65"/>
      <c r="I626" s="65"/>
      <c r="J626" s="65"/>
      <c r="K626" s="65"/>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7"/>
      <c r="AR626" s="57"/>
      <c r="AS626" s="57"/>
      <c r="AT626" s="57"/>
      <c r="AU626" s="57"/>
      <c r="AV626" s="57"/>
      <c r="AW626" s="57"/>
      <c r="AX626" s="57"/>
      <c r="AY626" s="57"/>
      <c r="AZ626" s="57"/>
    </row>
    <row r="627">
      <c r="A627" s="57"/>
      <c r="B627" s="57"/>
      <c r="C627" s="57"/>
      <c r="D627" s="57"/>
      <c r="E627" s="57"/>
      <c r="F627" s="57"/>
      <c r="G627" s="57"/>
      <c r="H627" s="65"/>
      <c r="I627" s="65"/>
      <c r="J627" s="65"/>
      <c r="K627" s="65"/>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7"/>
      <c r="AR627" s="57"/>
      <c r="AS627" s="57"/>
      <c r="AT627" s="57"/>
      <c r="AU627" s="57"/>
      <c r="AV627" s="57"/>
      <c r="AW627" s="57"/>
      <c r="AX627" s="57"/>
      <c r="AY627" s="57"/>
      <c r="AZ627" s="57"/>
    </row>
    <row r="628">
      <c r="A628" s="57"/>
      <c r="B628" s="57"/>
      <c r="C628" s="57"/>
      <c r="D628" s="57"/>
      <c r="E628" s="57"/>
      <c r="F628" s="57"/>
      <c r="G628" s="57"/>
      <c r="H628" s="65"/>
      <c r="I628" s="65"/>
      <c r="J628" s="65"/>
      <c r="K628" s="65"/>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7"/>
      <c r="AR628" s="57"/>
      <c r="AS628" s="57"/>
      <c r="AT628" s="57"/>
      <c r="AU628" s="57"/>
      <c r="AV628" s="57"/>
      <c r="AW628" s="57"/>
      <c r="AX628" s="57"/>
      <c r="AY628" s="57"/>
      <c r="AZ628" s="57"/>
    </row>
    <row r="629">
      <c r="A629" s="57"/>
      <c r="B629" s="57"/>
      <c r="C629" s="57"/>
      <c r="D629" s="57"/>
      <c r="E629" s="57"/>
      <c r="F629" s="57"/>
      <c r="G629" s="57"/>
      <c r="H629" s="65"/>
      <c r="I629" s="65"/>
      <c r="J629" s="65"/>
      <c r="K629" s="65"/>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7"/>
      <c r="AR629" s="57"/>
      <c r="AS629" s="57"/>
      <c r="AT629" s="57"/>
      <c r="AU629" s="57"/>
      <c r="AV629" s="57"/>
      <c r="AW629" s="57"/>
      <c r="AX629" s="57"/>
      <c r="AY629" s="57"/>
      <c r="AZ629" s="57"/>
    </row>
    <row r="630">
      <c r="A630" s="57"/>
      <c r="B630" s="57"/>
      <c r="C630" s="57"/>
      <c r="D630" s="57"/>
      <c r="E630" s="57"/>
      <c r="F630" s="57"/>
      <c r="G630" s="57"/>
      <c r="H630" s="65"/>
      <c r="I630" s="65"/>
      <c r="J630" s="65"/>
      <c r="K630" s="65"/>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7"/>
      <c r="AR630" s="57"/>
      <c r="AS630" s="57"/>
      <c r="AT630" s="57"/>
      <c r="AU630" s="57"/>
      <c r="AV630" s="57"/>
      <c r="AW630" s="57"/>
      <c r="AX630" s="57"/>
      <c r="AY630" s="57"/>
      <c r="AZ630" s="57"/>
    </row>
    <row r="631">
      <c r="A631" s="57"/>
      <c r="B631" s="57"/>
      <c r="C631" s="57"/>
      <c r="D631" s="57"/>
      <c r="E631" s="57"/>
      <c r="F631" s="57"/>
      <c r="G631" s="57"/>
      <c r="H631" s="65"/>
      <c r="I631" s="65"/>
      <c r="J631" s="65"/>
      <c r="K631" s="65"/>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7"/>
      <c r="AR631" s="57"/>
      <c r="AS631" s="57"/>
      <c r="AT631" s="57"/>
      <c r="AU631" s="57"/>
      <c r="AV631" s="57"/>
      <c r="AW631" s="57"/>
      <c r="AX631" s="57"/>
      <c r="AY631" s="57"/>
      <c r="AZ631" s="57"/>
    </row>
    <row r="632">
      <c r="A632" s="57"/>
      <c r="B632" s="57"/>
      <c r="C632" s="57"/>
      <c r="D632" s="57"/>
      <c r="E632" s="57"/>
      <c r="F632" s="57"/>
      <c r="G632" s="57"/>
      <c r="H632" s="65"/>
      <c r="I632" s="65"/>
      <c r="J632" s="65"/>
      <c r="K632" s="65"/>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7"/>
      <c r="AR632" s="57"/>
      <c r="AS632" s="57"/>
      <c r="AT632" s="57"/>
      <c r="AU632" s="57"/>
      <c r="AV632" s="57"/>
      <c r="AW632" s="57"/>
      <c r="AX632" s="57"/>
      <c r="AY632" s="57"/>
      <c r="AZ632" s="57"/>
    </row>
    <row r="633">
      <c r="A633" s="57"/>
      <c r="B633" s="57"/>
      <c r="C633" s="57"/>
      <c r="D633" s="57"/>
      <c r="E633" s="57"/>
      <c r="F633" s="57"/>
      <c r="G633" s="57"/>
      <c r="H633" s="65"/>
      <c r="I633" s="65"/>
      <c r="J633" s="65"/>
      <c r="K633" s="65"/>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7"/>
      <c r="AR633" s="57"/>
      <c r="AS633" s="57"/>
      <c r="AT633" s="57"/>
      <c r="AU633" s="57"/>
      <c r="AV633" s="57"/>
      <c r="AW633" s="57"/>
      <c r="AX633" s="57"/>
      <c r="AY633" s="57"/>
      <c r="AZ633" s="57"/>
    </row>
    <row r="634">
      <c r="A634" s="57"/>
      <c r="B634" s="57"/>
      <c r="C634" s="57"/>
      <c r="D634" s="57"/>
      <c r="E634" s="57"/>
      <c r="F634" s="57"/>
      <c r="G634" s="57"/>
      <c r="H634" s="65"/>
      <c r="I634" s="65"/>
      <c r="J634" s="65"/>
      <c r="K634" s="65"/>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7"/>
      <c r="AR634" s="57"/>
      <c r="AS634" s="57"/>
      <c r="AT634" s="57"/>
      <c r="AU634" s="57"/>
      <c r="AV634" s="57"/>
      <c r="AW634" s="57"/>
      <c r="AX634" s="57"/>
      <c r="AY634" s="57"/>
      <c r="AZ634" s="57"/>
    </row>
    <row r="635">
      <c r="A635" s="57"/>
      <c r="B635" s="57"/>
      <c r="C635" s="57"/>
      <c r="D635" s="57"/>
      <c r="E635" s="57"/>
      <c r="F635" s="57"/>
      <c r="G635" s="57"/>
      <c r="H635" s="65"/>
      <c r="I635" s="65"/>
      <c r="J635" s="65"/>
      <c r="K635" s="65"/>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7"/>
      <c r="AR635" s="57"/>
      <c r="AS635" s="57"/>
      <c r="AT635" s="57"/>
      <c r="AU635" s="57"/>
      <c r="AV635" s="57"/>
      <c r="AW635" s="57"/>
      <c r="AX635" s="57"/>
      <c r="AY635" s="57"/>
      <c r="AZ635" s="57"/>
    </row>
    <row r="636">
      <c r="A636" s="57"/>
      <c r="B636" s="57"/>
      <c r="C636" s="57"/>
      <c r="D636" s="57"/>
      <c r="E636" s="57"/>
      <c r="F636" s="57"/>
      <c r="G636" s="57"/>
      <c r="H636" s="65"/>
      <c r="I636" s="65"/>
      <c r="J636" s="65"/>
      <c r="K636" s="65"/>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7"/>
      <c r="AR636" s="57"/>
      <c r="AS636" s="57"/>
      <c r="AT636" s="57"/>
      <c r="AU636" s="57"/>
      <c r="AV636" s="57"/>
      <c r="AW636" s="57"/>
      <c r="AX636" s="57"/>
      <c r="AY636" s="57"/>
      <c r="AZ636" s="57"/>
    </row>
    <row r="637">
      <c r="A637" s="57"/>
      <c r="B637" s="57"/>
      <c r="C637" s="57"/>
      <c r="D637" s="57"/>
      <c r="E637" s="57"/>
      <c r="F637" s="57"/>
      <c r="G637" s="57"/>
      <c r="H637" s="65"/>
      <c r="I637" s="65"/>
      <c r="J637" s="65"/>
      <c r="K637" s="65"/>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7"/>
      <c r="AR637" s="57"/>
      <c r="AS637" s="57"/>
      <c r="AT637" s="57"/>
      <c r="AU637" s="57"/>
      <c r="AV637" s="57"/>
      <c r="AW637" s="57"/>
      <c r="AX637" s="57"/>
      <c r="AY637" s="57"/>
      <c r="AZ637" s="57"/>
    </row>
    <row r="638">
      <c r="A638" s="57"/>
      <c r="B638" s="57"/>
      <c r="C638" s="57"/>
      <c r="D638" s="57"/>
      <c r="E638" s="57"/>
      <c r="F638" s="57"/>
      <c r="G638" s="57"/>
      <c r="H638" s="65"/>
      <c r="I638" s="65"/>
      <c r="J638" s="65"/>
      <c r="K638" s="65"/>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7"/>
      <c r="AR638" s="57"/>
      <c r="AS638" s="57"/>
      <c r="AT638" s="57"/>
      <c r="AU638" s="57"/>
      <c r="AV638" s="57"/>
      <c r="AW638" s="57"/>
      <c r="AX638" s="57"/>
      <c r="AY638" s="57"/>
      <c r="AZ638" s="57"/>
    </row>
    <row r="639">
      <c r="A639" s="57"/>
      <c r="B639" s="57"/>
      <c r="C639" s="57"/>
      <c r="D639" s="57"/>
      <c r="E639" s="57"/>
      <c r="F639" s="57"/>
      <c r="G639" s="57"/>
      <c r="H639" s="65"/>
      <c r="I639" s="65"/>
      <c r="J639" s="65"/>
      <c r="K639" s="65"/>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7"/>
      <c r="AR639" s="57"/>
      <c r="AS639" s="57"/>
      <c r="AT639" s="57"/>
      <c r="AU639" s="57"/>
      <c r="AV639" s="57"/>
      <c r="AW639" s="57"/>
      <c r="AX639" s="57"/>
      <c r="AY639" s="57"/>
      <c r="AZ639" s="57"/>
    </row>
    <row r="640">
      <c r="A640" s="57"/>
      <c r="B640" s="57"/>
      <c r="C640" s="57"/>
      <c r="D640" s="57"/>
      <c r="E640" s="57"/>
      <c r="F640" s="57"/>
      <c r="G640" s="57"/>
      <c r="H640" s="65"/>
      <c r="I640" s="65"/>
      <c r="J640" s="65"/>
      <c r="K640" s="65"/>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7"/>
      <c r="AR640" s="57"/>
      <c r="AS640" s="57"/>
      <c r="AT640" s="57"/>
      <c r="AU640" s="57"/>
      <c r="AV640" s="57"/>
      <c r="AW640" s="57"/>
      <c r="AX640" s="57"/>
      <c r="AY640" s="57"/>
      <c r="AZ640" s="57"/>
    </row>
    <row r="641">
      <c r="A641" s="57"/>
      <c r="B641" s="57"/>
      <c r="C641" s="57"/>
      <c r="D641" s="57"/>
      <c r="E641" s="57"/>
      <c r="F641" s="57"/>
      <c r="G641" s="57"/>
      <c r="H641" s="65"/>
      <c r="I641" s="65"/>
      <c r="J641" s="65"/>
      <c r="K641" s="65"/>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7"/>
      <c r="AR641" s="57"/>
      <c r="AS641" s="57"/>
      <c r="AT641" s="57"/>
      <c r="AU641" s="57"/>
      <c r="AV641" s="57"/>
      <c r="AW641" s="57"/>
      <c r="AX641" s="57"/>
      <c r="AY641" s="57"/>
      <c r="AZ641" s="57"/>
    </row>
    <row r="642">
      <c r="A642" s="57"/>
      <c r="B642" s="57"/>
      <c r="C642" s="57"/>
      <c r="D642" s="57"/>
      <c r="E642" s="57"/>
      <c r="F642" s="57"/>
      <c r="G642" s="57"/>
      <c r="H642" s="65"/>
      <c r="I642" s="65"/>
      <c r="J642" s="65"/>
      <c r="K642" s="65"/>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7"/>
      <c r="AR642" s="57"/>
      <c r="AS642" s="57"/>
      <c r="AT642" s="57"/>
      <c r="AU642" s="57"/>
      <c r="AV642" s="57"/>
      <c r="AW642" s="57"/>
      <c r="AX642" s="57"/>
      <c r="AY642" s="57"/>
      <c r="AZ642" s="57"/>
    </row>
    <row r="643">
      <c r="A643" s="57"/>
      <c r="B643" s="57"/>
      <c r="C643" s="57"/>
      <c r="D643" s="57"/>
      <c r="E643" s="57"/>
      <c r="F643" s="57"/>
      <c r="G643" s="57"/>
      <c r="H643" s="65"/>
      <c r="I643" s="65"/>
      <c r="J643" s="65"/>
      <c r="K643" s="65"/>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7"/>
      <c r="AR643" s="57"/>
      <c r="AS643" s="57"/>
      <c r="AT643" s="57"/>
      <c r="AU643" s="57"/>
      <c r="AV643" s="57"/>
      <c r="AW643" s="57"/>
      <c r="AX643" s="57"/>
      <c r="AY643" s="57"/>
      <c r="AZ643" s="57"/>
    </row>
    <row r="644">
      <c r="A644" s="57"/>
      <c r="B644" s="57"/>
      <c r="C644" s="57"/>
      <c r="D644" s="57"/>
      <c r="E644" s="57"/>
      <c r="F644" s="57"/>
      <c r="G644" s="57"/>
      <c r="H644" s="65"/>
      <c r="I644" s="65"/>
      <c r="J644" s="65"/>
      <c r="K644" s="65"/>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7"/>
      <c r="AR644" s="57"/>
      <c r="AS644" s="57"/>
      <c r="AT644" s="57"/>
      <c r="AU644" s="57"/>
      <c r="AV644" s="57"/>
      <c r="AW644" s="57"/>
      <c r="AX644" s="57"/>
      <c r="AY644" s="57"/>
      <c r="AZ644" s="57"/>
    </row>
    <row r="645">
      <c r="A645" s="57"/>
      <c r="B645" s="57"/>
      <c r="C645" s="57"/>
      <c r="D645" s="57"/>
      <c r="E645" s="57"/>
      <c r="F645" s="57"/>
      <c r="G645" s="57"/>
      <c r="H645" s="65"/>
      <c r="I645" s="65"/>
      <c r="J645" s="65"/>
      <c r="K645" s="65"/>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c r="AT645" s="57"/>
      <c r="AU645" s="57"/>
      <c r="AV645" s="57"/>
      <c r="AW645" s="57"/>
      <c r="AX645" s="57"/>
      <c r="AY645" s="57"/>
      <c r="AZ645" s="57"/>
    </row>
    <row r="646">
      <c r="A646" s="57"/>
      <c r="B646" s="57"/>
      <c r="C646" s="57"/>
      <c r="D646" s="57"/>
      <c r="E646" s="57"/>
      <c r="F646" s="57"/>
      <c r="G646" s="57"/>
      <c r="H646" s="65"/>
      <c r="I646" s="65"/>
      <c r="J646" s="65"/>
      <c r="K646" s="65"/>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7"/>
      <c r="AR646" s="57"/>
      <c r="AS646" s="57"/>
      <c r="AT646" s="57"/>
      <c r="AU646" s="57"/>
      <c r="AV646" s="57"/>
      <c r="AW646" s="57"/>
      <c r="AX646" s="57"/>
      <c r="AY646" s="57"/>
      <c r="AZ646" s="57"/>
    </row>
    <row r="647">
      <c r="A647" s="57"/>
      <c r="B647" s="57"/>
      <c r="C647" s="57"/>
      <c r="D647" s="57"/>
      <c r="E647" s="57"/>
      <c r="F647" s="57"/>
      <c r="G647" s="57"/>
      <c r="H647" s="65"/>
      <c r="I647" s="65"/>
      <c r="J647" s="65"/>
      <c r="K647" s="65"/>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7"/>
      <c r="AR647" s="57"/>
      <c r="AS647" s="57"/>
      <c r="AT647" s="57"/>
      <c r="AU647" s="57"/>
      <c r="AV647" s="57"/>
      <c r="AW647" s="57"/>
      <c r="AX647" s="57"/>
      <c r="AY647" s="57"/>
      <c r="AZ647" s="57"/>
    </row>
    <row r="648">
      <c r="A648" s="57"/>
      <c r="B648" s="57"/>
      <c r="C648" s="57"/>
      <c r="D648" s="57"/>
      <c r="E648" s="57"/>
      <c r="F648" s="57"/>
      <c r="G648" s="57"/>
      <c r="H648" s="65"/>
      <c r="I648" s="65"/>
      <c r="J648" s="65"/>
      <c r="K648" s="65"/>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7"/>
      <c r="AR648" s="57"/>
      <c r="AS648" s="57"/>
      <c r="AT648" s="57"/>
      <c r="AU648" s="57"/>
      <c r="AV648" s="57"/>
      <c r="AW648" s="57"/>
      <c r="AX648" s="57"/>
      <c r="AY648" s="57"/>
      <c r="AZ648" s="57"/>
    </row>
    <row r="649">
      <c r="A649" s="57"/>
      <c r="B649" s="57"/>
      <c r="C649" s="57"/>
      <c r="D649" s="57"/>
      <c r="E649" s="57"/>
      <c r="F649" s="57"/>
      <c r="G649" s="57"/>
      <c r="H649" s="65"/>
      <c r="I649" s="65"/>
      <c r="J649" s="65"/>
      <c r="K649" s="65"/>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57"/>
      <c r="AT649" s="57"/>
      <c r="AU649" s="57"/>
      <c r="AV649" s="57"/>
      <c r="AW649" s="57"/>
      <c r="AX649" s="57"/>
      <c r="AY649" s="57"/>
      <c r="AZ649" s="57"/>
    </row>
    <row r="650">
      <c r="A650" s="57"/>
      <c r="B650" s="57"/>
      <c r="C650" s="57"/>
      <c r="D650" s="57"/>
      <c r="E650" s="57"/>
      <c r="F650" s="57"/>
      <c r="G650" s="57"/>
      <c r="H650" s="65"/>
      <c r="I650" s="65"/>
      <c r="J650" s="65"/>
      <c r="K650" s="65"/>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c r="AT650" s="57"/>
      <c r="AU650" s="57"/>
      <c r="AV650" s="57"/>
      <c r="AW650" s="57"/>
      <c r="AX650" s="57"/>
      <c r="AY650" s="57"/>
      <c r="AZ650" s="57"/>
    </row>
    <row r="651">
      <c r="A651" s="57"/>
      <c r="B651" s="57"/>
      <c r="C651" s="57"/>
      <c r="D651" s="57"/>
      <c r="E651" s="57"/>
      <c r="F651" s="57"/>
      <c r="G651" s="57"/>
      <c r="H651" s="65"/>
      <c r="I651" s="65"/>
      <c r="J651" s="65"/>
      <c r="K651" s="65"/>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7"/>
      <c r="AR651" s="57"/>
      <c r="AS651" s="57"/>
      <c r="AT651" s="57"/>
      <c r="AU651" s="57"/>
      <c r="AV651" s="57"/>
      <c r="AW651" s="57"/>
      <c r="AX651" s="57"/>
      <c r="AY651" s="57"/>
      <c r="AZ651" s="57"/>
    </row>
    <row r="652">
      <c r="A652" s="57"/>
      <c r="B652" s="57"/>
      <c r="C652" s="57"/>
      <c r="D652" s="57"/>
      <c r="E652" s="57"/>
      <c r="F652" s="57"/>
      <c r="G652" s="57"/>
      <c r="H652" s="65"/>
      <c r="I652" s="65"/>
      <c r="J652" s="65"/>
      <c r="K652" s="65"/>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7"/>
      <c r="AR652" s="57"/>
      <c r="AS652" s="57"/>
      <c r="AT652" s="57"/>
      <c r="AU652" s="57"/>
      <c r="AV652" s="57"/>
      <c r="AW652" s="57"/>
      <c r="AX652" s="57"/>
      <c r="AY652" s="57"/>
      <c r="AZ652" s="57"/>
    </row>
    <row r="653">
      <c r="A653" s="57"/>
      <c r="B653" s="57"/>
      <c r="C653" s="57"/>
      <c r="D653" s="57"/>
      <c r="E653" s="57"/>
      <c r="F653" s="57"/>
      <c r="G653" s="57"/>
      <c r="H653" s="65"/>
      <c r="I653" s="65"/>
      <c r="J653" s="65"/>
      <c r="K653" s="65"/>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57"/>
      <c r="AT653" s="57"/>
      <c r="AU653" s="57"/>
      <c r="AV653" s="57"/>
      <c r="AW653" s="57"/>
      <c r="AX653" s="57"/>
      <c r="AY653" s="57"/>
      <c r="AZ653" s="57"/>
    </row>
    <row r="654">
      <c r="A654" s="57"/>
      <c r="B654" s="57"/>
      <c r="C654" s="57"/>
      <c r="D654" s="57"/>
      <c r="E654" s="57"/>
      <c r="F654" s="57"/>
      <c r="G654" s="57"/>
      <c r="H654" s="65"/>
      <c r="I654" s="65"/>
      <c r="J654" s="65"/>
      <c r="K654" s="65"/>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c r="AT654" s="57"/>
      <c r="AU654" s="57"/>
      <c r="AV654" s="57"/>
      <c r="AW654" s="57"/>
      <c r="AX654" s="57"/>
      <c r="AY654" s="57"/>
      <c r="AZ654" s="57"/>
    </row>
    <row r="655">
      <c r="A655" s="57"/>
      <c r="B655" s="57"/>
      <c r="C655" s="57"/>
      <c r="D655" s="57"/>
      <c r="E655" s="57"/>
      <c r="F655" s="57"/>
      <c r="G655" s="57"/>
      <c r="H655" s="65"/>
      <c r="I655" s="65"/>
      <c r="J655" s="65"/>
      <c r="K655" s="65"/>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7"/>
      <c r="AR655" s="57"/>
      <c r="AS655" s="57"/>
      <c r="AT655" s="57"/>
      <c r="AU655" s="57"/>
      <c r="AV655" s="57"/>
      <c r="AW655" s="57"/>
      <c r="AX655" s="57"/>
      <c r="AY655" s="57"/>
      <c r="AZ655" s="57"/>
    </row>
    <row r="656">
      <c r="A656" s="57"/>
      <c r="B656" s="57"/>
      <c r="C656" s="57"/>
      <c r="D656" s="57"/>
      <c r="E656" s="57"/>
      <c r="F656" s="57"/>
      <c r="G656" s="57"/>
      <c r="H656" s="65"/>
      <c r="I656" s="65"/>
      <c r="J656" s="65"/>
      <c r="K656" s="65"/>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7"/>
      <c r="AR656" s="57"/>
      <c r="AS656" s="57"/>
      <c r="AT656" s="57"/>
      <c r="AU656" s="57"/>
      <c r="AV656" s="57"/>
      <c r="AW656" s="57"/>
      <c r="AX656" s="57"/>
      <c r="AY656" s="57"/>
      <c r="AZ656" s="57"/>
    </row>
    <row r="657">
      <c r="A657" s="57"/>
      <c r="B657" s="57"/>
      <c r="C657" s="57"/>
      <c r="D657" s="57"/>
      <c r="E657" s="57"/>
      <c r="F657" s="57"/>
      <c r="G657" s="57"/>
      <c r="H657" s="65"/>
      <c r="I657" s="65"/>
      <c r="J657" s="65"/>
      <c r="K657" s="65"/>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7"/>
      <c r="AR657" s="57"/>
      <c r="AS657" s="57"/>
      <c r="AT657" s="57"/>
      <c r="AU657" s="57"/>
      <c r="AV657" s="57"/>
      <c r="AW657" s="57"/>
      <c r="AX657" s="57"/>
      <c r="AY657" s="57"/>
      <c r="AZ657" s="57"/>
    </row>
    <row r="658">
      <c r="A658" s="57"/>
      <c r="B658" s="57"/>
      <c r="C658" s="57"/>
      <c r="D658" s="57"/>
      <c r="E658" s="57"/>
      <c r="F658" s="57"/>
      <c r="G658" s="57"/>
      <c r="H658" s="65"/>
      <c r="I658" s="65"/>
      <c r="J658" s="65"/>
      <c r="K658" s="65"/>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57"/>
      <c r="AT658" s="57"/>
      <c r="AU658" s="57"/>
      <c r="AV658" s="57"/>
      <c r="AW658" s="57"/>
      <c r="AX658" s="57"/>
      <c r="AY658" s="57"/>
      <c r="AZ658" s="57"/>
    </row>
    <row r="659">
      <c r="A659" s="57"/>
      <c r="B659" s="57"/>
      <c r="C659" s="57"/>
      <c r="D659" s="57"/>
      <c r="E659" s="57"/>
      <c r="F659" s="57"/>
      <c r="G659" s="57"/>
      <c r="H659" s="65"/>
      <c r="I659" s="65"/>
      <c r="J659" s="65"/>
      <c r="K659" s="65"/>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7"/>
      <c r="AR659" s="57"/>
      <c r="AS659" s="57"/>
      <c r="AT659" s="57"/>
      <c r="AU659" s="57"/>
      <c r="AV659" s="57"/>
      <c r="AW659" s="57"/>
      <c r="AX659" s="57"/>
      <c r="AY659" s="57"/>
      <c r="AZ659" s="57"/>
    </row>
    <row r="660">
      <c r="A660" s="57"/>
      <c r="B660" s="57"/>
      <c r="C660" s="57"/>
      <c r="D660" s="57"/>
      <c r="E660" s="57"/>
      <c r="F660" s="57"/>
      <c r="G660" s="57"/>
      <c r="H660" s="65"/>
      <c r="I660" s="65"/>
      <c r="J660" s="65"/>
      <c r="K660" s="65"/>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7"/>
      <c r="AR660" s="57"/>
      <c r="AS660" s="57"/>
      <c r="AT660" s="57"/>
      <c r="AU660" s="57"/>
      <c r="AV660" s="57"/>
      <c r="AW660" s="57"/>
      <c r="AX660" s="57"/>
      <c r="AY660" s="57"/>
      <c r="AZ660" s="57"/>
    </row>
    <row r="661">
      <c r="A661" s="57"/>
      <c r="B661" s="57"/>
      <c r="C661" s="57"/>
      <c r="D661" s="57"/>
      <c r="E661" s="57"/>
      <c r="F661" s="57"/>
      <c r="G661" s="57"/>
      <c r="H661" s="65"/>
      <c r="I661" s="65"/>
      <c r="J661" s="65"/>
      <c r="K661" s="65"/>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7"/>
      <c r="AR661" s="57"/>
      <c r="AS661" s="57"/>
      <c r="AT661" s="57"/>
      <c r="AU661" s="57"/>
      <c r="AV661" s="57"/>
      <c r="AW661" s="57"/>
      <c r="AX661" s="57"/>
      <c r="AY661" s="57"/>
      <c r="AZ661" s="57"/>
    </row>
    <row r="662">
      <c r="A662" s="57"/>
      <c r="B662" s="57"/>
      <c r="C662" s="57"/>
      <c r="D662" s="57"/>
      <c r="E662" s="57"/>
      <c r="F662" s="57"/>
      <c r="G662" s="57"/>
      <c r="H662" s="65"/>
      <c r="I662" s="65"/>
      <c r="J662" s="65"/>
      <c r="K662" s="65"/>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7"/>
      <c r="AR662" s="57"/>
      <c r="AS662" s="57"/>
      <c r="AT662" s="57"/>
      <c r="AU662" s="57"/>
      <c r="AV662" s="57"/>
      <c r="AW662" s="57"/>
      <c r="AX662" s="57"/>
      <c r="AY662" s="57"/>
      <c r="AZ662" s="57"/>
    </row>
    <row r="663">
      <c r="A663" s="57"/>
      <c r="B663" s="57"/>
      <c r="C663" s="57"/>
      <c r="D663" s="57"/>
      <c r="E663" s="57"/>
      <c r="F663" s="57"/>
      <c r="G663" s="57"/>
      <c r="H663" s="65"/>
      <c r="I663" s="65"/>
      <c r="J663" s="65"/>
      <c r="K663" s="65"/>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7"/>
      <c r="AR663" s="57"/>
      <c r="AS663" s="57"/>
      <c r="AT663" s="57"/>
      <c r="AU663" s="57"/>
      <c r="AV663" s="57"/>
      <c r="AW663" s="57"/>
      <c r="AX663" s="57"/>
      <c r="AY663" s="57"/>
      <c r="AZ663" s="57"/>
    </row>
    <row r="664">
      <c r="A664" s="57"/>
      <c r="B664" s="57"/>
      <c r="C664" s="57"/>
      <c r="D664" s="57"/>
      <c r="E664" s="57"/>
      <c r="F664" s="57"/>
      <c r="G664" s="57"/>
      <c r="H664" s="65"/>
      <c r="I664" s="65"/>
      <c r="J664" s="65"/>
      <c r="K664" s="65"/>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7"/>
      <c r="AR664" s="57"/>
      <c r="AS664" s="57"/>
      <c r="AT664" s="57"/>
      <c r="AU664" s="57"/>
      <c r="AV664" s="57"/>
      <c r="AW664" s="57"/>
      <c r="AX664" s="57"/>
      <c r="AY664" s="57"/>
      <c r="AZ664" s="57"/>
    </row>
    <row r="665">
      <c r="A665" s="57"/>
      <c r="B665" s="57"/>
      <c r="C665" s="57"/>
      <c r="D665" s="57"/>
      <c r="E665" s="57"/>
      <c r="F665" s="57"/>
      <c r="G665" s="57"/>
      <c r="H665" s="65"/>
      <c r="I665" s="65"/>
      <c r="J665" s="65"/>
      <c r="K665" s="65"/>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7"/>
      <c r="AR665" s="57"/>
      <c r="AS665" s="57"/>
      <c r="AT665" s="57"/>
      <c r="AU665" s="57"/>
      <c r="AV665" s="57"/>
      <c r="AW665" s="57"/>
      <c r="AX665" s="57"/>
      <c r="AY665" s="57"/>
      <c r="AZ665" s="57"/>
    </row>
    <row r="666">
      <c r="A666" s="57"/>
      <c r="B666" s="57"/>
      <c r="C666" s="57"/>
      <c r="D666" s="57"/>
      <c r="E666" s="57"/>
      <c r="F666" s="57"/>
      <c r="G666" s="57"/>
      <c r="H666" s="65"/>
      <c r="I666" s="65"/>
      <c r="J666" s="65"/>
      <c r="K666" s="65"/>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7"/>
      <c r="AR666" s="57"/>
      <c r="AS666" s="57"/>
      <c r="AT666" s="57"/>
      <c r="AU666" s="57"/>
      <c r="AV666" s="57"/>
      <c r="AW666" s="57"/>
      <c r="AX666" s="57"/>
      <c r="AY666" s="57"/>
      <c r="AZ666" s="57"/>
    </row>
    <row r="667">
      <c r="A667" s="57"/>
      <c r="B667" s="57"/>
      <c r="C667" s="57"/>
      <c r="D667" s="57"/>
      <c r="E667" s="57"/>
      <c r="F667" s="57"/>
      <c r="G667" s="57"/>
      <c r="H667" s="65"/>
      <c r="I667" s="65"/>
      <c r="J667" s="65"/>
      <c r="K667" s="65"/>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57"/>
      <c r="AT667" s="57"/>
      <c r="AU667" s="57"/>
      <c r="AV667" s="57"/>
      <c r="AW667" s="57"/>
      <c r="AX667" s="57"/>
      <c r="AY667" s="57"/>
      <c r="AZ667" s="57"/>
    </row>
    <row r="668">
      <c r="A668" s="57"/>
      <c r="B668" s="57"/>
      <c r="C668" s="57"/>
      <c r="D668" s="57"/>
      <c r="E668" s="57"/>
      <c r="F668" s="57"/>
      <c r="G668" s="57"/>
      <c r="H668" s="65"/>
      <c r="I668" s="65"/>
      <c r="J668" s="65"/>
      <c r="K668" s="65"/>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57"/>
      <c r="AT668" s="57"/>
      <c r="AU668" s="57"/>
      <c r="AV668" s="57"/>
      <c r="AW668" s="57"/>
      <c r="AX668" s="57"/>
      <c r="AY668" s="57"/>
      <c r="AZ668" s="57"/>
    </row>
    <row r="669">
      <c r="A669" s="57"/>
      <c r="B669" s="57"/>
      <c r="C669" s="57"/>
      <c r="D669" s="57"/>
      <c r="E669" s="57"/>
      <c r="F669" s="57"/>
      <c r="G669" s="57"/>
      <c r="H669" s="65"/>
      <c r="I669" s="65"/>
      <c r="J669" s="65"/>
      <c r="K669" s="65"/>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7"/>
      <c r="AR669" s="57"/>
      <c r="AS669" s="57"/>
      <c r="AT669" s="57"/>
      <c r="AU669" s="57"/>
      <c r="AV669" s="57"/>
      <c r="AW669" s="57"/>
      <c r="AX669" s="57"/>
      <c r="AY669" s="57"/>
      <c r="AZ669" s="57"/>
    </row>
    <row r="670">
      <c r="A670" s="57"/>
      <c r="B670" s="57"/>
      <c r="C670" s="57"/>
      <c r="D670" s="57"/>
      <c r="E670" s="57"/>
      <c r="F670" s="57"/>
      <c r="G670" s="57"/>
      <c r="H670" s="65"/>
      <c r="I670" s="65"/>
      <c r="J670" s="65"/>
      <c r="K670" s="65"/>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57"/>
      <c r="AT670" s="57"/>
      <c r="AU670" s="57"/>
      <c r="AV670" s="57"/>
      <c r="AW670" s="57"/>
      <c r="AX670" s="57"/>
      <c r="AY670" s="57"/>
      <c r="AZ670" s="57"/>
    </row>
    <row r="671">
      <c r="A671" s="57"/>
      <c r="B671" s="57"/>
      <c r="C671" s="57"/>
      <c r="D671" s="57"/>
      <c r="E671" s="57"/>
      <c r="F671" s="57"/>
      <c r="G671" s="57"/>
      <c r="H671" s="65"/>
      <c r="I671" s="65"/>
      <c r="J671" s="65"/>
      <c r="K671" s="65"/>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7"/>
      <c r="AR671" s="57"/>
      <c r="AS671" s="57"/>
      <c r="AT671" s="57"/>
      <c r="AU671" s="57"/>
      <c r="AV671" s="57"/>
      <c r="AW671" s="57"/>
      <c r="AX671" s="57"/>
      <c r="AY671" s="57"/>
      <c r="AZ671" s="57"/>
    </row>
    <row r="672">
      <c r="A672" s="57"/>
      <c r="B672" s="57"/>
      <c r="C672" s="57"/>
      <c r="D672" s="57"/>
      <c r="E672" s="57"/>
      <c r="F672" s="57"/>
      <c r="G672" s="57"/>
      <c r="H672" s="65"/>
      <c r="I672" s="65"/>
      <c r="J672" s="65"/>
      <c r="K672" s="65"/>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7"/>
      <c r="AR672" s="57"/>
      <c r="AS672" s="57"/>
      <c r="AT672" s="57"/>
      <c r="AU672" s="57"/>
      <c r="AV672" s="57"/>
      <c r="AW672" s="57"/>
      <c r="AX672" s="57"/>
      <c r="AY672" s="57"/>
      <c r="AZ672" s="57"/>
    </row>
    <row r="673">
      <c r="A673" s="57"/>
      <c r="B673" s="57"/>
      <c r="C673" s="57"/>
      <c r="D673" s="57"/>
      <c r="E673" s="57"/>
      <c r="F673" s="57"/>
      <c r="G673" s="57"/>
      <c r="H673" s="65"/>
      <c r="I673" s="65"/>
      <c r="J673" s="65"/>
      <c r="K673" s="65"/>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7"/>
      <c r="AR673" s="57"/>
      <c r="AS673" s="57"/>
      <c r="AT673" s="57"/>
      <c r="AU673" s="57"/>
      <c r="AV673" s="57"/>
      <c r="AW673" s="57"/>
      <c r="AX673" s="57"/>
      <c r="AY673" s="57"/>
      <c r="AZ673" s="57"/>
    </row>
    <row r="674">
      <c r="A674" s="57"/>
      <c r="B674" s="57"/>
      <c r="C674" s="57"/>
      <c r="D674" s="57"/>
      <c r="E674" s="57"/>
      <c r="F674" s="57"/>
      <c r="G674" s="57"/>
      <c r="H674" s="65"/>
      <c r="I674" s="65"/>
      <c r="J674" s="65"/>
      <c r="K674" s="65"/>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7"/>
      <c r="AR674" s="57"/>
      <c r="AS674" s="57"/>
      <c r="AT674" s="57"/>
      <c r="AU674" s="57"/>
      <c r="AV674" s="57"/>
      <c r="AW674" s="57"/>
      <c r="AX674" s="57"/>
      <c r="AY674" s="57"/>
      <c r="AZ674" s="57"/>
    </row>
    <row r="675">
      <c r="A675" s="57"/>
      <c r="B675" s="57"/>
      <c r="C675" s="57"/>
      <c r="D675" s="57"/>
      <c r="E675" s="57"/>
      <c r="F675" s="57"/>
      <c r="G675" s="57"/>
      <c r="H675" s="65"/>
      <c r="I675" s="65"/>
      <c r="J675" s="65"/>
      <c r="K675" s="65"/>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57"/>
      <c r="AT675" s="57"/>
      <c r="AU675" s="57"/>
      <c r="AV675" s="57"/>
      <c r="AW675" s="57"/>
      <c r="AX675" s="57"/>
      <c r="AY675" s="57"/>
      <c r="AZ675" s="57"/>
    </row>
    <row r="676">
      <c r="A676" s="57"/>
      <c r="B676" s="57"/>
      <c r="C676" s="57"/>
      <c r="D676" s="57"/>
      <c r="E676" s="57"/>
      <c r="F676" s="57"/>
      <c r="G676" s="57"/>
      <c r="H676" s="65"/>
      <c r="I676" s="65"/>
      <c r="J676" s="65"/>
      <c r="K676" s="65"/>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7"/>
      <c r="AR676" s="57"/>
      <c r="AS676" s="57"/>
      <c r="AT676" s="57"/>
      <c r="AU676" s="57"/>
      <c r="AV676" s="57"/>
      <c r="AW676" s="57"/>
      <c r="AX676" s="57"/>
      <c r="AY676" s="57"/>
      <c r="AZ676" s="57"/>
    </row>
    <row r="677">
      <c r="A677" s="57"/>
      <c r="B677" s="57"/>
      <c r="C677" s="57"/>
      <c r="D677" s="57"/>
      <c r="E677" s="57"/>
      <c r="F677" s="57"/>
      <c r="G677" s="57"/>
      <c r="H677" s="65"/>
      <c r="I677" s="65"/>
      <c r="J677" s="65"/>
      <c r="K677" s="65"/>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7"/>
      <c r="AR677" s="57"/>
      <c r="AS677" s="57"/>
      <c r="AT677" s="57"/>
      <c r="AU677" s="57"/>
      <c r="AV677" s="57"/>
      <c r="AW677" s="57"/>
      <c r="AX677" s="57"/>
      <c r="AY677" s="57"/>
      <c r="AZ677" s="57"/>
    </row>
    <row r="678">
      <c r="A678" s="57"/>
      <c r="B678" s="57"/>
      <c r="C678" s="57"/>
      <c r="D678" s="57"/>
      <c r="E678" s="57"/>
      <c r="F678" s="57"/>
      <c r="G678" s="57"/>
      <c r="H678" s="65"/>
      <c r="I678" s="65"/>
      <c r="J678" s="65"/>
      <c r="K678" s="65"/>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7"/>
      <c r="AR678" s="57"/>
      <c r="AS678" s="57"/>
      <c r="AT678" s="57"/>
      <c r="AU678" s="57"/>
      <c r="AV678" s="57"/>
      <c r="AW678" s="57"/>
      <c r="AX678" s="57"/>
      <c r="AY678" s="57"/>
      <c r="AZ678" s="57"/>
    </row>
    <row r="679">
      <c r="A679" s="57"/>
      <c r="B679" s="57"/>
      <c r="C679" s="57"/>
      <c r="D679" s="57"/>
      <c r="E679" s="57"/>
      <c r="F679" s="57"/>
      <c r="G679" s="57"/>
      <c r="H679" s="65"/>
      <c r="I679" s="65"/>
      <c r="J679" s="65"/>
      <c r="K679" s="65"/>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7"/>
      <c r="AR679" s="57"/>
      <c r="AS679" s="57"/>
      <c r="AT679" s="57"/>
      <c r="AU679" s="57"/>
      <c r="AV679" s="57"/>
      <c r="AW679" s="57"/>
      <c r="AX679" s="57"/>
      <c r="AY679" s="57"/>
      <c r="AZ679" s="57"/>
    </row>
    <row r="680">
      <c r="A680" s="57"/>
      <c r="B680" s="57"/>
      <c r="C680" s="57"/>
      <c r="D680" s="57"/>
      <c r="E680" s="57"/>
      <c r="F680" s="57"/>
      <c r="G680" s="57"/>
      <c r="H680" s="65"/>
      <c r="I680" s="65"/>
      <c r="J680" s="65"/>
      <c r="K680" s="65"/>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7"/>
      <c r="AR680" s="57"/>
      <c r="AS680" s="57"/>
      <c r="AT680" s="57"/>
      <c r="AU680" s="57"/>
      <c r="AV680" s="57"/>
      <c r="AW680" s="57"/>
      <c r="AX680" s="57"/>
      <c r="AY680" s="57"/>
      <c r="AZ680" s="57"/>
    </row>
    <row r="681">
      <c r="A681" s="57"/>
      <c r="B681" s="57"/>
      <c r="C681" s="57"/>
      <c r="D681" s="57"/>
      <c r="E681" s="57"/>
      <c r="F681" s="57"/>
      <c r="G681" s="57"/>
      <c r="H681" s="65"/>
      <c r="I681" s="65"/>
      <c r="J681" s="65"/>
      <c r="K681" s="65"/>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7"/>
      <c r="AR681" s="57"/>
      <c r="AS681" s="57"/>
      <c r="AT681" s="57"/>
      <c r="AU681" s="57"/>
      <c r="AV681" s="57"/>
      <c r="AW681" s="57"/>
      <c r="AX681" s="57"/>
      <c r="AY681" s="57"/>
      <c r="AZ681" s="57"/>
    </row>
    <row r="682">
      <c r="A682" s="57"/>
      <c r="B682" s="57"/>
      <c r="C682" s="57"/>
      <c r="D682" s="57"/>
      <c r="E682" s="57"/>
      <c r="F682" s="57"/>
      <c r="G682" s="57"/>
      <c r="H682" s="65"/>
      <c r="I682" s="65"/>
      <c r="J682" s="65"/>
      <c r="K682" s="65"/>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7"/>
      <c r="AR682" s="57"/>
      <c r="AS682" s="57"/>
      <c r="AT682" s="57"/>
      <c r="AU682" s="57"/>
      <c r="AV682" s="57"/>
      <c r="AW682" s="57"/>
      <c r="AX682" s="57"/>
      <c r="AY682" s="57"/>
      <c r="AZ682" s="57"/>
    </row>
    <row r="683">
      <c r="A683" s="57"/>
      <c r="B683" s="57"/>
      <c r="C683" s="57"/>
      <c r="D683" s="57"/>
      <c r="E683" s="57"/>
      <c r="F683" s="57"/>
      <c r="G683" s="57"/>
      <c r="H683" s="65"/>
      <c r="I683" s="65"/>
      <c r="J683" s="65"/>
      <c r="K683" s="65"/>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7"/>
      <c r="AR683" s="57"/>
      <c r="AS683" s="57"/>
      <c r="AT683" s="57"/>
      <c r="AU683" s="57"/>
      <c r="AV683" s="57"/>
      <c r="AW683" s="57"/>
      <c r="AX683" s="57"/>
      <c r="AY683" s="57"/>
      <c r="AZ683" s="57"/>
    </row>
    <row r="684">
      <c r="A684" s="57"/>
      <c r="B684" s="57"/>
      <c r="C684" s="57"/>
      <c r="D684" s="57"/>
      <c r="E684" s="57"/>
      <c r="F684" s="57"/>
      <c r="G684" s="57"/>
      <c r="H684" s="65"/>
      <c r="I684" s="65"/>
      <c r="J684" s="65"/>
      <c r="K684" s="65"/>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7"/>
      <c r="AR684" s="57"/>
      <c r="AS684" s="57"/>
      <c r="AT684" s="57"/>
      <c r="AU684" s="57"/>
      <c r="AV684" s="57"/>
      <c r="AW684" s="57"/>
      <c r="AX684" s="57"/>
      <c r="AY684" s="57"/>
      <c r="AZ684" s="57"/>
    </row>
    <row r="685">
      <c r="A685" s="57"/>
      <c r="B685" s="57"/>
      <c r="C685" s="57"/>
      <c r="D685" s="57"/>
      <c r="E685" s="57"/>
      <c r="F685" s="57"/>
      <c r="G685" s="57"/>
      <c r="H685" s="65"/>
      <c r="I685" s="65"/>
      <c r="J685" s="65"/>
      <c r="K685" s="65"/>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7"/>
      <c r="AR685" s="57"/>
      <c r="AS685" s="57"/>
      <c r="AT685" s="57"/>
      <c r="AU685" s="57"/>
      <c r="AV685" s="57"/>
      <c r="AW685" s="57"/>
      <c r="AX685" s="57"/>
      <c r="AY685" s="57"/>
      <c r="AZ685" s="57"/>
    </row>
    <row r="686">
      <c r="A686" s="57"/>
      <c r="B686" s="57"/>
      <c r="C686" s="57"/>
      <c r="D686" s="57"/>
      <c r="E686" s="57"/>
      <c r="F686" s="57"/>
      <c r="G686" s="57"/>
      <c r="H686" s="65"/>
      <c r="I686" s="65"/>
      <c r="J686" s="65"/>
      <c r="K686" s="65"/>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7"/>
      <c r="AR686" s="57"/>
      <c r="AS686" s="57"/>
      <c r="AT686" s="57"/>
      <c r="AU686" s="57"/>
      <c r="AV686" s="57"/>
      <c r="AW686" s="57"/>
      <c r="AX686" s="57"/>
      <c r="AY686" s="57"/>
      <c r="AZ686" s="57"/>
    </row>
    <row r="687">
      <c r="A687" s="57"/>
      <c r="B687" s="57"/>
      <c r="C687" s="57"/>
      <c r="D687" s="57"/>
      <c r="E687" s="57"/>
      <c r="F687" s="57"/>
      <c r="G687" s="57"/>
      <c r="H687" s="65"/>
      <c r="I687" s="65"/>
      <c r="J687" s="65"/>
      <c r="K687" s="65"/>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7"/>
      <c r="AR687" s="57"/>
      <c r="AS687" s="57"/>
      <c r="AT687" s="57"/>
      <c r="AU687" s="57"/>
      <c r="AV687" s="57"/>
      <c r="AW687" s="57"/>
      <c r="AX687" s="57"/>
      <c r="AY687" s="57"/>
      <c r="AZ687" s="57"/>
    </row>
    <row r="688">
      <c r="A688" s="57"/>
      <c r="B688" s="57"/>
      <c r="C688" s="57"/>
      <c r="D688" s="57"/>
      <c r="E688" s="57"/>
      <c r="F688" s="57"/>
      <c r="G688" s="57"/>
      <c r="H688" s="65"/>
      <c r="I688" s="65"/>
      <c r="J688" s="65"/>
      <c r="K688" s="65"/>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7"/>
      <c r="AR688" s="57"/>
      <c r="AS688" s="57"/>
      <c r="AT688" s="57"/>
      <c r="AU688" s="57"/>
      <c r="AV688" s="57"/>
      <c r="AW688" s="57"/>
      <c r="AX688" s="57"/>
      <c r="AY688" s="57"/>
      <c r="AZ688" s="57"/>
    </row>
    <row r="689">
      <c r="A689" s="57"/>
      <c r="B689" s="57"/>
      <c r="C689" s="57"/>
      <c r="D689" s="57"/>
      <c r="E689" s="57"/>
      <c r="F689" s="57"/>
      <c r="G689" s="57"/>
      <c r="H689" s="65"/>
      <c r="I689" s="65"/>
      <c r="J689" s="65"/>
      <c r="K689" s="65"/>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7"/>
      <c r="AR689" s="57"/>
      <c r="AS689" s="57"/>
      <c r="AT689" s="57"/>
      <c r="AU689" s="57"/>
      <c r="AV689" s="57"/>
      <c r="AW689" s="57"/>
      <c r="AX689" s="57"/>
      <c r="AY689" s="57"/>
      <c r="AZ689" s="57"/>
    </row>
    <row r="690">
      <c r="A690" s="57"/>
      <c r="B690" s="57"/>
      <c r="C690" s="57"/>
      <c r="D690" s="57"/>
      <c r="E690" s="57"/>
      <c r="F690" s="57"/>
      <c r="G690" s="57"/>
      <c r="H690" s="65"/>
      <c r="I690" s="65"/>
      <c r="J690" s="65"/>
      <c r="K690" s="65"/>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7"/>
      <c r="AR690" s="57"/>
      <c r="AS690" s="57"/>
      <c r="AT690" s="57"/>
      <c r="AU690" s="57"/>
      <c r="AV690" s="57"/>
      <c r="AW690" s="57"/>
      <c r="AX690" s="57"/>
      <c r="AY690" s="57"/>
      <c r="AZ690" s="57"/>
    </row>
    <row r="691">
      <c r="A691" s="57"/>
      <c r="B691" s="57"/>
      <c r="C691" s="57"/>
      <c r="D691" s="57"/>
      <c r="E691" s="57"/>
      <c r="F691" s="57"/>
      <c r="G691" s="57"/>
      <c r="H691" s="65"/>
      <c r="I691" s="65"/>
      <c r="J691" s="65"/>
      <c r="K691" s="65"/>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7"/>
      <c r="AR691" s="57"/>
      <c r="AS691" s="57"/>
      <c r="AT691" s="57"/>
      <c r="AU691" s="57"/>
      <c r="AV691" s="57"/>
      <c r="AW691" s="57"/>
      <c r="AX691" s="57"/>
      <c r="AY691" s="57"/>
      <c r="AZ691" s="57"/>
    </row>
    <row r="692">
      <c r="A692" s="57"/>
      <c r="B692" s="57"/>
      <c r="C692" s="57"/>
      <c r="D692" s="57"/>
      <c r="E692" s="57"/>
      <c r="F692" s="57"/>
      <c r="G692" s="57"/>
      <c r="H692" s="65"/>
      <c r="I692" s="65"/>
      <c r="J692" s="65"/>
      <c r="K692" s="65"/>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7"/>
      <c r="AR692" s="57"/>
      <c r="AS692" s="57"/>
      <c r="AT692" s="57"/>
      <c r="AU692" s="57"/>
      <c r="AV692" s="57"/>
      <c r="AW692" s="57"/>
      <c r="AX692" s="57"/>
      <c r="AY692" s="57"/>
      <c r="AZ692" s="57"/>
    </row>
    <row r="693">
      <c r="A693" s="57"/>
      <c r="B693" s="57"/>
      <c r="C693" s="57"/>
      <c r="D693" s="57"/>
      <c r="E693" s="57"/>
      <c r="F693" s="57"/>
      <c r="G693" s="57"/>
      <c r="H693" s="65"/>
      <c r="I693" s="65"/>
      <c r="J693" s="65"/>
      <c r="K693" s="65"/>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7"/>
      <c r="AR693" s="57"/>
      <c r="AS693" s="57"/>
      <c r="AT693" s="57"/>
      <c r="AU693" s="57"/>
      <c r="AV693" s="57"/>
      <c r="AW693" s="57"/>
      <c r="AX693" s="57"/>
      <c r="AY693" s="57"/>
      <c r="AZ693" s="57"/>
    </row>
    <row r="694">
      <c r="A694" s="57"/>
      <c r="B694" s="57"/>
      <c r="C694" s="57"/>
      <c r="D694" s="57"/>
      <c r="E694" s="57"/>
      <c r="F694" s="57"/>
      <c r="G694" s="57"/>
      <c r="H694" s="65"/>
      <c r="I694" s="65"/>
      <c r="J694" s="65"/>
      <c r="K694" s="65"/>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7"/>
      <c r="AR694" s="57"/>
      <c r="AS694" s="57"/>
      <c r="AT694" s="57"/>
      <c r="AU694" s="57"/>
      <c r="AV694" s="57"/>
      <c r="AW694" s="57"/>
      <c r="AX694" s="57"/>
      <c r="AY694" s="57"/>
      <c r="AZ694" s="57"/>
    </row>
    <row r="695">
      <c r="A695" s="57"/>
      <c r="B695" s="57"/>
      <c r="C695" s="57"/>
      <c r="D695" s="57"/>
      <c r="E695" s="57"/>
      <c r="F695" s="57"/>
      <c r="G695" s="57"/>
      <c r="H695" s="65"/>
      <c r="I695" s="65"/>
      <c r="J695" s="65"/>
      <c r="K695" s="65"/>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7"/>
      <c r="AR695" s="57"/>
      <c r="AS695" s="57"/>
      <c r="AT695" s="57"/>
      <c r="AU695" s="57"/>
      <c r="AV695" s="57"/>
      <c r="AW695" s="57"/>
      <c r="AX695" s="57"/>
      <c r="AY695" s="57"/>
      <c r="AZ695" s="57"/>
    </row>
    <row r="696">
      <c r="A696" s="57"/>
      <c r="B696" s="57"/>
      <c r="C696" s="57"/>
      <c r="D696" s="57"/>
      <c r="E696" s="57"/>
      <c r="F696" s="57"/>
      <c r="G696" s="57"/>
      <c r="H696" s="65"/>
      <c r="I696" s="65"/>
      <c r="J696" s="65"/>
      <c r="K696" s="65"/>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7"/>
      <c r="AR696" s="57"/>
      <c r="AS696" s="57"/>
      <c r="AT696" s="57"/>
      <c r="AU696" s="57"/>
      <c r="AV696" s="57"/>
      <c r="AW696" s="57"/>
      <c r="AX696" s="57"/>
      <c r="AY696" s="57"/>
      <c r="AZ696" s="57"/>
    </row>
    <row r="697">
      <c r="A697" s="57"/>
      <c r="B697" s="57"/>
      <c r="C697" s="57"/>
      <c r="D697" s="57"/>
      <c r="E697" s="57"/>
      <c r="F697" s="57"/>
      <c r="G697" s="57"/>
      <c r="H697" s="65"/>
      <c r="I697" s="65"/>
      <c r="J697" s="65"/>
      <c r="K697" s="65"/>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7"/>
      <c r="AR697" s="57"/>
      <c r="AS697" s="57"/>
      <c r="AT697" s="57"/>
      <c r="AU697" s="57"/>
      <c r="AV697" s="57"/>
      <c r="AW697" s="57"/>
      <c r="AX697" s="57"/>
      <c r="AY697" s="57"/>
      <c r="AZ697" s="57"/>
    </row>
    <row r="698">
      <c r="A698" s="57"/>
      <c r="B698" s="57"/>
      <c r="C698" s="57"/>
      <c r="D698" s="57"/>
      <c r="E698" s="57"/>
      <c r="F698" s="57"/>
      <c r="G698" s="57"/>
      <c r="H698" s="65"/>
      <c r="I698" s="65"/>
      <c r="J698" s="65"/>
      <c r="K698" s="65"/>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7"/>
      <c r="AR698" s="57"/>
      <c r="AS698" s="57"/>
      <c r="AT698" s="57"/>
      <c r="AU698" s="57"/>
      <c r="AV698" s="57"/>
      <c r="AW698" s="57"/>
      <c r="AX698" s="57"/>
      <c r="AY698" s="57"/>
      <c r="AZ698" s="57"/>
    </row>
    <row r="699">
      <c r="A699" s="57"/>
      <c r="B699" s="57"/>
      <c r="C699" s="57"/>
      <c r="D699" s="57"/>
      <c r="E699" s="57"/>
      <c r="F699" s="57"/>
      <c r="G699" s="57"/>
      <c r="H699" s="65"/>
      <c r="I699" s="65"/>
      <c r="J699" s="65"/>
      <c r="K699" s="65"/>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7"/>
      <c r="AR699" s="57"/>
      <c r="AS699" s="57"/>
      <c r="AT699" s="57"/>
      <c r="AU699" s="57"/>
      <c r="AV699" s="57"/>
      <c r="AW699" s="57"/>
      <c r="AX699" s="57"/>
      <c r="AY699" s="57"/>
      <c r="AZ699" s="57"/>
    </row>
    <row r="700">
      <c r="A700" s="57"/>
      <c r="B700" s="57"/>
      <c r="C700" s="57"/>
      <c r="D700" s="57"/>
      <c r="E700" s="57"/>
      <c r="F700" s="57"/>
      <c r="G700" s="57"/>
      <c r="H700" s="65"/>
      <c r="I700" s="65"/>
      <c r="J700" s="65"/>
      <c r="K700" s="65"/>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7"/>
      <c r="AR700" s="57"/>
      <c r="AS700" s="57"/>
      <c r="AT700" s="57"/>
      <c r="AU700" s="57"/>
      <c r="AV700" s="57"/>
      <c r="AW700" s="57"/>
      <c r="AX700" s="57"/>
      <c r="AY700" s="57"/>
      <c r="AZ700" s="57"/>
    </row>
    <row r="701">
      <c r="A701" s="57"/>
      <c r="B701" s="57"/>
      <c r="C701" s="57"/>
      <c r="D701" s="57"/>
      <c r="E701" s="57"/>
      <c r="F701" s="57"/>
      <c r="G701" s="57"/>
      <c r="H701" s="65"/>
      <c r="I701" s="65"/>
      <c r="J701" s="65"/>
      <c r="K701" s="65"/>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7"/>
      <c r="AR701" s="57"/>
      <c r="AS701" s="57"/>
      <c r="AT701" s="57"/>
      <c r="AU701" s="57"/>
      <c r="AV701" s="57"/>
      <c r="AW701" s="57"/>
      <c r="AX701" s="57"/>
      <c r="AY701" s="57"/>
      <c r="AZ701" s="57"/>
    </row>
    <row r="702">
      <c r="A702" s="57"/>
      <c r="B702" s="57"/>
      <c r="C702" s="57"/>
      <c r="D702" s="57"/>
      <c r="E702" s="57"/>
      <c r="F702" s="57"/>
      <c r="G702" s="57"/>
      <c r="H702" s="65"/>
      <c r="I702" s="65"/>
      <c r="J702" s="65"/>
      <c r="K702" s="65"/>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7"/>
      <c r="AR702" s="57"/>
      <c r="AS702" s="57"/>
      <c r="AT702" s="57"/>
      <c r="AU702" s="57"/>
      <c r="AV702" s="57"/>
      <c r="AW702" s="57"/>
      <c r="AX702" s="57"/>
      <c r="AY702" s="57"/>
      <c r="AZ702" s="57"/>
    </row>
    <row r="703">
      <c r="A703" s="57"/>
      <c r="B703" s="57"/>
      <c r="C703" s="57"/>
      <c r="D703" s="57"/>
      <c r="E703" s="57"/>
      <c r="F703" s="57"/>
      <c r="G703" s="57"/>
      <c r="H703" s="65"/>
      <c r="I703" s="65"/>
      <c r="J703" s="65"/>
      <c r="K703" s="65"/>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7"/>
      <c r="AR703" s="57"/>
      <c r="AS703" s="57"/>
      <c r="AT703" s="57"/>
      <c r="AU703" s="57"/>
      <c r="AV703" s="57"/>
      <c r="AW703" s="57"/>
      <c r="AX703" s="57"/>
      <c r="AY703" s="57"/>
      <c r="AZ703" s="57"/>
    </row>
    <row r="704">
      <c r="A704" s="57"/>
      <c r="B704" s="57"/>
      <c r="C704" s="57"/>
      <c r="D704" s="57"/>
      <c r="E704" s="57"/>
      <c r="F704" s="57"/>
      <c r="G704" s="57"/>
      <c r="H704" s="65"/>
      <c r="I704" s="65"/>
      <c r="J704" s="65"/>
      <c r="K704" s="65"/>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7"/>
      <c r="AR704" s="57"/>
      <c r="AS704" s="57"/>
      <c r="AT704" s="57"/>
      <c r="AU704" s="57"/>
      <c r="AV704" s="57"/>
      <c r="AW704" s="57"/>
      <c r="AX704" s="57"/>
      <c r="AY704" s="57"/>
      <c r="AZ704" s="57"/>
    </row>
    <row r="705">
      <c r="A705" s="57"/>
      <c r="B705" s="57"/>
      <c r="C705" s="57"/>
      <c r="D705" s="57"/>
      <c r="E705" s="57"/>
      <c r="F705" s="57"/>
      <c r="G705" s="57"/>
      <c r="H705" s="65"/>
      <c r="I705" s="65"/>
      <c r="J705" s="65"/>
      <c r="K705" s="65"/>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7"/>
      <c r="AR705" s="57"/>
      <c r="AS705" s="57"/>
      <c r="AT705" s="57"/>
      <c r="AU705" s="57"/>
      <c r="AV705" s="57"/>
      <c r="AW705" s="57"/>
      <c r="AX705" s="57"/>
      <c r="AY705" s="57"/>
      <c r="AZ705" s="57"/>
    </row>
    <row r="706">
      <c r="A706" s="57"/>
      <c r="B706" s="57"/>
      <c r="C706" s="57"/>
      <c r="D706" s="57"/>
      <c r="E706" s="57"/>
      <c r="F706" s="57"/>
      <c r="G706" s="57"/>
      <c r="H706" s="65"/>
      <c r="I706" s="65"/>
      <c r="J706" s="65"/>
      <c r="K706" s="65"/>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7"/>
      <c r="AR706" s="57"/>
      <c r="AS706" s="57"/>
      <c r="AT706" s="57"/>
      <c r="AU706" s="57"/>
      <c r="AV706" s="57"/>
      <c r="AW706" s="57"/>
      <c r="AX706" s="57"/>
      <c r="AY706" s="57"/>
      <c r="AZ706" s="57"/>
    </row>
    <row r="707">
      <c r="A707" s="57"/>
      <c r="B707" s="57"/>
      <c r="C707" s="57"/>
      <c r="D707" s="57"/>
      <c r="E707" s="57"/>
      <c r="F707" s="57"/>
      <c r="G707" s="57"/>
      <c r="H707" s="65"/>
      <c r="I707" s="65"/>
      <c r="J707" s="65"/>
      <c r="K707" s="65"/>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7"/>
      <c r="AR707" s="57"/>
      <c r="AS707" s="57"/>
      <c r="AT707" s="57"/>
      <c r="AU707" s="57"/>
      <c r="AV707" s="57"/>
      <c r="AW707" s="57"/>
      <c r="AX707" s="57"/>
      <c r="AY707" s="57"/>
      <c r="AZ707" s="57"/>
    </row>
    <row r="708">
      <c r="A708" s="57"/>
      <c r="B708" s="57"/>
      <c r="C708" s="57"/>
      <c r="D708" s="57"/>
      <c r="E708" s="57"/>
      <c r="F708" s="57"/>
      <c r="G708" s="57"/>
      <c r="H708" s="65"/>
      <c r="I708" s="65"/>
      <c r="J708" s="65"/>
      <c r="K708" s="65"/>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7"/>
      <c r="AR708" s="57"/>
      <c r="AS708" s="57"/>
      <c r="AT708" s="57"/>
      <c r="AU708" s="57"/>
      <c r="AV708" s="57"/>
      <c r="AW708" s="57"/>
      <c r="AX708" s="57"/>
      <c r="AY708" s="57"/>
      <c r="AZ708" s="57"/>
    </row>
    <row r="709">
      <c r="A709" s="57"/>
      <c r="B709" s="57"/>
      <c r="C709" s="57"/>
      <c r="D709" s="57"/>
      <c r="E709" s="57"/>
      <c r="F709" s="57"/>
      <c r="G709" s="57"/>
      <c r="H709" s="65"/>
      <c r="I709" s="65"/>
      <c r="J709" s="65"/>
      <c r="K709" s="65"/>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7"/>
      <c r="AS709" s="57"/>
      <c r="AT709" s="57"/>
      <c r="AU709" s="57"/>
      <c r="AV709" s="57"/>
      <c r="AW709" s="57"/>
      <c r="AX709" s="57"/>
      <c r="AY709" s="57"/>
      <c r="AZ709" s="57"/>
    </row>
    <row r="710">
      <c r="A710" s="57"/>
      <c r="B710" s="57"/>
      <c r="C710" s="57"/>
      <c r="D710" s="57"/>
      <c r="E710" s="57"/>
      <c r="F710" s="57"/>
      <c r="G710" s="57"/>
      <c r="H710" s="65"/>
      <c r="I710" s="65"/>
      <c r="J710" s="65"/>
      <c r="K710" s="65"/>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7"/>
      <c r="AR710" s="57"/>
      <c r="AS710" s="57"/>
      <c r="AT710" s="57"/>
      <c r="AU710" s="57"/>
      <c r="AV710" s="57"/>
      <c r="AW710" s="57"/>
      <c r="AX710" s="57"/>
      <c r="AY710" s="57"/>
      <c r="AZ710" s="57"/>
    </row>
    <row r="711">
      <c r="A711" s="57"/>
      <c r="B711" s="57"/>
      <c r="C711" s="57"/>
      <c r="D711" s="57"/>
      <c r="E711" s="57"/>
      <c r="F711" s="57"/>
      <c r="G711" s="57"/>
      <c r="H711" s="65"/>
      <c r="I711" s="65"/>
      <c r="J711" s="65"/>
      <c r="K711" s="65"/>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7"/>
      <c r="AR711" s="57"/>
      <c r="AS711" s="57"/>
      <c r="AT711" s="57"/>
      <c r="AU711" s="57"/>
      <c r="AV711" s="57"/>
      <c r="AW711" s="57"/>
      <c r="AX711" s="57"/>
      <c r="AY711" s="57"/>
      <c r="AZ711" s="57"/>
    </row>
    <row r="712">
      <c r="A712" s="57"/>
      <c r="B712" s="57"/>
      <c r="C712" s="57"/>
      <c r="D712" s="57"/>
      <c r="E712" s="57"/>
      <c r="F712" s="57"/>
      <c r="G712" s="57"/>
      <c r="H712" s="65"/>
      <c r="I712" s="65"/>
      <c r="J712" s="65"/>
      <c r="K712" s="65"/>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7"/>
      <c r="AR712" s="57"/>
      <c r="AS712" s="57"/>
      <c r="AT712" s="57"/>
      <c r="AU712" s="57"/>
      <c r="AV712" s="57"/>
      <c r="AW712" s="57"/>
      <c r="AX712" s="57"/>
      <c r="AY712" s="57"/>
      <c r="AZ712" s="57"/>
    </row>
    <row r="713">
      <c r="A713" s="57"/>
      <c r="B713" s="57"/>
      <c r="C713" s="57"/>
      <c r="D713" s="57"/>
      <c r="E713" s="57"/>
      <c r="F713" s="57"/>
      <c r="G713" s="57"/>
      <c r="H713" s="65"/>
      <c r="I713" s="65"/>
      <c r="J713" s="65"/>
      <c r="K713" s="65"/>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7"/>
      <c r="AR713" s="57"/>
      <c r="AS713" s="57"/>
      <c r="AT713" s="57"/>
      <c r="AU713" s="57"/>
      <c r="AV713" s="57"/>
      <c r="AW713" s="57"/>
      <c r="AX713" s="57"/>
      <c r="AY713" s="57"/>
      <c r="AZ713" s="57"/>
    </row>
    <row r="714">
      <c r="A714" s="57"/>
      <c r="B714" s="57"/>
      <c r="C714" s="57"/>
      <c r="D714" s="57"/>
      <c r="E714" s="57"/>
      <c r="F714" s="57"/>
      <c r="G714" s="57"/>
      <c r="H714" s="65"/>
      <c r="I714" s="65"/>
      <c r="J714" s="65"/>
      <c r="K714" s="65"/>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7"/>
      <c r="AR714" s="57"/>
      <c r="AS714" s="57"/>
      <c r="AT714" s="57"/>
      <c r="AU714" s="57"/>
      <c r="AV714" s="57"/>
      <c r="AW714" s="57"/>
      <c r="AX714" s="57"/>
      <c r="AY714" s="57"/>
      <c r="AZ714" s="57"/>
    </row>
    <row r="715">
      <c r="A715" s="57"/>
      <c r="B715" s="57"/>
      <c r="C715" s="57"/>
      <c r="D715" s="57"/>
      <c r="E715" s="57"/>
      <c r="F715" s="57"/>
      <c r="G715" s="57"/>
      <c r="H715" s="65"/>
      <c r="I715" s="65"/>
      <c r="J715" s="65"/>
      <c r="K715" s="65"/>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7"/>
      <c r="AR715" s="57"/>
      <c r="AS715" s="57"/>
      <c r="AT715" s="57"/>
      <c r="AU715" s="57"/>
      <c r="AV715" s="57"/>
      <c r="AW715" s="57"/>
      <c r="AX715" s="57"/>
      <c r="AY715" s="57"/>
      <c r="AZ715" s="57"/>
    </row>
    <row r="716">
      <c r="A716" s="57"/>
      <c r="B716" s="57"/>
      <c r="C716" s="57"/>
      <c r="D716" s="57"/>
      <c r="E716" s="57"/>
      <c r="F716" s="57"/>
      <c r="G716" s="57"/>
      <c r="H716" s="65"/>
      <c r="I716" s="65"/>
      <c r="J716" s="65"/>
      <c r="K716" s="65"/>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7"/>
      <c r="AR716" s="57"/>
      <c r="AS716" s="57"/>
      <c r="AT716" s="57"/>
      <c r="AU716" s="57"/>
      <c r="AV716" s="57"/>
      <c r="AW716" s="57"/>
      <c r="AX716" s="57"/>
      <c r="AY716" s="57"/>
      <c r="AZ716" s="57"/>
    </row>
    <row r="717">
      <c r="A717" s="57"/>
      <c r="B717" s="57"/>
      <c r="C717" s="57"/>
      <c r="D717" s="57"/>
      <c r="E717" s="57"/>
      <c r="F717" s="57"/>
      <c r="G717" s="57"/>
      <c r="H717" s="65"/>
      <c r="I717" s="65"/>
      <c r="J717" s="65"/>
      <c r="K717" s="65"/>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7"/>
      <c r="AR717" s="57"/>
      <c r="AS717" s="57"/>
      <c r="AT717" s="57"/>
      <c r="AU717" s="57"/>
      <c r="AV717" s="57"/>
      <c r="AW717" s="57"/>
      <c r="AX717" s="57"/>
      <c r="AY717" s="57"/>
      <c r="AZ717" s="57"/>
    </row>
    <row r="718">
      <c r="A718" s="57"/>
      <c r="B718" s="57"/>
      <c r="C718" s="57"/>
      <c r="D718" s="57"/>
      <c r="E718" s="57"/>
      <c r="F718" s="57"/>
      <c r="G718" s="57"/>
      <c r="H718" s="65"/>
      <c r="I718" s="65"/>
      <c r="J718" s="65"/>
      <c r="K718" s="65"/>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7"/>
      <c r="AR718" s="57"/>
      <c r="AS718" s="57"/>
      <c r="AT718" s="57"/>
      <c r="AU718" s="57"/>
      <c r="AV718" s="57"/>
      <c r="AW718" s="57"/>
      <c r="AX718" s="57"/>
      <c r="AY718" s="57"/>
      <c r="AZ718" s="57"/>
    </row>
    <row r="719">
      <c r="A719" s="57"/>
      <c r="B719" s="57"/>
      <c r="C719" s="57"/>
      <c r="D719" s="57"/>
      <c r="E719" s="57"/>
      <c r="F719" s="57"/>
      <c r="G719" s="57"/>
      <c r="H719" s="65"/>
      <c r="I719" s="65"/>
      <c r="J719" s="65"/>
      <c r="K719" s="65"/>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7"/>
      <c r="AR719" s="57"/>
      <c r="AS719" s="57"/>
      <c r="AT719" s="57"/>
      <c r="AU719" s="57"/>
      <c r="AV719" s="57"/>
      <c r="AW719" s="57"/>
      <c r="AX719" s="57"/>
      <c r="AY719" s="57"/>
      <c r="AZ719" s="57"/>
    </row>
    <row r="720">
      <c r="A720" s="57"/>
      <c r="B720" s="57"/>
      <c r="C720" s="57"/>
      <c r="D720" s="57"/>
      <c r="E720" s="57"/>
      <c r="F720" s="57"/>
      <c r="G720" s="57"/>
      <c r="H720" s="65"/>
      <c r="I720" s="65"/>
      <c r="J720" s="65"/>
      <c r="K720" s="65"/>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7"/>
      <c r="AR720" s="57"/>
      <c r="AS720" s="57"/>
      <c r="AT720" s="57"/>
      <c r="AU720" s="57"/>
      <c r="AV720" s="57"/>
      <c r="AW720" s="57"/>
      <c r="AX720" s="57"/>
      <c r="AY720" s="57"/>
      <c r="AZ720" s="57"/>
    </row>
    <row r="721">
      <c r="A721" s="57"/>
      <c r="B721" s="57"/>
      <c r="C721" s="57"/>
      <c r="D721" s="57"/>
      <c r="E721" s="57"/>
      <c r="F721" s="57"/>
      <c r="G721" s="57"/>
      <c r="H721" s="65"/>
      <c r="I721" s="65"/>
      <c r="J721" s="65"/>
      <c r="K721" s="65"/>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7"/>
      <c r="AR721" s="57"/>
      <c r="AS721" s="57"/>
      <c r="AT721" s="57"/>
      <c r="AU721" s="57"/>
      <c r="AV721" s="57"/>
      <c r="AW721" s="57"/>
      <c r="AX721" s="57"/>
      <c r="AY721" s="57"/>
      <c r="AZ721" s="57"/>
    </row>
    <row r="722">
      <c r="A722" s="57"/>
      <c r="B722" s="57"/>
      <c r="C722" s="57"/>
      <c r="D722" s="57"/>
      <c r="E722" s="57"/>
      <c r="F722" s="57"/>
      <c r="G722" s="57"/>
      <c r="H722" s="65"/>
      <c r="I722" s="65"/>
      <c r="J722" s="65"/>
      <c r="K722" s="65"/>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7"/>
      <c r="AR722" s="57"/>
      <c r="AS722" s="57"/>
      <c r="AT722" s="57"/>
      <c r="AU722" s="57"/>
      <c r="AV722" s="57"/>
      <c r="AW722" s="57"/>
      <c r="AX722" s="57"/>
      <c r="AY722" s="57"/>
      <c r="AZ722" s="57"/>
    </row>
    <row r="723">
      <c r="A723" s="57"/>
      <c r="B723" s="57"/>
      <c r="C723" s="57"/>
      <c r="D723" s="57"/>
      <c r="E723" s="57"/>
      <c r="F723" s="57"/>
      <c r="G723" s="57"/>
      <c r="H723" s="65"/>
      <c r="I723" s="65"/>
      <c r="J723" s="65"/>
      <c r="K723" s="65"/>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7"/>
      <c r="AR723" s="57"/>
      <c r="AS723" s="57"/>
      <c r="AT723" s="57"/>
      <c r="AU723" s="57"/>
      <c r="AV723" s="57"/>
      <c r="AW723" s="57"/>
      <c r="AX723" s="57"/>
      <c r="AY723" s="57"/>
      <c r="AZ723" s="57"/>
    </row>
    <row r="724">
      <c r="A724" s="57"/>
      <c r="B724" s="57"/>
      <c r="C724" s="57"/>
      <c r="D724" s="57"/>
      <c r="E724" s="57"/>
      <c r="F724" s="57"/>
      <c r="G724" s="57"/>
      <c r="H724" s="65"/>
      <c r="I724" s="65"/>
      <c r="J724" s="65"/>
      <c r="K724" s="65"/>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7"/>
      <c r="AR724" s="57"/>
      <c r="AS724" s="57"/>
      <c r="AT724" s="57"/>
      <c r="AU724" s="57"/>
      <c r="AV724" s="57"/>
      <c r="AW724" s="57"/>
      <c r="AX724" s="57"/>
      <c r="AY724" s="57"/>
      <c r="AZ724" s="57"/>
    </row>
    <row r="725">
      <c r="A725" s="57"/>
      <c r="B725" s="57"/>
      <c r="C725" s="57"/>
      <c r="D725" s="57"/>
      <c r="E725" s="57"/>
      <c r="F725" s="57"/>
      <c r="G725" s="57"/>
      <c r="H725" s="65"/>
      <c r="I725" s="65"/>
      <c r="J725" s="65"/>
      <c r="K725" s="65"/>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7"/>
      <c r="AR725" s="57"/>
      <c r="AS725" s="57"/>
      <c r="AT725" s="57"/>
      <c r="AU725" s="57"/>
      <c r="AV725" s="57"/>
      <c r="AW725" s="57"/>
      <c r="AX725" s="57"/>
      <c r="AY725" s="57"/>
      <c r="AZ725" s="57"/>
    </row>
    <row r="726">
      <c r="A726" s="57"/>
      <c r="B726" s="57"/>
      <c r="C726" s="57"/>
      <c r="D726" s="57"/>
      <c r="E726" s="57"/>
      <c r="F726" s="57"/>
      <c r="G726" s="57"/>
      <c r="H726" s="65"/>
      <c r="I726" s="65"/>
      <c r="J726" s="65"/>
      <c r="K726" s="65"/>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7"/>
      <c r="AR726" s="57"/>
      <c r="AS726" s="57"/>
      <c r="AT726" s="57"/>
      <c r="AU726" s="57"/>
      <c r="AV726" s="57"/>
      <c r="AW726" s="57"/>
      <c r="AX726" s="57"/>
      <c r="AY726" s="57"/>
      <c r="AZ726" s="57"/>
    </row>
    <row r="727">
      <c r="A727" s="57"/>
      <c r="B727" s="57"/>
      <c r="C727" s="57"/>
      <c r="D727" s="57"/>
      <c r="E727" s="57"/>
      <c r="F727" s="57"/>
      <c r="G727" s="57"/>
      <c r="H727" s="65"/>
      <c r="I727" s="65"/>
      <c r="J727" s="65"/>
      <c r="K727" s="65"/>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7"/>
      <c r="AR727" s="57"/>
      <c r="AS727" s="57"/>
      <c r="AT727" s="57"/>
      <c r="AU727" s="57"/>
      <c r="AV727" s="57"/>
      <c r="AW727" s="57"/>
      <c r="AX727" s="57"/>
      <c r="AY727" s="57"/>
      <c r="AZ727" s="57"/>
    </row>
    <row r="728">
      <c r="A728" s="57"/>
      <c r="B728" s="57"/>
      <c r="C728" s="57"/>
      <c r="D728" s="57"/>
      <c r="E728" s="57"/>
      <c r="F728" s="57"/>
      <c r="G728" s="57"/>
      <c r="H728" s="65"/>
      <c r="I728" s="65"/>
      <c r="J728" s="65"/>
      <c r="K728" s="65"/>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7"/>
      <c r="AR728" s="57"/>
      <c r="AS728" s="57"/>
      <c r="AT728" s="57"/>
      <c r="AU728" s="57"/>
      <c r="AV728" s="57"/>
      <c r="AW728" s="57"/>
      <c r="AX728" s="57"/>
      <c r="AY728" s="57"/>
      <c r="AZ728" s="57"/>
    </row>
    <row r="729">
      <c r="A729" s="57"/>
      <c r="B729" s="57"/>
      <c r="C729" s="57"/>
      <c r="D729" s="57"/>
      <c r="E729" s="57"/>
      <c r="F729" s="57"/>
      <c r="G729" s="57"/>
      <c r="H729" s="65"/>
      <c r="I729" s="65"/>
      <c r="J729" s="65"/>
      <c r="K729" s="65"/>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7"/>
      <c r="AR729" s="57"/>
      <c r="AS729" s="57"/>
      <c r="AT729" s="57"/>
      <c r="AU729" s="57"/>
      <c r="AV729" s="57"/>
      <c r="AW729" s="57"/>
      <c r="AX729" s="57"/>
      <c r="AY729" s="57"/>
      <c r="AZ729" s="57"/>
    </row>
    <row r="730">
      <c r="A730" s="57"/>
      <c r="B730" s="57"/>
      <c r="C730" s="57"/>
      <c r="D730" s="57"/>
      <c r="E730" s="57"/>
      <c r="F730" s="57"/>
      <c r="G730" s="57"/>
      <c r="H730" s="65"/>
      <c r="I730" s="65"/>
      <c r="J730" s="65"/>
      <c r="K730" s="65"/>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7"/>
      <c r="AR730" s="57"/>
      <c r="AS730" s="57"/>
      <c r="AT730" s="57"/>
      <c r="AU730" s="57"/>
      <c r="AV730" s="57"/>
      <c r="AW730" s="57"/>
      <c r="AX730" s="57"/>
      <c r="AY730" s="57"/>
      <c r="AZ730" s="57"/>
    </row>
    <row r="731">
      <c r="A731" s="57"/>
      <c r="B731" s="57"/>
      <c r="C731" s="57"/>
      <c r="D731" s="57"/>
      <c r="E731" s="57"/>
      <c r="F731" s="57"/>
      <c r="G731" s="57"/>
      <c r="H731" s="65"/>
      <c r="I731" s="65"/>
      <c r="J731" s="65"/>
      <c r="K731" s="65"/>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7"/>
      <c r="AR731" s="57"/>
      <c r="AS731" s="57"/>
      <c r="AT731" s="57"/>
      <c r="AU731" s="57"/>
      <c r="AV731" s="57"/>
      <c r="AW731" s="57"/>
      <c r="AX731" s="57"/>
      <c r="AY731" s="57"/>
      <c r="AZ731" s="57"/>
    </row>
    <row r="732">
      <c r="A732" s="57"/>
      <c r="B732" s="57"/>
      <c r="C732" s="57"/>
      <c r="D732" s="57"/>
      <c r="E732" s="57"/>
      <c r="F732" s="57"/>
      <c r="G732" s="57"/>
      <c r="H732" s="65"/>
      <c r="I732" s="65"/>
      <c r="J732" s="65"/>
      <c r="K732" s="65"/>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7"/>
      <c r="AR732" s="57"/>
      <c r="AS732" s="57"/>
      <c r="AT732" s="57"/>
      <c r="AU732" s="57"/>
      <c r="AV732" s="57"/>
      <c r="AW732" s="57"/>
      <c r="AX732" s="57"/>
      <c r="AY732" s="57"/>
      <c r="AZ732" s="57"/>
    </row>
    <row r="733">
      <c r="A733" s="57"/>
      <c r="B733" s="57"/>
      <c r="C733" s="57"/>
      <c r="D733" s="57"/>
      <c r="E733" s="57"/>
      <c r="F733" s="57"/>
      <c r="G733" s="57"/>
      <c r="H733" s="65"/>
      <c r="I733" s="65"/>
      <c r="J733" s="65"/>
      <c r="K733" s="65"/>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7"/>
      <c r="AR733" s="57"/>
      <c r="AS733" s="57"/>
      <c r="AT733" s="57"/>
      <c r="AU733" s="57"/>
      <c r="AV733" s="57"/>
      <c r="AW733" s="57"/>
      <c r="AX733" s="57"/>
      <c r="AY733" s="57"/>
      <c r="AZ733" s="57"/>
    </row>
    <row r="734">
      <c r="A734" s="57"/>
      <c r="B734" s="57"/>
      <c r="C734" s="57"/>
      <c r="D734" s="57"/>
      <c r="E734" s="57"/>
      <c r="F734" s="57"/>
      <c r="G734" s="57"/>
      <c r="H734" s="65"/>
      <c r="I734" s="65"/>
      <c r="J734" s="65"/>
      <c r="K734" s="65"/>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7"/>
      <c r="AR734" s="57"/>
      <c r="AS734" s="57"/>
      <c r="AT734" s="57"/>
      <c r="AU734" s="57"/>
      <c r="AV734" s="57"/>
      <c r="AW734" s="57"/>
      <c r="AX734" s="57"/>
      <c r="AY734" s="57"/>
      <c r="AZ734" s="57"/>
    </row>
    <row r="735">
      <c r="A735" s="57"/>
      <c r="B735" s="57"/>
      <c r="C735" s="57"/>
      <c r="D735" s="57"/>
      <c r="E735" s="57"/>
      <c r="F735" s="57"/>
      <c r="G735" s="57"/>
      <c r="H735" s="65"/>
      <c r="I735" s="65"/>
      <c r="J735" s="65"/>
      <c r="K735" s="65"/>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7"/>
      <c r="AR735" s="57"/>
      <c r="AS735" s="57"/>
      <c r="AT735" s="57"/>
      <c r="AU735" s="57"/>
      <c r="AV735" s="57"/>
      <c r="AW735" s="57"/>
      <c r="AX735" s="57"/>
      <c r="AY735" s="57"/>
      <c r="AZ735" s="57"/>
    </row>
    <row r="736">
      <c r="A736" s="57"/>
      <c r="B736" s="57"/>
      <c r="C736" s="57"/>
      <c r="D736" s="57"/>
      <c r="E736" s="57"/>
      <c r="F736" s="57"/>
      <c r="G736" s="57"/>
      <c r="H736" s="65"/>
      <c r="I736" s="65"/>
      <c r="J736" s="65"/>
      <c r="K736" s="65"/>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7"/>
      <c r="AR736" s="57"/>
      <c r="AS736" s="57"/>
      <c r="AT736" s="57"/>
      <c r="AU736" s="57"/>
      <c r="AV736" s="57"/>
      <c r="AW736" s="57"/>
      <c r="AX736" s="57"/>
      <c r="AY736" s="57"/>
      <c r="AZ736" s="57"/>
    </row>
    <row r="737">
      <c r="A737" s="57"/>
      <c r="B737" s="57"/>
      <c r="C737" s="57"/>
      <c r="D737" s="57"/>
      <c r="E737" s="57"/>
      <c r="F737" s="57"/>
      <c r="G737" s="57"/>
      <c r="H737" s="65"/>
      <c r="I737" s="65"/>
      <c r="J737" s="65"/>
      <c r="K737" s="65"/>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7"/>
      <c r="AR737" s="57"/>
      <c r="AS737" s="57"/>
      <c r="AT737" s="57"/>
      <c r="AU737" s="57"/>
      <c r="AV737" s="57"/>
      <c r="AW737" s="57"/>
      <c r="AX737" s="57"/>
      <c r="AY737" s="57"/>
      <c r="AZ737" s="57"/>
    </row>
    <row r="738">
      <c r="A738" s="57"/>
      <c r="B738" s="57"/>
      <c r="C738" s="57"/>
      <c r="D738" s="57"/>
      <c r="E738" s="57"/>
      <c r="F738" s="57"/>
      <c r="G738" s="57"/>
      <c r="H738" s="65"/>
      <c r="I738" s="65"/>
      <c r="J738" s="65"/>
      <c r="K738" s="65"/>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7"/>
      <c r="AR738" s="57"/>
      <c r="AS738" s="57"/>
      <c r="AT738" s="57"/>
      <c r="AU738" s="57"/>
      <c r="AV738" s="57"/>
      <c r="AW738" s="57"/>
      <c r="AX738" s="57"/>
      <c r="AY738" s="57"/>
      <c r="AZ738" s="57"/>
    </row>
    <row r="739">
      <c r="A739" s="57"/>
      <c r="B739" s="57"/>
      <c r="C739" s="57"/>
      <c r="D739" s="57"/>
      <c r="E739" s="57"/>
      <c r="F739" s="57"/>
      <c r="G739" s="57"/>
      <c r="H739" s="65"/>
      <c r="I739" s="65"/>
      <c r="J739" s="65"/>
      <c r="K739" s="65"/>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7"/>
      <c r="AR739" s="57"/>
      <c r="AS739" s="57"/>
      <c r="AT739" s="57"/>
      <c r="AU739" s="57"/>
      <c r="AV739" s="57"/>
      <c r="AW739" s="57"/>
      <c r="AX739" s="57"/>
      <c r="AY739" s="57"/>
      <c r="AZ739" s="57"/>
    </row>
    <row r="740">
      <c r="A740" s="57"/>
      <c r="B740" s="57"/>
      <c r="C740" s="57"/>
      <c r="D740" s="57"/>
      <c r="E740" s="57"/>
      <c r="F740" s="57"/>
      <c r="G740" s="57"/>
      <c r="H740" s="65"/>
      <c r="I740" s="65"/>
      <c r="J740" s="65"/>
      <c r="K740" s="65"/>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7"/>
      <c r="AR740" s="57"/>
      <c r="AS740" s="57"/>
      <c r="AT740" s="57"/>
      <c r="AU740" s="57"/>
      <c r="AV740" s="57"/>
      <c r="AW740" s="57"/>
      <c r="AX740" s="57"/>
      <c r="AY740" s="57"/>
      <c r="AZ740" s="57"/>
    </row>
    <row r="741">
      <c r="A741" s="57"/>
      <c r="B741" s="57"/>
      <c r="C741" s="57"/>
      <c r="D741" s="57"/>
      <c r="E741" s="57"/>
      <c r="F741" s="57"/>
      <c r="G741" s="57"/>
      <c r="H741" s="65"/>
      <c r="I741" s="65"/>
      <c r="J741" s="65"/>
      <c r="K741" s="65"/>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7"/>
      <c r="AR741" s="57"/>
      <c r="AS741" s="57"/>
      <c r="AT741" s="57"/>
      <c r="AU741" s="57"/>
      <c r="AV741" s="57"/>
      <c r="AW741" s="57"/>
      <c r="AX741" s="57"/>
      <c r="AY741" s="57"/>
      <c r="AZ741" s="57"/>
    </row>
    <row r="742">
      <c r="A742" s="57"/>
      <c r="B742" s="57"/>
      <c r="C742" s="57"/>
      <c r="D742" s="57"/>
      <c r="E742" s="57"/>
      <c r="F742" s="57"/>
      <c r="G742" s="57"/>
      <c r="H742" s="65"/>
      <c r="I742" s="65"/>
      <c r="J742" s="65"/>
      <c r="K742" s="65"/>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7"/>
      <c r="AR742" s="57"/>
      <c r="AS742" s="57"/>
      <c r="AT742" s="57"/>
      <c r="AU742" s="57"/>
      <c r="AV742" s="57"/>
      <c r="AW742" s="57"/>
      <c r="AX742" s="57"/>
      <c r="AY742" s="57"/>
      <c r="AZ742" s="57"/>
    </row>
    <row r="743">
      <c r="A743" s="57"/>
      <c r="B743" s="57"/>
      <c r="C743" s="57"/>
      <c r="D743" s="57"/>
      <c r="E743" s="57"/>
      <c r="F743" s="57"/>
      <c r="G743" s="57"/>
      <c r="H743" s="65"/>
      <c r="I743" s="65"/>
      <c r="J743" s="65"/>
      <c r="K743" s="65"/>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7"/>
      <c r="AR743" s="57"/>
      <c r="AS743" s="57"/>
      <c r="AT743" s="57"/>
      <c r="AU743" s="57"/>
      <c r="AV743" s="57"/>
      <c r="AW743" s="57"/>
      <c r="AX743" s="57"/>
      <c r="AY743" s="57"/>
      <c r="AZ743" s="57"/>
    </row>
    <row r="744">
      <c r="A744" s="57"/>
      <c r="B744" s="57"/>
      <c r="C744" s="57"/>
      <c r="D744" s="57"/>
      <c r="E744" s="57"/>
      <c r="F744" s="57"/>
      <c r="G744" s="57"/>
      <c r="H744" s="65"/>
      <c r="I744" s="65"/>
      <c r="J744" s="65"/>
      <c r="K744" s="65"/>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7"/>
      <c r="AR744" s="57"/>
      <c r="AS744" s="57"/>
      <c r="AT744" s="57"/>
      <c r="AU744" s="57"/>
      <c r="AV744" s="57"/>
      <c r="AW744" s="57"/>
      <c r="AX744" s="57"/>
      <c r="AY744" s="57"/>
      <c r="AZ744" s="57"/>
    </row>
    <row r="745">
      <c r="A745" s="57"/>
      <c r="B745" s="57"/>
      <c r="C745" s="57"/>
      <c r="D745" s="57"/>
      <c r="E745" s="57"/>
      <c r="F745" s="57"/>
      <c r="G745" s="57"/>
      <c r="H745" s="65"/>
      <c r="I745" s="65"/>
      <c r="J745" s="65"/>
      <c r="K745" s="65"/>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7"/>
      <c r="AR745" s="57"/>
      <c r="AS745" s="57"/>
      <c r="AT745" s="57"/>
      <c r="AU745" s="57"/>
      <c r="AV745" s="57"/>
      <c r="AW745" s="57"/>
      <c r="AX745" s="57"/>
      <c r="AY745" s="57"/>
      <c r="AZ745" s="57"/>
    </row>
    <row r="746">
      <c r="A746" s="57"/>
      <c r="B746" s="57"/>
      <c r="C746" s="57"/>
      <c r="D746" s="57"/>
      <c r="E746" s="57"/>
      <c r="F746" s="57"/>
      <c r="G746" s="57"/>
      <c r="H746" s="65"/>
      <c r="I746" s="65"/>
      <c r="J746" s="65"/>
      <c r="K746" s="65"/>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7"/>
      <c r="AR746" s="57"/>
      <c r="AS746" s="57"/>
      <c r="AT746" s="57"/>
      <c r="AU746" s="57"/>
      <c r="AV746" s="57"/>
      <c r="AW746" s="57"/>
      <c r="AX746" s="57"/>
      <c r="AY746" s="57"/>
      <c r="AZ746" s="57"/>
    </row>
    <row r="747">
      <c r="A747" s="57"/>
      <c r="B747" s="57"/>
      <c r="C747" s="57"/>
      <c r="D747" s="57"/>
      <c r="E747" s="57"/>
      <c r="F747" s="57"/>
      <c r="G747" s="57"/>
      <c r="H747" s="65"/>
      <c r="I747" s="65"/>
      <c r="J747" s="65"/>
      <c r="K747" s="65"/>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7"/>
      <c r="AR747" s="57"/>
      <c r="AS747" s="57"/>
      <c r="AT747" s="57"/>
      <c r="AU747" s="57"/>
      <c r="AV747" s="57"/>
      <c r="AW747" s="57"/>
      <c r="AX747" s="57"/>
      <c r="AY747" s="57"/>
      <c r="AZ747" s="57"/>
    </row>
    <row r="748">
      <c r="A748" s="57"/>
      <c r="B748" s="57"/>
      <c r="C748" s="57"/>
      <c r="D748" s="57"/>
      <c r="E748" s="57"/>
      <c r="F748" s="57"/>
      <c r="G748" s="57"/>
      <c r="H748" s="65"/>
      <c r="I748" s="65"/>
      <c r="J748" s="65"/>
      <c r="K748" s="65"/>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7"/>
      <c r="AR748" s="57"/>
      <c r="AS748" s="57"/>
      <c r="AT748" s="57"/>
      <c r="AU748" s="57"/>
      <c r="AV748" s="57"/>
      <c r="AW748" s="57"/>
      <c r="AX748" s="57"/>
      <c r="AY748" s="57"/>
      <c r="AZ748" s="57"/>
    </row>
    <row r="749">
      <c r="A749" s="57"/>
      <c r="B749" s="57"/>
      <c r="C749" s="57"/>
      <c r="D749" s="57"/>
      <c r="E749" s="57"/>
      <c r="F749" s="57"/>
      <c r="G749" s="57"/>
      <c r="H749" s="65"/>
      <c r="I749" s="65"/>
      <c r="J749" s="65"/>
      <c r="K749" s="65"/>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7"/>
      <c r="AR749" s="57"/>
      <c r="AS749" s="57"/>
      <c r="AT749" s="57"/>
      <c r="AU749" s="57"/>
      <c r="AV749" s="57"/>
      <c r="AW749" s="57"/>
      <c r="AX749" s="57"/>
      <c r="AY749" s="57"/>
      <c r="AZ749" s="57"/>
    </row>
    <row r="750">
      <c r="A750" s="57"/>
      <c r="B750" s="57"/>
      <c r="C750" s="57"/>
      <c r="D750" s="57"/>
      <c r="E750" s="57"/>
      <c r="F750" s="57"/>
      <c r="G750" s="57"/>
      <c r="H750" s="65"/>
      <c r="I750" s="65"/>
      <c r="J750" s="65"/>
      <c r="K750" s="65"/>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7"/>
      <c r="AR750" s="57"/>
      <c r="AS750" s="57"/>
      <c r="AT750" s="57"/>
      <c r="AU750" s="57"/>
      <c r="AV750" s="57"/>
      <c r="AW750" s="57"/>
      <c r="AX750" s="57"/>
      <c r="AY750" s="57"/>
      <c r="AZ750" s="57"/>
    </row>
    <row r="751">
      <c r="A751" s="57"/>
      <c r="B751" s="57"/>
      <c r="C751" s="57"/>
      <c r="D751" s="57"/>
      <c r="E751" s="57"/>
      <c r="F751" s="57"/>
      <c r="G751" s="57"/>
      <c r="H751" s="65"/>
      <c r="I751" s="65"/>
      <c r="J751" s="65"/>
      <c r="K751" s="65"/>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7"/>
      <c r="AR751" s="57"/>
      <c r="AS751" s="57"/>
      <c r="AT751" s="57"/>
      <c r="AU751" s="57"/>
      <c r="AV751" s="57"/>
      <c r="AW751" s="57"/>
      <c r="AX751" s="57"/>
      <c r="AY751" s="57"/>
      <c r="AZ751" s="57"/>
    </row>
    <row r="752">
      <c r="A752" s="57"/>
      <c r="B752" s="57"/>
      <c r="C752" s="57"/>
      <c r="D752" s="57"/>
      <c r="E752" s="57"/>
      <c r="F752" s="57"/>
      <c r="G752" s="57"/>
      <c r="H752" s="65"/>
      <c r="I752" s="65"/>
      <c r="J752" s="65"/>
      <c r="K752" s="65"/>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7"/>
      <c r="AR752" s="57"/>
      <c r="AS752" s="57"/>
      <c r="AT752" s="57"/>
      <c r="AU752" s="57"/>
      <c r="AV752" s="57"/>
      <c r="AW752" s="57"/>
      <c r="AX752" s="57"/>
      <c r="AY752" s="57"/>
      <c r="AZ752" s="57"/>
    </row>
    <row r="753">
      <c r="A753" s="57"/>
      <c r="B753" s="57"/>
      <c r="C753" s="57"/>
      <c r="D753" s="57"/>
      <c r="E753" s="57"/>
      <c r="F753" s="57"/>
      <c r="G753" s="57"/>
      <c r="H753" s="65"/>
      <c r="I753" s="65"/>
      <c r="J753" s="65"/>
      <c r="K753" s="65"/>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7"/>
      <c r="AR753" s="57"/>
      <c r="AS753" s="57"/>
      <c r="AT753" s="57"/>
      <c r="AU753" s="57"/>
      <c r="AV753" s="57"/>
      <c r="AW753" s="57"/>
      <c r="AX753" s="57"/>
      <c r="AY753" s="57"/>
      <c r="AZ753" s="57"/>
    </row>
    <row r="754">
      <c r="A754" s="57"/>
      <c r="B754" s="57"/>
      <c r="C754" s="57"/>
      <c r="D754" s="57"/>
      <c r="E754" s="57"/>
      <c r="F754" s="57"/>
      <c r="G754" s="57"/>
      <c r="H754" s="65"/>
      <c r="I754" s="65"/>
      <c r="J754" s="65"/>
      <c r="K754" s="65"/>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57"/>
      <c r="AT754" s="57"/>
      <c r="AU754" s="57"/>
      <c r="AV754" s="57"/>
      <c r="AW754" s="57"/>
      <c r="AX754" s="57"/>
      <c r="AY754" s="57"/>
      <c r="AZ754" s="57"/>
    </row>
    <row r="755">
      <c r="A755" s="57"/>
      <c r="B755" s="57"/>
      <c r="C755" s="57"/>
      <c r="D755" s="57"/>
      <c r="E755" s="57"/>
      <c r="F755" s="57"/>
      <c r="G755" s="57"/>
      <c r="H755" s="65"/>
      <c r="I755" s="65"/>
      <c r="J755" s="65"/>
      <c r="K755" s="65"/>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7"/>
      <c r="AR755" s="57"/>
      <c r="AS755" s="57"/>
      <c r="AT755" s="57"/>
      <c r="AU755" s="57"/>
      <c r="AV755" s="57"/>
      <c r="AW755" s="57"/>
      <c r="AX755" s="57"/>
      <c r="AY755" s="57"/>
      <c r="AZ755" s="57"/>
    </row>
    <row r="756">
      <c r="A756" s="57"/>
      <c r="B756" s="57"/>
      <c r="C756" s="57"/>
      <c r="D756" s="57"/>
      <c r="E756" s="57"/>
      <c r="F756" s="57"/>
      <c r="G756" s="57"/>
      <c r="H756" s="65"/>
      <c r="I756" s="65"/>
      <c r="J756" s="65"/>
      <c r="K756" s="65"/>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7"/>
      <c r="AR756" s="57"/>
      <c r="AS756" s="57"/>
      <c r="AT756" s="57"/>
      <c r="AU756" s="57"/>
      <c r="AV756" s="57"/>
      <c r="AW756" s="57"/>
      <c r="AX756" s="57"/>
      <c r="AY756" s="57"/>
      <c r="AZ756" s="57"/>
    </row>
    <row r="757">
      <c r="A757" s="57"/>
      <c r="B757" s="57"/>
      <c r="C757" s="57"/>
      <c r="D757" s="57"/>
      <c r="E757" s="57"/>
      <c r="F757" s="57"/>
      <c r="G757" s="57"/>
      <c r="H757" s="65"/>
      <c r="I757" s="65"/>
      <c r="J757" s="65"/>
      <c r="K757" s="65"/>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7"/>
      <c r="AR757" s="57"/>
      <c r="AS757" s="57"/>
      <c r="AT757" s="57"/>
      <c r="AU757" s="57"/>
      <c r="AV757" s="57"/>
      <c r="AW757" s="57"/>
      <c r="AX757" s="57"/>
      <c r="AY757" s="57"/>
      <c r="AZ757" s="57"/>
    </row>
    <row r="758">
      <c r="A758" s="57"/>
      <c r="B758" s="57"/>
      <c r="C758" s="57"/>
      <c r="D758" s="57"/>
      <c r="E758" s="57"/>
      <c r="F758" s="57"/>
      <c r="G758" s="57"/>
      <c r="H758" s="65"/>
      <c r="I758" s="65"/>
      <c r="J758" s="65"/>
      <c r="K758" s="65"/>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57"/>
      <c r="AT758" s="57"/>
      <c r="AU758" s="57"/>
      <c r="AV758" s="57"/>
      <c r="AW758" s="57"/>
      <c r="AX758" s="57"/>
      <c r="AY758" s="57"/>
      <c r="AZ758" s="57"/>
    </row>
    <row r="759">
      <c r="A759" s="57"/>
      <c r="B759" s="57"/>
      <c r="C759" s="57"/>
      <c r="D759" s="57"/>
      <c r="E759" s="57"/>
      <c r="F759" s="57"/>
      <c r="G759" s="57"/>
      <c r="H759" s="65"/>
      <c r="I759" s="65"/>
      <c r="J759" s="65"/>
      <c r="K759" s="65"/>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57"/>
      <c r="AT759" s="57"/>
      <c r="AU759" s="57"/>
      <c r="AV759" s="57"/>
      <c r="AW759" s="57"/>
      <c r="AX759" s="57"/>
      <c r="AY759" s="57"/>
      <c r="AZ759" s="57"/>
    </row>
    <row r="760">
      <c r="A760" s="57"/>
      <c r="B760" s="57"/>
      <c r="C760" s="57"/>
      <c r="D760" s="57"/>
      <c r="E760" s="57"/>
      <c r="F760" s="57"/>
      <c r="G760" s="57"/>
      <c r="H760" s="65"/>
      <c r="I760" s="65"/>
      <c r="J760" s="65"/>
      <c r="K760" s="65"/>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57"/>
      <c r="AT760" s="57"/>
      <c r="AU760" s="57"/>
      <c r="AV760" s="57"/>
      <c r="AW760" s="57"/>
      <c r="AX760" s="57"/>
      <c r="AY760" s="57"/>
      <c r="AZ760" s="57"/>
    </row>
    <row r="761">
      <c r="A761" s="57"/>
      <c r="B761" s="57"/>
      <c r="C761" s="57"/>
      <c r="D761" s="57"/>
      <c r="E761" s="57"/>
      <c r="F761" s="57"/>
      <c r="G761" s="57"/>
      <c r="H761" s="65"/>
      <c r="I761" s="65"/>
      <c r="J761" s="65"/>
      <c r="K761" s="65"/>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57"/>
      <c r="AT761" s="57"/>
      <c r="AU761" s="57"/>
      <c r="AV761" s="57"/>
      <c r="AW761" s="57"/>
      <c r="AX761" s="57"/>
      <c r="AY761" s="57"/>
      <c r="AZ761" s="57"/>
    </row>
    <row r="762">
      <c r="A762" s="57"/>
      <c r="B762" s="57"/>
      <c r="C762" s="57"/>
      <c r="D762" s="57"/>
      <c r="E762" s="57"/>
      <c r="F762" s="57"/>
      <c r="G762" s="57"/>
      <c r="H762" s="65"/>
      <c r="I762" s="65"/>
      <c r="J762" s="65"/>
      <c r="K762" s="65"/>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57"/>
      <c r="AT762" s="57"/>
      <c r="AU762" s="57"/>
      <c r="AV762" s="57"/>
      <c r="AW762" s="57"/>
      <c r="AX762" s="57"/>
      <c r="AY762" s="57"/>
      <c r="AZ762" s="57"/>
    </row>
    <row r="763">
      <c r="A763" s="57"/>
      <c r="B763" s="57"/>
      <c r="C763" s="57"/>
      <c r="D763" s="57"/>
      <c r="E763" s="57"/>
      <c r="F763" s="57"/>
      <c r="G763" s="57"/>
      <c r="H763" s="65"/>
      <c r="I763" s="65"/>
      <c r="J763" s="65"/>
      <c r="K763" s="65"/>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57"/>
      <c r="AT763" s="57"/>
      <c r="AU763" s="57"/>
      <c r="AV763" s="57"/>
      <c r="AW763" s="57"/>
      <c r="AX763" s="57"/>
      <c r="AY763" s="57"/>
      <c r="AZ763" s="57"/>
    </row>
    <row r="764">
      <c r="A764" s="57"/>
      <c r="B764" s="57"/>
      <c r="C764" s="57"/>
      <c r="D764" s="57"/>
      <c r="E764" s="57"/>
      <c r="F764" s="57"/>
      <c r="G764" s="57"/>
      <c r="H764" s="65"/>
      <c r="I764" s="65"/>
      <c r="J764" s="65"/>
      <c r="K764" s="65"/>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7"/>
      <c r="AR764" s="57"/>
      <c r="AS764" s="57"/>
      <c r="AT764" s="57"/>
      <c r="AU764" s="57"/>
      <c r="AV764" s="57"/>
      <c r="AW764" s="57"/>
      <c r="AX764" s="57"/>
      <c r="AY764" s="57"/>
      <c r="AZ764" s="57"/>
    </row>
    <row r="765">
      <c r="A765" s="57"/>
      <c r="B765" s="57"/>
      <c r="C765" s="57"/>
      <c r="D765" s="57"/>
      <c r="E765" s="57"/>
      <c r="F765" s="57"/>
      <c r="G765" s="57"/>
      <c r="H765" s="65"/>
      <c r="I765" s="65"/>
      <c r="J765" s="65"/>
      <c r="K765" s="65"/>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57"/>
      <c r="AT765" s="57"/>
      <c r="AU765" s="57"/>
      <c r="AV765" s="57"/>
      <c r="AW765" s="57"/>
      <c r="AX765" s="57"/>
      <c r="AY765" s="57"/>
      <c r="AZ765" s="57"/>
    </row>
    <row r="766">
      <c r="A766" s="57"/>
      <c r="B766" s="57"/>
      <c r="C766" s="57"/>
      <c r="D766" s="57"/>
      <c r="E766" s="57"/>
      <c r="F766" s="57"/>
      <c r="G766" s="57"/>
      <c r="H766" s="65"/>
      <c r="I766" s="65"/>
      <c r="J766" s="65"/>
      <c r="K766" s="65"/>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57"/>
      <c r="AT766" s="57"/>
      <c r="AU766" s="57"/>
      <c r="AV766" s="57"/>
      <c r="AW766" s="57"/>
      <c r="AX766" s="57"/>
      <c r="AY766" s="57"/>
      <c r="AZ766" s="57"/>
    </row>
    <row r="767">
      <c r="A767" s="57"/>
      <c r="B767" s="57"/>
      <c r="C767" s="57"/>
      <c r="D767" s="57"/>
      <c r="E767" s="57"/>
      <c r="F767" s="57"/>
      <c r="G767" s="57"/>
      <c r="H767" s="65"/>
      <c r="I767" s="65"/>
      <c r="J767" s="65"/>
      <c r="K767" s="65"/>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7"/>
      <c r="AR767" s="57"/>
      <c r="AS767" s="57"/>
      <c r="AT767" s="57"/>
      <c r="AU767" s="57"/>
      <c r="AV767" s="57"/>
      <c r="AW767" s="57"/>
      <c r="AX767" s="57"/>
      <c r="AY767" s="57"/>
      <c r="AZ767" s="57"/>
    </row>
    <row r="768">
      <c r="A768" s="57"/>
      <c r="B768" s="57"/>
      <c r="C768" s="57"/>
      <c r="D768" s="57"/>
      <c r="E768" s="57"/>
      <c r="F768" s="57"/>
      <c r="G768" s="57"/>
      <c r="H768" s="65"/>
      <c r="I768" s="65"/>
      <c r="J768" s="65"/>
      <c r="K768" s="65"/>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7"/>
      <c r="AR768" s="57"/>
      <c r="AS768" s="57"/>
      <c r="AT768" s="57"/>
      <c r="AU768" s="57"/>
      <c r="AV768" s="57"/>
      <c r="AW768" s="57"/>
      <c r="AX768" s="57"/>
      <c r="AY768" s="57"/>
      <c r="AZ768" s="57"/>
    </row>
    <row r="769">
      <c r="A769" s="57"/>
      <c r="B769" s="57"/>
      <c r="C769" s="57"/>
      <c r="D769" s="57"/>
      <c r="E769" s="57"/>
      <c r="F769" s="57"/>
      <c r="G769" s="57"/>
      <c r="H769" s="65"/>
      <c r="I769" s="65"/>
      <c r="J769" s="65"/>
      <c r="K769" s="65"/>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57"/>
      <c r="AT769" s="57"/>
      <c r="AU769" s="57"/>
      <c r="AV769" s="57"/>
      <c r="AW769" s="57"/>
      <c r="AX769" s="57"/>
      <c r="AY769" s="57"/>
      <c r="AZ769" s="57"/>
    </row>
    <row r="770">
      <c r="A770" s="57"/>
      <c r="B770" s="57"/>
      <c r="C770" s="57"/>
      <c r="D770" s="57"/>
      <c r="E770" s="57"/>
      <c r="F770" s="57"/>
      <c r="G770" s="57"/>
      <c r="H770" s="65"/>
      <c r="I770" s="65"/>
      <c r="J770" s="65"/>
      <c r="K770" s="65"/>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57"/>
      <c r="AT770" s="57"/>
      <c r="AU770" s="57"/>
      <c r="AV770" s="57"/>
      <c r="AW770" s="57"/>
      <c r="AX770" s="57"/>
      <c r="AY770" s="57"/>
      <c r="AZ770" s="57"/>
    </row>
    <row r="771">
      <c r="A771" s="57"/>
      <c r="B771" s="57"/>
      <c r="C771" s="57"/>
      <c r="D771" s="57"/>
      <c r="E771" s="57"/>
      <c r="F771" s="57"/>
      <c r="G771" s="57"/>
      <c r="H771" s="65"/>
      <c r="I771" s="65"/>
      <c r="J771" s="65"/>
      <c r="K771" s="65"/>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57"/>
      <c r="AT771" s="57"/>
      <c r="AU771" s="57"/>
      <c r="AV771" s="57"/>
      <c r="AW771" s="57"/>
      <c r="AX771" s="57"/>
      <c r="AY771" s="57"/>
      <c r="AZ771" s="57"/>
    </row>
    <row r="772">
      <c r="A772" s="57"/>
      <c r="B772" s="57"/>
      <c r="C772" s="57"/>
      <c r="D772" s="57"/>
      <c r="E772" s="57"/>
      <c r="F772" s="57"/>
      <c r="G772" s="57"/>
      <c r="H772" s="65"/>
      <c r="I772" s="65"/>
      <c r="J772" s="65"/>
      <c r="K772" s="65"/>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57"/>
      <c r="AT772" s="57"/>
      <c r="AU772" s="57"/>
      <c r="AV772" s="57"/>
      <c r="AW772" s="57"/>
      <c r="AX772" s="57"/>
      <c r="AY772" s="57"/>
      <c r="AZ772" s="57"/>
    </row>
    <row r="773">
      <c r="A773" s="57"/>
      <c r="B773" s="57"/>
      <c r="C773" s="57"/>
      <c r="D773" s="57"/>
      <c r="E773" s="57"/>
      <c r="F773" s="57"/>
      <c r="G773" s="57"/>
      <c r="H773" s="65"/>
      <c r="I773" s="65"/>
      <c r="J773" s="65"/>
      <c r="K773" s="65"/>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7"/>
      <c r="AR773" s="57"/>
      <c r="AS773" s="57"/>
      <c r="AT773" s="57"/>
      <c r="AU773" s="57"/>
      <c r="AV773" s="57"/>
      <c r="AW773" s="57"/>
      <c r="AX773" s="57"/>
      <c r="AY773" s="57"/>
      <c r="AZ773" s="57"/>
    </row>
    <row r="774">
      <c r="A774" s="57"/>
      <c r="B774" s="57"/>
      <c r="C774" s="57"/>
      <c r="D774" s="57"/>
      <c r="E774" s="57"/>
      <c r="F774" s="57"/>
      <c r="G774" s="57"/>
      <c r="H774" s="65"/>
      <c r="I774" s="65"/>
      <c r="J774" s="65"/>
      <c r="K774" s="65"/>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57"/>
      <c r="AT774" s="57"/>
      <c r="AU774" s="57"/>
      <c r="AV774" s="57"/>
      <c r="AW774" s="57"/>
      <c r="AX774" s="57"/>
      <c r="AY774" s="57"/>
      <c r="AZ774" s="57"/>
    </row>
    <row r="775">
      <c r="A775" s="57"/>
      <c r="B775" s="57"/>
      <c r="C775" s="57"/>
      <c r="D775" s="57"/>
      <c r="E775" s="57"/>
      <c r="F775" s="57"/>
      <c r="G775" s="57"/>
      <c r="H775" s="65"/>
      <c r="I775" s="65"/>
      <c r="J775" s="65"/>
      <c r="K775" s="65"/>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57"/>
      <c r="AT775" s="57"/>
      <c r="AU775" s="57"/>
      <c r="AV775" s="57"/>
      <c r="AW775" s="57"/>
      <c r="AX775" s="57"/>
      <c r="AY775" s="57"/>
      <c r="AZ775" s="57"/>
    </row>
    <row r="776">
      <c r="A776" s="57"/>
      <c r="B776" s="57"/>
      <c r="C776" s="57"/>
      <c r="D776" s="57"/>
      <c r="E776" s="57"/>
      <c r="F776" s="57"/>
      <c r="G776" s="57"/>
      <c r="H776" s="65"/>
      <c r="I776" s="65"/>
      <c r="J776" s="65"/>
      <c r="K776" s="65"/>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7"/>
      <c r="AR776" s="57"/>
      <c r="AS776" s="57"/>
      <c r="AT776" s="57"/>
      <c r="AU776" s="57"/>
      <c r="AV776" s="57"/>
      <c r="AW776" s="57"/>
      <c r="AX776" s="57"/>
      <c r="AY776" s="57"/>
      <c r="AZ776" s="57"/>
    </row>
    <row r="777">
      <c r="A777" s="57"/>
      <c r="B777" s="57"/>
      <c r="C777" s="57"/>
      <c r="D777" s="57"/>
      <c r="E777" s="57"/>
      <c r="F777" s="57"/>
      <c r="G777" s="57"/>
      <c r="H777" s="65"/>
      <c r="I777" s="65"/>
      <c r="J777" s="65"/>
      <c r="K777" s="65"/>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7"/>
      <c r="AR777" s="57"/>
      <c r="AS777" s="57"/>
      <c r="AT777" s="57"/>
      <c r="AU777" s="57"/>
      <c r="AV777" s="57"/>
      <c r="AW777" s="57"/>
      <c r="AX777" s="57"/>
      <c r="AY777" s="57"/>
      <c r="AZ777" s="57"/>
    </row>
    <row r="778">
      <c r="A778" s="57"/>
      <c r="B778" s="57"/>
      <c r="C778" s="57"/>
      <c r="D778" s="57"/>
      <c r="E778" s="57"/>
      <c r="F778" s="57"/>
      <c r="G778" s="57"/>
      <c r="H778" s="65"/>
      <c r="I778" s="65"/>
      <c r="J778" s="65"/>
      <c r="K778" s="65"/>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57"/>
      <c r="AT778" s="57"/>
      <c r="AU778" s="57"/>
      <c r="AV778" s="57"/>
      <c r="AW778" s="57"/>
      <c r="AX778" s="57"/>
      <c r="AY778" s="57"/>
      <c r="AZ778" s="57"/>
    </row>
    <row r="779">
      <c r="A779" s="57"/>
      <c r="B779" s="57"/>
      <c r="C779" s="57"/>
      <c r="D779" s="57"/>
      <c r="E779" s="57"/>
      <c r="F779" s="57"/>
      <c r="G779" s="57"/>
      <c r="H779" s="65"/>
      <c r="I779" s="65"/>
      <c r="J779" s="65"/>
      <c r="K779" s="65"/>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7"/>
      <c r="AR779" s="57"/>
      <c r="AS779" s="57"/>
      <c r="AT779" s="57"/>
      <c r="AU779" s="57"/>
      <c r="AV779" s="57"/>
      <c r="AW779" s="57"/>
      <c r="AX779" s="57"/>
      <c r="AY779" s="57"/>
      <c r="AZ779" s="57"/>
    </row>
    <row r="780">
      <c r="A780" s="57"/>
      <c r="B780" s="57"/>
      <c r="C780" s="57"/>
      <c r="D780" s="57"/>
      <c r="E780" s="57"/>
      <c r="F780" s="57"/>
      <c r="G780" s="57"/>
      <c r="H780" s="65"/>
      <c r="I780" s="65"/>
      <c r="J780" s="65"/>
      <c r="K780" s="65"/>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57"/>
      <c r="AT780" s="57"/>
      <c r="AU780" s="57"/>
      <c r="AV780" s="57"/>
      <c r="AW780" s="57"/>
      <c r="AX780" s="57"/>
      <c r="AY780" s="57"/>
      <c r="AZ780" s="57"/>
    </row>
    <row r="781">
      <c r="A781" s="57"/>
      <c r="B781" s="57"/>
      <c r="C781" s="57"/>
      <c r="D781" s="57"/>
      <c r="E781" s="57"/>
      <c r="F781" s="57"/>
      <c r="G781" s="57"/>
      <c r="H781" s="65"/>
      <c r="I781" s="65"/>
      <c r="J781" s="65"/>
      <c r="K781" s="65"/>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57"/>
      <c r="AT781" s="57"/>
      <c r="AU781" s="57"/>
      <c r="AV781" s="57"/>
      <c r="AW781" s="57"/>
      <c r="AX781" s="57"/>
      <c r="AY781" s="57"/>
      <c r="AZ781" s="57"/>
    </row>
    <row r="782">
      <c r="A782" s="57"/>
      <c r="B782" s="57"/>
      <c r="C782" s="57"/>
      <c r="D782" s="57"/>
      <c r="E782" s="57"/>
      <c r="F782" s="57"/>
      <c r="G782" s="57"/>
      <c r="H782" s="65"/>
      <c r="I782" s="65"/>
      <c r="J782" s="65"/>
      <c r="K782" s="65"/>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57"/>
      <c r="AT782" s="57"/>
      <c r="AU782" s="57"/>
      <c r="AV782" s="57"/>
      <c r="AW782" s="57"/>
      <c r="AX782" s="57"/>
      <c r="AY782" s="57"/>
      <c r="AZ782" s="57"/>
    </row>
    <row r="783">
      <c r="A783" s="57"/>
      <c r="B783" s="57"/>
      <c r="C783" s="57"/>
      <c r="D783" s="57"/>
      <c r="E783" s="57"/>
      <c r="F783" s="57"/>
      <c r="G783" s="57"/>
      <c r="H783" s="65"/>
      <c r="I783" s="65"/>
      <c r="J783" s="65"/>
      <c r="K783" s="65"/>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57"/>
      <c r="AT783" s="57"/>
      <c r="AU783" s="57"/>
      <c r="AV783" s="57"/>
      <c r="AW783" s="57"/>
      <c r="AX783" s="57"/>
      <c r="AY783" s="57"/>
      <c r="AZ783" s="57"/>
    </row>
    <row r="784">
      <c r="A784" s="57"/>
      <c r="B784" s="57"/>
      <c r="C784" s="57"/>
      <c r="D784" s="57"/>
      <c r="E784" s="57"/>
      <c r="F784" s="57"/>
      <c r="G784" s="57"/>
      <c r="H784" s="65"/>
      <c r="I784" s="65"/>
      <c r="J784" s="65"/>
      <c r="K784" s="65"/>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7"/>
      <c r="AR784" s="57"/>
      <c r="AS784" s="57"/>
      <c r="AT784" s="57"/>
      <c r="AU784" s="57"/>
      <c r="AV784" s="57"/>
      <c r="AW784" s="57"/>
      <c r="AX784" s="57"/>
      <c r="AY784" s="57"/>
      <c r="AZ784" s="57"/>
    </row>
    <row r="785">
      <c r="A785" s="57"/>
      <c r="B785" s="57"/>
      <c r="C785" s="57"/>
      <c r="D785" s="57"/>
      <c r="E785" s="57"/>
      <c r="F785" s="57"/>
      <c r="G785" s="57"/>
      <c r="H785" s="65"/>
      <c r="I785" s="65"/>
      <c r="J785" s="65"/>
      <c r="K785" s="65"/>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7"/>
      <c r="AR785" s="57"/>
      <c r="AS785" s="57"/>
      <c r="AT785" s="57"/>
      <c r="AU785" s="57"/>
      <c r="AV785" s="57"/>
      <c r="AW785" s="57"/>
      <c r="AX785" s="57"/>
      <c r="AY785" s="57"/>
      <c r="AZ785" s="57"/>
    </row>
    <row r="786">
      <c r="A786" s="57"/>
      <c r="B786" s="57"/>
      <c r="C786" s="57"/>
      <c r="D786" s="57"/>
      <c r="E786" s="57"/>
      <c r="F786" s="57"/>
      <c r="G786" s="57"/>
      <c r="H786" s="65"/>
      <c r="I786" s="65"/>
      <c r="J786" s="65"/>
      <c r="K786" s="65"/>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7"/>
      <c r="AR786" s="57"/>
      <c r="AS786" s="57"/>
      <c r="AT786" s="57"/>
      <c r="AU786" s="57"/>
      <c r="AV786" s="57"/>
      <c r="AW786" s="57"/>
      <c r="AX786" s="57"/>
      <c r="AY786" s="57"/>
      <c r="AZ786" s="57"/>
    </row>
    <row r="787">
      <c r="A787" s="57"/>
      <c r="B787" s="57"/>
      <c r="C787" s="57"/>
      <c r="D787" s="57"/>
      <c r="E787" s="57"/>
      <c r="F787" s="57"/>
      <c r="G787" s="57"/>
      <c r="H787" s="65"/>
      <c r="I787" s="65"/>
      <c r="J787" s="65"/>
      <c r="K787" s="65"/>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57"/>
      <c r="AT787" s="57"/>
      <c r="AU787" s="57"/>
      <c r="AV787" s="57"/>
      <c r="AW787" s="57"/>
      <c r="AX787" s="57"/>
      <c r="AY787" s="57"/>
      <c r="AZ787" s="57"/>
    </row>
    <row r="788">
      <c r="A788" s="57"/>
      <c r="B788" s="57"/>
      <c r="C788" s="57"/>
      <c r="D788" s="57"/>
      <c r="E788" s="57"/>
      <c r="F788" s="57"/>
      <c r="G788" s="57"/>
      <c r="H788" s="65"/>
      <c r="I788" s="65"/>
      <c r="J788" s="65"/>
      <c r="K788" s="65"/>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7"/>
      <c r="AR788" s="57"/>
      <c r="AS788" s="57"/>
      <c r="AT788" s="57"/>
      <c r="AU788" s="57"/>
      <c r="AV788" s="57"/>
      <c r="AW788" s="57"/>
      <c r="AX788" s="57"/>
      <c r="AY788" s="57"/>
      <c r="AZ788" s="57"/>
    </row>
    <row r="789">
      <c r="A789" s="57"/>
      <c r="B789" s="57"/>
      <c r="C789" s="57"/>
      <c r="D789" s="57"/>
      <c r="E789" s="57"/>
      <c r="F789" s="57"/>
      <c r="G789" s="57"/>
      <c r="H789" s="65"/>
      <c r="I789" s="65"/>
      <c r="J789" s="65"/>
      <c r="K789" s="65"/>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7"/>
      <c r="AR789" s="57"/>
      <c r="AS789" s="57"/>
      <c r="AT789" s="57"/>
      <c r="AU789" s="57"/>
      <c r="AV789" s="57"/>
      <c r="AW789" s="57"/>
      <c r="AX789" s="57"/>
      <c r="AY789" s="57"/>
      <c r="AZ789" s="57"/>
    </row>
    <row r="790">
      <c r="A790" s="57"/>
      <c r="B790" s="57"/>
      <c r="C790" s="57"/>
      <c r="D790" s="57"/>
      <c r="E790" s="57"/>
      <c r="F790" s="57"/>
      <c r="G790" s="57"/>
      <c r="H790" s="65"/>
      <c r="I790" s="65"/>
      <c r="J790" s="65"/>
      <c r="K790" s="65"/>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7"/>
      <c r="AR790" s="57"/>
      <c r="AS790" s="57"/>
      <c r="AT790" s="57"/>
      <c r="AU790" s="57"/>
      <c r="AV790" s="57"/>
      <c r="AW790" s="57"/>
      <c r="AX790" s="57"/>
      <c r="AY790" s="57"/>
      <c r="AZ790" s="57"/>
    </row>
    <row r="791">
      <c r="A791" s="57"/>
      <c r="B791" s="57"/>
      <c r="C791" s="57"/>
      <c r="D791" s="57"/>
      <c r="E791" s="57"/>
      <c r="F791" s="57"/>
      <c r="G791" s="57"/>
      <c r="H791" s="65"/>
      <c r="I791" s="65"/>
      <c r="J791" s="65"/>
      <c r="K791" s="65"/>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7"/>
      <c r="AR791" s="57"/>
      <c r="AS791" s="57"/>
      <c r="AT791" s="57"/>
      <c r="AU791" s="57"/>
      <c r="AV791" s="57"/>
      <c r="AW791" s="57"/>
      <c r="AX791" s="57"/>
      <c r="AY791" s="57"/>
      <c r="AZ791" s="57"/>
    </row>
    <row r="792">
      <c r="A792" s="57"/>
      <c r="B792" s="57"/>
      <c r="C792" s="57"/>
      <c r="D792" s="57"/>
      <c r="E792" s="57"/>
      <c r="F792" s="57"/>
      <c r="G792" s="57"/>
      <c r="H792" s="65"/>
      <c r="I792" s="65"/>
      <c r="J792" s="65"/>
      <c r="K792" s="65"/>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7"/>
      <c r="AR792" s="57"/>
      <c r="AS792" s="57"/>
      <c r="AT792" s="57"/>
      <c r="AU792" s="57"/>
      <c r="AV792" s="57"/>
      <c r="AW792" s="57"/>
      <c r="AX792" s="57"/>
      <c r="AY792" s="57"/>
      <c r="AZ792" s="57"/>
    </row>
    <row r="793">
      <c r="A793" s="57"/>
      <c r="B793" s="57"/>
      <c r="C793" s="57"/>
      <c r="D793" s="57"/>
      <c r="E793" s="57"/>
      <c r="F793" s="57"/>
      <c r="G793" s="57"/>
      <c r="H793" s="65"/>
      <c r="I793" s="65"/>
      <c r="J793" s="65"/>
      <c r="K793" s="65"/>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7"/>
      <c r="AR793" s="57"/>
      <c r="AS793" s="57"/>
      <c r="AT793" s="57"/>
      <c r="AU793" s="57"/>
      <c r="AV793" s="57"/>
      <c r="AW793" s="57"/>
      <c r="AX793" s="57"/>
      <c r="AY793" s="57"/>
      <c r="AZ793" s="57"/>
    </row>
    <row r="794">
      <c r="A794" s="57"/>
      <c r="B794" s="57"/>
      <c r="C794" s="57"/>
      <c r="D794" s="57"/>
      <c r="E794" s="57"/>
      <c r="F794" s="57"/>
      <c r="G794" s="57"/>
      <c r="H794" s="65"/>
      <c r="I794" s="65"/>
      <c r="J794" s="65"/>
      <c r="K794" s="65"/>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7"/>
      <c r="AR794" s="57"/>
      <c r="AS794" s="57"/>
      <c r="AT794" s="57"/>
      <c r="AU794" s="57"/>
      <c r="AV794" s="57"/>
      <c r="AW794" s="57"/>
      <c r="AX794" s="57"/>
      <c r="AY794" s="57"/>
      <c r="AZ794" s="57"/>
    </row>
    <row r="795">
      <c r="A795" s="57"/>
      <c r="B795" s="57"/>
      <c r="C795" s="57"/>
      <c r="D795" s="57"/>
      <c r="E795" s="57"/>
      <c r="F795" s="57"/>
      <c r="G795" s="57"/>
      <c r="H795" s="65"/>
      <c r="I795" s="65"/>
      <c r="J795" s="65"/>
      <c r="K795" s="65"/>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57"/>
      <c r="AT795" s="57"/>
      <c r="AU795" s="57"/>
      <c r="AV795" s="57"/>
      <c r="AW795" s="57"/>
      <c r="AX795" s="57"/>
      <c r="AY795" s="57"/>
      <c r="AZ795" s="57"/>
    </row>
    <row r="796">
      <c r="A796" s="57"/>
      <c r="B796" s="57"/>
      <c r="C796" s="57"/>
      <c r="D796" s="57"/>
      <c r="E796" s="57"/>
      <c r="F796" s="57"/>
      <c r="G796" s="57"/>
      <c r="H796" s="65"/>
      <c r="I796" s="65"/>
      <c r="J796" s="65"/>
      <c r="K796" s="65"/>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7"/>
      <c r="AR796" s="57"/>
      <c r="AS796" s="57"/>
      <c r="AT796" s="57"/>
      <c r="AU796" s="57"/>
      <c r="AV796" s="57"/>
      <c r="AW796" s="57"/>
      <c r="AX796" s="57"/>
      <c r="AY796" s="57"/>
      <c r="AZ796" s="57"/>
    </row>
    <row r="797">
      <c r="A797" s="57"/>
      <c r="B797" s="57"/>
      <c r="C797" s="57"/>
      <c r="D797" s="57"/>
      <c r="E797" s="57"/>
      <c r="F797" s="57"/>
      <c r="G797" s="57"/>
      <c r="H797" s="65"/>
      <c r="I797" s="65"/>
      <c r="J797" s="65"/>
      <c r="K797" s="65"/>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7"/>
      <c r="AR797" s="57"/>
      <c r="AS797" s="57"/>
      <c r="AT797" s="57"/>
      <c r="AU797" s="57"/>
      <c r="AV797" s="57"/>
      <c r="AW797" s="57"/>
      <c r="AX797" s="57"/>
      <c r="AY797" s="57"/>
      <c r="AZ797" s="57"/>
    </row>
    <row r="798">
      <c r="A798" s="57"/>
      <c r="B798" s="57"/>
      <c r="C798" s="57"/>
      <c r="D798" s="57"/>
      <c r="E798" s="57"/>
      <c r="F798" s="57"/>
      <c r="G798" s="57"/>
      <c r="H798" s="65"/>
      <c r="I798" s="65"/>
      <c r="J798" s="65"/>
      <c r="K798" s="65"/>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7"/>
      <c r="AR798" s="57"/>
      <c r="AS798" s="57"/>
      <c r="AT798" s="57"/>
      <c r="AU798" s="57"/>
      <c r="AV798" s="57"/>
      <c r="AW798" s="57"/>
      <c r="AX798" s="57"/>
      <c r="AY798" s="57"/>
      <c r="AZ798" s="57"/>
    </row>
    <row r="799">
      <c r="A799" s="57"/>
      <c r="B799" s="57"/>
      <c r="C799" s="57"/>
      <c r="D799" s="57"/>
      <c r="E799" s="57"/>
      <c r="F799" s="57"/>
      <c r="G799" s="57"/>
      <c r="H799" s="65"/>
      <c r="I799" s="65"/>
      <c r="J799" s="65"/>
      <c r="K799" s="65"/>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7"/>
      <c r="AR799" s="57"/>
      <c r="AS799" s="57"/>
      <c r="AT799" s="57"/>
      <c r="AU799" s="57"/>
      <c r="AV799" s="57"/>
      <c r="AW799" s="57"/>
      <c r="AX799" s="57"/>
      <c r="AY799" s="57"/>
      <c r="AZ799" s="57"/>
    </row>
    <row r="800">
      <c r="A800" s="57"/>
      <c r="B800" s="57"/>
      <c r="C800" s="57"/>
      <c r="D800" s="57"/>
      <c r="E800" s="57"/>
      <c r="F800" s="57"/>
      <c r="G800" s="57"/>
      <c r="H800" s="65"/>
      <c r="I800" s="65"/>
      <c r="J800" s="65"/>
      <c r="K800" s="65"/>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7"/>
      <c r="AR800" s="57"/>
      <c r="AS800" s="57"/>
      <c r="AT800" s="57"/>
      <c r="AU800" s="57"/>
      <c r="AV800" s="57"/>
      <c r="AW800" s="57"/>
      <c r="AX800" s="57"/>
      <c r="AY800" s="57"/>
      <c r="AZ800" s="57"/>
    </row>
    <row r="801">
      <c r="A801" s="57"/>
      <c r="B801" s="57"/>
      <c r="C801" s="57"/>
      <c r="D801" s="57"/>
      <c r="E801" s="57"/>
      <c r="F801" s="57"/>
      <c r="G801" s="57"/>
      <c r="H801" s="65"/>
      <c r="I801" s="65"/>
      <c r="J801" s="65"/>
      <c r="K801" s="65"/>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7"/>
      <c r="AR801" s="57"/>
      <c r="AS801" s="57"/>
      <c r="AT801" s="57"/>
      <c r="AU801" s="57"/>
      <c r="AV801" s="57"/>
      <c r="AW801" s="57"/>
      <c r="AX801" s="57"/>
      <c r="AY801" s="57"/>
      <c r="AZ801" s="57"/>
    </row>
    <row r="802">
      <c r="A802" s="57"/>
      <c r="B802" s="57"/>
      <c r="C802" s="57"/>
      <c r="D802" s="57"/>
      <c r="E802" s="57"/>
      <c r="F802" s="57"/>
      <c r="G802" s="57"/>
      <c r="H802" s="65"/>
      <c r="I802" s="65"/>
      <c r="J802" s="65"/>
      <c r="K802" s="65"/>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7"/>
      <c r="AR802" s="57"/>
      <c r="AS802" s="57"/>
      <c r="AT802" s="57"/>
      <c r="AU802" s="57"/>
      <c r="AV802" s="57"/>
      <c r="AW802" s="57"/>
      <c r="AX802" s="57"/>
      <c r="AY802" s="57"/>
      <c r="AZ802" s="57"/>
    </row>
    <row r="803">
      <c r="A803" s="57"/>
      <c r="B803" s="57"/>
      <c r="C803" s="57"/>
      <c r="D803" s="57"/>
      <c r="E803" s="57"/>
      <c r="F803" s="57"/>
      <c r="G803" s="57"/>
      <c r="H803" s="65"/>
      <c r="I803" s="65"/>
      <c r="J803" s="65"/>
      <c r="K803" s="65"/>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7"/>
      <c r="AR803" s="57"/>
      <c r="AS803" s="57"/>
      <c r="AT803" s="57"/>
      <c r="AU803" s="57"/>
      <c r="AV803" s="57"/>
      <c r="AW803" s="57"/>
      <c r="AX803" s="57"/>
      <c r="AY803" s="57"/>
      <c r="AZ803" s="57"/>
    </row>
    <row r="804">
      <c r="A804" s="57"/>
      <c r="B804" s="57"/>
      <c r="C804" s="57"/>
      <c r="D804" s="57"/>
      <c r="E804" s="57"/>
      <c r="F804" s="57"/>
      <c r="G804" s="57"/>
      <c r="H804" s="65"/>
      <c r="I804" s="65"/>
      <c r="J804" s="65"/>
      <c r="K804" s="65"/>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7"/>
      <c r="AR804" s="57"/>
      <c r="AS804" s="57"/>
      <c r="AT804" s="57"/>
      <c r="AU804" s="57"/>
      <c r="AV804" s="57"/>
      <c r="AW804" s="57"/>
      <c r="AX804" s="57"/>
      <c r="AY804" s="57"/>
      <c r="AZ804" s="57"/>
    </row>
    <row r="805">
      <c r="A805" s="57"/>
      <c r="B805" s="57"/>
      <c r="C805" s="57"/>
      <c r="D805" s="57"/>
      <c r="E805" s="57"/>
      <c r="F805" s="57"/>
      <c r="G805" s="57"/>
      <c r="H805" s="65"/>
      <c r="I805" s="65"/>
      <c r="J805" s="65"/>
      <c r="K805" s="65"/>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7"/>
      <c r="AR805" s="57"/>
      <c r="AS805" s="57"/>
      <c r="AT805" s="57"/>
      <c r="AU805" s="57"/>
      <c r="AV805" s="57"/>
      <c r="AW805" s="57"/>
      <c r="AX805" s="57"/>
      <c r="AY805" s="57"/>
      <c r="AZ805" s="57"/>
    </row>
    <row r="806">
      <c r="A806" s="57"/>
      <c r="B806" s="57"/>
      <c r="C806" s="57"/>
      <c r="D806" s="57"/>
      <c r="E806" s="57"/>
      <c r="F806" s="57"/>
      <c r="G806" s="57"/>
      <c r="H806" s="65"/>
      <c r="I806" s="65"/>
      <c r="J806" s="65"/>
      <c r="K806" s="65"/>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7"/>
      <c r="AR806" s="57"/>
      <c r="AS806" s="57"/>
      <c r="AT806" s="57"/>
      <c r="AU806" s="57"/>
      <c r="AV806" s="57"/>
      <c r="AW806" s="57"/>
      <c r="AX806" s="57"/>
      <c r="AY806" s="57"/>
      <c r="AZ806" s="57"/>
    </row>
    <row r="807">
      <c r="A807" s="57"/>
      <c r="B807" s="57"/>
      <c r="C807" s="57"/>
      <c r="D807" s="57"/>
      <c r="E807" s="57"/>
      <c r="F807" s="57"/>
      <c r="G807" s="57"/>
      <c r="H807" s="65"/>
      <c r="I807" s="65"/>
      <c r="J807" s="65"/>
      <c r="K807" s="65"/>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7"/>
      <c r="AR807" s="57"/>
      <c r="AS807" s="57"/>
      <c r="AT807" s="57"/>
      <c r="AU807" s="57"/>
      <c r="AV807" s="57"/>
      <c r="AW807" s="57"/>
      <c r="AX807" s="57"/>
      <c r="AY807" s="57"/>
      <c r="AZ807" s="57"/>
    </row>
    <row r="808">
      <c r="A808" s="57"/>
      <c r="B808" s="57"/>
      <c r="C808" s="57"/>
      <c r="D808" s="57"/>
      <c r="E808" s="57"/>
      <c r="F808" s="57"/>
      <c r="G808" s="57"/>
      <c r="H808" s="65"/>
      <c r="I808" s="65"/>
      <c r="J808" s="65"/>
      <c r="K808" s="65"/>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7"/>
      <c r="AR808" s="57"/>
      <c r="AS808" s="57"/>
      <c r="AT808" s="57"/>
      <c r="AU808" s="57"/>
      <c r="AV808" s="57"/>
      <c r="AW808" s="57"/>
      <c r="AX808" s="57"/>
      <c r="AY808" s="57"/>
      <c r="AZ808" s="57"/>
    </row>
    <row r="809">
      <c r="A809" s="57"/>
      <c r="B809" s="57"/>
      <c r="C809" s="57"/>
      <c r="D809" s="57"/>
      <c r="E809" s="57"/>
      <c r="F809" s="57"/>
      <c r="G809" s="57"/>
      <c r="H809" s="65"/>
      <c r="I809" s="65"/>
      <c r="J809" s="65"/>
      <c r="K809" s="65"/>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7"/>
      <c r="AR809" s="57"/>
      <c r="AS809" s="57"/>
      <c r="AT809" s="57"/>
      <c r="AU809" s="57"/>
      <c r="AV809" s="57"/>
      <c r="AW809" s="57"/>
      <c r="AX809" s="57"/>
      <c r="AY809" s="57"/>
      <c r="AZ809" s="57"/>
    </row>
    <row r="810">
      <c r="A810" s="57"/>
      <c r="B810" s="57"/>
      <c r="C810" s="57"/>
      <c r="D810" s="57"/>
      <c r="E810" s="57"/>
      <c r="F810" s="57"/>
      <c r="G810" s="57"/>
      <c r="H810" s="65"/>
      <c r="I810" s="65"/>
      <c r="J810" s="65"/>
      <c r="K810" s="65"/>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7"/>
      <c r="AR810" s="57"/>
      <c r="AS810" s="57"/>
      <c r="AT810" s="57"/>
      <c r="AU810" s="57"/>
      <c r="AV810" s="57"/>
      <c r="AW810" s="57"/>
      <c r="AX810" s="57"/>
      <c r="AY810" s="57"/>
      <c r="AZ810" s="57"/>
    </row>
    <row r="811">
      <c r="A811" s="57"/>
      <c r="B811" s="57"/>
      <c r="C811" s="57"/>
      <c r="D811" s="57"/>
      <c r="E811" s="57"/>
      <c r="F811" s="57"/>
      <c r="G811" s="57"/>
      <c r="H811" s="65"/>
      <c r="I811" s="65"/>
      <c r="J811" s="65"/>
      <c r="K811" s="65"/>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57"/>
      <c r="AT811" s="57"/>
      <c r="AU811" s="57"/>
      <c r="AV811" s="57"/>
      <c r="AW811" s="57"/>
      <c r="AX811" s="57"/>
      <c r="AY811" s="57"/>
      <c r="AZ811" s="57"/>
    </row>
    <row r="812">
      <c r="A812" s="57"/>
      <c r="B812" s="57"/>
      <c r="C812" s="57"/>
      <c r="D812" s="57"/>
      <c r="E812" s="57"/>
      <c r="F812" s="57"/>
      <c r="G812" s="57"/>
      <c r="H812" s="65"/>
      <c r="I812" s="65"/>
      <c r="J812" s="65"/>
      <c r="K812" s="65"/>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7"/>
      <c r="AR812" s="57"/>
      <c r="AS812" s="57"/>
      <c r="AT812" s="57"/>
      <c r="AU812" s="57"/>
      <c r="AV812" s="57"/>
      <c r="AW812" s="57"/>
      <c r="AX812" s="57"/>
      <c r="AY812" s="57"/>
      <c r="AZ812" s="57"/>
    </row>
    <row r="813">
      <c r="A813" s="57"/>
      <c r="B813" s="57"/>
      <c r="C813" s="57"/>
      <c r="D813" s="57"/>
      <c r="E813" s="57"/>
      <c r="F813" s="57"/>
      <c r="G813" s="57"/>
      <c r="H813" s="65"/>
      <c r="I813" s="65"/>
      <c r="J813" s="65"/>
      <c r="K813" s="65"/>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57"/>
      <c r="AT813" s="57"/>
      <c r="AU813" s="57"/>
      <c r="AV813" s="57"/>
      <c r="AW813" s="57"/>
      <c r="AX813" s="57"/>
      <c r="AY813" s="57"/>
      <c r="AZ813" s="57"/>
    </row>
    <row r="814">
      <c r="A814" s="57"/>
      <c r="B814" s="57"/>
      <c r="C814" s="57"/>
      <c r="D814" s="57"/>
      <c r="E814" s="57"/>
      <c r="F814" s="57"/>
      <c r="G814" s="57"/>
      <c r="H814" s="65"/>
      <c r="I814" s="65"/>
      <c r="J814" s="65"/>
      <c r="K814" s="65"/>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7"/>
      <c r="AR814" s="57"/>
      <c r="AS814" s="57"/>
      <c r="AT814" s="57"/>
      <c r="AU814" s="57"/>
      <c r="AV814" s="57"/>
      <c r="AW814" s="57"/>
      <c r="AX814" s="57"/>
      <c r="AY814" s="57"/>
      <c r="AZ814" s="57"/>
    </row>
    <row r="815">
      <c r="A815" s="57"/>
      <c r="B815" s="57"/>
      <c r="C815" s="57"/>
      <c r="D815" s="57"/>
      <c r="E815" s="57"/>
      <c r="F815" s="57"/>
      <c r="G815" s="57"/>
      <c r="H815" s="65"/>
      <c r="I815" s="65"/>
      <c r="J815" s="65"/>
      <c r="K815" s="65"/>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7"/>
      <c r="AR815" s="57"/>
      <c r="AS815" s="57"/>
      <c r="AT815" s="57"/>
      <c r="AU815" s="57"/>
      <c r="AV815" s="57"/>
      <c r="AW815" s="57"/>
      <c r="AX815" s="57"/>
      <c r="AY815" s="57"/>
      <c r="AZ815" s="57"/>
    </row>
    <row r="816">
      <c r="A816" s="57"/>
      <c r="B816" s="57"/>
      <c r="C816" s="57"/>
      <c r="D816" s="57"/>
      <c r="E816" s="57"/>
      <c r="F816" s="57"/>
      <c r="G816" s="57"/>
      <c r="H816" s="65"/>
      <c r="I816" s="65"/>
      <c r="J816" s="65"/>
      <c r="K816" s="65"/>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57"/>
      <c r="AT816" s="57"/>
      <c r="AU816" s="57"/>
      <c r="AV816" s="57"/>
      <c r="AW816" s="57"/>
      <c r="AX816" s="57"/>
      <c r="AY816" s="57"/>
      <c r="AZ816" s="57"/>
    </row>
    <row r="817">
      <c r="A817" s="57"/>
      <c r="B817" s="57"/>
      <c r="C817" s="57"/>
      <c r="D817" s="57"/>
      <c r="E817" s="57"/>
      <c r="F817" s="57"/>
      <c r="G817" s="57"/>
      <c r="H817" s="65"/>
      <c r="I817" s="65"/>
      <c r="J817" s="65"/>
      <c r="K817" s="65"/>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7"/>
      <c r="AR817" s="57"/>
      <c r="AS817" s="57"/>
      <c r="AT817" s="57"/>
      <c r="AU817" s="57"/>
      <c r="AV817" s="57"/>
      <c r="AW817" s="57"/>
      <c r="AX817" s="57"/>
      <c r="AY817" s="57"/>
      <c r="AZ817" s="57"/>
    </row>
    <row r="818">
      <c r="A818" s="57"/>
      <c r="B818" s="57"/>
      <c r="C818" s="57"/>
      <c r="D818" s="57"/>
      <c r="E818" s="57"/>
      <c r="F818" s="57"/>
      <c r="G818" s="57"/>
      <c r="H818" s="65"/>
      <c r="I818" s="65"/>
      <c r="J818" s="65"/>
      <c r="K818" s="65"/>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7"/>
      <c r="AR818" s="57"/>
      <c r="AS818" s="57"/>
      <c r="AT818" s="57"/>
      <c r="AU818" s="57"/>
      <c r="AV818" s="57"/>
      <c r="AW818" s="57"/>
      <c r="AX818" s="57"/>
      <c r="AY818" s="57"/>
      <c r="AZ818" s="57"/>
    </row>
    <row r="819">
      <c r="A819" s="57"/>
      <c r="B819" s="57"/>
      <c r="C819" s="57"/>
      <c r="D819" s="57"/>
      <c r="E819" s="57"/>
      <c r="F819" s="57"/>
      <c r="G819" s="57"/>
      <c r="H819" s="65"/>
      <c r="I819" s="65"/>
      <c r="J819" s="65"/>
      <c r="K819" s="65"/>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57"/>
      <c r="AT819" s="57"/>
      <c r="AU819" s="57"/>
      <c r="AV819" s="57"/>
      <c r="AW819" s="57"/>
      <c r="AX819" s="57"/>
      <c r="AY819" s="57"/>
      <c r="AZ819" s="57"/>
    </row>
    <row r="820">
      <c r="A820" s="57"/>
      <c r="B820" s="57"/>
      <c r="C820" s="57"/>
      <c r="D820" s="57"/>
      <c r="E820" s="57"/>
      <c r="F820" s="57"/>
      <c r="G820" s="57"/>
      <c r="H820" s="65"/>
      <c r="I820" s="65"/>
      <c r="J820" s="65"/>
      <c r="K820" s="65"/>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7"/>
      <c r="AR820" s="57"/>
      <c r="AS820" s="57"/>
      <c r="AT820" s="57"/>
      <c r="AU820" s="57"/>
      <c r="AV820" s="57"/>
      <c r="AW820" s="57"/>
      <c r="AX820" s="57"/>
      <c r="AY820" s="57"/>
      <c r="AZ820" s="57"/>
    </row>
    <row r="821">
      <c r="A821" s="57"/>
      <c r="B821" s="57"/>
      <c r="C821" s="57"/>
      <c r="D821" s="57"/>
      <c r="E821" s="57"/>
      <c r="F821" s="57"/>
      <c r="G821" s="57"/>
      <c r="H821" s="65"/>
      <c r="I821" s="65"/>
      <c r="J821" s="65"/>
      <c r="K821" s="65"/>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7"/>
      <c r="AR821" s="57"/>
      <c r="AS821" s="57"/>
      <c r="AT821" s="57"/>
      <c r="AU821" s="57"/>
      <c r="AV821" s="57"/>
      <c r="AW821" s="57"/>
      <c r="AX821" s="57"/>
      <c r="AY821" s="57"/>
      <c r="AZ821" s="57"/>
    </row>
    <row r="822">
      <c r="A822" s="57"/>
      <c r="B822" s="57"/>
      <c r="C822" s="57"/>
      <c r="D822" s="57"/>
      <c r="E822" s="57"/>
      <c r="F822" s="57"/>
      <c r="G822" s="57"/>
      <c r="H822" s="65"/>
      <c r="I822" s="65"/>
      <c r="J822" s="65"/>
      <c r="K822" s="65"/>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7"/>
      <c r="AR822" s="57"/>
      <c r="AS822" s="57"/>
      <c r="AT822" s="57"/>
      <c r="AU822" s="57"/>
      <c r="AV822" s="57"/>
      <c r="AW822" s="57"/>
      <c r="AX822" s="57"/>
      <c r="AY822" s="57"/>
      <c r="AZ822" s="57"/>
    </row>
    <row r="823">
      <c r="A823" s="57"/>
      <c r="B823" s="57"/>
      <c r="C823" s="57"/>
      <c r="D823" s="57"/>
      <c r="E823" s="57"/>
      <c r="F823" s="57"/>
      <c r="G823" s="57"/>
      <c r="H823" s="65"/>
      <c r="I823" s="65"/>
      <c r="J823" s="65"/>
      <c r="K823" s="65"/>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7"/>
      <c r="AR823" s="57"/>
      <c r="AS823" s="57"/>
      <c r="AT823" s="57"/>
      <c r="AU823" s="57"/>
      <c r="AV823" s="57"/>
      <c r="AW823" s="57"/>
      <c r="AX823" s="57"/>
      <c r="AY823" s="57"/>
      <c r="AZ823" s="57"/>
    </row>
    <row r="824">
      <c r="A824" s="57"/>
      <c r="B824" s="57"/>
      <c r="C824" s="57"/>
      <c r="D824" s="57"/>
      <c r="E824" s="57"/>
      <c r="F824" s="57"/>
      <c r="G824" s="57"/>
      <c r="H824" s="65"/>
      <c r="I824" s="65"/>
      <c r="J824" s="65"/>
      <c r="K824" s="65"/>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7"/>
      <c r="AR824" s="57"/>
      <c r="AS824" s="57"/>
      <c r="AT824" s="57"/>
      <c r="AU824" s="57"/>
      <c r="AV824" s="57"/>
      <c r="AW824" s="57"/>
      <c r="AX824" s="57"/>
      <c r="AY824" s="57"/>
      <c r="AZ824" s="57"/>
    </row>
    <row r="825">
      <c r="A825" s="57"/>
      <c r="B825" s="57"/>
      <c r="C825" s="57"/>
      <c r="D825" s="57"/>
      <c r="E825" s="57"/>
      <c r="F825" s="57"/>
      <c r="G825" s="57"/>
      <c r="H825" s="65"/>
      <c r="I825" s="65"/>
      <c r="J825" s="65"/>
      <c r="K825" s="65"/>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7"/>
      <c r="AR825" s="57"/>
      <c r="AS825" s="57"/>
      <c r="AT825" s="57"/>
      <c r="AU825" s="57"/>
      <c r="AV825" s="57"/>
      <c r="AW825" s="57"/>
      <c r="AX825" s="57"/>
      <c r="AY825" s="57"/>
      <c r="AZ825" s="57"/>
    </row>
    <row r="826">
      <c r="A826" s="57"/>
      <c r="B826" s="57"/>
      <c r="C826" s="57"/>
      <c r="D826" s="57"/>
      <c r="E826" s="57"/>
      <c r="F826" s="57"/>
      <c r="G826" s="57"/>
      <c r="H826" s="65"/>
      <c r="I826" s="65"/>
      <c r="J826" s="65"/>
      <c r="K826" s="65"/>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57"/>
      <c r="AT826" s="57"/>
      <c r="AU826" s="57"/>
      <c r="AV826" s="57"/>
      <c r="AW826" s="57"/>
      <c r="AX826" s="57"/>
      <c r="AY826" s="57"/>
      <c r="AZ826" s="57"/>
    </row>
    <row r="827">
      <c r="A827" s="57"/>
      <c r="B827" s="57"/>
      <c r="C827" s="57"/>
      <c r="D827" s="57"/>
      <c r="E827" s="57"/>
      <c r="F827" s="57"/>
      <c r="G827" s="57"/>
      <c r="H827" s="65"/>
      <c r="I827" s="65"/>
      <c r="J827" s="65"/>
      <c r="K827" s="65"/>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7"/>
      <c r="AR827" s="57"/>
      <c r="AS827" s="57"/>
      <c r="AT827" s="57"/>
      <c r="AU827" s="57"/>
      <c r="AV827" s="57"/>
      <c r="AW827" s="57"/>
      <c r="AX827" s="57"/>
      <c r="AY827" s="57"/>
      <c r="AZ827" s="57"/>
    </row>
    <row r="828">
      <c r="A828" s="57"/>
      <c r="B828" s="57"/>
      <c r="C828" s="57"/>
      <c r="D828" s="57"/>
      <c r="E828" s="57"/>
      <c r="F828" s="57"/>
      <c r="G828" s="57"/>
      <c r="H828" s="65"/>
      <c r="I828" s="65"/>
      <c r="J828" s="65"/>
      <c r="K828" s="65"/>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7"/>
      <c r="AR828" s="57"/>
      <c r="AS828" s="57"/>
      <c r="AT828" s="57"/>
      <c r="AU828" s="57"/>
      <c r="AV828" s="57"/>
      <c r="AW828" s="57"/>
      <c r="AX828" s="57"/>
      <c r="AY828" s="57"/>
      <c r="AZ828" s="57"/>
    </row>
    <row r="829">
      <c r="A829" s="57"/>
      <c r="B829" s="57"/>
      <c r="C829" s="57"/>
      <c r="D829" s="57"/>
      <c r="E829" s="57"/>
      <c r="F829" s="57"/>
      <c r="G829" s="57"/>
      <c r="H829" s="65"/>
      <c r="I829" s="65"/>
      <c r="J829" s="65"/>
      <c r="K829" s="65"/>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7"/>
      <c r="AR829" s="57"/>
      <c r="AS829" s="57"/>
      <c r="AT829" s="57"/>
      <c r="AU829" s="57"/>
      <c r="AV829" s="57"/>
      <c r="AW829" s="57"/>
      <c r="AX829" s="57"/>
      <c r="AY829" s="57"/>
      <c r="AZ829" s="57"/>
    </row>
    <row r="830">
      <c r="A830" s="57"/>
      <c r="B830" s="57"/>
      <c r="C830" s="57"/>
      <c r="D830" s="57"/>
      <c r="E830" s="57"/>
      <c r="F830" s="57"/>
      <c r="G830" s="57"/>
      <c r="H830" s="65"/>
      <c r="I830" s="65"/>
      <c r="J830" s="65"/>
      <c r="K830" s="65"/>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7"/>
      <c r="AR830" s="57"/>
      <c r="AS830" s="57"/>
      <c r="AT830" s="57"/>
      <c r="AU830" s="57"/>
      <c r="AV830" s="57"/>
      <c r="AW830" s="57"/>
      <c r="AX830" s="57"/>
      <c r="AY830" s="57"/>
      <c r="AZ830" s="57"/>
    </row>
    <row r="831">
      <c r="A831" s="57"/>
      <c r="B831" s="57"/>
      <c r="C831" s="57"/>
      <c r="D831" s="57"/>
      <c r="E831" s="57"/>
      <c r="F831" s="57"/>
      <c r="G831" s="57"/>
      <c r="H831" s="65"/>
      <c r="I831" s="65"/>
      <c r="J831" s="65"/>
      <c r="K831" s="65"/>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57"/>
      <c r="AT831" s="57"/>
      <c r="AU831" s="57"/>
      <c r="AV831" s="57"/>
      <c r="AW831" s="57"/>
      <c r="AX831" s="57"/>
      <c r="AY831" s="57"/>
      <c r="AZ831" s="57"/>
    </row>
    <row r="832">
      <c r="A832" s="57"/>
      <c r="B832" s="57"/>
      <c r="C832" s="57"/>
      <c r="D832" s="57"/>
      <c r="E832" s="57"/>
      <c r="F832" s="57"/>
      <c r="G832" s="57"/>
      <c r="H832" s="65"/>
      <c r="I832" s="65"/>
      <c r="J832" s="65"/>
      <c r="K832" s="65"/>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57"/>
      <c r="AT832" s="57"/>
      <c r="AU832" s="57"/>
      <c r="AV832" s="57"/>
      <c r="AW832" s="57"/>
      <c r="AX832" s="57"/>
      <c r="AY832" s="57"/>
      <c r="AZ832" s="57"/>
    </row>
    <row r="833">
      <c r="A833" s="57"/>
      <c r="B833" s="57"/>
      <c r="C833" s="57"/>
      <c r="D833" s="57"/>
      <c r="E833" s="57"/>
      <c r="F833" s="57"/>
      <c r="G833" s="57"/>
      <c r="H833" s="65"/>
      <c r="I833" s="65"/>
      <c r="J833" s="65"/>
      <c r="K833" s="65"/>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7"/>
      <c r="AR833" s="57"/>
      <c r="AS833" s="57"/>
      <c r="AT833" s="57"/>
      <c r="AU833" s="57"/>
      <c r="AV833" s="57"/>
      <c r="AW833" s="57"/>
      <c r="AX833" s="57"/>
      <c r="AY833" s="57"/>
      <c r="AZ833" s="57"/>
    </row>
    <row r="834">
      <c r="A834" s="57"/>
      <c r="B834" s="57"/>
      <c r="C834" s="57"/>
      <c r="D834" s="57"/>
      <c r="E834" s="57"/>
      <c r="F834" s="57"/>
      <c r="G834" s="57"/>
      <c r="H834" s="65"/>
      <c r="I834" s="65"/>
      <c r="J834" s="65"/>
      <c r="K834" s="65"/>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7"/>
      <c r="AR834" s="57"/>
      <c r="AS834" s="57"/>
      <c r="AT834" s="57"/>
      <c r="AU834" s="57"/>
      <c r="AV834" s="57"/>
      <c r="AW834" s="57"/>
      <c r="AX834" s="57"/>
      <c r="AY834" s="57"/>
      <c r="AZ834" s="57"/>
    </row>
    <row r="835">
      <c r="A835" s="57"/>
      <c r="B835" s="57"/>
      <c r="C835" s="57"/>
      <c r="D835" s="57"/>
      <c r="E835" s="57"/>
      <c r="F835" s="57"/>
      <c r="G835" s="57"/>
      <c r="H835" s="65"/>
      <c r="I835" s="65"/>
      <c r="J835" s="65"/>
      <c r="K835" s="65"/>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7"/>
      <c r="AR835" s="57"/>
      <c r="AS835" s="57"/>
      <c r="AT835" s="57"/>
      <c r="AU835" s="57"/>
      <c r="AV835" s="57"/>
      <c r="AW835" s="57"/>
      <c r="AX835" s="57"/>
      <c r="AY835" s="57"/>
      <c r="AZ835" s="57"/>
    </row>
    <row r="836">
      <c r="A836" s="57"/>
      <c r="B836" s="57"/>
      <c r="C836" s="57"/>
      <c r="D836" s="57"/>
      <c r="E836" s="57"/>
      <c r="F836" s="57"/>
      <c r="G836" s="57"/>
      <c r="H836" s="65"/>
      <c r="I836" s="65"/>
      <c r="J836" s="65"/>
      <c r="K836" s="65"/>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7"/>
      <c r="AR836" s="57"/>
      <c r="AS836" s="57"/>
      <c r="AT836" s="57"/>
      <c r="AU836" s="57"/>
      <c r="AV836" s="57"/>
      <c r="AW836" s="57"/>
      <c r="AX836" s="57"/>
      <c r="AY836" s="57"/>
      <c r="AZ836" s="57"/>
    </row>
    <row r="837">
      <c r="A837" s="57"/>
      <c r="B837" s="57"/>
      <c r="C837" s="57"/>
      <c r="D837" s="57"/>
      <c r="E837" s="57"/>
      <c r="F837" s="57"/>
      <c r="G837" s="57"/>
      <c r="H837" s="65"/>
      <c r="I837" s="65"/>
      <c r="J837" s="65"/>
      <c r="K837" s="65"/>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7"/>
      <c r="AR837" s="57"/>
      <c r="AS837" s="57"/>
      <c r="AT837" s="57"/>
      <c r="AU837" s="57"/>
      <c r="AV837" s="57"/>
      <c r="AW837" s="57"/>
      <c r="AX837" s="57"/>
      <c r="AY837" s="57"/>
      <c r="AZ837" s="57"/>
    </row>
    <row r="838">
      <c r="A838" s="57"/>
      <c r="B838" s="57"/>
      <c r="C838" s="57"/>
      <c r="D838" s="57"/>
      <c r="E838" s="57"/>
      <c r="F838" s="57"/>
      <c r="G838" s="57"/>
      <c r="H838" s="65"/>
      <c r="I838" s="65"/>
      <c r="J838" s="65"/>
      <c r="K838" s="65"/>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7"/>
      <c r="AR838" s="57"/>
      <c r="AS838" s="57"/>
      <c r="AT838" s="57"/>
      <c r="AU838" s="57"/>
      <c r="AV838" s="57"/>
      <c r="AW838" s="57"/>
      <c r="AX838" s="57"/>
      <c r="AY838" s="57"/>
      <c r="AZ838" s="57"/>
    </row>
    <row r="839">
      <c r="A839" s="57"/>
      <c r="B839" s="57"/>
      <c r="C839" s="57"/>
      <c r="D839" s="57"/>
      <c r="E839" s="57"/>
      <c r="F839" s="57"/>
      <c r="G839" s="57"/>
      <c r="H839" s="65"/>
      <c r="I839" s="65"/>
      <c r="J839" s="65"/>
      <c r="K839" s="65"/>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7"/>
      <c r="AR839" s="57"/>
      <c r="AS839" s="57"/>
      <c r="AT839" s="57"/>
      <c r="AU839" s="57"/>
      <c r="AV839" s="57"/>
      <c r="AW839" s="57"/>
      <c r="AX839" s="57"/>
      <c r="AY839" s="57"/>
      <c r="AZ839" s="57"/>
    </row>
    <row r="840">
      <c r="A840" s="57"/>
      <c r="B840" s="57"/>
      <c r="C840" s="57"/>
      <c r="D840" s="57"/>
      <c r="E840" s="57"/>
      <c r="F840" s="57"/>
      <c r="G840" s="57"/>
      <c r="H840" s="65"/>
      <c r="I840" s="65"/>
      <c r="J840" s="65"/>
      <c r="K840" s="65"/>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57"/>
      <c r="AT840" s="57"/>
      <c r="AU840" s="57"/>
      <c r="AV840" s="57"/>
      <c r="AW840" s="57"/>
      <c r="AX840" s="57"/>
      <c r="AY840" s="57"/>
      <c r="AZ840" s="57"/>
    </row>
    <row r="841">
      <c r="A841" s="57"/>
      <c r="B841" s="57"/>
      <c r="C841" s="57"/>
      <c r="D841" s="57"/>
      <c r="E841" s="57"/>
      <c r="F841" s="57"/>
      <c r="G841" s="57"/>
      <c r="H841" s="65"/>
      <c r="I841" s="65"/>
      <c r="J841" s="65"/>
      <c r="K841" s="65"/>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57"/>
      <c r="AT841" s="57"/>
      <c r="AU841" s="57"/>
      <c r="AV841" s="57"/>
      <c r="AW841" s="57"/>
      <c r="AX841" s="57"/>
      <c r="AY841" s="57"/>
      <c r="AZ841" s="57"/>
    </row>
    <row r="842">
      <c r="A842" s="57"/>
      <c r="B842" s="57"/>
      <c r="C842" s="57"/>
      <c r="D842" s="57"/>
      <c r="E842" s="57"/>
      <c r="F842" s="57"/>
      <c r="G842" s="57"/>
      <c r="H842" s="65"/>
      <c r="I842" s="65"/>
      <c r="J842" s="65"/>
      <c r="K842" s="65"/>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7"/>
      <c r="AR842" s="57"/>
      <c r="AS842" s="57"/>
      <c r="AT842" s="57"/>
      <c r="AU842" s="57"/>
      <c r="AV842" s="57"/>
      <c r="AW842" s="57"/>
      <c r="AX842" s="57"/>
      <c r="AY842" s="57"/>
      <c r="AZ842" s="57"/>
    </row>
    <row r="843">
      <c r="A843" s="57"/>
      <c r="B843" s="57"/>
      <c r="C843" s="57"/>
      <c r="D843" s="57"/>
      <c r="E843" s="57"/>
      <c r="F843" s="57"/>
      <c r="G843" s="57"/>
      <c r="H843" s="65"/>
      <c r="I843" s="65"/>
      <c r="J843" s="65"/>
      <c r="K843" s="65"/>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7"/>
      <c r="AR843" s="57"/>
      <c r="AS843" s="57"/>
      <c r="AT843" s="57"/>
      <c r="AU843" s="57"/>
      <c r="AV843" s="57"/>
      <c r="AW843" s="57"/>
      <c r="AX843" s="57"/>
      <c r="AY843" s="57"/>
      <c r="AZ843" s="57"/>
    </row>
    <row r="844">
      <c r="A844" s="57"/>
      <c r="B844" s="57"/>
      <c r="C844" s="57"/>
      <c r="D844" s="57"/>
      <c r="E844" s="57"/>
      <c r="F844" s="57"/>
      <c r="G844" s="57"/>
      <c r="H844" s="65"/>
      <c r="I844" s="65"/>
      <c r="J844" s="65"/>
      <c r="K844" s="65"/>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7"/>
      <c r="AR844" s="57"/>
      <c r="AS844" s="57"/>
      <c r="AT844" s="57"/>
      <c r="AU844" s="57"/>
      <c r="AV844" s="57"/>
      <c r="AW844" s="57"/>
      <c r="AX844" s="57"/>
      <c r="AY844" s="57"/>
      <c r="AZ844" s="57"/>
    </row>
    <row r="845">
      <c r="A845" s="57"/>
      <c r="B845" s="57"/>
      <c r="C845" s="57"/>
      <c r="D845" s="57"/>
      <c r="E845" s="57"/>
      <c r="F845" s="57"/>
      <c r="G845" s="57"/>
      <c r="H845" s="65"/>
      <c r="I845" s="65"/>
      <c r="J845" s="65"/>
      <c r="K845" s="65"/>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7"/>
      <c r="AR845" s="57"/>
      <c r="AS845" s="57"/>
      <c r="AT845" s="57"/>
      <c r="AU845" s="57"/>
      <c r="AV845" s="57"/>
      <c r="AW845" s="57"/>
      <c r="AX845" s="57"/>
      <c r="AY845" s="57"/>
      <c r="AZ845" s="57"/>
    </row>
    <row r="846">
      <c r="A846" s="57"/>
      <c r="B846" s="57"/>
      <c r="C846" s="57"/>
      <c r="D846" s="57"/>
      <c r="E846" s="57"/>
      <c r="F846" s="57"/>
      <c r="G846" s="57"/>
      <c r="H846" s="65"/>
      <c r="I846" s="65"/>
      <c r="J846" s="65"/>
      <c r="K846" s="65"/>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7"/>
      <c r="AR846" s="57"/>
      <c r="AS846" s="57"/>
      <c r="AT846" s="57"/>
      <c r="AU846" s="57"/>
      <c r="AV846" s="57"/>
      <c r="AW846" s="57"/>
      <c r="AX846" s="57"/>
      <c r="AY846" s="57"/>
      <c r="AZ846" s="57"/>
    </row>
    <row r="847">
      <c r="A847" s="57"/>
      <c r="B847" s="57"/>
      <c r="C847" s="57"/>
      <c r="D847" s="57"/>
      <c r="E847" s="57"/>
      <c r="F847" s="57"/>
      <c r="G847" s="57"/>
      <c r="H847" s="65"/>
      <c r="I847" s="65"/>
      <c r="J847" s="65"/>
      <c r="K847" s="65"/>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7"/>
      <c r="AR847" s="57"/>
      <c r="AS847" s="57"/>
      <c r="AT847" s="57"/>
      <c r="AU847" s="57"/>
      <c r="AV847" s="57"/>
      <c r="AW847" s="57"/>
      <c r="AX847" s="57"/>
      <c r="AY847" s="57"/>
      <c r="AZ847" s="57"/>
    </row>
    <row r="848">
      <c r="A848" s="57"/>
      <c r="B848" s="57"/>
      <c r="C848" s="57"/>
      <c r="D848" s="57"/>
      <c r="E848" s="57"/>
      <c r="F848" s="57"/>
      <c r="G848" s="57"/>
      <c r="H848" s="65"/>
      <c r="I848" s="65"/>
      <c r="J848" s="65"/>
      <c r="K848" s="65"/>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7"/>
      <c r="AR848" s="57"/>
      <c r="AS848" s="57"/>
      <c r="AT848" s="57"/>
      <c r="AU848" s="57"/>
      <c r="AV848" s="57"/>
      <c r="AW848" s="57"/>
      <c r="AX848" s="57"/>
      <c r="AY848" s="57"/>
      <c r="AZ848" s="57"/>
    </row>
    <row r="849">
      <c r="A849" s="57"/>
      <c r="B849" s="57"/>
      <c r="C849" s="57"/>
      <c r="D849" s="57"/>
      <c r="E849" s="57"/>
      <c r="F849" s="57"/>
      <c r="G849" s="57"/>
      <c r="H849" s="65"/>
      <c r="I849" s="65"/>
      <c r="J849" s="65"/>
      <c r="K849" s="65"/>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7"/>
      <c r="AR849" s="57"/>
      <c r="AS849" s="57"/>
      <c r="AT849" s="57"/>
      <c r="AU849" s="57"/>
      <c r="AV849" s="57"/>
      <c r="AW849" s="57"/>
      <c r="AX849" s="57"/>
      <c r="AY849" s="57"/>
      <c r="AZ849" s="57"/>
    </row>
    <row r="850">
      <c r="A850" s="57"/>
      <c r="B850" s="57"/>
      <c r="C850" s="57"/>
      <c r="D850" s="57"/>
      <c r="E850" s="57"/>
      <c r="F850" s="57"/>
      <c r="G850" s="57"/>
      <c r="H850" s="65"/>
      <c r="I850" s="65"/>
      <c r="J850" s="65"/>
      <c r="K850" s="65"/>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7"/>
      <c r="AR850" s="57"/>
      <c r="AS850" s="57"/>
      <c r="AT850" s="57"/>
      <c r="AU850" s="57"/>
      <c r="AV850" s="57"/>
      <c r="AW850" s="57"/>
      <c r="AX850" s="57"/>
      <c r="AY850" s="57"/>
      <c r="AZ850" s="57"/>
    </row>
    <row r="851">
      <c r="A851" s="57"/>
      <c r="B851" s="57"/>
      <c r="C851" s="57"/>
      <c r="D851" s="57"/>
      <c r="E851" s="57"/>
      <c r="F851" s="57"/>
      <c r="G851" s="57"/>
      <c r="H851" s="65"/>
      <c r="I851" s="65"/>
      <c r="J851" s="65"/>
      <c r="K851" s="65"/>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7"/>
      <c r="AR851" s="57"/>
      <c r="AS851" s="57"/>
      <c r="AT851" s="57"/>
      <c r="AU851" s="57"/>
      <c r="AV851" s="57"/>
      <c r="AW851" s="57"/>
      <c r="AX851" s="57"/>
      <c r="AY851" s="57"/>
      <c r="AZ851" s="57"/>
    </row>
    <row r="852">
      <c r="A852" s="57"/>
      <c r="B852" s="57"/>
      <c r="C852" s="57"/>
      <c r="D852" s="57"/>
      <c r="E852" s="57"/>
      <c r="F852" s="57"/>
      <c r="G852" s="57"/>
      <c r="H852" s="65"/>
      <c r="I852" s="65"/>
      <c r="J852" s="65"/>
      <c r="K852" s="65"/>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57"/>
      <c r="AR852" s="57"/>
      <c r="AS852" s="57"/>
      <c r="AT852" s="57"/>
      <c r="AU852" s="57"/>
      <c r="AV852" s="57"/>
      <c r="AW852" s="57"/>
      <c r="AX852" s="57"/>
      <c r="AY852" s="57"/>
      <c r="AZ852" s="57"/>
    </row>
    <row r="853">
      <c r="A853" s="57"/>
      <c r="B853" s="57"/>
      <c r="C853" s="57"/>
      <c r="D853" s="57"/>
      <c r="E853" s="57"/>
      <c r="F853" s="57"/>
      <c r="G853" s="57"/>
      <c r="H853" s="65"/>
      <c r="I853" s="65"/>
      <c r="J853" s="65"/>
      <c r="K853" s="65"/>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57"/>
      <c r="AR853" s="57"/>
      <c r="AS853" s="57"/>
      <c r="AT853" s="57"/>
      <c r="AU853" s="57"/>
      <c r="AV853" s="57"/>
      <c r="AW853" s="57"/>
      <c r="AX853" s="57"/>
      <c r="AY853" s="57"/>
      <c r="AZ853" s="57"/>
    </row>
    <row r="854">
      <c r="A854" s="57"/>
      <c r="B854" s="57"/>
      <c r="C854" s="57"/>
      <c r="D854" s="57"/>
      <c r="E854" s="57"/>
      <c r="F854" s="57"/>
      <c r="G854" s="57"/>
      <c r="H854" s="65"/>
      <c r="I854" s="65"/>
      <c r="J854" s="65"/>
      <c r="K854" s="65"/>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57"/>
      <c r="AR854" s="57"/>
      <c r="AS854" s="57"/>
      <c r="AT854" s="57"/>
      <c r="AU854" s="57"/>
      <c r="AV854" s="57"/>
      <c r="AW854" s="57"/>
      <c r="AX854" s="57"/>
      <c r="AY854" s="57"/>
      <c r="AZ854" s="57"/>
    </row>
    <row r="855">
      <c r="A855" s="57"/>
      <c r="B855" s="57"/>
      <c r="C855" s="57"/>
      <c r="D855" s="57"/>
      <c r="E855" s="57"/>
      <c r="F855" s="57"/>
      <c r="G855" s="57"/>
      <c r="H855" s="65"/>
      <c r="I855" s="65"/>
      <c r="J855" s="65"/>
      <c r="K855" s="65"/>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57"/>
      <c r="AR855" s="57"/>
      <c r="AS855" s="57"/>
      <c r="AT855" s="57"/>
      <c r="AU855" s="57"/>
      <c r="AV855" s="57"/>
      <c r="AW855" s="57"/>
      <c r="AX855" s="57"/>
      <c r="AY855" s="57"/>
      <c r="AZ855" s="57"/>
    </row>
    <row r="856">
      <c r="A856" s="57"/>
      <c r="B856" s="57"/>
      <c r="C856" s="57"/>
      <c r="D856" s="57"/>
      <c r="E856" s="57"/>
      <c r="F856" s="57"/>
      <c r="G856" s="57"/>
      <c r="H856" s="65"/>
      <c r="I856" s="65"/>
      <c r="J856" s="65"/>
      <c r="K856" s="65"/>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57"/>
      <c r="AR856" s="57"/>
      <c r="AS856" s="57"/>
      <c r="AT856" s="57"/>
      <c r="AU856" s="57"/>
      <c r="AV856" s="57"/>
      <c r="AW856" s="57"/>
      <c r="AX856" s="57"/>
      <c r="AY856" s="57"/>
      <c r="AZ856" s="57"/>
    </row>
    <row r="857">
      <c r="A857" s="57"/>
      <c r="B857" s="57"/>
      <c r="C857" s="57"/>
      <c r="D857" s="57"/>
      <c r="E857" s="57"/>
      <c r="F857" s="57"/>
      <c r="G857" s="57"/>
      <c r="H857" s="65"/>
      <c r="I857" s="65"/>
      <c r="J857" s="65"/>
      <c r="K857" s="65"/>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57"/>
      <c r="AR857" s="57"/>
      <c r="AS857" s="57"/>
      <c r="AT857" s="57"/>
      <c r="AU857" s="57"/>
      <c r="AV857" s="57"/>
      <c r="AW857" s="57"/>
      <c r="AX857" s="57"/>
      <c r="AY857" s="57"/>
      <c r="AZ857" s="57"/>
    </row>
    <row r="858">
      <c r="A858" s="57"/>
      <c r="B858" s="57"/>
      <c r="C858" s="57"/>
      <c r="D858" s="57"/>
      <c r="E858" s="57"/>
      <c r="F858" s="57"/>
      <c r="G858" s="57"/>
      <c r="H858" s="65"/>
      <c r="I858" s="65"/>
      <c r="J858" s="65"/>
      <c r="K858" s="65"/>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57"/>
      <c r="AR858" s="57"/>
      <c r="AS858" s="57"/>
      <c r="AT858" s="57"/>
      <c r="AU858" s="57"/>
      <c r="AV858" s="57"/>
      <c r="AW858" s="57"/>
      <c r="AX858" s="57"/>
      <c r="AY858" s="57"/>
      <c r="AZ858" s="57"/>
    </row>
    <row r="859">
      <c r="A859" s="57"/>
      <c r="B859" s="57"/>
      <c r="C859" s="57"/>
      <c r="D859" s="57"/>
      <c r="E859" s="57"/>
      <c r="F859" s="57"/>
      <c r="G859" s="57"/>
      <c r="H859" s="65"/>
      <c r="I859" s="65"/>
      <c r="J859" s="65"/>
      <c r="K859" s="65"/>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57"/>
      <c r="AR859" s="57"/>
      <c r="AS859" s="57"/>
      <c r="AT859" s="57"/>
      <c r="AU859" s="57"/>
      <c r="AV859" s="57"/>
      <c r="AW859" s="57"/>
      <c r="AX859" s="57"/>
      <c r="AY859" s="57"/>
      <c r="AZ859" s="57"/>
    </row>
    <row r="860">
      <c r="A860" s="57"/>
      <c r="B860" s="57"/>
      <c r="C860" s="57"/>
      <c r="D860" s="57"/>
      <c r="E860" s="57"/>
      <c r="F860" s="57"/>
      <c r="G860" s="57"/>
      <c r="H860" s="65"/>
      <c r="I860" s="65"/>
      <c r="J860" s="65"/>
      <c r="K860" s="65"/>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7"/>
      <c r="AR860" s="57"/>
      <c r="AS860" s="57"/>
      <c r="AT860" s="57"/>
      <c r="AU860" s="57"/>
      <c r="AV860" s="57"/>
      <c r="AW860" s="57"/>
      <c r="AX860" s="57"/>
      <c r="AY860" s="57"/>
      <c r="AZ860" s="57"/>
    </row>
    <row r="861">
      <c r="A861" s="57"/>
      <c r="B861" s="57"/>
      <c r="C861" s="57"/>
      <c r="D861" s="57"/>
      <c r="E861" s="57"/>
      <c r="F861" s="57"/>
      <c r="G861" s="57"/>
      <c r="H861" s="65"/>
      <c r="I861" s="65"/>
      <c r="J861" s="65"/>
      <c r="K861" s="65"/>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57"/>
      <c r="AR861" s="57"/>
      <c r="AS861" s="57"/>
      <c r="AT861" s="57"/>
      <c r="AU861" s="57"/>
      <c r="AV861" s="57"/>
      <c r="AW861" s="57"/>
      <c r="AX861" s="57"/>
      <c r="AY861" s="57"/>
      <c r="AZ861" s="57"/>
    </row>
    <row r="862">
      <c r="A862" s="57"/>
      <c r="B862" s="57"/>
      <c r="C862" s="57"/>
      <c r="D862" s="57"/>
      <c r="E862" s="57"/>
      <c r="F862" s="57"/>
      <c r="G862" s="57"/>
      <c r="H862" s="65"/>
      <c r="I862" s="65"/>
      <c r="J862" s="65"/>
      <c r="K862" s="65"/>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57"/>
      <c r="AR862" s="57"/>
      <c r="AS862" s="57"/>
      <c r="AT862" s="57"/>
      <c r="AU862" s="57"/>
      <c r="AV862" s="57"/>
      <c r="AW862" s="57"/>
      <c r="AX862" s="57"/>
      <c r="AY862" s="57"/>
      <c r="AZ862" s="57"/>
    </row>
    <row r="863">
      <c r="A863" s="57"/>
      <c r="B863" s="57"/>
      <c r="C863" s="57"/>
      <c r="D863" s="57"/>
      <c r="E863" s="57"/>
      <c r="F863" s="57"/>
      <c r="G863" s="57"/>
      <c r="H863" s="65"/>
      <c r="I863" s="65"/>
      <c r="J863" s="65"/>
      <c r="K863" s="65"/>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57"/>
      <c r="AR863" s="57"/>
      <c r="AS863" s="57"/>
      <c r="AT863" s="57"/>
      <c r="AU863" s="57"/>
      <c r="AV863" s="57"/>
      <c r="AW863" s="57"/>
      <c r="AX863" s="57"/>
      <c r="AY863" s="57"/>
      <c r="AZ863" s="57"/>
    </row>
    <row r="864">
      <c r="A864" s="57"/>
      <c r="B864" s="57"/>
      <c r="C864" s="57"/>
      <c r="D864" s="57"/>
      <c r="E864" s="57"/>
      <c r="F864" s="57"/>
      <c r="G864" s="57"/>
      <c r="H864" s="65"/>
      <c r="I864" s="65"/>
      <c r="J864" s="65"/>
      <c r="K864" s="65"/>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57"/>
      <c r="AR864" s="57"/>
      <c r="AS864" s="57"/>
      <c r="AT864" s="57"/>
      <c r="AU864" s="57"/>
      <c r="AV864" s="57"/>
      <c r="AW864" s="57"/>
      <c r="AX864" s="57"/>
      <c r="AY864" s="57"/>
      <c r="AZ864" s="57"/>
    </row>
    <row r="865">
      <c r="A865" s="57"/>
      <c r="B865" s="57"/>
      <c r="C865" s="57"/>
      <c r="D865" s="57"/>
      <c r="E865" s="57"/>
      <c r="F865" s="57"/>
      <c r="G865" s="57"/>
      <c r="H865" s="65"/>
      <c r="I865" s="65"/>
      <c r="J865" s="65"/>
      <c r="K865" s="65"/>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57"/>
      <c r="AR865" s="57"/>
      <c r="AS865" s="57"/>
      <c r="AT865" s="57"/>
      <c r="AU865" s="57"/>
      <c r="AV865" s="57"/>
      <c r="AW865" s="57"/>
      <c r="AX865" s="57"/>
      <c r="AY865" s="57"/>
      <c r="AZ865" s="57"/>
    </row>
    <row r="866">
      <c r="A866" s="57"/>
      <c r="B866" s="57"/>
      <c r="C866" s="57"/>
      <c r="D866" s="57"/>
      <c r="E866" s="57"/>
      <c r="F866" s="57"/>
      <c r="G866" s="57"/>
      <c r="H866" s="65"/>
      <c r="I866" s="65"/>
      <c r="J866" s="65"/>
      <c r="K866" s="65"/>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57"/>
      <c r="AR866" s="57"/>
      <c r="AS866" s="57"/>
      <c r="AT866" s="57"/>
      <c r="AU866" s="57"/>
      <c r="AV866" s="57"/>
      <c r="AW866" s="57"/>
      <c r="AX866" s="57"/>
      <c r="AY866" s="57"/>
      <c r="AZ866" s="57"/>
    </row>
    <row r="867">
      <c r="A867" s="57"/>
      <c r="B867" s="57"/>
      <c r="C867" s="57"/>
      <c r="D867" s="57"/>
      <c r="E867" s="57"/>
      <c r="F867" s="57"/>
      <c r="G867" s="57"/>
      <c r="H867" s="65"/>
      <c r="I867" s="65"/>
      <c r="J867" s="65"/>
      <c r="K867" s="65"/>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57"/>
      <c r="AR867" s="57"/>
      <c r="AS867" s="57"/>
      <c r="AT867" s="57"/>
      <c r="AU867" s="57"/>
      <c r="AV867" s="57"/>
      <c r="AW867" s="57"/>
      <c r="AX867" s="57"/>
      <c r="AY867" s="57"/>
      <c r="AZ867" s="57"/>
    </row>
    <row r="868">
      <c r="A868" s="57"/>
      <c r="B868" s="57"/>
      <c r="C868" s="57"/>
      <c r="D868" s="57"/>
      <c r="E868" s="57"/>
      <c r="F868" s="57"/>
      <c r="G868" s="57"/>
      <c r="H868" s="65"/>
      <c r="I868" s="65"/>
      <c r="J868" s="65"/>
      <c r="K868" s="65"/>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57"/>
      <c r="AR868" s="57"/>
      <c r="AS868" s="57"/>
      <c r="AT868" s="57"/>
      <c r="AU868" s="57"/>
      <c r="AV868" s="57"/>
      <c r="AW868" s="57"/>
      <c r="AX868" s="57"/>
      <c r="AY868" s="57"/>
      <c r="AZ868" s="57"/>
    </row>
    <row r="869">
      <c r="A869" s="57"/>
      <c r="B869" s="57"/>
      <c r="C869" s="57"/>
      <c r="D869" s="57"/>
      <c r="E869" s="57"/>
      <c r="F869" s="57"/>
      <c r="G869" s="57"/>
      <c r="H869" s="65"/>
      <c r="I869" s="65"/>
      <c r="J869" s="65"/>
      <c r="K869" s="65"/>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7"/>
      <c r="AR869" s="57"/>
      <c r="AS869" s="57"/>
      <c r="AT869" s="57"/>
      <c r="AU869" s="57"/>
      <c r="AV869" s="57"/>
      <c r="AW869" s="57"/>
      <c r="AX869" s="57"/>
      <c r="AY869" s="57"/>
      <c r="AZ869" s="57"/>
    </row>
    <row r="870">
      <c r="A870" s="57"/>
      <c r="B870" s="57"/>
      <c r="C870" s="57"/>
      <c r="D870" s="57"/>
      <c r="E870" s="57"/>
      <c r="F870" s="57"/>
      <c r="G870" s="57"/>
      <c r="H870" s="65"/>
      <c r="I870" s="65"/>
      <c r="J870" s="65"/>
      <c r="K870" s="65"/>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57"/>
      <c r="AR870" s="57"/>
      <c r="AS870" s="57"/>
      <c r="AT870" s="57"/>
      <c r="AU870" s="57"/>
      <c r="AV870" s="57"/>
      <c r="AW870" s="57"/>
      <c r="AX870" s="57"/>
      <c r="AY870" s="57"/>
      <c r="AZ870" s="57"/>
    </row>
    <row r="871">
      <c r="A871" s="57"/>
      <c r="B871" s="57"/>
      <c r="C871" s="57"/>
      <c r="D871" s="57"/>
      <c r="E871" s="57"/>
      <c r="F871" s="57"/>
      <c r="G871" s="57"/>
      <c r="H871" s="65"/>
      <c r="I871" s="65"/>
      <c r="J871" s="65"/>
      <c r="K871" s="65"/>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57"/>
      <c r="AR871" s="57"/>
      <c r="AS871" s="57"/>
      <c r="AT871" s="57"/>
      <c r="AU871" s="57"/>
      <c r="AV871" s="57"/>
      <c r="AW871" s="57"/>
      <c r="AX871" s="57"/>
      <c r="AY871" s="57"/>
      <c r="AZ871" s="57"/>
    </row>
    <row r="872">
      <c r="A872" s="57"/>
      <c r="B872" s="57"/>
      <c r="C872" s="57"/>
      <c r="D872" s="57"/>
      <c r="E872" s="57"/>
      <c r="F872" s="57"/>
      <c r="G872" s="57"/>
      <c r="H872" s="65"/>
      <c r="I872" s="65"/>
      <c r="J872" s="65"/>
      <c r="K872" s="65"/>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57"/>
      <c r="AR872" s="57"/>
      <c r="AS872" s="57"/>
      <c r="AT872" s="57"/>
      <c r="AU872" s="57"/>
      <c r="AV872" s="57"/>
      <c r="AW872" s="57"/>
      <c r="AX872" s="57"/>
      <c r="AY872" s="57"/>
      <c r="AZ872" s="57"/>
    </row>
    <row r="873">
      <c r="A873" s="57"/>
      <c r="B873" s="57"/>
      <c r="C873" s="57"/>
      <c r="D873" s="57"/>
      <c r="E873" s="57"/>
      <c r="F873" s="57"/>
      <c r="G873" s="57"/>
      <c r="H873" s="65"/>
      <c r="I873" s="65"/>
      <c r="J873" s="65"/>
      <c r="K873" s="65"/>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57"/>
      <c r="AR873" s="57"/>
      <c r="AS873" s="57"/>
      <c r="AT873" s="57"/>
      <c r="AU873" s="57"/>
      <c r="AV873" s="57"/>
      <c r="AW873" s="57"/>
      <c r="AX873" s="57"/>
      <c r="AY873" s="57"/>
      <c r="AZ873" s="57"/>
    </row>
    <row r="874">
      <c r="A874" s="57"/>
      <c r="B874" s="57"/>
      <c r="C874" s="57"/>
      <c r="D874" s="57"/>
      <c r="E874" s="57"/>
      <c r="F874" s="57"/>
      <c r="G874" s="57"/>
      <c r="H874" s="65"/>
      <c r="I874" s="65"/>
      <c r="J874" s="65"/>
      <c r="K874" s="65"/>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57"/>
      <c r="AR874" s="57"/>
      <c r="AS874" s="57"/>
      <c r="AT874" s="57"/>
      <c r="AU874" s="57"/>
      <c r="AV874" s="57"/>
      <c r="AW874" s="57"/>
      <c r="AX874" s="57"/>
      <c r="AY874" s="57"/>
      <c r="AZ874" s="57"/>
    </row>
    <row r="875">
      <c r="A875" s="57"/>
      <c r="B875" s="57"/>
      <c r="C875" s="57"/>
      <c r="D875" s="57"/>
      <c r="E875" s="57"/>
      <c r="F875" s="57"/>
      <c r="G875" s="57"/>
      <c r="H875" s="65"/>
      <c r="I875" s="65"/>
      <c r="J875" s="65"/>
      <c r="K875" s="65"/>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7"/>
      <c r="AR875" s="57"/>
      <c r="AS875" s="57"/>
      <c r="AT875" s="57"/>
      <c r="AU875" s="57"/>
      <c r="AV875" s="57"/>
      <c r="AW875" s="57"/>
      <c r="AX875" s="57"/>
      <c r="AY875" s="57"/>
      <c r="AZ875" s="57"/>
    </row>
    <row r="876">
      <c r="A876" s="57"/>
      <c r="B876" s="57"/>
      <c r="C876" s="57"/>
      <c r="D876" s="57"/>
      <c r="E876" s="57"/>
      <c r="F876" s="57"/>
      <c r="G876" s="57"/>
      <c r="H876" s="65"/>
      <c r="I876" s="65"/>
      <c r="J876" s="65"/>
      <c r="K876" s="65"/>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57"/>
      <c r="AR876" s="57"/>
      <c r="AS876" s="57"/>
      <c r="AT876" s="57"/>
      <c r="AU876" s="57"/>
      <c r="AV876" s="57"/>
      <c r="AW876" s="57"/>
      <c r="AX876" s="57"/>
      <c r="AY876" s="57"/>
      <c r="AZ876" s="57"/>
    </row>
    <row r="877">
      <c r="A877" s="57"/>
      <c r="B877" s="57"/>
      <c r="C877" s="57"/>
      <c r="D877" s="57"/>
      <c r="E877" s="57"/>
      <c r="F877" s="57"/>
      <c r="G877" s="57"/>
      <c r="H877" s="65"/>
      <c r="I877" s="65"/>
      <c r="J877" s="65"/>
      <c r="K877" s="65"/>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57"/>
      <c r="AR877" s="57"/>
      <c r="AS877" s="57"/>
      <c r="AT877" s="57"/>
      <c r="AU877" s="57"/>
      <c r="AV877" s="57"/>
      <c r="AW877" s="57"/>
      <c r="AX877" s="57"/>
      <c r="AY877" s="57"/>
      <c r="AZ877" s="57"/>
    </row>
    <row r="878">
      <c r="A878" s="57"/>
      <c r="B878" s="57"/>
      <c r="C878" s="57"/>
      <c r="D878" s="57"/>
      <c r="E878" s="57"/>
      <c r="F878" s="57"/>
      <c r="G878" s="57"/>
      <c r="H878" s="65"/>
      <c r="I878" s="65"/>
      <c r="J878" s="65"/>
      <c r="K878" s="65"/>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7"/>
      <c r="AR878" s="57"/>
      <c r="AS878" s="57"/>
      <c r="AT878" s="57"/>
      <c r="AU878" s="57"/>
      <c r="AV878" s="57"/>
      <c r="AW878" s="57"/>
      <c r="AX878" s="57"/>
      <c r="AY878" s="57"/>
      <c r="AZ878" s="57"/>
    </row>
    <row r="879">
      <c r="A879" s="57"/>
      <c r="B879" s="57"/>
      <c r="C879" s="57"/>
      <c r="D879" s="57"/>
      <c r="E879" s="57"/>
      <c r="F879" s="57"/>
      <c r="G879" s="57"/>
      <c r="H879" s="65"/>
      <c r="I879" s="65"/>
      <c r="J879" s="65"/>
      <c r="K879" s="65"/>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57"/>
      <c r="AR879" s="57"/>
      <c r="AS879" s="57"/>
      <c r="AT879" s="57"/>
      <c r="AU879" s="57"/>
      <c r="AV879" s="57"/>
      <c r="AW879" s="57"/>
      <c r="AX879" s="57"/>
      <c r="AY879" s="57"/>
      <c r="AZ879" s="57"/>
    </row>
    <row r="880">
      <c r="A880" s="57"/>
      <c r="B880" s="57"/>
      <c r="C880" s="57"/>
      <c r="D880" s="57"/>
      <c r="E880" s="57"/>
      <c r="F880" s="57"/>
      <c r="G880" s="57"/>
      <c r="H880" s="65"/>
      <c r="I880" s="65"/>
      <c r="J880" s="65"/>
      <c r="K880" s="65"/>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57"/>
      <c r="AR880" s="57"/>
      <c r="AS880" s="57"/>
      <c r="AT880" s="57"/>
      <c r="AU880" s="57"/>
      <c r="AV880" s="57"/>
      <c r="AW880" s="57"/>
      <c r="AX880" s="57"/>
      <c r="AY880" s="57"/>
      <c r="AZ880" s="57"/>
    </row>
    <row r="881">
      <c r="A881" s="57"/>
      <c r="B881" s="57"/>
      <c r="C881" s="57"/>
      <c r="D881" s="57"/>
      <c r="E881" s="57"/>
      <c r="F881" s="57"/>
      <c r="G881" s="57"/>
      <c r="H881" s="65"/>
      <c r="I881" s="65"/>
      <c r="J881" s="65"/>
      <c r="K881" s="65"/>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57"/>
      <c r="AR881" s="57"/>
      <c r="AS881" s="57"/>
      <c r="AT881" s="57"/>
      <c r="AU881" s="57"/>
      <c r="AV881" s="57"/>
      <c r="AW881" s="57"/>
      <c r="AX881" s="57"/>
      <c r="AY881" s="57"/>
      <c r="AZ881" s="57"/>
    </row>
    <row r="882">
      <c r="A882" s="57"/>
      <c r="B882" s="57"/>
      <c r="C882" s="57"/>
      <c r="D882" s="57"/>
      <c r="E882" s="57"/>
      <c r="F882" s="57"/>
      <c r="G882" s="57"/>
      <c r="H882" s="65"/>
      <c r="I882" s="65"/>
      <c r="J882" s="65"/>
      <c r="K882" s="65"/>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57"/>
      <c r="AR882" s="57"/>
      <c r="AS882" s="57"/>
      <c r="AT882" s="57"/>
      <c r="AU882" s="57"/>
      <c r="AV882" s="57"/>
      <c r="AW882" s="57"/>
      <c r="AX882" s="57"/>
      <c r="AY882" s="57"/>
      <c r="AZ882" s="57"/>
    </row>
    <row r="883">
      <c r="A883" s="57"/>
      <c r="B883" s="57"/>
      <c r="C883" s="57"/>
      <c r="D883" s="57"/>
      <c r="E883" s="57"/>
      <c r="F883" s="57"/>
      <c r="G883" s="57"/>
      <c r="H883" s="65"/>
      <c r="I883" s="65"/>
      <c r="J883" s="65"/>
      <c r="K883" s="65"/>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57"/>
      <c r="AR883" s="57"/>
      <c r="AS883" s="57"/>
      <c r="AT883" s="57"/>
      <c r="AU883" s="57"/>
      <c r="AV883" s="57"/>
      <c r="AW883" s="57"/>
      <c r="AX883" s="57"/>
      <c r="AY883" s="57"/>
      <c r="AZ883" s="57"/>
    </row>
    <row r="884">
      <c r="A884" s="57"/>
      <c r="B884" s="57"/>
      <c r="C884" s="57"/>
      <c r="D884" s="57"/>
      <c r="E884" s="57"/>
      <c r="F884" s="57"/>
      <c r="G884" s="57"/>
      <c r="H884" s="65"/>
      <c r="I884" s="65"/>
      <c r="J884" s="65"/>
      <c r="K884" s="65"/>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57"/>
      <c r="AR884" s="57"/>
      <c r="AS884" s="57"/>
      <c r="AT884" s="57"/>
      <c r="AU884" s="57"/>
      <c r="AV884" s="57"/>
      <c r="AW884" s="57"/>
      <c r="AX884" s="57"/>
      <c r="AY884" s="57"/>
      <c r="AZ884" s="57"/>
    </row>
    <row r="885">
      <c r="A885" s="57"/>
      <c r="B885" s="57"/>
      <c r="C885" s="57"/>
      <c r="D885" s="57"/>
      <c r="E885" s="57"/>
      <c r="F885" s="57"/>
      <c r="G885" s="57"/>
      <c r="H885" s="65"/>
      <c r="I885" s="65"/>
      <c r="J885" s="65"/>
      <c r="K885" s="65"/>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57"/>
      <c r="AR885" s="57"/>
      <c r="AS885" s="57"/>
      <c r="AT885" s="57"/>
      <c r="AU885" s="57"/>
      <c r="AV885" s="57"/>
      <c r="AW885" s="57"/>
      <c r="AX885" s="57"/>
      <c r="AY885" s="57"/>
      <c r="AZ885" s="57"/>
    </row>
    <row r="886">
      <c r="A886" s="57"/>
      <c r="B886" s="57"/>
      <c r="C886" s="57"/>
      <c r="D886" s="57"/>
      <c r="E886" s="57"/>
      <c r="F886" s="57"/>
      <c r="G886" s="57"/>
      <c r="H886" s="65"/>
      <c r="I886" s="65"/>
      <c r="J886" s="65"/>
      <c r="K886" s="65"/>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57"/>
      <c r="AR886" s="57"/>
      <c r="AS886" s="57"/>
      <c r="AT886" s="57"/>
      <c r="AU886" s="57"/>
      <c r="AV886" s="57"/>
      <c r="AW886" s="57"/>
      <c r="AX886" s="57"/>
      <c r="AY886" s="57"/>
      <c r="AZ886" s="57"/>
    </row>
    <row r="887">
      <c r="A887" s="57"/>
      <c r="B887" s="57"/>
      <c r="C887" s="57"/>
      <c r="D887" s="57"/>
      <c r="E887" s="57"/>
      <c r="F887" s="57"/>
      <c r="G887" s="57"/>
      <c r="H887" s="65"/>
      <c r="I887" s="65"/>
      <c r="J887" s="65"/>
      <c r="K887" s="65"/>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57"/>
      <c r="AR887" s="57"/>
      <c r="AS887" s="57"/>
      <c r="AT887" s="57"/>
      <c r="AU887" s="57"/>
      <c r="AV887" s="57"/>
      <c r="AW887" s="57"/>
      <c r="AX887" s="57"/>
      <c r="AY887" s="57"/>
      <c r="AZ887" s="57"/>
    </row>
    <row r="888">
      <c r="A888" s="57"/>
      <c r="B888" s="57"/>
      <c r="C888" s="57"/>
      <c r="D888" s="57"/>
      <c r="E888" s="57"/>
      <c r="F888" s="57"/>
      <c r="G888" s="57"/>
      <c r="H888" s="65"/>
      <c r="I888" s="65"/>
      <c r="J888" s="65"/>
      <c r="K888" s="65"/>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57"/>
      <c r="AR888" s="57"/>
      <c r="AS888" s="57"/>
      <c r="AT888" s="57"/>
      <c r="AU888" s="57"/>
      <c r="AV888" s="57"/>
      <c r="AW888" s="57"/>
      <c r="AX888" s="57"/>
      <c r="AY888" s="57"/>
      <c r="AZ888" s="57"/>
    </row>
    <row r="889">
      <c r="A889" s="57"/>
      <c r="B889" s="57"/>
      <c r="C889" s="57"/>
      <c r="D889" s="57"/>
      <c r="E889" s="57"/>
      <c r="F889" s="57"/>
      <c r="G889" s="57"/>
      <c r="H889" s="65"/>
      <c r="I889" s="65"/>
      <c r="J889" s="65"/>
      <c r="K889" s="65"/>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57"/>
      <c r="AR889" s="57"/>
      <c r="AS889" s="57"/>
      <c r="AT889" s="57"/>
      <c r="AU889" s="57"/>
      <c r="AV889" s="57"/>
      <c r="AW889" s="57"/>
      <c r="AX889" s="57"/>
      <c r="AY889" s="57"/>
      <c r="AZ889" s="57"/>
    </row>
    <row r="890">
      <c r="A890" s="57"/>
      <c r="B890" s="57"/>
      <c r="C890" s="57"/>
      <c r="D890" s="57"/>
      <c r="E890" s="57"/>
      <c r="F890" s="57"/>
      <c r="G890" s="57"/>
      <c r="H890" s="65"/>
      <c r="I890" s="65"/>
      <c r="J890" s="65"/>
      <c r="K890" s="65"/>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57"/>
      <c r="AR890" s="57"/>
      <c r="AS890" s="57"/>
      <c r="AT890" s="57"/>
      <c r="AU890" s="57"/>
      <c r="AV890" s="57"/>
      <c r="AW890" s="57"/>
      <c r="AX890" s="57"/>
      <c r="AY890" s="57"/>
      <c r="AZ890" s="57"/>
    </row>
    <row r="891">
      <c r="A891" s="57"/>
      <c r="B891" s="57"/>
      <c r="C891" s="57"/>
      <c r="D891" s="57"/>
      <c r="E891" s="57"/>
      <c r="F891" s="57"/>
      <c r="G891" s="57"/>
      <c r="H891" s="65"/>
      <c r="I891" s="65"/>
      <c r="J891" s="65"/>
      <c r="K891" s="65"/>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57"/>
      <c r="AR891" s="57"/>
      <c r="AS891" s="57"/>
      <c r="AT891" s="57"/>
      <c r="AU891" s="57"/>
      <c r="AV891" s="57"/>
      <c r="AW891" s="57"/>
      <c r="AX891" s="57"/>
      <c r="AY891" s="57"/>
      <c r="AZ891" s="57"/>
    </row>
    <row r="892">
      <c r="A892" s="57"/>
      <c r="B892" s="57"/>
      <c r="C892" s="57"/>
      <c r="D892" s="57"/>
      <c r="E892" s="57"/>
      <c r="F892" s="57"/>
      <c r="G892" s="57"/>
      <c r="H892" s="65"/>
      <c r="I892" s="65"/>
      <c r="J892" s="65"/>
      <c r="K892" s="65"/>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57"/>
      <c r="AR892" s="57"/>
      <c r="AS892" s="57"/>
      <c r="AT892" s="57"/>
      <c r="AU892" s="57"/>
      <c r="AV892" s="57"/>
      <c r="AW892" s="57"/>
      <c r="AX892" s="57"/>
      <c r="AY892" s="57"/>
      <c r="AZ892" s="57"/>
    </row>
    <row r="893">
      <c r="A893" s="57"/>
      <c r="B893" s="57"/>
      <c r="C893" s="57"/>
      <c r="D893" s="57"/>
      <c r="E893" s="57"/>
      <c r="F893" s="57"/>
      <c r="G893" s="57"/>
      <c r="H893" s="65"/>
      <c r="I893" s="65"/>
      <c r="J893" s="65"/>
      <c r="K893" s="65"/>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57"/>
      <c r="AR893" s="57"/>
      <c r="AS893" s="57"/>
      <c r="AT893" s="57"/>
      <c r="AU893" s="57"/>
      <c r="AV893" s="57"/>
      <c r="AW893" s="57"/>
      <c r="AX893" s="57"/>
      <c r="AY893" s="57"/>
      <c r="AZ893" s="57"/>
    </row>
    <row r="894">
      <c r="A894" s="57"/>
      <c r="B894" s="57"/>
      <c r="C894" s="57"/>
      <c r="D894" s="57"/>
      <c r="E894" s="57"/>
      <c r="F894" s="57"/>
      <c r="G894" s="57"/>
      <c r="H894" s="65"/>
      <c r="I894" s="65"/>
      <c r="J894" s="65"/>
      <c r="K894" s="65"/>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57"/>
      <c r="AR894" s="57"/>
      <c r="AS894" s="57"/>
      <c r="AT894" s="57"/>
      <c r="AU894" s="57"/>
      <c r="AV894" s="57"/>
      <c r="AW894" s="57"/>
      <c r="AX894" s="57"/>
      <c r="AY894" s="57"/>
      <c r="AZ894" s="57"/>
    </row>
    <row r="895">
      <c r="A895" s="57"/>
      <c r="B895" s="57"/>
      <c r="C895" s="57"/>
      <c r="D895" s="57"/>
      <c r="E895" s="57"/>
      <c r="F895" s="57"/>
      <c r="G895" s="57"/>
      <c r="H895" s="65"/>
      <c r="I895" s="65"/>
      <c r="J895" s="65"/>
      <c r="K895" s="65"/>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57"/>
      <c r="AR895" s="57"/>
      <c r="AS895" s="57"/>
      <c r="AT895" s="57"/>
      <c r="AU895" s="57"/>
      <c r="AV895" s="57"/>
      <c r="AW895" s="57"/>
      <c r="AX895" s="57"/>
      <c r="AY895" s="57"/>
      <c r="AZ895" s="57"/>
    </row>
    <row r="896">
      <c r="A896" s="57"/>
      <c r="B896" s="57"/>
      <c r="C896" s="57"/>
      <c r="D896" s="57"/>
      <c r="E896" s="57"/>
      <c r="F896" s="57"/>
      <c r="G896" s="57"/>
      <c r="H896" s="65"/>
      <c r="I896" s="65"/>
      <c r="J896" s="65"/>
      <c r="K896" s="65"/>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57"/>
      <c r="AR896" s="57"/>
      <c r="AS896" s="57"/>
      <c r="AT896" s="57"/>
      <c r="AU896" s="57"/>
      <c r="AV896" s="57"/>
      <c r="AW896" s="57"/>
      <c r="AX896" s="57"/>
      <c r="AY896" s="57"/>
      <c r="AZ896" s="57"/>
    </row>
    <row r="897">
      <c r="A897" s="57"/>
      <c r="B897" s="57"/>
      <c r="C897" s="57"/>
      <c r="D897" s="57"/>
      <c r="E897" s="57"/>
      <c r="F897" s="57"/>
      <c r="G897" s="57"/>
      <c r="H897" s="65"/>
      <c r="I897" s="65"/>
      <c r="J897" s="65"/>
      <c r="K897" s="65"/>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57"/>
      <c r="AR897" s="57"/>
      <c r="AS897" s="57"/>
      <c r="AT897" s="57"/>
      <c r="AU897" s="57"/>
      <c r="AV897" s="57"/>
      <c r="AW897" s="57"/>
      <c r="AX897" s="57"/>
      <c r="AY897" s="57"/>
      <c r="AZ897" s="57"/>
    </row>
    <row r="898">
      <c r="A898" s="57"/>
      <c r="B898" s="57"/>
      <c r="C898" s="57"/>
      <c r="D898" s="57"/>
      <c r="E898" s="57"/>
      <c r="F898" s="57"/>
      <c r="G898" s="57"/>
      <c r="H898" s="65"/>
      <c r="I898" s="65"/>
      <c r="J898" s="65"/>
      <c r="K898" s="65"/>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57"/>
      <c r="AR898" s="57"/>
      <c r="AS898" s="57"/>
      <c r="AT898" s="57"/>
      <c r="AU898" s="57"/>
      <c r="AV898" s="57"/>
      <c r="AW898" s="57"/>
      <c r="AX898" s="57"/>
      <c r="AY898" s="57"/>
      <c r="AZ898" s="57"/>
    </row>
    <row r="899">
      <c r="A899" s="57"/>
      <c r="B899" s="57"/>
      <c r="C899" s="57"/>
      <c r="D899" s="57"/>
      <c r="E899" s="57"/>
      <c r="F899" s="57"/>
      <c r="G899" s="57"/>
      <c r="H899" s="65"/>
      <c r="I899" s="65"/>
      <c r="J899" s="65"/>
      <c r="K899" s="65"/>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57"/>
      <c r="AR899" s="57"/>
      <c r="AS899" s="57"/>
      <c r="AT899" s="57"/>
      <c r="AU899" s="57"/>
      <c r="AV899" s="57"/>
      <c r="AW899" s="57"/>
      <c r="AX899" s="57"/>
      <c r="AY899" s="57"/>
      <c r="AZ899" s="57"/>
    </row>
    <row r="900">
      <c r="A900" s="57"/>
      <c r="B900" s="57"/>
      <c r="C900" s="57"/>
      <c r="D900" s="57"/>
      <c r="E900" s="57"/>
      <c r="F900" s="57"/>
      <c r="G900" s="57"/>
      <c r="H900" s="65"/>
      <c r="I900" s="65"/>
      <c r="J900" s="65"/>
      <c r="K900" s="65"/>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57"/>
      <c r="AR900" s="57"/>
      <c r="AS900" s="57"/>
      <c r="AT900" s="57"/>
      <c r="AU900" s="57"/>
      <c r="AV900" s="57"/>
      <c r="AW900" s="57"/>
      <c r="AX900" s="57"/>
      <c r="AY900" s="57"/>
      <c r="AZ900" s="57"/>
    </row>
    <row r="901">
      <c r="A901" s="57"/>
      <c r="B901" s="57"/>
      <c r="C901" s="57"/>
      <c r="D901" s="57"/>
      <c r="E901" s="57"/>
      <c r="F901" s="57"/>
      <c r="G901" s="57"/>
      <c r="H901" s="65"/>
      <c r="I901" s="65"/>
      <c r="J901" s="65"/>
      <c r="K901" s="65"/>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57"/>
      <c r="AR901" s="57"/>
      <c r="AS901" s="57"/>
      <c r="AT901" s="57"/>
      <c r="AU901" s="57"/>
      <c r="AV901" s="57"/>
      <c r="AW901" s="57"/>
      <c r="AX901" s="57"/>
      <c r="AY901" s="57"/>
      <c r="AZ901" s="57"/>
    </row>
    <row r="902">
      <c r="A902" s="57"/>
      <c r="B902" s="57"/>
      <c r="C902" s="57"/>
      <c r="D902" s="57"/>
      <c r="E902" s="57"/>
      <c r="F902" s="57"/>
      <c r="G902" s="57"/>
      <c r="H902" s="65"/>
      <c r="I902" s="65"/>
      <c r="J902" s="65"/>
      <c r="K902" s="65"/>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57"/>
      <c r="AR902" s="57"/>
      <c r="AS902" s="57"/>
      <c r="AT902" s="57"/>
      <c r="AU902" s="57"/>
      <c r="AV902" s="57"/>
      <c r="AW902" s="57"/>
      <c r="AX902" s="57"/>
      <c r="AY902" s="57"/>
      <c r="AZ902" s="57"/>
    </row>
    <row r="903">
      <c r="A903" s="57"/>
      <c r="B903" s="57"/>
      <c r="C903" s="57"/>
      <c r="D903" s="57"/>
      <c r="E903" s="57"/>
      <c r="F903" s="57"/>
      <c r="G903" s="57"/>
      <c r="H903" s="65"/>
      <c r="I903" s="65"/>
      <c r="J903" s="65"/>
      <c r="K903" s="65"/>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57"/>
      <c r="AR903" s="57"/>
      <c r="AS903" s="57"/>
      <c r="AT903" s="57"/>
      <c r="AU903" s="57"/>
      <c r="AV903" s="57"/>
      <c r="AW903" s="57"/>
      <c r="AX903" s="57"/>
      <c r="AY903" s="57"/>
      <c r="AZ903" s="57"/>
    </row>
    <row r="904">
      <c r="A904" s="57"/>
      <c r="B904" s="57"/>
      <c r="C904" s="57"/>
      <c r="D904" s="57"/>
      <c r="E904" s="57"/>
      <c r="F904" s="57"/>
      <c r="G904" s="57"/>
      <c r="H904" s="65"/>
      <c r="I904" s="65"/>
      <c r="J904" s="65"/>
      <c r="K904" s="65"/>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57"/>
      <c r="AR904" s="57"/>
      <c r="AS904" s="57"/>
      <c r="AT904" s="57"/>
      <c r="AU904" s="57"/>
      <c r="AV904" s="57"/>
      <c r="AW904" s="57"/>
      <c r="AX904" s="57"/>
      <c r="AY904" s="57"/>
      <c r="AZ904" s="57"/>
    </row>
    <row r="905">
      <c r="A905" s="57"/>
      <c r="B905" s="57"/>
      <c r="C905" s="57"/>
      <c r="D905" s="57"/>
      <c r="E905" s="57"/>
      <c r="F905" s="57"/>
      <c r="G905" s="57"/>
      <c r="H905" s="65"/>
      <c r="I905" s="65"/>
      <c r="J905" s="65"/>
      <c r="K905" s="65"/>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57"/>
      <c r="AR905" s="57"/>
      <c r="AS905" s="57"/>
      <c r="AT905" s="57"/>
      <c r="AU905" s="57"/>
      <c r="AV905" s="57"/>
      <c r="AW905" s="57"/>
      <c r="AX905" s="57"/>
      <c r="AY905" s="57"/>
      <c r="AZ905" s="57"/>
    </row>
    <row r="906">
      <c r="A906" s="57"/>
      <c r="B906" s="57"/>
      <c r="C906" s="57"/>
      <c r="D906" s="57"/>
      <c r="E906" s="57"/>
      <c r="F906" s="57"/>
      <c r="G906" s="57"/>
      <c r="H906" s="65"/>
      <c r="I906" s="65"/>
      <c r="J906" s="65"/>
      <c r="K906" s="65"/>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7"/>
      <c r="AR906" s="57"/>
      <c r="AS906" s="57"/>
      <c r="AT906" s="57"/>
      <c r="AU906" s="57"/>
      <c r="AV906" s="57"/>
      <c r="AW906" s="57"/>
      <c r="AX906" s="57"/>
      <c r="AY906" s="57"/>
      <c r="AZ906" s="57"/>
    </row>
    <row r="907">
      <c r="A907" s="57"/>
      <c r="B907" s="57"/>
      <c r="C907" s="57"/>
      <c r="D907" s="57"/>
      <c r="E907" s="57"/>
      <c r="F907" s="57"/>
      <c r="G907" s="57"/>
      <c r="H907" s="65"/>
      <c r="I907" s="65"/>
      <c r="J907" s="65"/>
      <c r="K907" s="65"/>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57"/>
      <c r="AR907" s="57"/>
      <c r="AS907" s="57"/>
      <c r="AT907" s="57"/>
      <c r="AU907" s="57"/>
      <c r="AV907" s="57"/>
      <c r="AW907" s="57"/>
      <c r="AX907" s="57"/>
      <c r="AY907" s="57"/>
      <c r="AZ907" s="57"/>
    </row>
    <row r="908">
      <c r="A908" s="57"/>
      <c r="B908" s="57"/>
      <c r="C908" s="57"/>
      <c r="D908" s="57"/>
      <c r="E908" s="57"/>
      <c r="F908" s="57"/>
      <c r="G908" s="57"/>
      <c r="H908" s="65"/>
      <c r="I908" s="65"/>
      <c r="J908" s="65"/>
      <c r="K908" s="65"/>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57"/>
      <c r="AR908" s="57"/>
      <c r="AS908" s="57"/>
      <c r="AT908" s="57"/>
      <c r="AU908" s="57"/>
      <c r="AV908" s="57"/>
      <c r="AW908" s="57"/>
      <c r="AX908" s="57"/>
      <c r="AY908" s="57"/>
      <c r="AZ908" s="57"/>
    </row>
    <row r="909">
      <c r="A909" s="57"/>
      <c r="B909" s="57"/>
      <c r="C909" s="57"/>
      <c r="D909" s="57"/>
      <c r="E909" s="57"/>
      <c r="F909" s="57"/>
      <c r="G909" s="57"/>
      <c r="H909" s="65"/>
      <c r="I909" s="65"/>
      <c r="J909" s="65"/>
      <c r="K909" s="65"/>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57"/>
      <c r="AR909" s="57"/>
      <c r="AS909" s="57"/>
      <c r="AT909" s="57"/>
      <c r="AU909" s="57"/>
      <c r="AV909" s="57"/>
      <c r="AW909" s="57"/>
      <c r="AX909" s="57"/>
      <c r="AY909" s="57"/>
      <c r="AZ909" s="57"/>
    </row>
    <row r="910">
      <c r="A910" s="57"/>
      <c r="B910" s="57"/>
      <c r="C910" s="57"/>
      <c r="D910" s="57"/>
      <c r="E910" s="57"/>
      <c r="F910" s="57"/>
      <c r="G910" s="57"/>
      <c r="H910" s="65"/>
      <c r="I910" s="65"/>
      <c r="J910" s="65"/>
      <c r="K910" s="65"/>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57"/>
      <c r="AR910" s="57"/>
      <c r="AS910" s="57"/>
      <c r="AT910" s="57"/>
      <c r="AU910" s="57"/>
      <c r="AV910" s="57"/>
      <c r="AW910" s="57"/>
      <c r="AX910" s="57"/>
      <c r="AY910" s="57"/>
      <c r="AZ910" s="57"/>
    </row>
    <row r="911">
      <c r="A911" s="57"/>
      <c r="B911" s="57"/>
      <c r="C911" s="57"/>
      <c r="D911" s="57"/>
      <c r="E911" s="57"/>
      <c r="F911" s="57"/>
      <c r="G911" s="57"/>
      <c r="H911" s="65"/>
      <c r="I911" s="65"/>
      <c r="J911" s="65"/>
      <c r="K911" s="65"/>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57"/>
      <c r="AR911" s="57"/>
      <c r="AS911" s="57"/>
      <c r="AT911" s="57"/>
      <c r="AU911" s="57"/>
      <c r="AV911" s="57"/>
      <c r="AW911" s="57"/>
      <c r="AX911" s="57"/>
      <c r="AY911" s="57"/>
      <c r="AZ911" s="57"/>
    </row>
    <row r="912">
      <c r="A912" s="57"/>
      <c r="B912" s="57"/>
      <c r="C912" s="57"/>
      <c r="D912" s="57"/>
      <c r="E912" s="57"/>
      <c r="F912" s="57"/>
      <c r="G912" s="57"/>
      <c r="H912" s="65"/>
      <c r="I912" s="65"/>
      <c r="J912" s="65"/>
      <c r="K912" s="65"/>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57"/>
      <c r="AR912" s="57"/>
      <c r="AS912" s="57"/>
      <c r="AT912" s="57"/>
      <c r="AU912" s="57"/>
      <c r="AV912" s="57"/>
      <c r="AW912" s="57"/>
      <c r="AX912" s="57"/>
      <c r="AY912" s="57"/>
      <c r="AZ912" s="57"/>
    </row>
    <row r="913">
      <c r="A913" s="57"/>
      <c r="B913" s="57"/>
      <c r="C913" s="57"/>
      <c r="D913" s="57"/>
      <c r="E913" s="57"/>
      <c r="F913" s="57"/>
      <c r="G913" s="57"/>
      <c r="H913" s="65"/>
      <c r="I913" s="65"/>
      <c r="J913" s="65"/>
      <c r="K913" s="65"/>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57"/>
      <c r="AR913" s="57"/>
      <c r="AS913" s="57"/>
      <c r="AT913" s="57"/>
      <c r="AU913" s="57"/>
      <c r="AV913" s="57"/>
      <c r="AW913" s="57"/>
      <c r="AX913" s="57"/>
      <c r="AY913" s="57"/>
      <c r="AZ913" s="57"/>
    </row>
    <row r="914">
      <c r="A914" s="57"/>
      <c r="B914" s="57"/>
      <c r="C914" s="57"/>
      <c r="D914" s="57"/>
      <c r="E914" s="57"/>
      <c r="F914" s="57"/>
      <c r="G914" s="57"/>
      <c r="H914" s="65"/>
      <c r="I914" s="65"/>
      <c r="J914" s="65"/>
      <c r="K914" s="65"/>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57"/>
      <c r="AR914" s="57"/>
      <c r="AS914" s="57"/>
      <c r="AT914" s="57"/>
      <c r="AU914" s="57"/>
      <c r="AV914" s="57"/>
      <c r="AW914" s="57"/>
      <c r="AX914" s="57"/>
      <c r="AY914" s="57"/>
      <c r="AZ914" s="57"/>
    </row>
    <row r="915">
      <c r="A915" s="57"/>
      <c r="B915" s="57"/>
      <c r="C915" s="57"/>
      <c r="D915" s="57"/>
      <c r="E915" s="57"/>
      <c r="F915" s="57"/>
      <c r="G915" s="57"/>
      <c r="H915" s="65"/>
      <c r="I915" s="65"/>
      <c r="J915" s="65"/>
      <c r="K915" s="65"/>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7"/>
      <c r="AR915" s="57"/>
      <c r="AS915" s="57"/>
      <c r="AT915" s="57"/>
      <c r="AU915" s="57"/>
      <c r="AV915" s="57"/>
      <c r="AW915" s="57"/>
      <c r="AX915" s="57"/>
      <c r="AY915" s="57"/>
      <c r="AZ915" s="57"/>
    </row>
    <row r="916">
      <c r="A916" s="57"/>
      <c r="B916" s="57"/>
      <c r="C916" s="57"/>
      <c r="D916" s="57"/>
      <c r="E916" s="57"/>
      <c r="F916" s="57"/>
      <c r="G916" s="57"/>
      <c r="H916" s="65"/>
      <c r="I916" s="65"/>
      <c r="J916" s="65"/>
      <c r="K916" s="65"/>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57"/>
      <c r="AR916" s="57"/>
      <c r="AS916" s="57"/>
      <c r="AT916" s="57"/>
      <c r="AU916" s="57"/>
      <c r="AV916" s="57"/>
      <c r="AW916" s="57"/>
      <c r="AX916" s="57"/>
      <c r="AY916" s="57"/>
      <c r="AZ916" s="57"/>
    </row>
    <row r="917">
      <c r="A917" s="57"/>
      <c r="B917" s="57"/>
      <c r="C917" s="57"/>
      <c r="D917" s="57"/>
      <c r="E917" s="57"/>
      <c r="F917" s="57"/>
      <c r="G917" s="57"/>
      <c r="H917" s="65"/>
      <c r="I917" s="65"/>
      <c r="J917" s="65"/>
      <c r="K917" s="65"/>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57"/>
      <c r="AR917" s="57"/>
      <c r="AS917" s="57"/>
      <c r="AT917" s="57"/>
      <c r="AU917" s="57"/>
      <c r="AV917" s="57"/>
      <c r="AW917" s="57"/>
      <c r="AX917" s="57"/>
      <c r="AY917" s="57"/>
      <c r="AZ917" s="57"/>
    </row>
    <row r="918">
      <c r="A918" s="57"/>
      <c r="B918" s="57"/>
      <c r="C918" s="57"/>
      <c r="D918" s="57"/>
      <c r="E918" s="57"/>
      <c r="F918" s="57"/>
      <c r="G918" s="57"/>
      <c r="H918" s="65"/>
      <c r="I918" s="65"/>
      <c r="J918" s="65"/>
      <c r="K918" s="65"/>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57"/>
      <c r="AR918" s="57"/>
      <c r="AS918" s="57"/>
      <c r="AT918" s="57"/>
      <c r="AU918" s="57"/>
      <c r="AV918" s="57"/>
      <c r="AW918" s="57"/>
      <c r="AX918" s="57"/>
      <c r="AY918" s="57"/>
      <c r="AZ918" s="57"/>
    </row>
    <row r="919">
      <c r="A919" s="57"/>
      <c r="B919" s="57"/>
      <c r="C919" s="57"/>
      <c r="D919" s="57"/>
      <c r="E919" s="57"/>
      <c r="F919" s="57"/>
      <c r="G919" s="57"/>
      <c r="H919" s="65"/>
      <c r="I919" s="65"/>
      <c r="J919" s="65"/>
      <c r="K919" s="65"/>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57"/>
      <c r="AR919" s="57"/>
      <c r="AS919" s="57"/>
      <c r="AT919" s="57"/>
      <c r="AU919" s="57"/>
      <c r="AV919" s="57"/>
      <c r="AW919" s="57"/>
      <c r="AX919" s="57"/>
      <c r="AY919" s="57"/>
      <c r="AZ919" s="57"/>
    </row>
    <row r="920">
      <c r="A920" s="57"/>
      <c r="B920" s="57"/>
      <c r="C920" s="57"/>
      <c r="D920" s="57"/>
      <c r="E920" s="57"/>
      <c r="F920" s="57"/>
      <c r="G920" s="57"/>
      <c r="H920" s="65"/>
      <c r="I920" s="65"/>
      <c r="J920" s="65"/>
      <c r="K920" s="65"/>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57"/>
      <c r="AR920" s="57"/>
      <c r="AS920" s="57"/>
      <c r="AT920" s="57"/>
      <c r="AU920" s="57"/>
      <c r="AV920" s="57"/>
      <c r="AW920" s="57"/>
      <c r="AX920" s="57"/>
      <c r="AY920" s="57"/>
      <c r="AZ920" s="57"/>
    </row>
    <row r="921">
      <c r="A921" s="57"/>
      <c r="B921" s="57"/>
      <c r="C921" s="57"/>
      <c r="D921" s="57"/>
      <c r="E921" s="57"/>
      <c r="F921" s="57"/>
      <c r="G921" s="57"/>
      <c r="H921" s="65"/>
      <c r="I921" s="65"/>
      <c r="J921" s="65"/>
      <c r="K921" s="65"/>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57"/>
      <c r="AR921" s="57"/>
      <c r="AS921" s="57"/>
      <c r="AT921" s="57"/>
      <c r="AU921" s="57"/>
      <c r="AV921" s="57"/>
      <c r="AW921" s="57"/>
      <c r="AX921" s="57"/>
      <c r="AY921" s="57"/>
      <c r="AZ921" s="57"/>
    </row>
    <row r="922">
      <c r="A922" s="57"/>
      <c r="B922" s="57"/>
      <c r="C922" s="57"/>
      <c r="D922" s="57"/>
      <c r="E922" s="57"/>
      <c r="F922" s="57"/>
      <c r="G922" s="57"/>
      <c r="H922" s="65"/>
      <c r="I922" s="65"/>
      <c r="J922" s="65"/>
      <c r="K922" s="65"/>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57"/>
      <c r="AR922" s="57"/>
      <c r="AS922" s="57"/>
      <c r="AT922" s="57"/>
      <c r="AU922" s="57"/>
      <c r="AV922" s="57"/>
      <c r="AW922" s="57"/>
      <c r="AX922" s="57"/>
      <c r="AY922" s="57"/>
      <c r="AZ922" s="57"/>
    </row>
    <row r="923">
      <c r="A923" s="57"/>
      <c r="B923" s="57"/>
      <c r="C923" s="57"/>
      <c r="D923" s="57"/>
      <c r="E923" s="57"/>
      <c r="F923" s="57"/>
      <c r="G923" s="57"/>
      <c r="H923" s="65"/>
      <c r="I923" s="65"/>
      <c r="J923" s="65"/>
      <c r="K923" s="65"/>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57"/>
      <c r="AR923" s="57"/>
      <c r="AS923" s="57"/>
      <c r="AT923" s="57"/>
      <c r="AU923" s="57"/>
      <c r="AV923" s="57"/>
      <c r="AW923" s="57"/>
      <c r="AX923" s="57"/>
      <c r="AY923" s="57"/>
      <c r="AZ923" s="57"/>
    </row>
    <row r="924">
      <c r="A924" s="57"/>
      <c r="B924" s="57"/>
      <c r="C924" s="57"/>
      <c r="D924" s="57"/>
      <c r="E924" s="57"/>
      <c r="F924" s="57"/>
      <c r="G924" s="57"/>
      <c r="H924" s="65"/>
      <c r="I924" s="65"/>
      <c r="J924" s="65"/>
      <c r="K924" s="65"/>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57"/>
      <c r="AR924" s="57"/>
      <c r="AS924" s="57"/>
      <c r="AT924" s="57"/>
      <c r="AU924" s="57"/>
      <c r="AV924" s="57"/>
      <c r="AW924" s="57"/>
      <c r="AX924" s="57"/>
      <c r="AY924" s="57"/>
      <c r="AZ924" s="57"/>
    </row>
    <row r="925">
      <c r="A925" s="57"/>
      <c r="B925" s="57"/>
      <c r="C925" s="57"/>
      <c r="D925" s="57"/>
      <c r="E925" s="57"/>
      <c r="F925" s="57"/>
      <c r="G925" s="57"/>
      <c r="H925" s="65"/>
      <c r="I925" s="65"/>
      <c r="J925" s="65"/>
      <c r="K925" s="65"/>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57"/>
      <c r="AR925" s="57"/>
      <c r="AS925" s="57"/>
      <c r="AT925" s="57"/>
      <c r="AU925" s="57"/>
      <c r="AV925" s="57"/>
      <c r="AW925" s="57"/>
      <c r="AX925" s="57"/>
      <c r="AY925" s="57"/>
      <c r="AZ925" s="57"/>
    </row>
    <row r="926">
      <c r="A926" s="57"/>
      <c r="B926" s="57"/>
      <c r="C926" s="57"/>
      <c r="D926" s="57"/>
      <c r="E926" s="57"/>
      <c r="F926" s="57"/>
      <c r="G926" s="57"/>
      <c r="H926" s="65"/>
      <c r="I926" s="65"/>
      <c r="J926" s="65"/>
      <c r="K926" s="65"/>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57"/>
      <c r="AR926" s="57"/>
      <c r="AS926" s="57"/>
      <c r="AT926" s="57"/>
      <c r="AU926" s="57"/>
      <c r="AV926" s="57"/>
      <c r="AW926" s="57"/>
      <c r="AX926" s="57"/>
      <c r="AY926" s="57"/>
      <c r="AZ926" s="57"/>
    </row>
    <row r="927">
      <c r="A927" s="57"/>
      <c r="B927" s="57"/>
      <c r="C927" s="57"/>
      <c r="D927" s="57"/>
      <c r="E927" s="57"/>
      <c r="F927" s="57"/>
      <c r="G927" s="57"/>
      <c r="H927" s="65"/>
      <c r="I927" s="65"/>
      <c r="J927" s="65"/>
      <c r="K927" s="65"/>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57"/>
      <c r="AR927" s="57"/>
      <c r="AS927" s="57"/>
      <c r="AT927" s="57"/>
      <c r="AU927" s="57"/>
      <c r="AV927" s="57"/>
      <c r="AW927" s="57"/>
      <c r="AX927" s="57"/>
      <c r="AY927" s="57"/>
      <c r="AZ927" s="57"/>
    </row>
    <row r="928">
      <c r="A928" s="57"/>
      <c r="B928" s="57"/>
      <c r="C928" s="57"/>
      <c r="D928" s="57"/>
      <c r="E928" s="57"/>
      <c r="F928" s="57"/>
      <c r="G928" s="57"/>
      <c r="H928" s="65"/>
      <c r="I928" s="65"/>
      <c r="J928" s="65"/>
      <c r="K928" s="65"/>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57"/>
      <c r="AR928" s="57"/>
      <c r="AS928" s="57"/>
      <c r="AT928" s="57"/>
      <c r="AU928" s="57"/>
      <c r="AV928" s="57"/>
      <c r="AW928" s="57"/>
      <c r="AX928" s="57"/>
      <c r="AY928" s="57"/>
      <c r="AZ928" s="57"/>
    </row>
    <row r="929">
      <c r="A929" s="57"/>
      <c r="B929" s="57"/>
      <c r="C929" s="57"/>
      <c r="D929" s="57"/>
      <c r="E929" s="57"/>
      <c r="F929" s="57"/>
      <c r="G929" s="57"/>
      <c r="H929" s="65"/>
      <c r="I929" s="65"/>
      <c r="J929" s="65"/>
      <c r="K929" s="65"/>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57"/>
      <c r="AR929" s="57"/>
      <c r="AS929" s="57"/>
      <c r="AT929" s="57"/>
      <c r="AU929" s="57"/>
      <c r="AV929" s="57"/>
      <c r="AW929" s="57"/>
      <c r="AX929" s="57"/>
      <c r="AY929" s="57"/>
      <c r="AZ929" s="57"/>
    </row>
    <row r="930">
      <c r="A930" s="57"/>
      <c r="B930" s="57"/>
      <c r="C930" s="57"/>
      <c r="D930" s="57"/>
      <c r="E930" s="57"/>
      <c r="F930" s="57"/>
      <c r="G930" s="57"/>
      <c r="H930" s="65"/>
      <c r="I930" s="65"/>
      <c r="J930" s="65"/>
      <c r="K930" s="65"/>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57"/>
      <c r="AR930" s="57"/>
      <c r="AS930" s="57"/>
      <c r="AT930" s="57"/>
      <c r="AU930" s="57"/>
      <c r="AV930" s="57"/>
      <c r="AW930" s="57"/>
      <c r="AX930" s="57"/>
      <c r="AY930" s="57"/>
      <c r="AZ930" s="57"/>
    </row>
    <row r="931">
      <c r="A931" s="57"/>
      <c r="B931" s="57"/>
      <c r="C931" s="57"/>
      <c r="D931" s="57"/>
      <c r="E931" s="57"/>
      <c r="F931" s="57"/>
      <c r="G931" s="57"/>
      <c r="H931" s="65"/>
      <c r="I931" s="65"/>
      <c r="J931" s="65"/>
      <c r="K931" s="65"/>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57"/>
      <c r="AR931" s="57"/>
      <c r="AS931" s="57"/>
      <c r="AT931" s="57"/>
      <c r="AU931" s="57"/>
      <c r="AV931" s="57"/>
      <c r="AW931" s="57"/>
      <c r="AX931" s="57"/>
      <c r="AY931" s="57"/>
      <c r="AZ931" s="57"/>
    </row>
    <row r="932">
      <c r="A932" s="57"/>
      <c r="B932" s="57"/>
      <c r="C932" s="57"/>
      <c r="D932" s="57"/>
      <c r="E932" s="57"/>
      <c r="F932" s="57"/>
      <c r="G932" s="57"/>
      <c r="H932" s="65"/>
      <c r="I932" s="65"/>
      <c r="J932" s="65"/>
      <c r="K932" s="65"/>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57"/>
      <c r="AR932" s="57"/>
      <c r="AS932" s="57"/>
      <c r="AT932" s="57"/>
      <c r="AU932" s="57"/>
      <c r="AV932" s="57"/>
      <c r="AW932" s="57"/>
      <c r="AX932" s="57"/>
      <c r="AY932" s="57"/>
      <c r="AZ932" s="57"/>
    </row>
    <row r="933">
      <c r="A933" s="57"/>
      <c r="B933" s="57"/>
      <c r="C933" s="57"/>
      <c r="D933" s="57"/>
      <c r="E933" s="57"/>
      <c r="F933" s="57"/>
      <c r="G933" s="57"/>
      <c r="H933" s="65"/>
      <c r="I933" s="65"/>
      <c r="J933" s="65"/>
      <c r="K933" s="65"/>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57"/>
      <c r="AR933" s="57"/>
      <c r="AS933" s="57"/>
      <c r="AT933" s="57"/>
      <c r="AU933" s="57"/>
      <c r="AV933" s="57"/>
      <c r="AW933" s="57"/>
      <c r="AX933" s="57"/>
      <c r="AY933" s="57"/>
      <c r="AZ933" s="57"/>
    </row>
    <row r="934">
      <c r="A934" s="57"/>
      <c r="B934" s="57"/>
      <c r="C934" s="57"/>
      <c r="D934" s="57"/>
      <c r="E934" s="57"/>
      <c r="F934" s="57"/>
      <c r="G934" s="57"/>
      <c r="H934" s="65"/>
      <c r="I934" s="65"/>
      <c r="J934" s="65"/>
      <c r="K934" s="65"/>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57"/>
      <c r="AR934" s="57"/>
      <c r="AS934" s="57"/>
      <c r="AT934" s="57"/>
      <c r="AU934" s="57"/>
      <c r="AV934" s="57"/>
      <c r="AW934" s="57"/>
      <c r="AX934" s="57"/>
      <c r="AY934" s="57"/>
      <c r="AZ934" s="57"/>
    </row>
    <row r="935">
      <c r="A935" s="57"/>
      <c r="B935" s="57"/>
      <c r="C935" s="57"/>
      <c r="D935" s="57"/>
      <c r="E935" s="57"/>
      <c r="F935" s="57"/>
      <c r="G935" s="57"/>
      <c r="H935" s="65"/>
      <c r="I935" s="65"/>
      <c r="J935" s="65"/>
      <c r="K935" s="65"/>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57"/>
      <c r="AR935" s="57"/>
      <c r="AS935" s="57"/>
      <c r="AT935" s="57"/>
      <c r="AU935" s="57"/>
      <c r="AV935" s="57"/>
      <c r="AW935" s="57"/>
      <c r="AX935" s="57"/>
      <c r="AY935" s="57"/>
      <c r="AZ935" s="57"/>
    </row>
    <row r="936">
      <c r="A936" s="57"/>
      <c r="B936" s="57"/>
      <c r="C936" s="57"/>
      <c r="D936" s="57"/>
      <c r="E936" s="57"/>
      <c r="F936" s="57"/>
      <c r="G936" s="57"/>
      <c r="H936" s="65"/>
      <c r="I936" s="65"/>
      <c r="J936" s="65"/>
      <c r="K936" s="65"/>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57"/>
      <c r="AR936" s="57"/>
      <c r="AS936" s="57"/>
      <c r="AT936" s="57"/>
      <c r="AU936" s="57"/>
      <c r="AV936" s="57"/>
      <c r="AW936" s="57"/>
      <c r="AX936" s="57"/>
      <c r="AY936" s="57"/>
      <c r="AZ936" s="57"/>
    </row>
    <row r="937">
      <c r="A937" s="57"/>
      <c r="B937" s="57"/>
      <c r="C937" s="57"/>
      <c r="D937" s="57"/>
      <c r="E937" s="57"/>
      <c r="F937" s="57"/>
      <c r="G937" s="57"/>
      <c r="H937" s="65"/>
      <c r="I937" s="65"/>
      <c r="J937" s="65"/>
      <c r="K937" s="65"/>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57"/>
      <c r="AR937" s="57"/>
      <c r="AS937" s="57"/>
      <c r="AT937" s="57"/>
      <c r="AU937" s="57"/>
      <c r="AV937" s="57"/>
      <c r="AW937" s="57"/>
      <c r="AX937" s="57"/>
      <c r="AY937" s="57"/>
      <c r="AZ937" s="57"/>
    </row>
    <row r="938">
      <c r="A938" s="57"/>
      <c r="B938" s="57"/>
      <c r="C938" s="57"/>
      <c r="D938" s="57"/>
      <c r="E938" s="57"/>
      <c r="F938" s="57"/>
      <c r="G938" s="57"/>
      <c r="H938" s="65"/>
      <c r="I938" s="65"/>
      <c r="J938" s="65"/>
      <c r="K938" s="65"/>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57"/>
      <c r="AR938" s="57"/>
      <c r="AS938" s="57"/>
      <c r="AT938" s="57"/>
      <c r="AU938" s="57"/>
      <c r="AV938" s="57"/>
      <c r="AW938" s="57"/>
      <c r="AX938" s="57"/>
      <c r="AY938" s="57"/>
      <c r="AZ938" s="57"/>
    </row>
    <row r="939">
      <c r="A939" s="57"/>
      <c r="B939" s="57"/>
      <c r="C939" s="57"/>
      <c r="D939" s="57"/>
      <c r="E939" s="57"/>
      <c r="F939" s="57"/>
      <c r="G939" s="57"/>
      <c r="H939" s="65"/>
      <c r="I939" s="65"/>
      <c r="J939" s="65"/>
      <c r="K939" s="65"/>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57"/>
      <c r="AR939" s="57"/>
      <c r="AS939" s="57"/>
      <c r="AT939" s="57"/>
      <c r="AU939" s="57"/>
      <c r="AV939" s="57"/>
      <c r="AW939" s="57"/>
      <c r="AX939" s="57"/>
      <c r="AY939" s="57"/>
      <c r="AZ939" s="57"/>
    </row>
    <row r="940">
      <c r="A940" s="57"/>
      <c r="B940" s="57"/>
      <c r="C940" s="57"/>
      <c r="D940" s="57"/>
      <c r="E940" s="57"/>
      <c r="F940" s="57"/>
      <c r="G940" s="57"/>
      <c r="H940" s="65"/>
      <c r="I940" s="65"/>
      <c r="J940" s="65"/>
      <c r="K940" s="65"/>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57"/>
      <c r="AR940" s="57"/>
      <c r="AS940" s="57"/>
      <c r="AT940" s="57"/>
      <c r="AU940" s="57"/>
      <c r="AV940" s="57"/>
      <c r="AW940" s="57"/>
      <c r="AX940" s="57"/>
      <c r="AY940" s="57"/>
      <c r="AZ940" s="57"/>
    </row>
    <row r="941">
      <c r="A941" s="57"/>
      <c r="B941" s="57"/>
      <c r="C941" s="57"/>
      <c r="D941" s="57"/>
      <c r="E941" s="57"/>
      <c r="F941" s="57"/>
      <c r="G941" s="57"/>
      <c r="H941" s="65"/>
      <c r="I941" s="65"/>
      <c r="J941" s="65"/>
      <c r="K941" s="65"/>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57"/>
      <c r="AR941" s="57"/>
      <c r="AS941" s="57"/>
      <c r="AT941" s="57"/>
      <c r="AU941" s="57"/>
      <c r="AV941" s="57"/>
      <c r="AW941" s="57"/>
      <c r="AX941" s="57"/>
      <c r="AY941" s="57"/>
      <c r="AZ941" s="57"/>
    </row>
    <row r="942">
      <c r="A942" s="57"/>
      <c r="B942" s="57"/>
      <c r="C942" s="57"/>
      <c r="D942" s="57"/>
      <c r="E942" s="57"/>
      <c r="F942" s="57"/>
      <c r="G942" s="57"/>
      <c r="H942" s="65"/>
      <c r="I942" s="65"/>
      <c r="J942" s="65"/>
      <c r="K942" s="65"/>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57"/>
      <c r="AR942" s="57"/>
      <c r="AS942" s="57"/>
      <c r="AT942" s="57"/>
      <c r="AU942" s="57"/>
      <c r="AV942" s="57"/>
      <c r="AW942" s="57"/>
      <c r="AX942" s="57"/>
      <c r="AY942" s="57"/>
      <c r="AZ942" s="57"/>
    </row>
    <row r="943">
      <c r="A943" s="57"/>
      <c r="B943" s="57"/>
      <c r="C943" s="57"/>
      <c r="D943" s="57"/>
      <c r="E943" s="57"/>
      <c r="F943" s="57"/>
      <c r="G943" s="57"/>
      <c r="H943" s="65"/>
      <c r="I943" s="65"/>
      <c r="J943" s="65"/>
      <c r="K943" s="65"/>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57"/>
      <c r="AR943" s="57"/>
      <c r="AS943" s="57"/>
      <c r="AT943" s="57"/>
      <c r="AU943" s="57"/>
      <c r="AV943" s="57"/>
      <c r="AW943" s="57"/>
      <c r="AX943" s="57"/>
      <c r="AY943" s="57"/>
      <c r="AZ943" s="57"/>
    </row>
    <row r="944">
      <c r="A944" s="57"/>
      <c r="B944" s="57"/>
      <c r="C944" s="57"/>
      <c r="D944" s="57"/>
      <c r="E944" s="57"/>
      <c r="F944" s="57"/>
      <c r="G944" s="57"/>
      <c r="H944" s="65"/>
      <c r="I944" s="65"/>
      <c r="J944" s="65"/>
      <c r="K944" s="65"/>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57"/>
      <c r="AR944" s="57"/>
      <c r="AS944" s="57"/>
      <c r="AT944" s="57"/>
      <c r="AU944" s="57"/>
      <c r="AV944" s="57"/>
      <c r="AW944" s="57"/>
      <c r="AX944" s="57"/>
      <c r="AY944" s="57"/>
      <c r="AZ944" s="57"/>
    </row>
    <row r="945">
      <c r="A945" s="57"/>
      <c r="B945" s="57"/>
      <c r="C945" s="57"/>
      <c r="D945" s="57"/>
      <c r="E945" s="57"/>
      <c r="F945" s="57"/>
      <c r="G945" s="57"/>
      <c r="H945" s="65"/>
      <c r="I945" s="65"/>
      <c r="J945" s="65"/>
      <c r="K945" s="65"/>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57"/>
      <c r="AR945" s="57"/>
      <c r="AS945" s="57"/>
      <c r="AT945" s="57"/>
      <c r="AU945" s="57"/>
      <c r="AV945" s="57"/>
      <c r="AW945" s="57"/>
      <c r="AX945" s="57"/>
      <c r="AY945" s="57"/>
      <c r="AZ945" s="57"/>
    </row>
    <row r="946">
      <c r="A946" s="57"/>
      <c r="B946" s="57"/>
      <c r="C946" s="57"/>
      <c r="D946" s="57"/>
      <c r="E946" s="57"/>
      <c r="F946" s="57"/>
      <c r="G946" s="57"/>
      <c r="H946" s="65"/>
      <c r="I946" s="65"/>
      <c r="J946" s="65"/>
      <c r="K946" s="65"/>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57"/>
      <c r="AR946" s="57"/>
      <c r="AS946" s="57"/>
      <c r="AT946" s="57"/>
      <c r="AU946" s="57"/>
      <c r="AV946" s="57"/>
      <c r="AW946" s="57"/>
      <c r="AX946" s="57"/>
      <c r="AY946" s="57"/>
      <c r="AZ946" s="57"/>
    </row>
    <row r="947">
      <c r="A947" s="57"/>
      <c r="B947" s="57"/>
      <c r="C947" s="57"/>
      <c r="D947" s="57"/>
      <c r="E947" s="57"/>
      <c r="F947" s="57"/>
      <c r="G947" s="57"/>
      <c r="H947" s="65"/>
      <c r="I947" s="65"/>
      <c r="J947" s="65"/>
      <c r="K947" s="65"/>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57"/>
      <c r="AR947" s="57"/>
      <c r="AS947" s="57"/>
      <c r="AT947" s="57"/>
      <c r="AU947" s="57"/>
      <c r="AV947" s="57"/>
      <c r="AW947" s="57"/>
      <c r="AX947" s="57"/>
      <c r="AY947" s="57"/>
      <c r="AZ947" s="57"/>
    </row>
    <row r="948">
      <c r="A948" s="57"/>
      <c r="B948" s="57"/>
      <c r="C948" s="57"/>
      <c r="D948" s="57"/>
      <c r="E948" s="57"/>
      <c r="F948" s="57"/>
      <c r="G948" s="57"/>
      <c r="H948" s="65"/>
      <c r="I948" s="65"/>
      <c r="J948" s="65"/>
      <c r="K948" s="65"/>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57"/>
      <c r="AR948" s="57"/>
      <c r="AS948" s="57"/>
      <c r="AT948" s="57"/>
      <c r="AU948" s="57"/>
      <c r="AV948" s="57"/>
      <c r="AW948" s="57"/>
      <c r="AX948" s="57"/>
      <c r="AY948" s="57"/>
      <c r="AZ948" s="57"/>
    </row>
    <row r="949">
      <c r="A949" s="57"/>
      <c r="B949" s="57"/>
      <c r="C949" s="57"/>
      <c r="D949" s="57"/>
      <c r="E949" s="57"/>
      <c r="F949" s="57"/>
      <c r="G949" s="57"/>
      <c r="H949" s="65"/>
      <c r="I949" s="65"/>
      <c r="J949" s="65"/>
      <c r="K949" s="65"/>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7"/>
      <c r="AR949" s="57"/>
      <c r="AS949" s="57"/>
      <c r="AT949" s="57"/>
      <c r="AU949" s="57"/>
      <c r="AV949" s="57"/>
      <c r="AW949" s="57"/>
      <c r="AX949" s="57"/>
      <c r="AY949" s="57"/>
      <c r="AZ949" s="57"/>
    </row>
    <row r="950">
      <c r="A950" s="57"/>
      <c r="B950" s="57"/>
      <c r="C950" s="57"/>
      <c r="D950" s="57"/>
      <c r="E950" s="57"/>
      <c r="F950" s="57"/>
      <c r="G950" s="57"/>
      <c r="H950" s="65"/>
      <c r="I950" s="65"/>
      <c r="J950" s="65"/>
      <c r="K950" s="65"/>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7"/>
      <c r="AR950" s="57"/>
      <c r="AS950" s="57"/>
      <c r="AT950" s="57"/>
      <c r="AU950" s="57"/>
      <c r="AV950" s="57"/>
      <c r="AW950" s="57"/>
      <c r="AX950" s="57"/>
      <c r="AY950" s="57"/>
      <c r="AZ950" s="57"/>
    </row>
    <row r="951">
      <c r="A951" s="57"/>
      <c r="B951" s="57"/>
      <c r="C951" s="57"/>
      <c r="D951" s="57"/>
      <c r="E951" s="57"/>
      <c r="F951" s="57"/>
      <c r="G951" s="57"/>
      <c r="H951" s="65"/>
      <c r="I951" s="65"/>
      <c r="J951" s="65"/>
      <c r="K951" s="65"/>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7"/>
      <c r="AR951" s="57"/>
      <c r="AS951" s="57"/>
      <c r="AT951" s="57"/>
      <c r="AU951" s="57"/>
      <c r="AV951" s="57"/>
      <c r="AW951" s="57"/>
      <c r="AX951" s="57"/>
      <c r="AY951" s="57"/>
      <c r="AZ951" s="57"/>
    </row>
    <row r="952">
      <c r="A952" s="57"/>
      <c r="B952" s="57"/>
      <c r="C952" s="57"/>
      <c r="D952" s="57"/>
      <c r="E952" s="57"/>
      <c r="F952" s="57"/>
      <c r="G952" s="57"/>
      <c r="H952" s="65"/>
      <c r="I952" s="65"/>
      <c r="J952" s="65"/>
      <c r="K952" s="65"/>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7"/>
      <c r="AR952" s="57"/>
      <c r="AS952" s="57"/>
      <c r="AT952" s="57"/>
      <c r="AU952" s="57"/>
      <c r="AV952" s="57"/>
      <c r="AW952" s="57"/>
      <c r="AX952" s="57"/>
      <c r="AY952" s="57"/>
      <c r="AZ952" s="57"/>
    </row>
    <row r="953">
      <c r="A953" s="57"/>
      <c r="B953" s="57"/>
      <c r="C953" s="57"/>
      <c r="D953" s="57"/>
      <c r="E953" s="57"/>
      <c r="F953" s="57"/>
      <c r="G953" s="57"/>
      <c r="H953" s="65"/>
      <c r="I953" s="65"/>
      <c r="J953" s="65"/>
      <c r="K953" s="65"/>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7"/>
      <c r="AR953" s="57"/>
      <c r="AS953" s="57"/>
      <c r="AT953" s="57"/>
      <c r="AU953" s="57"/>
      <c r="AV953" s="57"/>
      <c r="AW953" s="57"/>
      <c r="AX953" s="57"/>
      <c r="AY953" s="57"/>
      <c r="AZ953" s="57"/>
    </row>
    <row r="954">
      <c r="A954" s="57"/>
      <c r="B954" s="57"/>
      <c r="C954" s="57"/>
      <c r="D954" s="57"/>
      <c r="E954" s="57"/>
      <c r="F954" s="57"/>
      <c r="G954" s="57"/>
      <c r="H954" s="65"/>
      <c r="I954" s="65"/>
      <c r="J954" s="65"/>
      <c r="K954" s="65"/>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7"/>
      <c r="AR954" s="57"/>
      <c r="AS954" s="57"/>
      <c r="AT954" s="57"/>
      <c r="AU954" s="57"/>
      <c r="AV954" s="57"/>
      <c r="AW954" s="57"/>
      <c r="AX954" s="57"/>
      <c r="AY954" s="57"/>
      <c r="AZ954" s="57"/>
    </row>
    <row r="955">
      <c r="A955" s="57"/>
      <c r="B955" s="57"/>
      <c r="C955" s="57"/>
      <c r="D955" s="57"/>
      <c r="E955" s="57"/>
      <c r="F955" s="57"/>
      <c r="G955" s="57"/>
      <c r="H955" s="65"/>
      <c r="I955" s="65"/>
      <c r="J955" s="65"/>
      <c r="K955" s="65"/>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7"/>
      <c r="AR955" s="57"/>
      <c r="AS955" s="57"/>
      <c r="AT955" s="57"/>
      <c r="AU955" s="57"/>
      <c r="AV955" s="57"/>
      <c r="AW955" s="57"/>
      <c r="AX955" s="57"/>
      <c r="AY955" s="57"/>
      <c r="AZ955" s="57"/>
    </row>
    <row r="956">
      <c r="A956" s="57"/>
      <c r="B956" s="57"/>
      <c r="C956" s="57"/>
      <c r="D956" s="57"/>
      <c r="E956" s="57"/>
      <c r="F956" s="57"/>
      <c r="G956" s="57"/>
      <c r="H956" s="65"/>
      <c r="I956" s="65"/>
      <c r="J956" s="65"/>
      <c r="K956" s="65"/>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57"/>
      <c r="AR956" s="57"/>
      <c r="AS956" s="57"/>
      <c r="AT956" s="57"/>
      <c r="AU956" s="57"/>
      <c r="AV956" s="57"/>
      <c r="AW956" s="57"/>
      <c r="AX956" s="57"/>
      <c r="AY956" s="57"/>
      <c r="AZ956" s="57"/>
    </row>
    <row r="957">
      <c r="A957" s="57"/>
      <c r="B957" s="57"/>
      <c r="C957" s="57"/>
      <c r="D957" s="57"/>
      <c r="E957" s="57"/>
      <c r="F957" s="57"/>
      <c r="G957" s="57"/>
      <c r="H957" s="65"/>
      <c r="I957" s="65"/>
      <c r="J957" s="65"/>
      <c r="K957" s="65"/>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7"/>
      <c r="AR957" s="57"/>
      <c r="AS957" s="57"/>
      <c r="AT957" s="57"/>
      <c r="AU957" s="57"/>
      <c r="AV957" s="57"/>
      <c r="AW957" s="57"/>
      <c r="AX957" s="57"/>
      <c r="AY957" s="57"/>
      <c r="AZ957" s="57"/>
    </row>
    <row r="958">
      <c r="A958" s="57"/>
      <c r="B958" s="57"/>
      <c r="C958" s="57"/>
      <c r="D958" s="57"/>
      <c r="E958" s="57"/>
      <c r="F958" s="57"/>
      <c r="G958" s="57"/>
      <c r="H958" s="65"/>
      <c r="I958" s="65"/>
      <c r="J958" s="65"/>
      <c r="K958" s="65"/>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7"/>
      <c r="AR958" s="57"/>
      <c r="AS958" s="57"/>
      <c r="AT958" s="57"/>
      <c r="AU958" s="57"/>
      <c r="AV958" s="57"/>
      <c r="AW958" s="57"/>
      <c r="AX958" s="57"/>
      <c r="AY958" s="57"/>
      <c r="AZ958" s="57"/>
    </row>
    <row r="959">
      <c r="A959" s="57"/>
      <c r="B959" s="57"/>
      <c r="C959" s="57"/>
      <c r="D959" s="57"/>
      <c r="E959" s="57"/>
      <c r="F959" s="57"/>
      <c r="G959" s="57"/>
      <c r="H959" s="65"/>
      <c r="I959" s="65"/>
      <c r="J959" s="65"/>
      <c r="K959" s="65"/>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7"/>
      <c r="AR959" s="57"/>
      <c r="AS959" s="57"/>
      <c r="AT959" s="57"/>
      <c r="AU959" s="57"/>
      <c r="AV959" s="57"/>
      <c r="AW959" s="57"/>
      <c r="AX959" s="57"/>
      <c r="AY959" s="57"/>
      <c r="AZ959" s="57"/>
    </row>
    <row r="960">
      <c r="A960" s="57"/>
      <c r="B960" s="57"/>
      <c r="C960" s="57"/>
      <c r="D960" s="57"/>
      <c r="E960" s="57"/>
      <c r="F960" s="57"/>
      <c r="G960" s="57"/>
      <c r="H960" s="65"/>
      <c r="I960" s="65"/>
      <c r="J960" s="65"/>
      <c r="K960" s="65"/>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7"/>
      <c r="AR960" s="57"/>
      <c r="AS960" s="57"/>
      <c r="AT960" s="57"/>
      <c r="AU960" s="57"/>
      <c r="AV960" s="57"/>
      <c r="AW960" s="57"/>
      <c r="AX960" s="57"/>
      <c r="AY960" s="57"/>
      <c r="AZ960" s="57"/>
    </row>
    <row r="961">
      <c r="A961" s="57"/>
      <c r="B961" s="57"/>
      <c r="C961" s="57"/>
      <c r="D961" s="57"/>
      <c r="E961" s="57"/>
      <c r="F961" s="57"/>
      <c r="G961" s="57"/>
      <c r="H961" s="65"/>
      <c r="I961" s="65"/>
      <c r="J961" s="65"/>
      <c r="K961" s="65"/>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7"/>
      <c r="AR961" s="57"/>
      <c r="AS961" s="57"/>
      <c r="AT961" s="57"/>
      <c r="AU961" s="57"/>
      <c r="AV961" s="57"/>
      <c r="AW961" s="57"/>
      <c r="AX961" s="57"/>
      <c r="AY961" s="57"/>
      <c r="AZ961" s="57"/>
    </row>
    <row r="962">
      <c r="A962" s="57"/>
      <c r="B962" s="57"/>
      <c r="C962" s="57"/>
      <c r="D962" s="57"/>
      <c r="E962" s="57"/>
      <c r="F962" s="57"/>
      <c r="G962" s="57"/>
      <c r="H962" s="65"/>
      <c r="I962" s="65"/>
      <c r="J962" s="65"/>
      <c r="K962" s="65"/>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57"/>
      <c r="AR962" s="57"/>
      <c r="AS962" s="57"/>
      <c r="AT962" s="57"/>
      <c r="AU962" s="57"/>
      <c r="AV962" s="57"/>
      <c r="AW962" s="57"/>
      <c r="AX962" s="57"/>
      <c r="AY962" s="57"/>
      <c r="AZ962" s="57"/>
    </row>
    <row r="963">
      <c r="A963" s="57"/>
      <c r="B963" s="57"/>
      <c r="C963" s="57"/>
      <c r="D963" s="57"/>
      <c r="E963" s="57"/>
      <c r="F963" s="57"/>
      <c r="G963" s="57"/>
      <c r="H963" s="65"/>
      <c r="I963" s="65"/>
      <c r="J963" s="65"/>
      <c r="K963" s="65"/>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57"/>
      <c r="AR963" s="57"/>
      <c r="AS963" s="57"/>
      <c r="AT963" s="57"/>
      <c r="AU963" s="57"/>
      <c r="AV963" s="57"/>
      <c r="AW963" s="57"/>
      <c r="AX963" s="57"/>
      <c r="AY963" s="57"/>
      <c r="AZ963" s="57"/>
    </row>
    <row r="964">
      <c r="A964" s="57"/>
      <c r="B964" s="57"/>
      <c r="C964" s="57"/>
      <c r="D964" s="57"/>
      <c r="E964" s="57"/>
      <c r="F964" s="57"/>
      <c r="G964" s="57"/>
      <c r="H964" s="65"/>
      <c r="I964" s="65"/>
      <c r="J964" s="65"/>
      <c r="K964" s="65"/>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57"/>
      <c r="AR964" s="57"/>
      <c r="AS964" s="57"/>
      <c r="AT964" s="57"/>
      <c r="AU964" s="57"/>
      <c r="AV964" s="57"/>
      <c r="AW964" s="57"/>
      <c r="AX964" s="57"/>
      <c r="AY964" s="57"/>
      <c r="AZ964" s="57"/>
    </row>
    <row r="965">
      <c r="A965" s="57"/>
      <c r="B965" s="57"/>
      <c r="C965" s="57"/>
      <c r="D965" s="57"/>
      <c r="E965" s="57"/>
      <c r="F965" s="57"/>
      <c r="G965" s="57"/>
      <c r="H965" s="65"/>
      <c r="I965" s="65"/>
      <c r="J965" s="65"/>
      <c r="K965" s="65"/>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57"/>
      <c r="AR965" s="57"/>
      <c r="AS965" s="57"/>
      <c r="AT965" s="57"/>
      <c r="AU965" s="57"/>
      <c r="AV965" s="57"/>
      <c r="AW965" s="57"/>
      <c r="AX965" s="57"/>
      <c r="AY965" s="57"/>
      <c r="AZ965" s="57"/>
    </row>
    <row r="966">
      <c r="A966" s="57"/>
      <c r="B966" s="57"/>
      <c r="C966" s="57"/>
      <c r="D966" s="57"/>
      <c r="E966" s="57"/>
      <c r="F966" s="57"/>
      <c r="G966" s="57"/>
      <c r="H966" s="65"/>
      <c r="I966" s="65"/>
      <c r="J966" s="65"/>
      <c r="K966" s="65"/>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57"/>
      <c r="AR966" s="57"/>
      <c r="AS966" s="57"/>
      <c r="AT966" s="57"/>
      <c r="AU966" s="57"/>
      <c r="AV966" s="57"/>
      <c r="AW966" s="57"/>
      <c r="AX966" s="57"/>
      <c r="AY966" s="57"/>
      <c r="AZ966" s="57"/>
    </row>
    <row r="967">
      <c r="A967" s="57"/>
      <c r="B967" s="57"/>
      <c r="C967" s="57"/>
      <c r="D967" s="57"/>
      <c r="E967" s="57"/>
      <c r="F967" s="57"/>
      <c r="G967" s="57"/>
      <c r="H967" s="65"/>
      <c r="I967" s="65"/>
      <c r="J967" s="65"/>
      <c r="K967" s="65"/>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57"/>
      <c r="AR967" s="57"/>
      <c r="AS967" s="57"/>
      <c r="AT967" s="57"/>
      <c r="AU967" s="57"/>
      <c r="AV967" s="57"/>
      <c r="AW967" s="57"/>
      <c r="AX967" s="57"/>
      <c r="AY967" s="57"/>
      <c r="AZ967" s="57"/>
    </row>
    <row r="968">
      <c r="A968" s="57"/>
      <c r="B968" s="57"/>
      <c r="C968" s="57"/>
      <c r="D968" s="57"/>
      <c r="E968" s="57"/>
      <c r="F968" s="57"/>
      <c r="G968" s="57"/>
      <c r="H968" s="65"/>
      <c r="I968" s="65"/>
      <c r="J968" s="65"/>
      <c r="K968" s="65"/>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57"/>
      <c r="AR968" s="57"/>
      <c r="AS968" s="57"/>
      <c r="AT968" s="57"/>
      <c r="AU968" s="57"/>
      <c r="AV968" s="57"/>
      <c r="AW968" s="57"/>
      <c r="AX968" s="57"/>
      <c r="AY968" s="57"/>
      <c r="AZ968" s="57"/>
    </row>
    <row r="969">
      <c r="A969" s="57"/>
      <c r="B969" s="57"/>
      <c r="C969" s="57"/>
      <c r="D969" s="57"/>
      <c r="E969" s="57"/>
      <c r="F969" s="57"/>
      <c r="G969" s="57"/>
      <c r="H969" s="65"/>
      <c r="I969" s="65"/>
      <c r="J969" s="65"/>
      <c r="K969" s="65"/>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57"/>
      <c r="AR969" s="57"/>
      <c r="AS969" s="57"/>
      <c r="AT969" s="57"/>
      <c r="AU969" s="57"/>
      <c r="AV969" s="57"/>
      <c r="AW969" s="57"/>
      <c r="AX969" s="57"/>
      <c r="AY969" s="57"/>
      <c r="AZ969" s="57"/>
    </row>
    <row r="970">
      <c r="A970" s="57"/>
      <c r="B970" s="57"/>
      <c r="C970" s="57"/>
      <c r="D970" s="57"/>
      <c r="E970" s="57"/>
      <c r="F970" s="57"/>
      <c r="G970" s="57"/>
      <c r="H970" s="65"/>
      <c r="I970" s="65"/>
      <c r="J970" s="65"/>
      <c r="K970" s="65"/>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57"/>
      <c r="AR970" s="57"/>
      <c r="AS970" s="57"/>
      <c r="AT970" s="57"/>
      <c r="AU970" s="57"/>
      <c r="AV970" s="57"/>
      <c r="AW970" s="57"/>
      <c r="AX970" s="57"/>
      <c r="AY970" s="57"/>
      <c r="AZ970" s="57"/>
    </row>
    <row r="971">
      <c r="A971" s="57"/>
      <c r="B971" s="57"/>
      <c r="C971" s="57"/>
      <c r="D971" s="57"/>
      <c r="E971" s="57"/>
      <c r="F971" s="57"/>
      <c r="G971" s="57"/>
      <c r="H971" s="65"/>
      <c r="I971" s="65"/>
      <c r="J971" s="65"/>
      <c r="K971" s="65"/>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57"/>
      <c r="AR971" s="57"/>
      <c r="AS971" s="57"/>
      <c r="AT971" s="57"/>
      <c r="AU971" s="57"/>
      <c r="AV971" s="57"/>
      <c r="AW971" s="57"/>
      <c r="AX971" s="57"/>
      <c r="AY971" s="57"/>
      <c r="AZ971" s="57"/>
    </row>
    <row r="972">
      <c r="A972" s="57"/>
      <c r="B972" s="57"/>
      <c r="C972" s="57"/>
      <c r="D972" s="57"/>
      <c r="E972" s="57"/>
      <c r="F972" s="57"/>
      <c r="G972" s="57"/>
      <c r="H972" s="65"/>
      <c r="I972" s="65"/>
      <c r="J972" s="65"/>
      <c r="K972" s="65"/>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57"/>
      <c r="AR972" s="57"/>
      <c r="AS972" s="57"/>
      <c r="AT972" s="57"/>
      <c r="AU972" s="57"/>
      <c r="AV972" s="57"/>
      <c r="AW972" s="57"/>
      <c r="AX972" s="57"/>
      <c r="AY972" s="57"/>
      <c r="AZ972" s="57"/>
    </row>
    <row r="973">
      <c r="A973" s="57"/>
      <c r="B973" s="57"/>
      <c r="C973" s="57"/>
      <c r="D973" s="57"/>
      <c r="E973" s="57"/>
      <c r="F973" s="57"/>
      <c r="G973" s="57"/>
      <c r="H973" s="65"/>
      <c r="I973" s="65"/>
      <c r="J973" s="65"/>
      <c r="K973" s="65"/>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57"/>
      <c r="AR973" s="57"/>
      <c r="AS973" s="57"/>
      <c r="AT973" s="57"/>
      <c r="AU973" s="57"/>
      <c r="AV973" s="57"/>
      <c r="AW973" s="57"/>
      <c r="AX973" s="57"/>
      <c r="AY973" s="57"/>
      <c r="AZ973" s="57"/>
    </row>
    <row r="974">
      <c r="A974" s="57"/>
      <c r="B974" s="57"/>
      <c r="C974" s="57"/>
      <c r="D974" s="57"/>
      <c r="E974" s="57"/>
      <c r="F974" s="57"/>
      <c r="G974" s="57"/>
      <c r="H974" s="65"/>
      <c r="I974" s="65"/>
      <c r="J974" s="65"/>
      <c r="K974" s="65"/>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57"/>
      <c r="AR974" s="57"/>
      <c r="AS974" s="57"/>
      <c r="AT974" s="57"/>
      <c r="AU974" s="57"/>
      <c r="AV974" s="57"/>
      <c r="AW974" s="57"/>
      <c r="AX974" s="57"/>
      <c r="AY974" s="57"/>
      <c r="AZ974" s="57"/>
    </row>
    <row r="975">
      <c r="A975" s="57"/>
      <c r="B975" s="57"/>
      <c r="C975" s="57"/>
      <c r="D975" s="57"/>
      <c r="E975" s="57"/>
      <c r="F975" s="57"/>
      <c r="G975" s="57"/>
      <c r="H975" s="65"/>
      <c r="I975" s="65"/>
      <c r="J975" s="65"/>
      <c r="K975" s="65"/>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57"/>
      <c r="AR975" s="57"/>
      <c r="AS975" s="57"/>
      <c r="AT975" s="57"/>
      <c r="AU975" s="57"/>
      <c r="AV975" s="57"/>
      <c r="AW975" s="57"/>
      <c r="AX975" s="57"/>
      <c r="AY975" s="57"/>
      <c r="AZ975" s="57"/>
    </row>
    <row r="976">
      <c r="A976" s="57"/>
      <c r="B976" s="57"/>
      <c r="C976" s="57"/>
      <c r="D976" s="57"/>
      <c r="E976" s="57"/>
      <c r="F976" s="57"/>
      <c r="G976" s="57"/>
      <c r="H976" s="65"/>
      <c r="I976" s="65"/>
      <c r="J976" s="65"/>
      <c r="K976" s="65"/>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57"/>
      <c r="AR976" s="57"/>
      <c r="AS976" s="57"/>
      <c r="AT976" s="57"/>
      <c r="AU976" s="57"/>
      <c r="AV976" s="57"/>
      <c r="AW976" s="57"/>
      <c r="AX976" s="57"/>
      <c r="AY976" s="57"/>
      <c r="AZ976" s="57"/>
    </row>
    <row r="977">
      <c r="A977" s="57"/>
      <c r="B977" s="57"/>
      <c r="C977" s="57"/>
      <c r="D977" s="57"/>
      <c r="E977" s="57"/>
      <c r="F977" s="57"/>
      <c r="G977" s="57"/>
      <c r="H977" s="65"/>
      <c r="I977" s="65"/>
      <c r="J977" s="65"/>
      <c r="K977" s="65"/>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57"/>
      <c r="AR977" s="57"/>
      <c r="AS977" s="57"/>
      <c r="AT977" s="57"/>
      <c r="AU977" s="57"/>
      <c r="AV977" s="57"/>
      <c r="AW977" s="57"/>
      <c r="AX977" s="57"/>
      <c r="AY977" s="57"/>
      <c r="AZ977" s="57"/>
    </row>
    <row r="978">
      <c r="A978" s="57"/>
      <c r="B978" s="57"/>
      <c r="C978" s="57"/>
      <c r="D978" s="57"/>
      <c r="E978" s="57"/>
      <c r="F978" s="57"/>
      <c r="G978" s="57"/>
      <c r="H978" s="65"/>
      <c r="I978" s="65"/>
      <c r="J978" s="65"/>
      <c r="K978" s="65"/>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57"/>
      <c r="AR978" s="57"/>
      <c r="AS978" s="57"/>
      <c r="AT978" s="57"/>
      <c r="AU978" s="57"/>
      <c r="AV978" s="57"/>
      <c r="AW978" s="57"/>
      <c r="AX978" s="57"/>
      <c r="AY978" s="57"/>
      <c r="AZ978" s="57"/>
    </row>
    <row r="979">
      <c r="A979" s="57"/>
      <c r="B979" s="57"/>
      <c r="C979" s="57"/>
      <c r="D979" s="57"/>
      <c r="E979" s="57"/>
      <c r="F979" s="57"/>
      <c r="G979" s="57"/>
      <c r="H979" s="65"/>
      <c r="I979" s="65"/>
      <c r="J979" s="65"/>
      <c r="K979" s="65"/>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57"/>
      <c r="AR979" s="57"/>
      <c r="AS979" s="57"/>
      <c r="AT979" s="57"/>
      <c r="AU979" s="57"/>
      <c r="AV979" s="57"/>
      <c r="AW979" s="57"/>
      <c r="AX979" s="57"/>
      <c r="AY979" s="57"/>
      <c r="AZ979" s="57"/>
    </row>
    <row r="980">
      <c r="A980" s="57"/>
      <c r="B980" s="57"/>
      <c r="C980" s="57"/>
      <c r="D980" s="57"/>
      <c r="E980" s="57"/>
      <c r="F980" s="57"/>
      <c r="G980" s="57"/>
      <c r="H980" s="65"/>
      <c r="I980" s="65"/>
      <c r="J980" s="65"/>
      <c r="K980" s="65"/>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57"/>
      <c r="AR980" s="57"/>
      <c r="AS980" s="57"/>
      <c r="AT980" s="57"/>
      <c r="AU980" s="57"/>
      <c r="AV980" s="57"/>
      <c r="AW980" s="57"/>
      <c r="AX980" s="57"/>
      <c r="AY980" s="57"/>
      <c r="AZ980" s="57"/>
    </row>
    <row r="981">
      <c r="A981" s="57"/>
      <c r="B981" s="57"/>
      <c r="C981" s="57"/>
      <c r="D981" s="57"/>
      <c r="E981" s="57"/>
      <c r="F981" s="57"/>
      <c r="G981" s="57"/>
      <c r="H981" s="65"/>
      <c r="I981" s="65"/>
      <c r="J981" s="65"/>
      <c r="K981" s="65"/>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57"/>
      <c r="AR981" s="57"/>
      <c r="AS981" s="57"/>
      <c r="AT981" s="57"/>
      <c r="AU981" s="57"/>
      <c r="AV981" s="57"/>
      <c r="AW981" s="57"/>
      <c r="AX981" s="57"/>
      <c r="AY981" s="57"/>
      <c r="AZ981" s="57"/>
    </row>
    <row r="982">
      <c r="A982" s="57"/>
      <c r="B982" s="57"/>
      <c r="C982" s="57"/>
      <c r="D982" s="57"/>
      <c r="E982" s="57"/>
      <c r="F982" s="57"/>
      <c r="G982" s="57"/>
      <c r="H982" s="65"/>
      <c r="I982" s="65"/>
      <c r="J982" s="65"/>
      <c r="K982" s="65"/>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57"/>
      <c r="AR982" s="57"/>
      <c r="AS982" s="57"/>
      <c r="AT982" s="57"/>
      <c r="AU982" s="57"/>
      <c r="AV982" s="57"/>
      <c r="AW982" s="57"/>
      <c r="AX982" s="57"/>
      <c r="AY982" s="57"/>
      <c r="AZ982" s="57"/>
    </row>
    <row r="983">
      <c r="A983" s="57"/>
      <c r="B983" s="57"/>
      <c r="C983" s="57"/>
      <c r="D983" s="57"/>
      <c r="E983" s="57"/>
      <c r="F983" s="57"/>
      <c r="G983" s="57"/>
      <c r="H983" s="65"/>
      <c r="I983" s="65"/>
      <c r="J983" s="65"/>
      <c r="K983" s="65"/>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57"/>
      <c r="AR983" s="57"/>
      <c r="AS983" s="57"/>
      <c r="AT983" s="57"/>
      <c r="AU983" s="57"/>
      <c r="AV983" s="57"/>
      <c r="AW983" s="57"/>
      <c r="AX983" s="57"/>
      <c r="AY983" s="57"/>
      <c r="AZ983" s="57"/>
    </row>
    <row r="984">
      <c r="A984" s="57"/>
      <c r="B984" s="57"/>
      <c r="C984" s="57"/>
      <c r="D984" s="57"/>
      <c r="E984" s="57"/>
      <c r="F984" s="57"/>
      <c r="G984" s="57"/>
      <c r="H984" s="65"/>
      <c r="I984" s="65"/>
      <c r="J984" s="65"/>
      <c r="K984" s="65"/>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57"/>
      <c r="AR984" s="57"/>
      <c r="AS984" s="57"/>
      <c r="AT984" s="57"/>
      <c r="AU984" s="57"/>
      <c r="AV984" s="57"/>
      <c r="AW984" s="57"/>
      <c r="AX984" s="57"/>
      <c r="AY984" s="57"/>
      <c r="AZ984" s="57"/>
    </row>
    <row r="985">
      <c r="A985" s="57"/>
      <c r="B985" s="57"/>
      <c r="C985" s="57"/>
      <c r="D985" s="57"/>
      <c r="E985" s="57"/>
      <c r="F985" s="57"/>
      <c r="G985" s="57"/>
      <c r="H985" s="65"/>
      <c r="I985" s="65"/>
      <c r="J985" s="65"/>
      <c r="K985" s="65"/>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7"/>
      <c r="AR985" s="57"/>
      <c r="AS985" s="57"/>
      <c r="AT985" s="57"/>
      <c r="AU985" s="57"/>
      <c r="AV985" s="57"/>
      <c r="AW985" s="57"/>
      <c r="AX985" s="57"/>
      <c r="AY985" s="57"/>
      <c r="AZ985" s="57"/>
    </row>
    <row r="986">
      <c r="A986" s="57"/>
      <c r="B986" s="57"/>
      <c r="C986" s="57"/>
      <c r="D986" s="57"/>
      <c r="E986" s="57"/>
      <c r="F986" s="57"/>
      <c r="G986" s="57"/>
      <c r="H986" s="65"/>
      <c r="I986" s="65"/>
      <c r="J986" s="65"/>
      <c r="K986" s="65"/>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57"/>
      <c r="AR986" s="57"/>
      <c r="AS986" s="57"/>
      <c r="AT986" s="57"/>
      <c r="AU986" s="57"/>
      <c r="AV986" s="57"/>
      <c r="AW986" s="57"/>
      <c r="AX986" s="57"/>
      <c r="AY986" s="57"/>
      <c r="AZ986" s="57"/>
    </row>
    <row r="987">
      <c r="A987" s="57"/>
      <c r="B987" s="57"/>
      <c r="C987" s="57"/>
      <c r="D987" s="57"/>
      <c r="E987" s="57"/>
      <c r="F987" s="57"/>
      <c r="G987" s="57"/>
      <c r="H987" s="65"/>
      <c r="I987" s="65"/>
      <c r="J987" s="65"/>
      <c r="K987" s="65"/>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57"/>
      <c r="AR987" s="57"/>
      <c r="AS987" s="57"/>
      <c r="AT987" s="57"/>
      <c r="AU987" s="57"/>
      <c r="AV987" s="57"/>
      <c r="AW987" s="57"/>
      <c r="AX987" s="57"/>
      <c r="AY987" s="57"/>
      <c r="AZ987" s="57"/>
    </row>
    <row r="988">
      <c r="A988" s="57"/>
      <c r="B988" s="57"/>
      <c r="C988" s="57"/>
      <c r="D988" s="57"/>
      <c r="E988" s="57"/>
      <c r="F988" s="57"/>
      <c r="G988" s="57"/>
      <c r="H988" s="65"/>
      <c r="I988" s="65"/>
      <c r="J988" s="65"/>
      <c r="K988" s="65"/>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57"/>
      <c r="AR988" s="57"/>
      <c r="AS988" s="57"/>
      <c r="AT988" s="57"/>
      <c r="AU988" s="57"/>
      <c r="AV988" s="57"/>
      <c r="AW988" s="57"/>
      <c r="AX988" s="57"/>
      <c r="AY988" s="57"/>
      <c r="AZ988" s="57"/>
    </row>
    <row r="989">
      <c r="A989" s="57"/>
      <c r="B989" s="57"/>
      <c r="C989" s="57"/>
      <c r="D989" s="57"/>
      <c r="E989" s="57"/>
      <c r="F989" s="57"/>
      <c r="G989" s="57"/>
      <c r="H989" s="65"/>
      <c r="I989" s="65"/>
      <c r="J989" s="65"/>
      <c r="K989" s="65"/>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57"/>
      <c r="AR989" s="57"/>
      <c r="AS989" s="57"/>
      <c r="AT989" s="57"/>
      <c r="AU989" s="57"/>
      <c r="AV989" s="57"/>
      <c r="AW989" s="57"/>
      <c r="AX989" s="57"/>
      <c r="AY989" s="57"/>
      <c r="AZ989" s="57"/>
    </row>
    <row r="990">
      <c r="A990" s="57"/>
      <c r="B990" s="57"/>
      <c r="C990" s="57"/>
      <c r="D990" s="57"/>
      <c r="E990" s="57"/>
      <c r="F990" s="57"/>
      <c r="G990" s="57"/>
      <c r="H990" s="65"/>
      <c r="I990" s="65"/>
      <c r="J990" s="65"/>
      <c r="K990" s="65"/>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57"/>
      <c r="AR990" s="57"/>
      <c r="AS990" s="57"/>
      <c r="AT990" s="57"/>
      <c r="AU990" s="57"/>
      <c r="AV990" s="57"/>
      <c r="AW990" s="57"/>
      <c r="AX990" s="57"/>
      <c r="AY990" s="57"/>
      <c r="AZ990" s="57"/>
    </row>
    <row r="991">
      <c r="A991" s="57"/>
      <c r="B991" s="57"/>
      <c r="C991" s="57"/>
      <c r="D991" s="57"/>
      <c r="E991" s="57"/>
      <c r="F991" s="57"/>
      <c r="G991" s="57"/>
      <c r="H991" s="65"/>
      <c r="I991" s="65"/>
      <c r="J991" s="65"/>
      <c r="K991" s="65"/>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57"/>
      <c r="AR991" s="57"/>
      <c r="AS991" s="57"/>
      <c r="AT991" s="57"/>
      <c r="AU991" s="57"/>
      <c r="AV991" s="57"/>
      <c r="AW991" s="57"/>
      <c r="AX991" s="57"/>
      <c r="AY991" s="57"/>
      <c r="AZ991" s="57"/>
    </row>
    <row r="992">
      <c r="A992" s="57"/>
      <c r="B992" s="57"/>
      <c r="C992" s="57"/>
      <c r="D992" s="57"/>
      <c r="E992" s="57"/>
      <c r="F992" s="57"/>
      <c r="G992" s="57"/>
      <c r="H992" s="65"/>
      <c r="I992" s="65"/>
      <c r="J992" s="65"/>
      <c r="K992" s="65"/>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57"/>
      <c r="AR992" s="57"/>
      <c r="AS992" s="57"/>
      <c r="AT992" s="57"/>
      <c r="AU992" s="57"/>
      <c r="AV992" s="57"/>
      <c r="AW992" s="57"/>
      <c r="AX992" s="57"/>
      <c r="AY992" s="57"/>
      <c r="AZ992" s="57"/>
    </row>
    <row r="993">
      <c r="A993" s="57"/>
      <c r="B993" s="57"/>
      <c r="C993" s="57"/>
      <c r="D993" s="57"/>
      <c r="E993" s="57"/>
      <c r="F993" s="57"/>
      <c r="G993" s="57"/>
      <c r="H993" s="65"/>
      <c r="I993" s="65"/>
      <c r="J993" s="65"/>
      <c r="K993" s="65"/>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57"/>
      <c r="AR993" s="57"/>
      <c r="AS993" s="57"/>
      <c r="AT993" s="57"/>
      <c r="AU993" s="57"/>
      <c r="AV993" s="57"/>
      <c r="AW993" s="57"/>
      <c r="AX993" s="57"/>
      <c r="AY993" s="57"/>
      <c r="AZ993" s="57"/>
    </row>
    <row r="994">
      <c r="A994" s="57"/>
      <c r="B994" s="57"/>
      <c r="C994" s="57"/>
      <c r="D994" s="57"/>
      <c r="E994" s="57"/>
      <c r="F994" s="57"/>
      <c r="G994" s="57"/>
      <c r="H994" s="65"/>
      <c r="I994" s="65"/>
      <c r="J994" s="65"/>
      <c r="K994" s="65"/>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57"/>
      <c r="AR994" s="57"/>
      <c r="AS994" s="57"/>
      <c r="AT994" s="57"/>
      <c r="AU994" s="57"/>
      <c r="AV994" s="57"/>
      <c r="AW994" s="57"/>
      <c r="AX994" s="57"/>
      <c r="AY994" s="57"/>
      <c r="AZ994" s="57"/>
    </row>
    <row r="995">
      <c r="A995" s="57"/>
      <c r="B995" s="57"/>
      <c r="C995" s="57"/>
      <c r="D995" s="57"/>
      <c r="E995" s="57"/>
      <c r="F995" s="57"/>
      <c r="G995" s="57"/>
      <c r="H995" s="65"/>
      <c r="I995" s="65"/>
      <c r="J995" s="65"/>
      <c r="K995" s="65"/>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57"/>
      <c r="AR995" s="57"/>
      <c r="AS995" s="57"/>
      <c r="AT995" s="57"/>
      <c r="AU995" s="57"/>
      <c r="AV995" s="57"/>
      <c r="AW995" s="57"/>
      <c r="AX995" s="57"/>
      <c r="AY995" s="57"/>
      <c r="AZ995" s="57"/>
    </row>
    <row r="996">
      <c r="A996" s="57"/>
      <c r="B996" s="57"/>
      <c r="C996" s="57"/>
      <c r="D996" s="57"/>
      <c r="E996" s="57"/>
      <c r="F996" s="57"/>
      <c r="G996" s="57"/>
      <c r="H996" s="65"/>
      <c r="I996" s="65"/>
      <c r="J996" s="65"/>
      <c r="K996" s="65"/>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57"/>
      <c r="AR996" s="57"/>
      <c r="AS996" s="57"/>
      <c r="AT996" s="57"/>
      <c r="AU996" s="57"/>
      <c r="AV996" s="57"/>
      <c r="AW996" s="57"/>
      <c r="AX996" s="57"/>
      <c r="AY996" s="57"/>
      <c r="AZ996" s="57"/>
    </row>
    <row r="997">
      <c r="A997" s="57"/>
      <c r="B997" s="57"/>
      <c r="C997" s="57"/>
      <c r="D997" s="57"/>
      <c r="E997" s="57"/>
      <c r="F997" s="57"/>
      <c r="G997" s="57"/>
      <c r="H997" s="65"/>
      <c r="I997" s="65"/>
      <c r="J997" s="65"/>
      <c r="K997" s="65"/>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57"/>
      <c r="AR997" s="57"/>
      <c r="AS997" s="57"/>
      <c r="AT997" s="57"/>
      <c r="AU997" s="57"/>
      <c r="AV997" s="57"/>
      <c r="AW997" s="57"/>
      <c r="AX997" s="57"/>
      <c r="AY997" s="57"/>
      <c r="AZ997" s="57"/>
    </row>
    <row r="998">
      <c r="A998" s="57"/>
      <c r="B998" s="57"/>
      <c r="C998" s="57"/>
      <c r="D998" s="57"/>
      <c r="E998" s="57"/>
      <c r="F998" s="57"/>
      <c r="G998" s="57"/>
      <c r="H998" s="65"/>
      <c r="I998" s="65"/>
      <c r="J998" s="65"/>
      <c r="K998" s="65"/>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57"/>
      <c r="AR998" s="57"/>
      <c r="AS998" s="57"/>
      <c r="AT998" s="57"/>
      <c r="AU998" s="57"/>
      <c r="AV998" s="57"/>
      <c r="AW998" s="57"/>
      <c r="AX998" s="57"/>
      <c r="AY998" s="57"/>
      <c r="AZ998" s="57"/>
    </row>
    <row r="999">
      <c r="A999" s="57"/>
      <c r="B999" s="57"/>
      <c r="C999" s="57"/>
      <c r="D999" s="57"/>
      <c r="E999" s="57"/>
      <c r="F999" s="57"/>
      <c r="G999" s="57"/>
      <c r="H999" s="65"/>
      <c r="I999" s="65"/>
      <c r="J999" s="65"/>
      <c r="K999" s="65"/>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57"/>
      <c r="AR999" s="57"/>
      <c r="AS999" s="57"/>
      <c r="AT999" s="57"/>
      <c r="AU999" s="57"/>
      <c r="AV999" s="57"/>
      <c r="AW999" s="57"/>
      <c r="AX999" s="57"/>
      <c r="AY999" s="57"/>
      <c r="AZ999" s="57"/>
    </row>
  </sheetData>
  <hyperlinks>
    <hyperlink r:id="rId2" ref="B1"/>
    <hyperlink r:id="rId3" ref="C1"/>
    <hyperlink r:id="rId4" ref="D1"/>
    <hyperlink r:id="rId5" ref="E1"/>
    <hyperlink r:id="rId6" ref="F1"/>
    <hyperlink r:id="rId7" ref="G1"/>
    <hyperlink r:id="rId8" ref="H1"/>
    <hyperlink r:id="rId9" ref="I1"/>
    <hyperlink r:id="rId10" ref="J1"/>
    <hyperlink r:id="rId11" ref="K1"/>
    <hyperlink r:id="rId12" ref="L1"/>
    <hyperlink r:id="rId13" ref="M1"/>
    <hyperlink r:id="rId14" ref="N1"/>
    <hyperlink r:id="rId15" ref="O1"/>
    <hyperlink r:id="rId16" ref="P1"/>
    <hyperlink r:id="rId17" ref="Q1"/>
    <hyperlink r:id="rId18" ref="R1"/>
    <hyperlink r:id="rId19" ref="S1"/>
    <hyperlink r:id="rId20" ref="T1"/>
    <hyperlink r:id="rId21" ref="U1"/>
    <hyperlink r:id="rId22" location="responses" ref="W1"/>
    <hyperlink r:id="rId23" location="responses" ref="X1"/>
    <hyperlink r:id="rId24" location="responses" ref="Y1"/>
    <hyperlink r:id="rId25" location="responses" ref="Z1"/>
    <hyperlink r:id="rId26" ref="AA1"/>
    <hyperlink r:id="rId27" location="settings" ref="AB1"/>
    <hyperlink r:id="rId28" location="settings" ref="AC1"/>
    <hyperlink r:id="rId29" location="settings" ref="AD1"/>
    <hyperlink r:id="rId30" location="settings" ref="AE1"/>
    <hyperlink r:id="rId31" location="settings" ref="AF1"/>
  </hyperlinks>
  <drawing r:id="rId32"/>
  <legacyDrawing r:id="rId3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36" t="s">
        <v>400</v>
      </c>
      <c r="B1" s="66" t="s">
        <v>419</v>
      </c>
      <c r="C1" s="51" t="s">
        <v>420</v>
      </c>
      <c r="D1" s="51" t="s">
        <v>403</v>
      </c>
      <c r="E1" s="51" t="s">
        <v>404</v>
      </c>
      <c r="F1" s="51" t="s">
        <v>421</v>
      </c>
      <c r="G1" s="51" t="s">
        <v>422</v>
      </c>
      <c r="H1" s="51" t="s">
        <v>423</v>
      </c>
      <c r="I1" s="51" t="s">
        <v>424</v>
      </c>
      <c r="J1" s="51" t="s">
        <v>425</v>
      </c>
      <c r="K1" s="51" t="s">
        <v>426</v>
      </c>
      <c r="L1" s="66" t="s">
        <v>427</v>
      </c>
      <c r="M1" s="51" t="s">
        <v>428</v>
      </c>
      <c r="N1" s="51" t="s">
        <v>429</v>
      </c>
      <c r="O1" s="51" t="s">
        <v>430</v>
      </c>
      <c r="P1" s="67" t="s">
        <v>431</v>
      </c>
      <c r="Q1" s="51" t="s">
        <v>432</v>
      </c>
      <c r="R1" s="51" t="s">
        <v>433</v>
      </c>
      <c r="S1" s="51" t="s">
        <v>434</v>
      </c>
      <c r="T1" s="51" t="s">
        <v>435</v>
      </c>
      <c r="U1" s="51" t="s">
        <v>436</v>
      </c>
      <c r="V1" s="68" t="s">
        <v>416</v>
      </c>
      <c r="W1" s="51" t="s">
        <v>437</v>
      </c>
      <c r="X1" s="51" t="s">
        <v>438</v>
      </c>
      <c r="Y1" s="51" t="s">
        <v>439</v>
      </c>
      <c r="Z1" s="51" t="s">
        <v>440</v>
      </c>
      <c r="AA1" s="51" t="s">
        <v>441</v>
      </c>
      <c r="AB1" s="69" t="s">
        <v>442</v>
      </c>
      <c r="AC1" s="69" t="s">
        <v>443</v>
      </c>
      <c r="AD1" s="69" t="s">
        <v>444</v>
      </c>
      <c r="AE1" s="69" t="s">
        <v>445</v>
      </c>
      <c r="AF1" s="69" t="s">
        <v>446</v>
      </c>
      <c r="AG1" s="68"/>
      <c r="AH1" s="68"/>
      <c r="AI1" s="68"/>
      <c r="AJ1" s="68"/>
      <c r="AK1" s="68"/>
      <c r="AL1" s="68"/>
      <c r="AM1" s="68"/>
      <c r="AN1" s="68"/>
      <c r="AO1" s="68"/>
      <c r="AP1" s="68"/>
      <c r="AQ1" s="38"/>
      <c r="AR1" s="38"/>
      <c r="AS1" s="38"/>
      <c r="AT1" s="38"/>
      <c r="AU1" s="38"/>
    </row>
    <row r="2">
      <c r="A2" s="39" t="s">
        <v>447</v>
      </c>
      <c r="B2" s="70" t="str">
        <f>IFERROR(__xludf.DUMMYFUNCTION("IFERROR(IF(COUNTIF(IMPORTRANGE(""1RTcwEJsI_0aJRebhNwO_H_AoKl9r46k7hWYbtciIyM4"",""Form Responses 1!B:B""),A2)&gt;0,10,),0)"),"")</f>
        <v/>
      </c>
      <c r="C2" s="70" t="str">
        <f>IFERROR(__xludf.DUMMYFUNCTION("IFERROR(VLOOKUP(A2,IMPORTRANGE(""11i8IUhq_U6RRKRV3CBWIKqYed_fMvFgNUHTq1YDJfp8"",""Form Responses 1!B:C""),2,FALSE),)"),"")</f>
        <v/>
      </c>
      <c r="D2" s="70" t="str">
        <f>IFERROR(__xludf.DUMMYFUNCTION("IFERROR(VLOOKUP(A2,IMPORTRANGE(""1StiHxuxrFhYdrq5WLR2JMORicW0TbnJf3J-oTHeMRtM"",""Form Responses 1!B:C""),2,FALSE),)"),"")</f>
        <v/>
      </c>
      <c r="E2" s="70" t="str">
        <f>IFERROR(__xludf.DUMMYFUNCTION("IFERROR(VLOOKUP(A2,IMPORTRANGE(""1QaxxyUjrDq2kgz300C1Bq1tacFk6e-xX218cSXCQUK0"",""Form Responses 1!B:C""),2,FALSE),)"),"")</f>
        <v/>
      </c>
      <c r="F2" s="70" t="str">
        <f>IFERROR(__xludf.DUMMYFUNCTION("IFERROR(VLOOKUP(A2,IMPORTRANGE(""1fn2ECph_y8Uz78DhjLaiXcwgt6kh3oe-0Le36Uw0noE"",""Form Responses 1!B:C""),2,FALSE),)"),"")</f>
        <v/>
      </c>
      <c r="G2" s="39" t="str">
        <f>IFERROR(__xludf.DUMMYFUNCTION("IFERROR(IF(COUNTIF(IMPORTRANGE(""1t6NbzWBtAQKR9pGjBnxm9V-bRaGdRVT_-u2ojrUkYZw"",""Form Responses 1!B:B""),A2)&gt;0,10,),0)"),"")</f>
        <v/>
      </c>
      <c r="H2" s="39" t="str">
        <f>IFERROR(__xludf.DUMMYFUNCTION("IFERROR(VLOOKUP(A2,IMPORTRANGE(""1ytv6MYmm-8DwYEf-PC6L-upnzfG4TJT_K2_Q1BobE6k"",""Form Responses 1!B:C""),2,FALSE),)"),"")</f>
        <v/>
      </c>
      <c r="I2" s="39" t="str">
        <f>IFERROR(__xludf.DUMMYFUNCTION("IFERROR(VLOOKUP(A2,IMPORTRANGE(""1LTj0BC6WXgHo3fEDDSQlGOM1HkEYGTw8epmIdU0RnB4"",""Form Responses 1!B:C""),2,FALSE),)"),"")</f>
        <v/>
      </c>
      <c r="J2" s="39" t="str">
        <f>IFERROR(__xludf.DUMMYFUNCTION("IFERROR(VLOOKUP(A2,IMPORTRANGE(""1lBH5Hghbbsr-XV8ZpAW4SFOyMpQX5vY0tEjkjRAJH48"",""Form Responses 1!B:C""),2,FALSE),)"),"")</f>
        <v/>
      </c>
      <c r="K2" s="39" t="str">
        <f>IFERROR(__xludf.DUMMYFUNCTION("IFERROR(IF(COUNTIF(IMPORTRANGE(""11sIXwmK0co7YC01jkeOYS_Q9btyVErtOm8MrXzqLkm8"",""Form Responses 1!B:B""),A2)&gt;0,10,),0)"),"")</f>
        <v/>
      </c>
      <c r="L2" s="70" t="str">
        <f>IFERROR(__xludf.DUMMYFUNCTION("IFERROR(IF(COUNTIF(IMPORTRANGE(""1csqG5dOxr6mnQQeHuLyfSoVeWZspfrn9T3cQFX5jhi8"",""Form Responses 1!B:B""),A2)&gt;0,10,),0)"),"")</f>
        <v/>
      </c>
      <c r="M2" s="70" t="str">
        <f>IFERROR(__xludf.DUMMYFUNCTION("IFERROR(VLOOKUP(A2,IMPORTRANGE(""1C8QMXhp6CypS1pNA-UXlEADxmI-6nbSN9P4kujkvESI"",""Form Responses 1!B:C""),2,FALSE),)"),"")</f>
        <v/>
      </c>
      <c r="N2" s="70" t="str">
        <f>IFERROR(__xludf.DUMMYFUNCTION("IFERROR(VLOOKUP(A2,IMPORTRANGE(""1e33dV9wgou_u1lnmBtok6Ato-q97II29uUvmeO7Juhw"",""Form Responses 1!B:C""),2,FALSE),)"),"")</f>
        <v/>
      </c>
      <c r="O2" s="70" t="str">
        <f>IFERROR(__xludf.DUMMYFUNCTION("IFERROR(VLOOKUP(A2,IMPORTRANGE(""15TUXUTXgRTcnnjS-jyDta7Ecw7-lv8-wZMGVKaxe8TY"",""Form Responses 1!B:C""),2,FALSE),)"),"")</f>
        <v/>
      </c>
      <c r="P2" s="70" t="str">
        <f>IFERROR(__xludf.DUMMYFUNCTION("IFERROR(IF(COUNTIF(IMPORTRANGE(""1KFxxroaoSLanJBYtWVxeITrgly-aztutk24Q4y14KKU"",""Form Responses 1!B:B""),A2)&gt;0,10,),0)"),"")</f>
        <v/>
      </c>
      <c r="Q2" s="71" t="str">
        <f>IFERROR(__xludf.DUMMYFUNCTION("IFERROR(VLOOKUP(TRIM(A2),IMPORTRANGE(""1WjiLR_MTMxI_IZUKuvPO4Sg2rTSIqBzP3edakSRXbOA"",""Form Responses 1!B:C""),2,0),"""")"),"")</f>
        <v/>
      </c>
      <c r="R2" s="70" t="str">
        <f>IFERROR(__xludf.DUMMYFUNCTION("IFERROR(VLOOKUP(TRIM(A2),IMPORTRANGE(""1Ixzbal5tEbtWhozsFEppQzOYE6ZSrkNXHg_HW5k3Wt4"",""Form Responses 1!B:C""),2,0),"""")"),"")</f>
        <v/>
      </c>
      <c r="S2" s="70" t="str">
        <f>IFERROR(__xludf.DUMMYFUNCTION("IFERROR(VLOOKUP(TRIM(A2),IMPORTRANGE(""1zxjtEKGvVIJPIDqZdnxENwVpPXYa88EihzyI44hcQUo"",""Form Responses 1!B:C""),2,0),"""")"),"")</f>
        <v/>
      </c>
      <c r="T2" s="70" t="str">
        <f>IFERROR(__xludf.DUMMYFUNCTION("IFERROR(VLOOKUP(TRIM(A2),IMPORTRANGE(""1H3cO01obd5zFULYqaT5NAqecZBFFIHeDFn4CeQLZF3w"",""Form Responses 1!B:C""),2,0),"""")"),"")</f>
        <v/>
      </c>
      <c r="U2" s="70" t="str">
        <f>IFERROR(__xludf.DUMMYFUNCTION("IFERROR(VLOOKUP(TRIM(A2),IMPORTRANGE(""1IG9qoa6PeLdDDFzKpW39lxXshN0-M8Z25a_R1EpsYyg"",""Form Responses 1!B:C""),2,0),"""")"),"")</f>
        <v/>
      </c>
      <c r="V2" s="72"/>
      <c r="W2" s="70" t="str">
        <f>IFERROR(__xludf.DUMMYFUNCTION("IFERROR(VLOOKUP(TRIM(A2),IMPORTRANGE(""1JzBbPfIn5kXHe-RuBwssvVRSauekkTw9cwf70DsYix4"",""Form Responses 1!B:C""),2,0),"""")"),"")</f>
        <v/>
      </c>
      <c r="X2" s="70" t="str">
        <f>IFERROR(__xludf.DUMMYFUNCTION("IFERROR(VLOOKUP(TRIM(A2),IMPORTRANGE(""1JbcCdZBzu6Yag8PuyvlbtYmdvUYYQNraxAgoikGBi5w"",""Form Responses 1!B:C""),2,0),"""")"),"")</f>
        <v/>
      </c>
      <c r="Y2" s="70" t="str">
        <f>IFERROR(__xludf.DUMMYFUNCTION("IFERROR(VLOOKUP(TRIM(A2),IMPORTRANGE(""15-YcWQKwT7GXCzNpEoDkSlrruglscDYeQTD3uXec8uQ"",""Form Responses 1!B:C""),2,0),"""")"),"")</f>
        <v/>
      </c>
      <c r="Z2" s="70" t="str">
        <f>IFERROR(__xludf.DUMMYFUNCTION("IFERROR(VLOOKUP(TRIM(A2),IMPORTRANGE(""1X2rXjxJaWCoTCv5SRdgsC_V3cXeEyqXGQY3NvE1KDUk"",""Form Responses 1!B:C""),2,0),"""")"),"")</f>
        <v/>
      </c>
      <c r="AA2" s="70" t="str">
        <f>IFERROR(__xludf.DUMMYFUNCTION("IFERROR(VLOOKUP(TRIM(A2),IMPORTRANGE(""1zEJQnPshpdjcOtCVSP0I8nG2EXKbBMH9BJ8IeNFUEV8"",""Form Responses 1!B:C""),2,0),"""")"),"")</f>
        <v/>
      </c>
      <c r="AB2" s="70" t="str">
        <f>IFERROR(__xludf.DUMMYFUNCTION("IFERROR(VLOOKUP(TRIM(A2),IMPORTRANGE(""1JzBbPfIn5kXHe-RuBwssvVRSauekkTw9cwf70DsYix4"",""Form Responses 1!B:C""),2,0),"""")"),"")</f>
        <v/>
      </c>
      <c r="AC2" s="70" t="str">
        <f>IFERROR(__xludf.DUMMYFUNCTION("IFERROR(VLOOKUP(TRIM(A2),IMPORTRANGE(""1JbcCdZBzu6Yag8PuyvlbtYmdvUYYQNraxAgoikGBi5w"",""Form Responses 1!B:C""),2,0),"""")"),"")</f>
        <v/>
      </c>
      <c r="AD2" s="70" t="str">
        <f>IFERROR(__xludf.DUMMYFUNCTION("IFERROR(VLOOKUP(TRIM(A2),IMPORTRANGE(""15-YcWQKwT7GXCzNpEoDkSlrruglscDYeQTD3uXec8uQ"",""Form Responses 1!B:C""),2,0),"""")"),"")</f>
        <v/>
      </c>
      <c r="AE2" s="70" t="str">
        <f>IFERROR(__xludf.DUMMYFUNCTION("IFERROR(VLOOKUP(TRIM(A2),IMPORTRANGE(""1X2rXjxJaWCoTCv5SRdgsC_V3cXeEyqXGQY3NvE1KDUk"",""Form Responses 1!B:C""),2,0),"""")"),"")</f>
        <v/>
      </c>
      <c r="AF2" s="70" t="str">
        <f>IFERROR(__xludf.DUMMYFUNCTION("IFERROR(VLOOKUP(TRIM(A2),IMPORTRANGE(""1zEJQnPshpdjcOtCVSP0I8nG2EXKbBMH9BJ8IeNFUEV8"",""Form Responses 1!B:C""),2,0),"""")"),"")</f>
        <v/>
      </c>
      <c r="AG2" s="70" t="str">
        <f>IFERROR(__xludf.DUMMYFUNCTION("IMPORTRANGE(""1zEJQnPshpdjcOtCVSP0I8nG2EXKbBMH9BJ8IeNFUEV8"",""Form Responses 1!B:C"")"),"Email Address")</f>
        <v>Email Address</v>
      </c>
      <c r="AH2" s="70" t="str">
        <f>IFERROR(__xludf.DUMMYFUNCTION("""COMPUTED_VALUE"""),"Score")</f>
        <v>Score</v>
      </c>
      <c r="AI2" s="70"/>
      <c r="AJ2" s="70"/>
      <c r="AK2" s="70"/>
      <c r="AL2" s="70"/>
      <c r="AM2" s="70"/>
      <c r="AN2" s="70"/>
      <c r="AO2" s="70"/>
      <c r="AP2" s="70"/>
      <c r="AQ2" s="73"/>
      <c r="AR2" s="70"/>
      <c r="AS2" s="70"/>
      <c r="AT2" s="70"/>
      <c r="AU2" s="70"/>
    </row>
    <row r="3">
      <c r="A3" s="39" t="s">
        <v>254</v>
      </c>
      <c r="B3" s="70">
        <f>IFERROR(__xludf.DUMMYFUNCTION("IFERROR(IF(COUNTIF(IMPORTRANGE(""1RTcwEJsI_0aJRebhNwO_H_AoKl9r46k7hWYbtciIyM4"",""Form Responses 1!B:B""),A3)&gt;0,10,),0)"),10.0)</f>
        <v>10</v>
      </c>
      <c r="C3" s="70">
        <f>IFERROR(__xludf.DUMMYFUNCTION("IFERROR(VLOOKUP(A3,IMPORTRANGE(""11i8IUhq_U6RRKRV3CBWIKqYed_fMvFgNUHTq1YDJfp8"",""Form Responses 1!B:C""),2,FALSE),)"),5.0)</f>
        <v>5</v>
      </c>
      <c r="D3" s="70" t="str">
        <f>IFERROR(__xludf.DUMMYFUNCTION("IFERROR(VLOOKUP(A3,IMPORTRANGE(""1StiHxuxrFhYdrq5WLR2JMORicW0TbnJf3J-oTHeMRtM"",""Form Responses 1!B:C""),2,FALSE),)"),"")</f>
        <v/>
      </c>
      <c r="E3" s="70" t="str">
        <f>IFERROR(__xludf.DUMMYFUNCTION("IFERROR(VLOOKUP(A3,IMPORTRANGE(""1QaxxyUjrDq2kgz300C1Bq1tacFk6e-xX218cSXCQUK0"",""Form Responses 1!B:C""),2,FALSE),)"),"")</f>
        <v/>
      </c>
      <c r="F3" s="70" t="str">
        <f>IFERROR(__xludf.DUMMYFUNCTION("IFERROR(VLOOKUP(A3,IMPORTRANGE(""1fn2ECph_y8Uz78DhjLaiXcwgt6kh3oe-0Le36Uw0noE"",""Form Responses 1!B:C""),2,FALSE),)"),"")</f>
        <v/>
      </c>
      <c r="G3" s="39">
        <f>IFERROR(__xludf.DUMMYFUNCTION("IFERROR(IF(COUNTIF(IMPORTRANGE(""1t6NbzWBtAQKR9pGjBnxm9V-bRaGdRVT_-u2ojrUkYZw"",""Form Responses 1!B:B""),A3)&gt;0,10,),0)"),10.0)</f>
        <v>10</v>
      </c>
      <c r="H3" s="39" t="str">
        <f>IFERROR(__xludf.DUMMYFUNCTION("IFERROR(VLOOKUP(A3,IMPORTRANGE(""1ytv6MYmm-8DwYEf-PC6L-upnzfG4TJT_K2_Q1BobE6k"",""Form Responses 1!B:C""),2,FALSE),)"),"")</f>
        <v/>
      </c>
      <c r="I3" s="39" t="str">
        <f>IFERROR(__xludf.DUMMYFUNCTION("IFERROR(VLOOKUP(A3,IMPORTRANGE(""1LTj0BC6WXgHo3fEDDSQlGOM1HkEYGTw8epmIdU0RnB4"",""Form Responses 1!B:C""),2,FALSE),)"),"")</f>
        <v/>
      </c>
      <c r="J3" s="39" t="str">
        <f>IFERROR(__xludf.DUMMYFUNCTION("IFERROR(VLOOKUP(A3,IMPORTRANGE(""1lBH5Hghbbsr-XV8ZpAW4SFOyMpQX5vY0tEjkjRAJH48"",""Form Responses 1!B:C""),2,FALSE),)"),"")</f>
        <v/>
      </c>
      <c r="K3" s="39" t="str">
        <f>IFERROR(__xludf.DUMMYFUNCTION("IFERROR(IF(COUNTIF(IMPORTRANGE(""11sIXwmK0co7YC01jkeOYS_Q9btyVErtOm8MrXzqLkm8"",""Form Responses 1!B:B""),A3)&gt;0,10,),0)"),"")</f>
        <v/>
      </c>
      <c r="L3" s="70" t="str">
        <f>IFERROR(__xludf.DUMMYFUNCTION("IFERROR(IF(COUNTIF(IMPORTRANGE(""1csqG5dOxr6mnQQeHuLyfSoVeWZspfrn9T3cQFX5jhi8"",""Form Responses 1!B:B""),A3)&gt;0,10,),0)"),"")</f>
        <v/>
      </c>
      <c r="M3" s="70" t="str">
        <f>IFERROR(__xludf.DUMMYFUNCTION("IFERROR(VLOOKUP(A3,IMPORTRANGE(""1C8QMXhp6CypS1pNA-UXlEADxmI-6nbSN9P4kujkvESI"",""Form Responses 1!B:C""),2,FALSE),)"),"")</f>
        <v/>
      </c>
      <c r="N3" s="70" t="str">
        <f>IFERROR(__xludf.DUMMYFUNCTION("IFERROR(VLOOKUP(A3,IMPORTRANGE(""1e33dV9wgou_u1lnmBtok6Ato-q97II29uUvmeO7Juhw"",""Form Responses 1!B:C""),2,FALSE),)"),"")</f>
        <v/>
      </c>
      <c r="O3" s="70" t="str">
        <f>IFERROR(__xludf.DUMMYFUNCTION("IFERROR(VLOOKUP(A3,IMPORTRANGE(""15TUXUTXgRTcnnjS-jyDta7Ecw7-lv8-wZMGVKaxe8TY"",""Form Responses 1!B:C""),2,FALSE),)"),"")</f>
        <v/>
      </c>
      <c r="P3" s="70" t="str">
        <f>IFERROR(__xludf.DUMMYFUNCTION("IFERROR(IF(COUNTIF(IMPORTRANGE(""1KFxxroaoSLanJBYtWVxeITrgly-aztutk24Q4y14KKU"",""Form Responses 1!B:B""),A3)&gt;0,10,),0)"),"")</f>
        <v/>
      </c>
      <c r="Q3" s="71" t="str">
        <f>IFERROR(__xludf.DUMMYFUNCTION("IFERROR(VLOOKUP(TRIM(A3),IMPORTRANGE(""1WjiLR_MTMxI_IZUKuvPO4Sg2rTSIqBzP3edakSRXbOA"",""Form Responses 1!B:C""),2,0),"""")"),"")</f>
        <v/>
      </c>
      <c r="R3" s="70" t="str">
        <f>IFERROR(__xludf.DUMMYFUNCTION("IFERROR(VLOOKUP(TRIM(A3),IMPORTRANGE(""1Ixzbal5tEbtWhozsFEppQzOYE6ZSrkNXHg_HW5k3Wt4"",""Form Responses 1!B:C""),2,0),"""")"),"")</f>
        <v/>
      </c>
      <c r="S3" s="70" t="str">
        <f>IFERROR(__xludf.DUMMYFUNCTION("IFERROR(VLOOKUP(TRIM(A3),IMPORTRANGE(""1zxjtEKGvVIJPIDqZdnxENwVpPXYa88EihzyI44hcQUo"",""Form Responses 1!B:C""),2,0),"""")"),"")</f>
        <v/>
      </c>
      <c r="T3" s="70" t="str">
        <f>IFERROR(__xludf.DUMMYFUNCTION("IFERROR(VLOOKUP(TRIM(A3),IMPORTRANGE(""1H3cO01obd5zFULYqaT5NAqecZBFFIHeDFn4CeQLZF3w"",""Form Responses 1!B:C""),2,0),"""")"),"")</f>
        <v/>
      </c>
      <c r="U3" s="70" t="str">
        <f>IFERROR(__xludf.DUMMYFUNCTION("IFERROR(VLOOKUP(TRIM(A3),IMPORTRANGE(""1IG9qoa6PeLdDDFzKpW39lxXshN0-M8Z25a_R1EpsYyg"",""Form Responses 1!B:C""),2,0),"""")"),"")</f>
        <v/>
      </c>
      <c r="V3" s="74">
        <v>3.0</v>
      </c>
      <c r="W3" s="70">
        <f>IFERROR(__xludf.DUMMYFUNCTION("IFERROR(VLOOKUP(TRIM(A3),IMPORTRANGE(""1JzBbPfIn5kXHe-RuBwssvVRSauekkTw9cwf70DsYix4"",""Form Responses 1!B:C""),2,0),"""")"),9.0)</f>
        <v>9</v>
      </c>
      <c r="X3" s="70">
        <f>IFERROR(__xludf.DUMMYFUNCTION("IFERROR(VLOOKUP(TRIM(A3),IMPORTRANGE(""1JbcCdZBzu6Yag8PuyvlbtYmdvUYYQNraxAgoikGBi5w"",""Form Responses 1!B:C""),2,0),"""")"),16.0)</f>
        <v>16</v>
      </c>
      <c r="Y3" s="70">
        <f>IFERROR(__xludf.DUMMYFUNCTION("IFERROR(VLOOKUP(TRIM(A3),IMPORTRANGE(""15-YcWQKwT7GXCzNpEoDkSlrruglscDYeQTD3uXec8uQ"",""Form Responses 1!B:C""),2,0),"""")"),0.0)</f>
        <v>0</v>
      </c>
      <c r="Z3" s="70" t="str">
        <f>IFERROR(__xludf.DUMMYFUNCTION("IFERROR(VLOOKUP(TRIM(A3),IMPORTRANGE(""1X2rXjxJaWCoTCv5SRdgsC_V3cXeEyqXGQY3NvE1KDUk"",""Form Responses 1!B:C""),2,0),"""")"),"")</f>
        <v/>
      </c>
      <c r="AA3" s="70" t="str">
        <f>IFERROR(__xludf.DUMMYFUNCTION("IFERROR(VLOOKUP(TRIM(A3),IMPORTRANGE(""1zEJQnPshpdjcOtCVSP0I8nG2EXKbBMH9BJ8IeNFUEV8"",""Form Responses 1!B:C""),2,0),"""")"),"")</f>
        <v/>
      </c>
      <c r="AB3" s="70">
        <f>IFERROR(__xludf.DUMMYFUNCTION("IFERROR(VLOOKUP(TRIM(A3),IMPORTRANGE(""1JzBbPfIn5kXHe-RuBwssvVRSauekkTw9cwf70DsYix4"",""Form Responses 1!B:C""),2,0),"""")"),9.0)</f>
        <v>9</v>
      </c>
      <c r="AC3" s="70">
        <f>IFERROR(__xludf.DUMMYFUNCTION("IFERROR(VLOOKUP(TRIM(A3),IMPORTRANGE(""1JbcCdZBzu6Yag8PuyvlbtYmdvUYYQNraxAgoikGBi5w"",""Form Responses 1!B:C""),2,0),"""")"),16.0)</f>
        <v>16</v>
      </c>
      <c r="AD3" s="70">
        <f>IFERROR(__xludf.DUMMYFUNCTION("IFERROR(VLOOKUP(TRIM(A3),IMPORTRANGE(""15-YcWQKwT7GXCzNpEoDkSlrruglscDYeQTD3uXec8uQ"",""Form Responses 1!B:C""),2,0),"""")"),0.0)</f>
        <v>0</v>
      </c>
      <c r="AE3" s="70" t="str">
        <f>IFERROR(__xludf.DUMMYFUNCTION("IFERROR(VLOOKUP(TRIM(A3),IMPORTRANGE(""1X2rXjxJaWCoTCv5SRdgsC_V3cXeEyqXGQY3NvE1KDUk"",""Form Responses 1!B:C""),2,0),"""")"),"")</f>
        <v/>
      </c>
      <c r="AF3" s="70" t="str">
        <f>IFERROR(__xludf.DUMMYFUNCTION("IFERROR(VLOOKUP(TRIM(A3),IMPORTRANGE(""1zEJQnPshpdjcOtCVSP0I8nG2EXKbBMH9BJ8IeNFUEV8"",""Form Responses 1!B:C""),2,0),"""")"),"")</f>
        <v/>
      </c>
      <c r="AG3" s="70" t="str">
        <f>IFERROR(__xludf.DUMMYFUNCTION("""COMPUTED_VALUE"""),"sollal.punch@kairosacademies.org")</f>
        <v>sollal.punch@kairosacademies.org</v>
      </c>
      <c r="AH3" s="75">
        <f>IFERROR(__xludf.DUMMYFUNCTION("""COMPUTED_VALUE"""),17.0)</f>
        <v>17</v>
      </c>
      <c r="AI3" s="70"/>
      <c r="AJ3" s="70"/>
      <c r="AK3" s="70"/>
      <c r="AL3" s="70"/>
      <c r="AM3" s="70"/>
      <c r="AN3" s="70"/>
      <c r="AO3" s="70"/>
      <c r="AP3" s="70"/>
      <c r="AQ3" s="76"/>
      <c r="AR3" s="70"/>
      <c r="AS3" s="70"/>
      <c r="AT3" s="70"/>
      <c r="AU3" s="70"/>
    </row>
    <row r="4">
      <c r="A4" s="39" t="s">
        <v>255</v>
      </c>
      <c r="B4" s="70">
        <f>IFERROR(__xludf.DUMMYFUNCTION("IFERROR(IF(COUNTIF(IMPORTRANGE(""1RTcwEJsI_0aJRebhNwO_H_AoKl9r46k7hWYbtciIyM4"",""Form Responses 1!B:B""),A4)&gt;0,10,),0)"),10.0)</f>
        <v>10</v>
      </c>
      <c r="C4" s="70" t="str">
        <f>IFERROR(__xludf.DUMMYFUNCTION("IFERROR(VLOOKUP(A4,IMPORTRANGE(""11i8IUhq_U6RRKRV3CBWIKqYed_fMvFgNUHTq1YDJfp8"",""Form Responses 1!B:C""),2,FALSE),)"),"")</f>
        <v/>
      </c>
      <c r="D4" s="70" t="str">
        <f>IFERROR(__xludf.DUMMYFUNCTION("IFERROR(VLOOKUP(A4,IMPORTRANGE(""1StiHxuxrFhYdrq5WLR2JMORicW0TbnJf3J-oTHeMRtM"",""Form Responses 1!B:C""),2,FALSE),)"),"")</f>
        <v/>
      </c>
      <c r="E4" s="70" t="str">
        <f>IFERROR(__xludf.DUMMYFUNCTION("IFERROR(VLOOKUP(A4,IMPORTRANGE(""1QaxxyUjrDq2kgz300C1Bq1tacFk6e-xX218cSXCQUK0"",""Form Responses 1!B:C""),2,FALSE),)"),"")</f>
        <v/>
      </c>
      <c r="F4" s="70" t="str">
        <f>IFERROR(__xludf.DUMMYFUNCTION("IFERROR(VLOOKUP(A4,IMPORTRANGE(""1fn2ECph_y8Uz78DhjLaiXcwgt6kh3oe-0Le36Uw0noE"",""Form Responses 1!B:C""),2,FALSE),)"),"")</f>
        <v/>
      </c>
      <c r="G4" s="39" t="str">
        <f>IFERROR(__xludf.DUMMYFUNCTION("IFERROR(IF(COUNTIF(IMPORTRANGE(""1t6NbzWBtAQKR9pGjBnxm9V-bRaGdRVT_-u2ojrUkYZw"",""Form Responses 1!B:B""),A4)&gt;0,10,),0)"),"")</f>
        <v/>
      </c>
      <c r="H4" s="39" t="str">
        <f>IFERROR(__xludf.DUMMYFUNCTION("IFERROR(VLOOKUP(A4,IMPORTRANGE(""1ytv6MYmm-8DwYEf-PC6L-upnzfG4TJT_K2_Q1BobE6k"",""Form Responses 1!B:C""),2,FALSE),)"),"")</f>
        <v/>
      </c>
      <c r="I4" s="39" t="str">
        <f>IFERROR(__xludf.DUMMYFUNCTION("IFERROR(VLOOKUP(A4,IMPORTRANGE(""1LTj0BC6WXgHo3fEDDSQlGOM1HkEYGTw8epmIdU0RnB4"",""Form Responses 1!B:C""),2,FALSE),)"),"")</f>
        <v/>
      </c>
      <c r="J4" s="39" t="str">
        <f>IFERROR(__xludf.DUMMYFUNCTION("IFERROR(VLOOKUP(A4,IMPORTRANGE(""1lBH5Hghbbsr-XV8ZpAW4SFOyMpQX5vY0tEjkjRAJH48"",""Form Responses 1!B:C""),2,FALSE),)"),"")</f>
        <v/>
      </c>
      <c r="K4" s="39" t="str">
        <f>IFERROR(__xludf.DUMMYFUNCTION("IFERROR(IF(COUNTIF(IMPORTRANGE(""11sIXwmK0co7YC01jkeOYS_Q9btyVErtOm8MrXzqLkm8"",""Form Responses 1!B:B""),A4)&gt;0,10,),0)"),"")</f>
        <v/>
      </c>
      <c r="L4" s="70" t="str">
        <f>IFERROR(__xludf.DUMMYFUNCTION("IFERROR(IF(COUNTIF(IMPORTRANGE(""1csqG5dOxr6mnQQeHuLyfSoVeWZspfrn9T3cQFX5jhi8"",""Form Responses 1!B:B""),A4)&gt;0,10,),0)"),"")</f>
        <v/>
      </c>
      <c r="M4" s="70" t="str">
        <f>IFERROR(__xludf.DUMMYFUNCTION("IFERROR(VLOOKUP(A4,IMPORTRANGE(""1C8QMXhp6CypS1pNA-UXlEADxmI-6nbSN9P4kujkvESI"",""Form Responses 1!B:C""),2,FALSE),)"),"")</f>
        <v/>
      </c>
      <c r="N4" s="70" t="str">
        <f>IFERROR(__xludf.DUMMYFUNCTION("IFERROR(VLOOKUP(A4,IMPORTRANGE(""1e33dV9wgou_u1lnmBtok6Ato-q97II29uUvmeO7Juhw"",""Form Responses 1!B:C""),2,FALSE),)"),"")</f>
        <v/>
      </c>
      <c r="O4" s="70" t="str">
        <f>IFERROR(__xludf.DUMMYFUNCTION("IFERROR(VLOOKUP(A4,IMPORTRANGE(""15TUXUTXgRTcnnjS-jyDta7Ecw7-lv8-wZMGVKaxe8TY"",""Form Responses 1!B:C""),2,FALSE),)"),"")</f>
        <v/>
      </c>
      <c r="P4" s="70" t="str">
        <f>IFERROR(__xludf.DUMMYFUNCTION("IFERROR(IF(COUNTIF(IMPORTRANGE(""1KFxxroaoSLanJBYtWVxeITrgly-aztutk24Q4y14KKU"",""Form Responses 1!B:B""),A4)&gt;0,10,),0)"),"")</f>
        <v/>
      </c>
      <c r="Q4" s="71" t="str">
        <f>IFERROR(__xludf.DUMMYFUNCTION("IFERROR(VLOOKUP(TRIM(A4),IMPORTRANGE(""1WjiLR_MTMxI_IZUKuvPO4Sg2rTSIqBzP3edakSRXbOA"",""Form Responses 1!B:C""),2,0),"""")"),"")</f>
        <v/>
      </c>
      <c r="R4" s="70" t="str">
        <f>IFERROR(__xludf.DUMMYFUNCTION("IFERROR(VLOOKUP(TRIM(A4),IMPORTRANGE(""1Ixzbal5tEbtWhozsFEppQzOYE6ZSrkNXHg_HW5k3Wt4"",""Form Responses 1!B:C""),2,0),"""")"),"")</f>
        <v/>
      </c>
      <c r="S4" s="70" t="str">
        <f>IFERROR(__xludf.DUMMYFUNCTION("IFERROR(VLOOKUP(TRIM(A4),IMPORTRANGE(""1zxjtEKGvVIJPIDqZdnxENwVpPXYa88EihzyI44hcQUo"",""Form Responses 1!B:C""),2,0),"""")"),"")</f>
        <v/>
      </c>
      <c r="T4" s="70" t="str">
        <f>IFERROR(__xludf.DUMMYFUNCTION("IFERROR(VLOOKUP(TRIM(A4),IMPORTRANGE(""1H3cO01obd5zFULYqaT5NAqecZBFFIHeDFn4CeQLZF3w"",""Form Responses 1!B:C""),2,0),"""")"),"")</f>
        <v/>
      </c>
      <c r="U4" s="70" t="str">
        <f>IFERROR(__xludf.DUMMYFUNCTION("IFERROR(VLOOKUP(TRIM(A4),IMPORTRANGE(""1IG9qoa6PeLdDDFzKpW39lxXshN0-M8Z25a_R1EpsYyg"",""Form Responses 1!B:C""),2,0),"""")"),"")</f>
        <v/>
      </c>
      <c r="V4" s="72"/>
      <c r="W4" s="70" t="str">
        <f>IFERROR(__xludf.DUMMYFUNCTION("IFERROR(VLOOKUP(TRIM(A4),IMPORTRANGE(""1JzBbPfIn5kXHe-RuBwssvVRSauekkTw9cwf70DsYix4"",""Form Responses 1!B:C""),2,0),"""")"),"")</f>
        <v/>
      </c>
      <c r="X4" s="70" t="str">
        <f>IFERROR(__xludf.DUMMYFUNCTION("IFERROR(VLOOKUP(TRIM(A4),IMPORTRANGE(""1JbcCdZBzu6Yag8PuyvlbtYmdvUYYQNraxAgoikGBi5w"",""Form Responses 1!B:C""),2,0),"""")"),"")</f>
        <v/>
      </c>
      <c r="Y4" s="70" t="str">
        <f>IFERROR(__xludf.DUMMYFUNCTION("IFERROR(VLOOKUP(TRIM(A4),IMPORTRANGE(""15-YcWQKwT7GXCzNpEoDkSlrruglscDYeQTD3uXec8uQ"",""Form Responses 1!B:C""),2,0),"""")"),"")</f>
        <v/>
      </c>
      <c r="Z4" s="70" t="str">
        <f>IFERROR(__xludf.DUMMYFUNCTION("IFERROR(VLOOKUP(TRIM(A4),IMPORTRANGE(""1X2rXjxJaWCoTCv5SRdgsC_V3cXeEyqXGQY3NvE1KDUk"",""Form Responses 1!B:C""),2,0),"""")"),"")</f>
        <v/>
      </c>
      <c r="AA4" s="70" t="str">
        <f>IFERROR(__xludf.DUMMYFUNCTION("IFERROR(VLOOKUP(TRIM(A4),IMPORTRANGE(""1zEJQnPshpdjcOtCVSP0I8nG2EXKbBMH9BJ8IeNFUEV8"",""Form Responses 1!B:C""),2,0),"""")"),"")</f>
        <v/>
      </c>
      <c r="AB4" s="70" t="str">
        <f>IFERROR(__xludf.DUMMYFUNCTION("IFERROR(VLOOKUP(TRIM(A4),IMPORTRANGE(""1JzBbPfIn5kXHe-RuBwssvVRSauekkTw9cwf70DsYix4"",""Form Responses 1!B:C""),2,0),"""")"),"")</f>
        <v/>
      </c>
      <c r="AC4" s="70" t="str">
        <f>IFERROR(__xludf.DUMMYFUNCTION("IFERROR(VLOOKUP(TRIM(A4),IMPORTRANGE(""1JbcCdZBzu6Yag8PuyvlbtYmdvUYYQNraxAgoikGBi5w"",""Form Responses 1!B:C""),2,0),"""")"),"")</f>
        <v/>
      </c>
      <c r="AD4" s="70" t="str">
        <f>IFERROR(__xludf.DUMMYFUNCTION("IFERROR(VLOOKUP(TRIM(A4),IMPORTRANGE(""15-YcWQKwT7GXCzNpEoDkSlrruglscDYeQTD3uXec8uQ"",""Form Responses 1!B:C""),2,0),"""")"),"")</f>
        <v/>
      </c>
      <c r="AE4" s="70" t="str">
        <f>IFERROR(__xludf.DUMMYFUNCTION("IFERROR(VLOOKUP(TRIM(A4),IMPORTRANGE(""1X2rXjxJaWCoTCv5SRdgsC_V3cXeEyqXGQY3NvE1KDUk"",""Form Responses 1!B:C""),2,0),"""")"),"")</f>
        <v/>
      </c>
      <c r="AF4" s="70" t="str">
        <f>IFERROR(__xludf.DUMMYFUNCTION("IFERROR(VLOOKUP(TRIM(A4),IMPORTRANGE(""1zEJQnPshpdjcOtCVSP0I8nG2EXKbBMH9BJ8IeNFUEV8"",""Form Responses 1!B:C""),2,0),"""")"),"")</f>
        <v/>
      </c>
      <c r="AG4" s="70" t="str">
        <f>IFERROR(__xludf.DUMMYFUNCTION("""COMPUTED_VALUE"""),"estrella.hurtado-garcia@kairosacademies.org")</f>
        <v>estrella.hurtado-garcia@kairosacademies.org</v>
      </c>
      <c r="AH4" s="75">
        <f>IFERROR(__xludf.DUMMYFUNCTION("""COMPUTED_VALUE"""),22.0)</f>
        <v>22</v>
      </c>
      <c r="AI4" s="70"/>
      <c r="AJ4" s="70"/>
      <c r="AK4" s="70"/>
      <c r="AL4" s="70"/>
      <c r="AM4" s="70"/>
      <c r="AN4" s="70"/>
      <c r="AO4" s="70"/>
      <c r="AP4" s="70"/>
      <c r="AQ4" s="70"/>
      <c r="AR4" s="70"/>
      <c r="AS4" s="70"/>
      <c r="AT4" s="70"/>
      <c r="AU4" s="70"/>
    </row>
    <row r="5">
      <c r="A5" s="39" t="s">
        <v>256</v>
      </c>
      <c r="B5" s="70">
        <f>IFERROR(__xludf.DUMMYFUNCTION("IFERROR(IF(COUNTIF(IMPORTRANGE(""1RTcwEJsI_0aJRebhNwO_H_AoKl9r46k7hWYbtciIyM4"",""Form Responses 1!B:B""),A5)&gt;0,10,),0)"),10.0)</f>
        <v>10</v>
      </c>
      <c r="C5" s="70" t="str">
        <f>IFERROR(__xludf.DUMMYFUNCTION("IFERROR(VLOOKUP(A5,IMPORTRANGE(""11i8IUhq_U6RRKRV3CBWIKqYed_fMvFgNUHTq1YDJfp8"",""Form Responses 1!B:C""),2,FALSE),)"),"")</f>
        <v/>
      </c>
      <c r="D5" s="70" t="str">
        <f>IFERROR(__xludf.DUMMYFUNCTION("IFERROR(VLOOKUP(A5,IMPORTRANGE(""1StiHxuxrFhYdrq5WLR2JMORicW0TbnJf3J-oTHeMRtM"",""Form Responses 1!B:C""),2,FALSE),)"),"")</f>
        <v/>
      </c>
      <c r="E5" s="70" t="str">
        <f>IFERROR(__xludf.DUMMYFUNCTION("IFERROR(VLOOKUP(A5,IMPORTRANGE(""1QaxxyUjrDq2kgz300C1Bq1tacFk6e-xX218cSXCQUK0"",""Form Responses 1!B:C""),2,FALSE),)"),"")</f>
        <v/>
      </c>
      <c r="F5" s="70" t="str">
        <f>IFERROR(__xludf.DUMMYFUNCTION("IFERROR(VLOOKUP(A5,IMPORTRANGE(""1fn2ECph_y8Uz78DhjLaiXcwgt6kh3oe-0Le36Uw0noE"",""Form Responses 1!B:C""),2,FALSE),)"),"")</f>
        <v/>
      </c>
      <c r="G5" s="39">
        <f>IFERROR(__xludf.DUMMYFUNCTION("IFERROR(IF(COUNTIF(IMPORTRANGE(""1t6NbzWBtAQKR9pGjBnxm9V-bRaGdRVT_-u2ojrUkYZw"",""Form Responses 1!B:B""),A5)&gt;0,10,),0)"),10.0)</f>
        <v>10</v>
      </c>
      <c r="H5" s="39" t="str">
        <f>IFERROR(__xludf.DUMMYFUNCTION("IFERROR(VLOOKUP(A5,IMPORTRANGE(""1ytv6MYmm-8DwYEf-PC6L-upnzfG4TJT_K2_Q1BobE6k"",""Form Responses 1!B:C""),2,FALSE),)"),"")</f>
        <v/>
      </c>
      <c r="I5" s="39" t="str">
        <f>IFERROR(__xludf.DUMMYFUNCTION("IFERROR(VLOOKUP(A5,IMPORTRANGE(""1LTj0BC6WXgHo3fEDDSQlGOM1HkEYGTw8epmIdU0RnB4"",""Form Responses 1!B:C""),2,FALSE),)"),"")</f>
        <v/>
      </c>
      <c r="J5" s="39" t="str">
        <f>IFERROR(__xludf.DUMMYFUNCTION("IFERROR(VLOOKUP(A5,IMPORTRANGE(""1lBH5Hghbbsr-XV8ZpAW4SFOyMpQX5vY0tEjkjRAJH48"",""Form Responses 1!B:C""),2,FALSE),)"),"")</f>
        <v/>
      </c>
      <c r="K5" s="39" t="str">
        <f>IFERROR(__xludf.DUMMYFUNCTION("IFERROR(IF(COUNTIF(IMPORTRANGE(""11sIXwmK0co7YC01jkeOYS_Q9btyVErtOm8MrXzqLkm8"",""Form Responses 1!B:B""),A5)&gt;0,10,),0)"),"")</f>
        <v/>
      </c>
      <c r="L5" s="70" t="str">
        <f>IFERROR(__xludf.DUMMYFUNCTION("IFERROR(IF(COUNTIF(IMPORTRANGE(""1csqG5dOxr6mnQQeHuLyfSoVeWZspfrn9T3cQFX5jhi8"",""Form Responses 1!B:B""),A5)&gt;0,10,),0)"),"")</f>
        <v/>
      </c>
      <c r="M5" s="70" t="str">
        <f>IFERROR(__xludf.DUMMYFUNCTION("IFERROR(VLOOKUP(A5,IMPORTRANGE(""1C8QMXhp6CypS1pNA-UXlEADxmI-6nbSN9P4kujkvESI"",""Form Responses 1!B:C""),2,FALSE),)"),"")</f>
        <v/>
      </c>
      <c r="N5" s="70" t="str">
        <f>IFERROR(__xludf.DUMMYFUNCTION("IFERROR(VLOOKUP(A5,IMPORTRANGE(""1e33dV9wgou_u1lnmBtok6Ato-q97II29uUvmeO7Juhw"",""Form Responses 1!B:C""),2,FALSE),)"),"")</f>
        <v/>
      </c>
      <c r="O5" s="70" t="str">
        <f>IFERROR(__xludf.DUMMYFUNCTION("IFERROR(VLOOKUP(A5,IMPORTRANGE(""15TUXUTXgRTcnnjS-jyDta7Ecw7-lv8-wZMGVKaxe8TY"",""Form Responses 1!B:C""),2,FALSE),)"),"")</f>
        <v/>
      </c>
      <c r="P5" s="70" t="str">
        <f>IFERROR(__xludf.DUMMYFUNCTION("IFERROR(IF(COUNTIF(IMPORTRANGE(""1KFxxroaoSLanJBYtWVxeITrgly-aztutk24Q4y14KKU"",""Form Responses 1!B:B""),A5)&gt;0,10,),0)"),"")</f>
        <v/>
      </c>
      <c r="Q5" s="71" t="str">
        <f>IFERROR(__xludf.DUMMYFUNCTION("IFERROR(VLOOKUP(TRIM(A5),IMPORTRANGE(""1WjiLR_MTMxI_IZUKuvPO4Sg2rTSIqBzP3edakSRXbOA"",""Form Responses 1!B:C""),2,0),"""")"),"")</f>
        <v/>
      </c>
      <c r="R5" s="70" t="str">
        <f>IFERROR(__xludf.DUMMYFUNCTION("IFERROR(VLOOKUP(TRIM(A5),IMPORTRANGE(""1Ixzbal5tEbtWhozsFEppQzOYE6ZSrkNXHg_HW5k3Wt4"",""Form Responses 1!B:C""),2,0),"""")"),"")</f>
        <v/>
      </c>
      <c r="S5" s="70" t="str">
        <f>IFERROR(__xludf.DUMMYFUNCTION("IFERROR(VLOOKUP(TRIM(A5),IMPORTRANGE(""1zxjtEKGvVIJPIDqZdnxENwVpPXYa88EihzyI44hcQUo"",""Form Responses 1!B:C""),2,0),"""")"),"")</f>
        <v/>
      </c>
      <c r="T5" s="70" t="str">
        <f>IFERROR(__xludf.DUMMYFUNCTION("IFERROR(VLOOKUP(TRIM(A5),IMPORTRANGE(""1H3cO01obd5zFULYqaT5NAqecZBFFIHeDFn4CeQLZF3w"",""Form Responses 1!B:C""),2,0),"""")"),"")</f>
        <v/>
      </c>
      <c r="U5" s="70" t="str">
        <f>IFERROR(__xludf.DUMMYFUNCTION("IFERROR(VLOOKUP(TRIM(A5),IMPORTRANGE(""1IG9qoa6PeLdDDFzKpW39lxXshN0-M8Z25a_R1EpsYyg"",""Form Responses 1!B:C""),2,0),"""")"),"")</f>
        <v/>
      </c>
      <c r="V5" s="74">
        <v>10.0</v>
      </c>
      <c r="W5" s="70" t="str">
        <f>IFERROR(__xludf.DUMMYFUNCTION("IFERROR(VLOOKUP(TRIM(A5),IMPORTRANGE(""1JzBbPfIn5kXHe-RuBwssvVRSauekkTw9cwf70DsYix4"",""Form Responses 1!B:C""),2,0),"""")"),"")</f>
        <v/>
      </c>
      <c r="X5" s="70" t="str">
        <f>IFERROR(__xludf.DUMMYFUNCTION("IFERROR(VLOOKUP(TRIM(A5),IMPORTRANGE(""1JbcCdZBzu6Yag8PuyvlbtYmdvUYYQNraxAgoikGBi5w"",""Form Responses 1!B:C""),2,0),"""")"),"")</f>
        <v/>
      </c>
      <c r="Y5" s="70" t="str">
        <f>IFERROR(__xludf.DUMMYFUNCTION("IFERROR(VLOOKUP(TRIM(A5),IMPORTRANGE(""15-YcWQKwT7GXCzNpEoDkSlrruglscDYeQTD3uXec8uQ"",""Form Responses 1!B:C""),2,0),"""")"),"")</f>
        <v/>
      </c>
      <c r="Z5" s="70" t="str">
        <f>IFERROR(__xludf.DUMMYFUNCTION("IFERROR(VLOOKUP(TRIM(A5),IMPORTRANGE(""1X2rXjxJaWCoTCv5SRdgsC_V3cXeEyqXGQY3NvE1KDUk"",""Form Responses 1!B:C""),2,0),"""")"),"")</f>
        <v/>
      </c>
      <c r="AA5" s="70" t="str">
        <f>IFERROR(__xludf.DUMMYFUNCTION("IFERROR(VLOOKUP(TRIM(A5),IMPORTRANGE(""1zEJQnPshpdjcOtCVSP0I8nG2EXKbBMH9BJ8IeNFUEV8"",""Form Responses 1!B:C""),2,0),"""")"),"")</f>
        <v/>
      </c>
      <c r="AB5" s="70" t="str">
        <f>IFERROR(__xludf.DUMMYFUNCTION("IFERROR(VLOOKUP(TRIM(A5),IMPORTRANGE(""1JzBbPfIn5kXHe-RuBwssvVRSauekkTw9cwf70DsYix4"",""Form Responses 1!B:C""),2,0),"""")"),"")</f>
        <v/>
      </c>
      <c r="AC5" s="70" t="str">
        <f>IFERROR(__xludf.DUMMYFUNCTION("IFERROR(VLOOKUP(TRIM(A5),IMPORTRANGE(""1JbcCdZBzu6Yag8PuyvlbtYmdvUYYQNraxAgoikGBi5w"",""Form Responses 1!B:C""),2,0),"""")"),"")</f>
        <v/>
      </c>
      <c r="AD5" s="70" t="str">
        <f>IFERROR(__xludf.DUMMYFUNCTION("IFERROR(VLOOKUP(TRIM(A5),IMPORTRANGE(""15-YcWQKwT7GXCzNpEoDkSlrruglscDYeQTD3uXec8uQ"",""Form Responses 1!B:C""),2,0),"""")"),"")</f>
        <v/>
      </c>
      <c r="AE5" s="70" t="str">
        <f>IFERROR(__xludf.DUMMYFUNCTION("IFERROR(VLOOKUP(TRIM(A5),IMPORTRANGE(""1X2rXjxJaWCoTCv5SRdgsC_V3cXeEyqXGQY3NvE1KDUk"",""Form Responses 1!B:C""),2,0),"""")"),"")</f>
        <v/>
      </c>
      <c r="AF5" s="70" t="str">
        <f>IFERROR(__xludf.DUMMYFUNCTION("IFERROR(VLOOKUP(TRIM(A5),IMPORTRANGE(""1zEJQnPshpdjcOtCVSP0I8nG2EXKbBMH9BJ8IeNFUEV8"",""Form Responses 1!B:C""),2,0),"""")"),"")</f>
        <v/>
      </c>
      <c r="AG5" s="70" t="str">
        <f>IFERROR(__xludf.DUMMYFUNCTION("""COMPUTED_VALUE"""),"jade.howard@kairosacademies.org")</f>
        <v>jade.howard@kairosacademies.org</v>
      </c>
      <c r="AH5" s="75">
        <f>IFERROR(__xludf.DUMMYFUNCTION("""COMPUTED_VALUE"""),15.0)</f>
        <v>15</v>
      </c>
      <c r="AI5" s="70"/>
      <c r="AJ5" s="70"/>
      <c r="AK5" s="70"/>
      <c r="AL5" s="70"/>
      <c r="AM5" s="70"/>
      <c r="AN5" s="70"/>
      <c r="AO5" s="70"/>
      <c r="AP5" s="70"/>
      <c r="AQ5" s="70"/>
      <c r="AR5" s="70"/>
      <c r="AS5" s="70"/>
      <c r="AT5" s="70"/>
      <c r="AU5" s="70"/>
    </row>
    <row r="6">
      <c r="A6" s="39" t="s">
        <v>257</v>
      </c>
      <c r="B6" s="70">
        <f>IFERROR(__xludf.DUMMYFUNCTION("IFERROR(IF(COUNTIF(IMPORTRANGE(""1RTcwEJsI_0aJRebhNwO_H_AoKl9r46k7hWYbtciIyM4"",""Form Responses 1!B:B""),A6)&gt;0,10,),0)"),10.0)</f>
        <v>10</v>
      </c>
      <c r="C6" s="70" t="str">
        <f>IFERROR(__xludf.DUMMYFUNCTION("IFERROR(VLOOKUP(A6,IMPORTRANGE(""11i8IUhq_U6RRKRV3CBWIKqYed_fMvFgNUHTq1YDJfp8"",""Form Responses 1!B:C""),2,FALSE),)"),"")</f>
        <v/>
      </c>
      <c r="D6" s="70" t="str">
        <f>IFERROR(__xludf.DUMMYFUNCTION("IFERROR(VLOOKUP(A6,IMPORTRANGE(""1StiHxuxrFhYdrq5WLR2JMORicW0TbnJf3J-oTHeMRtM"",""Form Responses 1!B:C""),2,FALSE),)"),"")</f>
        <v/>
      </c>
      <c r="E6" s="70" t="str">
        <f>IFERROR(__xludf.DUMMYFUNCTION("IFERROR(VLOOKUP(A6,IMPORTRANGE(""1QaxxyUjrDq2kgz300C1Bq1tacFk6e-xX218cSXCQUK0"",""Form Responses 1!B:C""),2,FALSE),)"),"")</f>
        <v/>
      </c>
      <c r="F6" s="70" t="str">
        <f>IFERROR(__xludf.DUMMYFUNCTION("IFERROR(VLOOKUP(A6,IMPORTRANGE(""1fn2ECph_y8Uz78DhjLaiXcwgt6kh3oe-0Le36Uw0noE"",""Form Responses 1!B:C""),2,FALSE),)"),"")</f>
        <v/>
      </c>
      <c r="G6" s="39" t="str">
        <f>IFERROR(__xludf.DUMMYFUNCTION("IFERROR(IF(COUNTIF(IMPORTRANGE(""1t6NbzWBtAQKR9pGjBnxm9V-bRaGdRVT_-u2ojrUkYZw"",""Form Responses 1!B:B""),A6)&gt;0,10,),0)"),"")</f>
        <v/>
      </c>
      <c r="H6" s="39" t="str">
        <f>IFERROR(__xludf.DUMMYFUNCTION("IFERROR(VLOOKUP(A6,IMPORTRANGE(""1ytv6MYmm-8DwYEf-PC6L-upnzfG4TJT_K2_Q1BobE6k"",""Form Responses 1!B:C""),2,FALSE),)"),"")</f>
        <v/>
      </c>
      <c r="I6" s="39" t="str">
        <f>IFERROR(__xludf.DUMMYFUNCTION("IFERROR(VLOOKUP(A6,IMPORTRANGE(""1LTj0BC6WXgHo3fEDDSQlGOM1HkEYGTw8epmIdU0RnB4"",""Form Responses 1!B:C""),2,FALSE),)"),"")</f>
        <v/>
      </c>
      <c r="J6" s="39" t="str">
        <f>IFERROR(__xludf.DUMMYFUNCTION("IFERROR(VLOOKUP(A6,IMPORTRANGE(""1lBH5Hghbbsr-XV8ZpAW4SFOyMpQX5vY0tEjkjRAJH48"",""Form Responses 1!B:C""),2,FALSE),)"),"")</f>
        <v/>
      </c>
      <c r="K6" s="39" t="str">
        <f>IFERROR(__xludf.DUMMYFUNCTION("IFERROR(IF(COUNTIF(IMPORTRANGE(""11sIXwmK0co7YC01jkeOYS_Q9btyVErtOm8MrXzqLkm8"",""Form Responses 1!B:B""),A6)&gt;0,10,),0)"),"")</f>
        <v/>
      </c>
      <c r="L6" s="70">
        <f>IFERROR(__xludf.DUMMYFUNCTION("IFERROR(IF(COUNTIF(IMPORTRANGE(""1csqG5dOxr6mnQQeHuLyfSoVeWZspfrn9T3cQFX5jhi8"",""Form Responses 1!B:B""),A6)&gt;0,10,),0)"),10.0)</f>
        <v>10</v>
      </c>
      <c r="M6" s="70" t="str">
        <f>IFERROR(__xludf.DUMMYFUNCTION("IFERROR(VLOOKUP(A6,IMPORTRANGE(""1C8QMXhp6CypS1pNA-UXlEADxmI-6nbSN9P4kujkvESI"",""Form Responses 1!B:C""),2,FALSE),)"),"")</f>
        <v/>
      </c>
      <c r="N6" s="70" t="str">
        <f>IFERROR(__xludf.DUMMYFUNCTION("IFERROR(VLOOKUP(A6,IMPORTRANGE(""1e33dV9wgou_u1lnmBtok6Ato-q97II29uUvmeO7Juhw"",""Form Responses 1!B:C""),2,FALSE),)"),"")</f>
        <v/>
      </c>
      <c r="O6" s="70" t="str">
        <f>IFERROR(__xludf.DUMMYFUNCTION("IFERROR(VLOOKUP(A6,IMPORTRANGE(""15TUXUTXgRTcnnjS-jyDta7Ecw7-lv8-wZMGVKaxe8TY"",""Form Responses 1!B:C""),2,FALSE),)"),"")</f>
        <v/>
      </c>
      <c r="P6" s="70" t="str">
        <f>IFERROR(__xludf.DUMMYFUNCTION("IFERROR(IF(COUNTIF(IMPORTRANGE(""1KFxxroaoSLanJBYtWVxeITrgly-aztutk24Q4y14KKU"",""Form Responses 1!B:B""),A6)&gt;0,10,),0)"),"")</f>
        <v/>
      </c>
      <c r="Q6" s="71" t="str">
        <f>IFERROR(__xludf.DUMMYFUNCTION("IFERROR(VLOOKUP(TRIM(A6),IMPORTRANGE(""1WjiLR_MTMxI_IZUKuvPO4Sg2rTSIqBzP3edakSRXbOA"",""Form Responses 1!B:C""),2,0),"""")"),"")</f>
        <v/>
      </c>
      <c r="R6" s="70" t="str">
        <f>IFERROR(__xludf.DUMMYFUNCTION("IFERROR(VLOOKUP(TRIM(A6),IMPORTRANGE(""1Ixzbal5tEbtWhozsFEppQzOYE6ZSrkNXHg_HW5k3Wt4"",""Form Responses 1!B:C""),2,0),"""")"),"")</f>
        <v/>
      </c>
      <c r="S6" s="70" t="str">
        <f>IFERROR(__xludf.DUMMYFUNCTION("IFERROR(VLOOKUP(TRIM(A6),IMPORTRANGE(""1zxjtEKGvVIJPIDqZdnxENwVpPXYa88EihzyI44hcQUo"",""Form Responses 1!B:C""),2,0),"""")"),"")</f>
        <v/>
      </c>
      <c r="T6" s="70" t="str">
        <f>IFERROR(__xludf.DUMMYFUNCTION("IFERROR(VLOOKUP(TRIM(A6),IMPORTRANGE(""1H3cO01obd5zFULYqaT5NAqecZBFFIHeDFn4CeQLZF3w"",""Form Responses 1!B:C""),2,0),"""")"),"")</f>
        <v/>
      </c>
      <c r="U6" s="70" t="str">
        <f>IFERROR(__xludf.DUMMYFUNCTION("IFERROR(VLOOKUP(TRIM(A6),IMPORTRANGE(""1IG9qoa6PeLdDDFzKpW39lxXshN0-M8Z25a_R1EpsYyg"",""Form Responses 1!B:C""),2,0),"""")"),"")</f>
        <v/>
      </c>
      <c r="V6" s="74">
        <v>8.0</v>
      </c>
      <c r="W6" s="70">
        <f>IFERROR(__xludf.DUMMYFUNCTION("IFERROR(VLOOKUP(TRIM(A6),IMPORTRANGE(""1JzBbPfIn5kXHe-RuBwssvVRSauekkTw9cwf70DsYix4"",""Form Responses 1!B:C""),2,0),"""")"),9.0)</f>
        <v>9</v>
      </c>
      <c r="X6" s="70" t="str">
        <f>IFERROR(__xludf.DUMMYFUNCTION("IFERROR(VLOOKUP(TRIM(A6),IMPORTRANGE(""1JbcCdZBzu6Yag8PuyvlbtYmdvUYYQNraxAgoikGBi5w"",""Form Responses 1!B:C""),2,0),"""")"),"")</f>
        <v/>
      </c>
      <c r="Y6" s="70" t="str">
        <f>IFERROR(__xludf.DUMMYFUNCTION("IFERROR(VLOOKUP(TRIM(A6),IMPORTRANGE(""15-YcWQKwT7GXCzNpEoDkSlrruglscDYeQTD3uXec8uQ"",""Form Responses 1!B:C""),2,0),"""")"),"")</f>
        <v/>
      </c>
      <c r="Z6" s="70" t="str">
        <f>IFERROR(__xludf.DUMMYFUNCTION("IFERROR(VLOOKUP(TRIM(A6),IMPORTRANGE(""1X2rXjxJaWCoTCv5SRdgsC_V3cXeEyqXGQY3NvE1KDUk"",""Form Responses 1!B:C""),2,0),"""")"),"")</f>
        <v/>
      </c>
      <c r="AA6" s="70" t="str">
        <f>IFERROR(__xludf.DUMMYFUNCTION("IFERROR(VLOOKUP(TRIM(A6),IMPORTRANGE(""1zEJQnPshpdjcOtCVSP0I8nG2EXKbBMH9BJ8IeNFUEV8"",""Form Responses 1!B:C""),2,0),"""")"),"")</f>
        <v/>
      </c>
      <c r="AB6" s="70">
        <f>IFERROR(__xludf.DUMMYFUNCTION("IFERROR(VLOOKUP(TRIM(A6),IMPORTRANGE(""1JzBbPfIn5kXHe-RuBwssvVRSauekkTw9cwf70DsYix4"",""Form Responses 1!B:C""),2,0),"""")"),9.0)</f>
        <v>9</v>
      </c>
      <c r="AC6" s="70" t="str">
        <f>IFERROR(__xludf.DUMMYFUNCTION("IFERROR(VLOOKUP(TRIM(A6),IMPORTRANGE(""1JbcCdZBzu6Yag8PuyvlbtYmdvUYYQNraxAgoikGBi5w"",""Form Responses 1!B:C""),2,0),"""")"),"")</f>
        <v/>
      </c>
      <c r="AD6" s="70" t="str">
        <f>IFERROR(__xludf.DUMMYFUNCTION("IFERROR(VLOOKUP(TRIM(A6),IMPORTRANGE(""15-YcWQKwT7GXCzNpEoDkSlrruglscDYeQTD3uXec8uQ"",""Form Responses 1!B:C""),2,0),"""")"),"")</f>
        <v/>
      </c>
      <c r="AE6" s="70" t="str">
        <f>IFERROR(__xludf.DUMMYFUNCTION("IFERROR(VLOOKUP(TRIM(A6),IMPORTRANGE(""1X2rXjxJaWCoTCv5SRdgsC_V3cXeEyqXGQY3NvE1KDUk"",""Form Responses 1!B:C""),2,0),"""")"),"")</f>
        <v/>
      </c>
      <c r="AF6" s="70" t="str">
        <f>IFERROR(__xludf.DUMMYFUNCTION("IFERROR(VLOOKUP(TRIM(A6),IMPORTRANGE(""1zEJQnPshpdjcOtCVSP0I8nG2EXKbBMH9BJ8IeNFUEV8"",""Form Responses 1!B:C""),2,0),"""")"),"")</f>
        <v/>
      </c>
      <c r="AG6" s="70" t="str">
        <f>IFERROR(__xludf.DUMMYFUNCTION("""COMPUTED_VALUE"""),"eli.wilcox@kairosacademies.org")</f>
        <v>eli.wilcox@kairosacademies.org</v>
      </c>
      <c r="AH6" s="75">
        <f>IFERROR(__xludf.DUMMYFUNCTION("""COMPUTED_VALUE"""),21.0)</f>
        <v>21</v>
      </c>
      <c r="AI6" s="70"/>
      <c r="AJ6" s="70"/>
      <c r="AK6" s="70"/>
      <c r="AL6" s="70"/>
      <c r="AM6" s="70"/>
      <c r="AN6" s="70"/>
      <c r="AO6" s="70"/>
      <c r="AP6" s="70"/>
      <c r="AQ6" s="70"/>
      <c r="AR6" s="70"/>
      <c r="AS6" s="70"/>
      <c r="AT6" s="70"/>
      <c r="AU6" s="70"/>
    </row>
    <row r="7">
      <c r="A7" s="39" t="s">
        <v>258</v>
      </c>
      <c r="B7" s="70">
        <f>IFERROR(__xludf.DUMMYFUNCTION("IFERROR(IF(COUNTIF(IMPORTRANGE(""1RTcwEJsI_0aJRebhNwO_H_AoKl9r46k7hWYbtciIyM4"",""Form Responses 1!B:B""),A7)&gt;0,10,),0)"),10.0)</f>
        <v>10</v>
      </c>
      <c r="C7" s="70">
        <f>IFERROR(__xludf.DUMMYFUNCTION("IFERROR(VLOOKUP(A7,IMPORTRANGE(""11i8IUhq_U6RRKRV3CBWIKqYed_fMvFgNUHTq1YDJfp8"",""Form Responses 1!B:C""),2,FALSE),)"),5.0)</f>
        <v>5</v>
      </c>
      <c r="D7" s="70">
        <f>IFERROR(__xludf.DUMMYFUNCTION("IFERROR(VLOOKUP(A7,IMPORTRANGE(""1StiHxuxrFhYdrq5WLR2JMORicW0TbnJf3J-oTHeMRtM"",""Form Responses 1!B:C""),2,FALSE),)"),7.0)</f>
        <v>7</v>
      </c>
      <c r="E7" s="70">
        <f>IFERROR(__xludf.DUMMYFUNCTION("IFERROR(VLOOKUP(A7,IMPORTRANGE(""1QaxxyUjrDq2kgz300C1Bq1tacFk6e-xX218cSXCQUK0"",""Form Responses 1!B:C""),2,FALSE),)"),4.0)</f>
        <v>4</v>
      </c>
      <c r="F7" s="70">
        <f>IFERROR(__xludf.DUMMYFUNCTION("IFERROR(VLOOKUP(A7,IMPORTRANGE(""1fn2ECph_y8Uz78DhjLaiXcwgt6kh3oe-0Le36Uw0noE"",""Form Responses 1!B:C""),2,FALSE),)"),4.0)</f>
        <v>4</v>
      </c>
      <c r="G7" s="39">
        <f>IFERROR(__xludf.DUMMYFUNCTION("IFERROR(IF(COUNTIF(IMPORTRANGE(""1t6NbzWBtAQKR9pGjBnxm9V-bRaGdRVT_-u2ojrUkYZw"",""Form Responses 1!B:B""),A7)&gt;0,10,),0)"),10.0)</f>
        <v>10</v>
      </c>
      <c r="H7" s="39">
        <f>IFERROR(__xludf.DUMMYFUNCTION("IFERROR(VLOOKUP(A7,IMPORTRANGE(""1ytv6MYmm-8DwYEf-PC6L-upnzfG4TJT_K2_Q1BobE6k"",""Form Responses 1!B:C""),2,FALSE),)"),11.0)</f>
        <v>11</v>
      </c>
      <c r="I7" s="39">
        <f>IFERROR(__xludf.DUMMYFUNCTION("IFERROR(VLOOKUP(A7,IMPORTRANGE(""1LTj0BC6WXgHo3fEDDSQlGOM1HkEYGTw8epmIdU0RnB4"",""Form Responses 1!B:C""),2,FALSE),)"),10.0)</f>
        <v>10</v>
      </c>
      <c r="J7" s="39">
        <f>IFERROR(__xludf.DUMMYFUNCTION("IFERROR(VLOOKUP(A7,IMPORTRANGE(""1lBH5Hghbbsr-XV8ZpAW4SFOyMpQX5vY0tEjkjRAJH48"",""Form Responses 1!B:C""),2,FALSE),)"),0.0)</f>
        <v>0</v>
      </c>
      <c r="K7" s="39">
        <f>IFERROR(__xludf.DUMMYFUNCTION("IFERROR(IF(COUNTIF(IMPORTRANGE(""11sIXwmK0co7YC01jkeOYS_Q9btyVErtOm8MrXzqLkm8"",""Form Responses 1!B:B""),A7)&gt;0,10,),0)"),10.0)</f>
        <v>10</v>
      </c>
      <c r="L7" s="70">
        <f>IFERROR(__xludf.DUMMYFUNCTION("IFERROR(IF(COUNTIF(IMPORTRANGE(""1csqG5dOxr6mnQQeHuLyfSoVeWZspfrn9T3cQFX5jhi8"",""Form Responses 1!B:B""),A7)&gt;0,10,),0)"),10.0)</f>
        <v>10</v>
      </c>
      <c r="M7" s="70" t="str">
        <f>IFERROR(__xludf.DUMMYFUNCTION("IFERROR(VLOOKUP(A7,IMPORTRANGE(""1C8QMXhp6CypS1pNA-UXlEADxmI-6nbSN9P4kujkvESI"",""Form Responses 1!B:C""),2,FALSE),)"),"")</f>
        <v/>
      </c>
      <c r="N7" s="70" t="str">
        <f>IFERROR(__xludf.DUMMYFUNCTION("IFERROR(VLOOKUP(A7,IMPORTRANGE(""1e33dV9wgou_u1lnmBtok6Ato-q97II29uUvmeO7Juhw"",""Form Responses 1!B:C""),2,FALSE),)"),"")</f>
        <v/>
      </c>
      <c r="O7" s="70" t="str">
        <f>IFERROR(__xludf.DUMMYFUNCTION("IFERROR(VLOOKUP(A7,IMPORTRANGE(""15TUXUTXgRTcnnjS-jyDta7Ecw7-lv8-wZMGVKaxe8TY"",""Form Responses 1!B:C""),2,FALSE),)"),"")</f>
        <v/>
      </c>
      <c r="P7" s="70" t="str">
        <f>IFERROR(__xludf.DUMMYFUNCTION("IFERROR(IF(COUNTIF(IMPORTRANGE(""1KFxxroaoSLanJBYtWVxeITrgly-aztutk24Q4y14KKU"",""Form Responses 1!B:B""),A7)&gt;0,10,),0)"),"")</f>
        <v/>
      </c>
      <c r="Q7" s="71">
        <f>IFERROR(__xludf.DUMMYFUNCTION("IFERROR(VLOOKUP(TRIM(A7),IMPORTRANGE(""1WjiLR_MTMxI_IZUKuvPO4Sg2rTSIqBzP3edakSRXbOA"",""Form Responses 1!B:C""),2,0),"""")"),10.0)</f>
        <v>10</v>
      </c>
      <c r="R7" s="70" t="str">
        <f>IFERROR(__xludf.DUMMYFUNCTION("IFERROR(VLOOKUP(TRIM(A7),IMPORTRANGE(""1Ixzbal5tEbtWhozsFEppQzOYE6ZSrkNXHg_HW5k3Wt4"",""Form Responses 1!B:C""),2,0),"""")"),"")</f>
        <v/>
      </c>
      <c r="S7" s="70" t="str">
        <f>IFERROR(__xludf.DUMMYFUNCTION("IFERROR(VLOOKUP(TRIM(A7),IMPORTRANGE(""1zxjtEKGvVIJPIDqZdnxENwVpPXYa88EihzyI44hcQUo"",""Form Responses 1!B:C""),2,0),"""")"),"")</f>
        <v/>
      </c>
      <c r="T7" s="70" t="str">
        <f>IFERROR(__xludf.DUMMYFUNCTION("IFERROR(VLOOKUP(TRIM(A7),IMPORTRANGE(""1H3cO01obd5zFULYqaT5NAqecZBFFIHeDFn4CeQLZF3w"",""Form Responses 1!B:C""),2,0),"""")"),"")</f>
        <v/>
      </c>
      <c r="U7" s="70" t="str">
        <f>IFERROR(__xludf.DUMMYFUNCTION("IFERROR(VLOOKUP(TRIM(A7),IMPORTRANGE(""1IG9qoa6PeLdDDFzKpW39lxXshN0-M8Z25a_R1EpsYyg"",""Form Responses 1!B:C""),2,0),"""")"),"")</f>
        <v/>
      </c>
      <c r="V7" s="72"/>
      <c r="W7" s="70">
        <f>IFERROR(__xludf.DUMMYFUNCTION("IFERROR(VLOOKUP(TRIM(A7),IMPORTRANGE(""1JzBbPfIn5kXHe-RuBwssvVRSauekkTw9cwf70DsYix4"",""Form Responses 1!B:C""),2,0),"""")"),8.0)</f>
        <v>8</v>
      </c>
      <c r="X7" s="70" t="str">
        <f>IFERROR(__xludf.DUMMYFUNCTION("IFERROR(VLOOKUP(TRIM(A7),IMPORTRANGE(""1JbcCdZBzu6Yag8PuyvlbtYmdvUYYQNraxAgoikGBi5w"",""Form Responses 1!B:C""),2,0),"""")"),"")</f>
        <v/>
      </c>
      <c r="Y7" s="70" t="str">
        <f>IFERROR(__xludf.DUMMYFUNCTION("IFERROR(VLOOKUP(TRIM(A7),IMPORTRANGE(""15-YcWQKwT7GXCzNpEoDkSlrruglscDYeQTD3uXec8uQ"",""Form Responses 1!B:C""),2,0),"""")"),"")</f>
        <v/>
      </c>
      <c r="Z7" s="70" t="str">
        <f>IFERROR(__xludf.DUMMYFUNCTION("IFERROR(VLOOKUP(TRIM(A7),IMPORTRANGE(""1X2rXjxJaWCoTCv5SRdgsC_V3cXeEyqXGQY3NvE1KDUk"",""Form Responses 1!B:C""),2,0),"""")"),"")</f>
        <v/>
      </c>
      <c r="AA7" s="70" t="str">
        <f>IFERROR(__xludf.DUMMYFUNCTION("IFERROR(VLOOKUP(TRIM(A7),IMPORTRANGE(""1zEJQnPshpdjcOtCVSP0I8nG2EXKbBMH9BJ8IeNFUEV8"",""Form Responses 1!B:C""),2,0),"""")"),"")</f>
        <v/>
      </c>
      <c r="AB7" s="70">
        <f>IFERROR(__xludf.DUMMYFUNCTION("IFERROR(VLOOKUP(TRIM(A7),IMPORTRANGE(""1JzBbPfIn5kXHe-RuBwssvVRSauekkTw9cwf70DsYix4"",""Form Responses 1!B:C""),2,0),"""")"),8.0)</f>
        <v>8</v>
      </c>
      <c r="AC7" s="70" t="str">
        <f>IFERROR(__xludf.DUMMYFUNCTION("IFERROR(VLOOKUP(TRIM(A7),IMPORTRANGE(""1JbcCdZBzu6Yag8PuyvlbtYmdvUYYQNraxAgoikGBi5w"",""Form Responses 1!B:C""),2,0),"""")"),"")</f>
        <v/>
      </c>
      <c r="AD7" s="70" t="str">
        <f>IFERROR(__xludf.DUMMYFUNCTION("IFERROR(VLOOKUP(TRIM(A7),IMPORTRANGE(""15-YcWQKwT7GXCzNpEoDkSlrruglscDYeQTD3uXec8uQ"",""Form Responses 1!B:C""),2,0),"""")"),"")</f>
        <v/>
      </c>
      <c r="AE7" s="70" t="str">
        <f>IFERROR(__xludf.DUMMYFUNCTION("IFERROR(VLOOKUP(TRIM(A7),IMPORTRANGE(""1X2rXjxJaWCoTCv5SRdgsC_V3cXeEyqXGQY3NvE1KDUk"",""Form Responses 1!B:C""),2,0),"""")"),"")</f>
        <v/>
      </c>
      <c r="AF7" s="70" t="str">
        <f>IFERROR(__xludf.DUMMYFUNCTION("IFERROR(VLOOKUP(TRIM(A7),IMPORTRANGE(""1zEJQnPshpdjcOtCVSP0I8nG2EXKbBMH9BJ8IeNFUEV8"",""Form Responses 1!B:C""),2,0),"""")"),"")</f>
        <v/>
      </c>
      <c r="AG7" s="70" t="str">
        <f>IFERROR(__xludf.DUMMYFUNCTION("""COMPUTED_VALUE"""),"brandon.reynolds@kairosacademies.org")</f>
        <v>brandon.reynolds@kairosacademies.org</v>
      </c>
      <c r="AH7" s="75">
        <f>IFERROR(__xludf.DUMMYFUNCTION("""COMPUTED_VALUE"""),19.0)</f>
        <v>19</v>
      </c>
      <c r="AI7" s="70"/>
      <c r="AJ7" s="70"/>
      <c r="AK7" s="70"/>
      <c r="AL7" s="70"/>
      <c r="AM7" s="70"/>
      <c r="AN7" s="70"/>
      <c r="AO7" s="70"/>
      <c r="AP7" s="70"/>
      <c r="AQ7" s="70"/>
      <c r="AR7" s="70"/>
      <c r="AS7" s="70"/>
      <c r="AT7" s="70"/>
      <c r="AU7" s="70"/>
    </row>
    <row r="8">
      <c r="A8" s="39" t="s">
        <v>259</v>
      </c>
      <c r="B8" s="70" t="str">
        <f>IFERROR(__xludf.DUMMYFUNCTION("IFERROR(IF(COUNTIF(IMPORTRANGE(""1RTcwEJsI_0aJRebhNwO_H_AoKl9r46k7hWYbtciIyM4"",""Form Responses 1!B:B""),A8)&gt;0,10,),0)"),"")</f>
        <v/>
      </c>
      <c r="C8" s="70" t="str">
        <f>IFERROR(__xludf.DUMMYFUNCTION("IFERROR(VLOOKUP(A8,IMPORTRANGE(""11i8IUhq_U6RRKRV3CBWIKqYed_fMvFgNUHTq1YDJfp8"",""Form Responses 1!B:C""),2,FALSE),)"),"")</f>
        <v/>
      </c>
      <c r="D8" s="70" t="str">
        <f>IFERROR(__xludf.DUMMYFUNCTION("IFERROR(VLOOKUP(A8,IMPORTRANGE(""1StiHxuxrFhYdrq5WLR2JMORicW0TbnJf3J-oTHeMRtM"",""Form Responses 1!B:C""),2,FALSE),)"),"")</f>
        <v/>
      </c>
      <c r="E8" s="70" t="str">
        <f>IFERROR(__xludf.DUMMYFUNCTION("IFERROR(VLOOKUP(A8,IMPORTRANGE(""1QaxxyUjrDq2kgz300C1Bq1tacFk6e-xX218cSXCQUK0"",""Form Responses 1!B:C""),2,FALSE),)"),"")</f>
        <v/>
      </c>
      <c r="F8" s="70" t="str">
        <f>IFERROR(__xludf.DUMMYFUNCTION("IFERROR(VLOOKUP(A8,IMPORTRANGE(""1fn2ECph_y8Uz78DhjLaiXcwgt6kh3oe-0Le36Uw0noE"",""Form Responses 1!B:C""),2,FALSE),)"),"")</f>
        <v/>
      </c>
      <c r="G8" s="39" t="str">
        <f>IFERROR(__xludf.DUMMYFUNCTION("IFERROR(IF(COUNTIF(IMPORTRANGE(""1t6NbzWBtAQKR9pGjBnxm9V-bRaGdRVT_-u2ojrUkYZw"",""Form Responses 1!B:B""),A8)&gt;0,10,),0)"),"")</f>
        <v/>
      </c>
      <c r="H8" s="39" t="str">
        <f>IFERROR(__xludf.DUMMYFUNCTION("IFERROR(VLOOKUP(A8,IMPORTRANGE(""1ytv6MYmm-8DwYEf-PC6L-upnzfG4TJT_K2_Q1BobE6k"",""Form Responses 1!B:C""),2,FALSE),)"),"")</f>
        <v/>
      </c>
      <c r="I8" s="39" t="str">
        <f>IFERROR(__xludf.DUMMYFUNCTION("IFERROR(VLOOKUP(A8,IMPORTRANGE(""1LTj0BC6WXgHo3fEDDSQlGOM1HkEYGTw8epmIdU0RnB4"",""Form Responses 1!B:C""),2,FALSE),)"),"")</f>
        <v/>
      </c>
      <c r="J8" s="39" t="str">
        <f>IFERROR(__xludf.DUMMYFUNCTION("IFERROR(VLOOKUP(A8,IMPORTRANGE(""1lBH5Hghbbsr-XV8ZpAW4SFOyMpQX5vY0tEjkjRAJH48"",""Form Responses 1!B:C""),2,FALSE),)"),"")</f>
        <v/>
      </c>
      <c r="K8" s="39" t="str">
        <f>IFERROR(__xludf.DUMMYFUNCTION("IFERROR(IF(COUNTIF(IMPORTRANGE(""11sIXwmK0co7YC01jkeOYS_Q9btyVErtOm8MrXzqLkm8"",""Form Responses 1!B:B""),A8)&gt;0,10,),0)"),"")</f>
        <v/>
      </c>
      <c r="L8" s="70" t="str">
        <f>IFERROR(__xludf.DUMMYFUNCTION("IFERROR(IF(COUNTIF(IMPORTRANGE(""1csqG5dOxr6mnQQeHuLyfSoVeWZspfrn9T3cQFX5jhi8"",""Form Responses 1!B:B""),A8)&gt;0,10,),0)"),"")</f>
        <v/>
      </c>
      <c r="M8" s="70" t="str">
        <f>IFERROR(__xludf.DUMMYFUNCTION("IFERROR(VLOOKUP(A8,IMPORTRANGE(""1C8QMXhp6CypS1pNA-UXlEADxmI-6nbSN9P4kujkvESI"",""Form Responses 1!B:C""),2,FALSE),)"),"")</f>
        <v/>
      </c>
      <c r="N8" s="70" t="str">
        <f>IFERROR(__xludf.DUMMYFUNCTION("IFERROR(VLOOKUP(A8,IMPORTRANGE(""1e33dV9wgou_u1lnmBtok6Ato-q97II29uUvmeO7Juhw"",""Form Responses 1!B:C""),2,FALSE),)"),"")</f>
        <v/>
      </c>
      <c r="O8" s="70" t="str">
        <f>IFERROR(__xludf.DUMMYFUNCTION("IFERROR(VLOOKUP(A8,IMPORTRANGE(""15TUXUTXgRTcnnjS-jyDta7Ecw7-lv8-wZMGVKaxe8TY"",""Form Responses 1!B:C""),2,FALSE),)"),"")</f>
        <v/>
      </c>
      <c r="P8" s="70" t="str">
        <f>IFERROR(__xludf.DUMMYFUNCTION("IFERROR(IF(COUNTIF(IMPORTRANGE(""1KFxxroaoSLanJBYtWVxeITrgly-aztutk24Q4y14KKU"",""Form Responses 1!B:B""),A8)&gt;0,10,),0)"),"")</f>
        <v/>
      </c>
      <c r="Q8" s="71" t="str">
        <f>IFERROR(__xludf.DUMMYFUNCTION("IFERROR(VLOOKUP(TRIM(A8),IMPORTRANGE(""1WjiLR_MTMxI_IZUKuvPO4Sg2rTSIqBzP3edakSRXbOA"",""Form Responses 1!B:C""),2,0),"""")"),"")</f>
        <v/>
      </c>
      <c r="R8" s="70" t="str">
        <f>IFERROR(__xludf.DUMMYFUNCTION("IFERROR(VLOOKUP(TRIM(A8),IMPORTRANGE(""1Ixzbal5tEbtWhozsFEppQzOYE6ZSrkNXHg_HW5k3Wt4"",""Form Responses 1!B:C""),2,0),"""")"),"")</f>
        <v/>
      </c>
      <c r="S8" s="70" t="str">
        <f>IFERROR(__xludf.DUMMYFUNCTION("IFERROR(VLOOKUP(TRIM(A8),IMPORTRANGE(""1zxjtEKGvVIJPIDqZdnxENwVpPXYa88EihzyI44hcQUo"",""Form Responses 1!B:C""),2,0),"""")"),"")</f>
        <v/>
      </c>
      <c r="T8" s="70" t="str">
        <f>IFERROR(__xludf.DUMMYFUNCTION("IFERROR(VLOOKUP(TRIM(A8),IMPORTRANGE(""1H3cO01obd5zFULYqaT5NAqecZBFFIHeDFn4CeQLZF3w"",""Form Responses 1!B:C""),2,0),"""")"),"")</f>
        <v/>
      </c>
      <c r="U8" s="70" t="str">
        <f>IFERROR(__xludf.DUMMYFUNCTION("IFERROR(VLOOKUP(TRIM(A8),IMPORTRANGE(""1IG9qoa6PeLdDDFzKpW39lxXshN0-M8Z25a_R1EpsYyg"",""Form Responses 1!B:C""),2,0),"""")"),"")</f>
        <v/>
      </c>
      <c r="V8" s="72"/>
      <c r="W8" s="70" t="str">
        <f>IFERROR(__xludf.DUMMYFUNCTION("IFERROR(VLOOKUP(TRIM(A8),IMPORTRANGE(""1JzBbPfIn5kXHe-RuBwssvVRSauekkTw9cwf70DsYix4"",""Form Responses 1!B:C""),2,0),"""")"),"")</f>
        <v/>
      </c>
      <c r="X8" s="70" t="str">
        <f>IFERROR(__xludf.DUMMYFUNCTION("IFERROR(VLOOKUP(TRIM(A8),IMPORTRANGE(""1JbcCdZBzu6Yag8PuyvlbtYmdvUYYQNraxAgoikGBi5w"",""Form Responses 1!B:C""),2,0),"""")"),"")</f>
        <v/>
      </c>
      <c r="Y8" s="70" t="str">
        <f>IFERROR(__xludf.DUMMYFUNCTION("IFERROR(VLOOKUP(TRIM(A8),IMPORTRANGE(""15-YcWQKwT7GXCzNpEoDkSlrruglscDYeQTD3uXec8uQ"",""Form Responses 1!B:C""),2,0),"""")"),"")</f>
        <v/>
      </c>
      <c r="Z8" s="70" t="str">
        <f>IFERROR(__xludf.DUMMYFUNCTION("IFERROR(VLOOKUP(TRIM(A8),IMPORTRANGE(""1X2rXjxJaWCoTCv5SRdgsC_V3cXeEyqXGQY3NvE1KDUk"",""Form Responses 1!B:C""),2,0),"""")"),"")</f>
        <v/>
      </c>
      <c r="AA8" s="70" t="str">
        <f>IFERROR(__xludf.DUMMYFUNCTION("IFERROR(VLOOKUP(TRIM(A8),IMPORTRANGE(""1zEJQnPshpdjcOtCVSP0I8nG2EXKbBMH9BJ8IeNFUEV8"",""Form Responses 1!B:C""),2,0),"""")"),"")</f>
        <v/>
      </c>
      <c r="AB8" s="70" t="str">
        <f>IFERROR(__xludf.DUMMYFUNCTION("IFERROR(VLOOKUP(TRIM(A8),IMPORTRANGE(""1JzBbPfIn5kXHe-RuBwssvVRSauekkTw9cwf70DsYix4"",""Form Responses 1!B:C""),2,0),"""")"),"")</f>
        <v/>
      </c>
      <c r="AC8" s="70" t="str">
        <f>IFERROR(__xludf.DUMMYFUNCTION("IFERROR(VLOOKUP(TRIM(A8),IMPORTRANGE(""1JbcCdZBzu6Yag8PuyvlbtYmdvUYYQNraxAgoikGBi5w"",""Form Responses 1!B:C""),2,0),"""")"),"")</f>
        <v/>
      </c>
      <c r="AD8" s="70" t="str">
        <f>IFERROR(__xludf.DUMMYFUNCTION("IFERROR(VLOOKUP(TRIM(A8),IMPORTRANGE(""15-YcWQKwT7GXCzNpEoDkSlrruglscDYeQTD3uXec8uQ"",""Form Responses 1!B:C""),2,0),"""")"),"")</f>
        <v/>
      </c>
      <c r="AE8" s="70" t="str">
        <f>IFERROR(__xludf.DUMMYFUNCTION("IFERROR(VLOOKUP(TRIM(A8),IMPORTRANGE(""1X2rXjxJaWCoTCv5SRdgsC_V3cXeEyqXGQY3NvE1KDUk"",""Form Responses 1!B:C""),2,0),"""")"),"")</f>
        <v/>
      </c>
      <c r="AF8" s="70" t="str">
        <f>IFERROR(__xludf.DUMMYFUNCTION("IFERROR(VLOOKUP(TRIM(A8),IMPORTRANGE(""1zEJQnPshpdjcOtCVSP0I8nG2EXKbBMH9BJ8IeNFUEV8"",""Form Responses 1!B:C""),2,0),"""")"),"")</f>
        <v/>
      </c>
      <c r="AG8" s="70" t="str">
        <f>IFERROR(__xludf.DUMMYFUNCTION("""COMPUTED_VALUE"""),"sariah.sanders@kairosacademies.org")</f>
        <v>sariah.sanders@kairosacademies.org</v>
      </c>
      <c r="AH8" s="75">
        <f>IFERROR(__xludf.DUMMYFUNCTION("""COMPUTED_VALUE"""),16.0)</f>
        <v>16</v>
      </c>
      <c r="AI8" s="70"/>
      <c r="AJ8" s="70"/>
      <c r="AK8" s="70"/>
      <c r="AL8" s="70"/>
      <c r="AM8" s="70"/>
      <c r="AN8" s="70"/>
      <c r="AO8" s="70"/>
      <c r="AP8" s="70"/>
      <c r="AQ8" s="70"/>
      <c r="AR8" s="70"/>
      <c r="AS8" s="70"/>
      <c r="AT8" s="70"/>
      <c r="AU8" s="70"/>
    </row>
    <row r="9">
      <c r="A9" s="39" t="s">
        <v>260</v>
      </c>
      <c r="B9" s="70">
        <f>IFERROR(__xludf.DUMMYFUNCTION("IFERROR(IF(COUNTIF(IMPORTRANGE(""1RTcwEJsI_0aJRebhNwO_H_AoKl9r46k7hWYbtciIyM4"",""Form Responses 1!B:B""),A9)&gt;0,10,),0)"),10.0)</f>
        <v>10</v>
      </c>
      <c r="C9" s="70">
        <f>IFERROR(__xludf.DUMMYFUNCTION("IFERROR(VLOOKUP(A9,IMPORTRANGE(""11i8IUhq_U6RRKRV3CBWIKqYed_fMvFgNUHTq1YDJfp8"",""Form Responses 1!B:C""),2,FALSE),)"),7.0)</f>
        <v>7</v>
      </c>
      <c r="D9" s="70">
        <f>IFERROR(__xludf.DUMMYFUNCTION("IFERROR(VLOOKUP(A9,IMPORTRANGE(""1StiHxuxrFhYdrq5WLR2JMORicW0TbnJf3J-oTHeMRtM"",""Form Responses 1!B:C""),2,FALSE),)"),0.0)</f>
        <v>0</v>
      </c>
      <c r="E9" s="70">
        <f>IFERROR(__xludf.DUMMYFUNCTION("IFERROR(VLOOKUP(A9,IMPORTRANGE(""1QaxxyUjrDq2kgz300C1Bq1tacFk6e-xX218cSXCQUK0"",""Form Responses 1!B:C""),2,FALSE),)"),4.0)</f>
        <v>4</v>
      </c>
      <c r="F9" s="70">
        <f>IFERROR(__xludf.DUMMYFUNCTION("IFERROR(VLOOKUP(A9,IMPORTRANGE(""1fn2ECph_y8Uz78DhjLaiXcwgt6kh3oe-0Le36Uw0noE"",""Form Responses 1!B:C""),2,FALSE),)"),4.0)</f>
        <v>4</v>
      </c>
      <c r="G9" s="39">
        <f>IFERROR(__xludf.DUMMYFUNCTION("IFERROR(IF(COUNTIF(IMPORTRANGE(""1t6NbzWBtAQKR9pGjBnxm9V-bRaGdRVT_-u2ojrUkYZw"",""Form Responses 1!B:B""),A9)&gt;0,10,),0)"),10.0)</f>
        <v>10</v>
      </c>
      <c r="H9" s="39">
        <f>IFERROR(__xludf.DUMMYFUNCTION("IFERROR(VLOOKUP(A9,IMPORTRANGE(""1ytv6MYmm-8DwYEf-PC6L-upnzfG4TJT_K2_Q1BobE6k"",""Form Responses 1!B:C""),2,FALSE),)"),11.0)</f>
        <v>11</v>
      </c>
      <c r="I9" s="39">
        <f>IFERROR(__xludf.DUMMYFUNCTION("IFERROR(VLOOKUP(A9,IMPORTRANGE(""1LTj0BC6WXgHo3fEDDSQlGOM1HkEYGTw8epmIdU0RnB4"",""Form Responses 1!B:C""),2,FALSE),)"),10.0)</f>
        <v>10</v>
      </c>
      <c r="J9" s="39">
        <f>IFERROR(__xludf.DUMMYFUNCTION("IFERROR(VLOOKUP(A9,IMPORTRANGE(""1lBH5Hghbbsr-XV8ZpAW4SFOyMpQX5vY0tEjkjRAJH48"",""Form Responses 1!B:C""),2,FALSE),)"),0.0)</f>
        <v>0</v>
      </c>
      <c r="K9" s="39">
        <f>IFERROR(__xludf.DUMMYFUNCTION("IFERROR(IF(COUNTIF(IMPORTRANGE(""11sIXwmK0co7YC01jkeOYS_Q9btyVErtOm8MrXzqLkm8"",""Form Responses 1!B:B""),A9)&gt;0,10,),0)"),10.0)</f>
        <v>10</v>
      </c>
      <c r="L9" s="70">
        <f>IFERROR(__xludf.DUMMYFUNCTION("IFERROR(IF(COUNTIF(IMPORTRANGE(""1csqG5dOxr6mnQQeHuLyfSoVeWZspfrn9T3cQFX5jhi8"",""Form Responses 1!B:B""),A9)&gt;0,10,),0)"),10.0)</f>
        <v>10</v>
      </c>
      <c r="M9" s="70">
        <f>IFERROR(__xludf.DUMMYFUNCTION("IFERROR(VLOOKUP(A9,IMPORTRANGE(""1C8QMXhp6CypS1pNA-UXlEADxmI-6nbSN9P4kujkvESI"",""Form Responses 1!B:C""),2,FALSE),)"),21.0)</f>
        <v>21</v>
      </c>
      <c r="N9" s="70">
        <f>IFERROR(__xludf.DUMMYFUNCTION("IFERROR(VLOOKUP(A9,IMPORTRANGE(""1e33dV9wgou_u1lnmBtok6Ato-q97II29uUvmeO7Juhw"",""Form Responses 1!B:C""),2,FALSE),)"),13.0)</f>
        <v>13</v>
      </c>
      <c r="O9" s="70">
        <f>IFERROR(__xludf.DUMMYFUNCTION("IFERROR(VLOOKUP(A9,IMPORTRANGE(""15TUXUTXgRTcnnjS-jyDta7Ecw7-lv8-wZMGVKaxe8TY"",""Form Responses 1!B:C""),2,FALSE),)"),18.0)</f>
        <v>18</v>
      </c>
      <c r="P9" s="70">
        <f>IFERROR(__xludf.DUMMYFUNCTION("IFERROR(IF(COUNTIF(IMPORTRANGE(""1KFxxroaoSLanJBYtWVxeITrgly-aztutk24Q4y14KKU"",""Form Responses 1!B:B""),A9)&gt;0,10,),0)"),10.0)</f>
        <v>10</v>
      </c>
      <c r="Q9" s="71">
        <f>IFERROR(__xludf.DUMMYFUNCTION("IFERROR(VLOOKUP(TRIM(A9),IMPORTRANGE(""1WjiLR_MTMxI_IZUKuvPO4Sg2rTSIqBzP3edakSRXbOA"",""Form Responses 1!B:C""),2,0),"""")"),6.0)</f>
        <v>6</v>
      </c>
      <c r="R9" s="70">
        <f>IFERROR(__xludf.DUMMYFUNCTION("IFERROR(VLOOKUP(TRIM(A9),IMPORTRANGE(""1Ixzbal5tEbtWhozsFEppQzOYE6ZSrkNXHg_HW5k3Wt4"",""Form Responses 1!B:C""),2,0),"""")"),9.0)</f>
        <v>9</v>
      </c>
      <c r="S9" s="70">
        <f>IFERROR(__xludf.DUMMYFUNCTION("IFERROR(VLOOKUP(TRIM(A9),IMPORTRANGE(""1zxjtEKGvVIJPIDqZdnxENwVpPXYa88EihzyI44hcQUo"",""Form Responses 1!B:C""),2,0),"""")"),7.0)</f>
        <v>7</v>
      </c>
      <c r="T9" s="70">
        <f>IFERROR(__xludf.DUMMYFUNCTION("IFERROR(VLOOKUP(TRIM(A9),IMPORTRANGE(""1H3cO01obd5zFULYqaT5NAqecZBFFIHeDFn4CeQLZF3w"",""Form Responses 1!B:C""),2,0),"""")"),0.0)</f>
        <v>0</v>
      </c>
      <c r="U9" s="70">
        <f>IFERROR(__xludf.DUMMYFUNCTION("IFERROR(VLOOKUP(TRIM(A9),IMPORTRANGE(""1IG9qoa6PeLdDDFzKpW39lxXshN0-M8Z25a_R1EpsYyg"",""Form Responses 1!B:C""),2,0),"""")"),2.0)</f>
        <v>2</v>
      </c>
      <c r="V9" s="74">
        <v>30.0</v>
      </c>
      <c r="W9" s="70">
        <f>IFERROR(__xludf.DUMMYFUNCTION("IFERROR(VLOOKUP(TRIM(A9),IMPORTRANGE(""1JzBbPfIn5kXHe-RuBwssvVRSauekkTw9cwf70DsYix4"",""Form Responses 1!B:C""),2,0),"""")"),9.0)</f>
        <v>9</v>
      </c>
      <c r="X9" s="70">
        <f>IFERROR(__xludf.DUMMYFUNCTION("IFERROR(VLOOKUP(TRIM(A9),IMPORTRANGE(""1JbcCdZBzu6Yag8PuyvlbtYmdvUYYQNraxAgoikGBi5w"",""Form Responses 1!B:C""),2,0),"""")"),16.0)</f>
        <v>16</v>
      </c>
      <c r="Y9" s="70">
        <f>IFERROR(__xludf.DUMMYFUNCTION("IFERROR(VLOOKUP(TRIM(A9),IMPORTRANGE(""15-YcWQKwT7GXCzNpEoDkSlrruglscDYeQTD3uXec8uQ"",""Form Responses 1!B:C""),2,0),"""")"),17.0)</f>
        <v>17</v>
      </c>
      <c r="Z9" s="70">
        <f>IFERROR(__xludf.DUMMYFUNCTION("IFERROR(VLOOKUP(TRIM(A9),IMPORTRANGE(""1X2rXjxJaWCoTCv5SRdgsC_V3cXeEyqXGQY3NvE1KDUk"",""Form Responses 1!B:C""),2,0),"""")"),20.0)</f>
        <v>20</v>
      </c>
      <c r="AA9" s="70">
        <f>IFERROR(__xludf.DUMMYFUNCTION("IFERROR(VLOOKUP(TRIM(A9),IMPORTRANGE(""1zEJQnPshpdjcOtCVSP0I8nG2EXKbBMH9BJ8IeNFUEV8"",""Form Responses 1!B:C""),2,0),"""")"),17.0)</f>
        <v>17</v>
      </c>
      <c r="AB9" s="70">
        <f>IFERROR(__xludf.DUMMYFUNCTION("IFERROR(VLOOKUP(TRIM(A9),IMPORTRANGE(""1JzBbPfIn5kXHe-RuBwssvVRSauekkTw9cwf70DsYix4"",""Form Responses 1!B:C""),2,0),"""")"),9.0)</f>
        <v>9</v>
      </c>
      <c r="AC9" s="70">
        <f>IFERROR(__xludf.DUMMYFUNCTION("IFERROR(VLOOKUP(TRIM(A9),IMPORTRANGE(""1JbcCdZBzu6Yag8PuyvlbtYmdvUYYQNraxAgoikGBi5w"",""Form Responses 1!B:C""),2,0),"""")"),16.0)</f>
        <v>16</v>
      </c>
      <c r="AD9" s="70">
        <f>IFERROR(__xludf.DUMMYFUNCTION("IFERROR(VLOOKUP(TRIM(A9),IMPORTRANGE(""15-YcWQKwT7GXCzNpEoDkSlrruglscDYeQTD3uXec8uQ"",""Form Responses 1!B:C""),2,0),"""")"),17.0)</f>
        <v>17</v>
      </c>
      <c r="AE9" s="70">
        <f>IFERROR(__xludf.DUMMYFUNCTION("IFERROR(VLOOKUP(TRIM(A9),IMPORTRANGE(""1X2rXjxJaWCoTCv5SRdgsC_V3cXeEyqXGQY3NvE1KDUk"",""Form Responses 1!B:C""),2,0),"""")"),20.0)</f>
        <v>20</v>
      </c>
      <c r="AF9" s="70">
        <f>IFERROR(__xludf.DUMMYFUNCTION("IFERROR(VLOOKUP(TRIM(A9),IMPORTRANGE(""1zEJQnPshpdjcOtCVSP0I8nG2EXKbBMH9BJ8IeNFUEV8"",""Form Responses 1!B:C""),2,0),"""")"),17.0)</f>
        <v>17</v>
      </c>
      <c r="AG9" s="70" t="str">
        <f>IFERROR(__xludf.DUMMYFUNCTION("""COMPUTED_VALUE"""),"mikhail.foster@kairosacademies.org")</f>
        <v>mikhail.foster@kairosacademies.org</v>
      </c>
      <c r="AH9" s="75">
        <f>IFERROR(__xludf.DUMMYFUNCTION("""COMPUTED_VALUE"""),16.0)</f>
        <v>16</v>
      </c>
      <c r="AI9" s="70"/>
      <c r="AJ9" s="70"/>
      <c r="AK9" s="70"/>
      <c r="AL9" s="70"/>
      <c r="AM9" s="70"/>
      <c r="AN9" s="70"/>
      <c r="AO9" s="70"/>
      <c r="AP9" s="70"/>
      <c r="AQ9" s="70"/>
      <c r="AR9" s="70"/>
      <c r="AS9" s="70"/>
      <c r="AT9" s="70"/>
      <c r="AU9" s="70"/>
    </row>
    <row r="10">
      <c r="A10" s="39" t="s">
        <v>261</v>
      </c>
      <c r="B10" s="70">
        <f>IFERROR(__xludf.DUMMYFUNCTION("IFERROR(IF(COUNTIF(IMPORTRANGE(""1RTcwEJsI_0aJRebhNwO_H_AoKl9r46k7hWYbtciIyM4"",""Form Responses 1!B:B""),A10)&gt;0,10,),0)"),10.0)</f>
        <v>10</v>
      </c>
      <c r="C10" s="70" t="str">
        <f>IFERROR(__xludf.DUMMYFUNCTION("IFERROR(VLOOKUP(A10,IMPORTRANGE(""11i8IUhq_U6RRKRV3CBWIKqYed_fMvFgNUHTq1YDJfp8"",""Form Responses 1!B:C""),2,FALSE),)"),"")</f>
        <v/>
      </c>
      <c r="D10" s="70" t="str">
        <f>IFERROR(__xludf.DUMMYFUNCTION("IFERROR(VLOOKUP(A10,IMPORTRANGE(""1StiHxuxrFhYdrq5WLR2JMORicW0TbnJf3J-oTHeMRtM"",""Form Responses 1!B:C""),2,FALSE),)"),"")</f>
        <v/>
      </c>
      <c r="E10" s="70" t="str">
        <f>IFERROR(__xludf.DUMMYFUNCTION("IFERROR(VLOOKUP(A10,IMPORTRANGE(""1QaxxyUjrDq2kgz300C1Bq1tacFk6e-xX218cSXCQUK0"",""Form Responses 1!B:C""),2,FALSE),)"),"")</f>
        <v/>
      </c>
      <c r="F10" s="70" t="str">
        <f>IFERROR(__xludf.DUMMYFUNCTION("IFERROR(VLOOKUP(A10,IMPORTRANGE(""1fn2ECph_y8Uz78DhjLaiXcwgt6kh3oe-0Le36Uw0noE"",""Form Responses 1!B:C""),2,FALSE),)"),"")</f>
        <v/>
      </c>
      <c r="G10" s="39">
        <f>IFERROR(__xludf.DUMMYFUNCTION("IFERROR(IF(COUNTIF(IMPORTRANGE(""1t6NbzWBtAQKR9pGjBnxm9V-bRaGdRVT_-u2ojrUkYZw"",""Form Responses 1!B:B""),A10)&gt;0,10,),0)"),10.0)</f>
        <v>10</v>
      </c>
      <c r="H10" s="39" t="str">
        <f>IFERROR(__xludf.DUMMYFUNCTION("IFERROR(VLOOKUP(A10,IMPORTRANGE(""1ytv6MYmm-8DwYEf-PC6L-upnzfG4TJT_K2_Q1BobE6k"",""Form Responses 1!B:C""),2,FALSE),)"),"")</f>
        <v/>
      </c>
      <c r="I10" s="39" t="str">
        <f>IFERROR(__xludf.DUMMYFUNCTION("IFERROR(VLOOKUP(A10,IMPORTRANGE(""1LTj0BC6WXgHo3fEDDSQlGOM1HkEYGTw8epmIdU0RnB4"",""Form Responses 1!B:C""),2,FALSE),)"),"")</f>
        <v/>
      </c>
      <c r="J10" s="39" t="str">
        <f>IFERROR(__xludf.DUMMYFUNCTION("IFERROR(VLOOKUP(A10,IMPORTRANGE(""1lBH5Hghbbsr-XV8ZpAW4SFOyMpQX5vY0tEjkjRAJH48"",""Form Responses 1!B:C""),2,FALSE),)"),"")</f>
        <v/>
      </c>
      <c r="K10" s="39" t="str">
        <f>IFERROR(__xludf.DUMMYFUNCTION("IFERROR(IF(COUNTIF(IMPORTRANGE(""11sIXwmK0co7YC01jkeOYS_Q9btyVErtOm8MrXzqLkm8"",""Form Responses 1!B:B""),A10)&gt;0,10,),0)"),"")</f>
        <v/>
      </c>
      <c r="L10" s="70">
        <f>IFERROR(__xludf.DUMMYFUNCTION("IFERROR(IF(COUNTIF(IMPORTRANGE(""1csqG5dOxr6mnQQeHuLyfSoVeWZspfrn9T3cQFX5jhi8"",""Form Responses 1!B:B""),A10)&gt;0,10,),0)"),10.0)</f>
        <v>10</v>
      </c>
      <c r="M10" s="70">
        <f>IFERROR(__xludf.DUMMYFUNCTION("IFERROR(VLOOKUP(A10,IMPORTRANGE(""1C8QMXhp6CypS1pNA-UXlEADxmI-6nbSN9P4kujkvESI"",""Form Responses 1!B:C""),2,FALSE),)"),0.0)</f>
        <v>0</v>
      </c>
      <c r="N10" s="70" t="str">
        <f>IFERROR(__xludf.DUMMYFUNCTION("IFERROR(VLOOKUP(A10,IMPORTRANGE(""1e33dV9wgou_u1lnmBtok6Ato-q97II29uUvmeO7Juhw"",""Form Responses 1!B:C""),2,FALSE),)"),"")</f>
        <v/>
      </c>
      <c r="O10" s="70" t="str">
        <f>IFERROR(__xludf.DUMMYFUNCTION("IFERROR(VLOOKUP(A10,IMPORTRANGE(""15TUXUTXgRTcnnjS-jyDta7Ecw7-lv8-wZMGVKaxe8TY"",""Form Responses 1!B:C""),2,FALSE),)"),"")</f>
        <v/>
      </c>
      <c r="P10" s="70" t="str">
        <f>IFERROR(__xludf.DUMMYFUNCTION("IFERROR(IF(COUNTIF(IMPORTRANGE(""1KFxxroaoSLanJBYtWVxeITrgly-aztutk24Q4y14KKU"",""Form Responses 1!B:B""),A10)&gt;0,10,),0)"),"")</f>
        <v/>
      </c>
      <c r="Q10" s="71" t="str">
        <f>IFERROR(__xludf.DUMMYFUNCTION("IFERROR(VLOOKUP(TRIM(A10),IMPORTRANGE(""1WjiLR_MTMxI_IZUKuvPO4Sg2rTSIqBzP3edakSRXbOA"",""Form Responses 1!B:C""),2,0),"""")"),"")</f>
        <v/>
      </c>
      <c r="R10" s="70" t="str">
        <f>IFERROR(__xludf.DUMMYFUNCTION("IFERROR(VLOOKUP(TRIM(A10),IMPORTRANGE(""1Ixzbal5tEbtWhozsFEppQzOYE6ZSrkNXHg_HW5k3Wt4"",""Form Responses 1!B:C""),2,0),"""")"),"")</f>
        <v/>
      </c>
      <c r="S10" s="70" t="str">
        <f>IFERROR(__xludf.DUMMYFUNCTION("IFERROR(VLOOKUP(TRIM(A10),IMPORTRANGE(""1zxjtEKGvVIJPIDqZdnxENwVpPXYa88EihzyI44hcQUo"",""Form Responses 1!B:C""),2,0),"""")"),"")</f>
        <v/>
      </c>
      <c r="T10" s="70" t="str">
        <f>IFERROR(__xludf.DUMMYFUNCTION("IFERROR(VLOOKUP(TRIM(A10),IMPORTRANGE(""1H3cO01obd5zFULYqaT5NAqecZBFFIHeDFn4CeQLZF3w"",""Form Responses 1!B:C""),2,0),"""")"),"")</f>
        <v/>
      </c>
      <c r="U10" s="70" t="str">
        <f>IFERROR(__xludf.DUMMYFUNCTION("IFERROR(VLOOKUP(TRIM(A10),IMPORTRANGE(""1IG9qoa6PeLdDDFzKpW39lxXshN0-M8Z25a_R1EpsYyg"",""Form Responses 1!B:C""),2,0),"""")"),"")</f>
        <v/>
      </c>
      <c r="V10" s="72"/>
      <c r="W10" s="70">
        <f>IFERROR(__xludf.DUMMYFUNCTION("IFERROR(VLOOKUP(TRIM(A10),IMPORTRANGE(""1JzBbPfIn5kXHe-RuBwssvVRSauekkTw9cwf70DsYix4"",""Form Responses 1!B:C""),2,0),"""")"),9.0)</f>
        <v>9</v>
      </c>
      <c r="X10" s="70" t="str">
        <f>IFERROR(__xludf.DUMMYFUNCTION("IFERROR(VLOOKUP(TRIM(A10),IMPORTRANGE(""1JbcCdZBzu6Yag8PuyvlbtYmdvUYYQNraxAgoikGBi5w"",""Form Responses 1!B:C""),2,0),"""")"),"")</f>
        <v/>
      </c>
      <c r="Y10" s="70" t="str">
        <f>IFERROR(__xludf.DUMMYFUNCTION("IFERROR(VLOOKUP(TRIM(A10),IMPORTRANGE(""15-YcWQKwT7GXCzNpEoDkSlrruglscDYeQTD3uXec8uQ"",""Form Responses 1!B:C""),2,0),"""")"),"")</f>
        <v/>
      </c>
      <c r="Z10" s="70" t="str">
        <f>IFERROR(__xludf.DUMMYFUNCTION("IFERROR(VLOOKUP(TRIM(A10),IMPORTRANGE(""1X2rXjxJaWCoTCv5SRdgsC_V3cXeEyqXGQY3NvE1KDUk"",""Form Responses 1!B:C""),2,0),"""")"),"")</f>
        <v/>
      </c>
      <c r="AA10" s="70" t="str">
        <f>IFERROR(__xludf.DUMMYFUNCTION("IFERROR(VLOOKUP(TRIM(A10),IMPORTRANGE(""1zEJQnPshpdjcOtCVSP0I8nG2EXKbBMH9BJ8IeNFUEV8"",""Form Responses 1!B:C""),2,0),"""")"),"")</f>
        <v/>
      </c>
      <c r="AB10" s="70">
        <f>IFERROR(__xludf.DUMMYFUNCTION("IFERROR(VLOOKUP(TRIM(A10),IMPORTRANGE(""1JzBbPfIn5kXHe-RuBwssvVRSauekkTw9cwf70DsYix4"",""Form Responses 1!B:C""),2,0),"""")"),9.0)</f>
        <v>9</v>
      </c>
      <c r="AC10" s="70" t="str">
        <f>IFERROR(__xludf.DUMMYFUNCTION("IFERROR(VLOOKUP(TRIM(A10),IMPORTRANGE(""1JbcCdZBzu6Yag8PuyvlbtYmdvUYYQNraxAgoikGBi5w"",""Form Responses 1!B:C""),2,0),"""")"),"")</f>
        <v/>
      </c>
      <c r="AD10" s="70" t="str">
        <f>IFERROR(__xludf.DUMMYFUNCTION("IFERROR(VLOOKUP(TRIM(A10),IMPORTRANGE(""15-YcWQKwT7GXCzNpEoDkSlrruglscDYeQTD3uXec8uQ"",""Form Responses 1!B:C""),2,0),"""")"),"")</f>
        <v/>
      </c>
      <c r="AE10" s="70" t="str">
        <f>IFERROR(__xludf.DUMMYFUNCTION("IFERROR(VLOOKUP(TRIM(A10),IMPORTRANGE(""1X2rXjxJaWCoTCv5SRdgsC_V3cXeEyqXGQY3NvE1KDUk"",""Form Responses 1!B:C""),2,0),"""")"),"")</f>
        <v/>
      </c>
      <c r="AF10" s="70" t="str">
        <f>IFERROR(__xludf.DUMMYFUNCTION("IFERROR(VLOOKUP(TRIM(A10),IMPORTRANGE(""1zEJQnPshpdjcOtCVSP0I8nG2EXKbBMH9BJ8IeNFUEV8"",""Form Responses 1!B:C""),2,0),"""")"),"")</f>
        <v/>
      </c>
      <c r="AG10" s="70" t="str">
        <f>IFERROR(__xludf.DUMMYFUNCTION("""COMPUTED_VALUE"""),"khaleel.muhammad@kairosacademies.org")</f>
        <v>khaleel.muhammad@kairosacademies.org</v>
      </c>
      <c r="AH10" s="75">
        <f>IFERROR(__xludf.DUMMYFUNCTION("""COMPUTED_VALUE"""),21.0)</f>
        <v>21</v>
      </c>
      <c r="AI10" s="70"/>
      <c r="AJ10" s="70"/>
      <c r="AK10" s="70"/>
      <c r="AL10" s="70"/>
      <c r="AM10" s="70"/>
      <c r="AN10" s="70"/>
      <c r="AO10" s="70"/>
      <c r="AP10" s="70"/>
      <c r="AQ10" s="70"/>
      <c r="AR10" s="70"/>
      <c r="AS10" s="70"/>
      <c r="AT10" s="70"/>
      <c r="AU10" s="70"/>
    </row>
    <row r="11">
      <c r="A11" s="39" t="s">
        <v>262</v>
      </c>
      <c r="B11" s="70">
        <f>IFERROR(__xludf.DUMMYFUNCTION("IFERROR(IF(COUNTIF(IMPORTRANGE(""1RTcwEJsI_0aJRebhNwO_H_AoKl9r46k7hWYbtciIyM4"",""Form Responses 1!B:B""),A11)&gt;0,10,),0)"),10.0)</f>
        <v>10</v>
      </c>
      <c r="C11" s="70">
        <f>IFERROR(__xludf.DUMMYFUNCTION("IFERROR(VLOOKUP(A11,IMPORTRANGE(""11i8IUhq_U6RRKRV3CBWIKqYed_fMvFgNUHTq1YDJfp8"",""Form Responses 1!B:C""),2,FALSE),)"),7.0)</f>
        <v>7</v>
      </c>
      <c r="D11" s="70">
        <f>IFERROR(__xludf.DUMMYFUNCTION("IFERROR(VLOOKUP(A11,IMPORTRANGE(""1StiHxuxrFhYdrq5WLR2JMORicW0TbnJf3J-oTHeMRtM"",""Form Responses 1!B:C""),2,FALSE),)"),2.0)</f>
        <v>2</v>
      </c>
      <c r="E11" s="70">
        <f>IFERROR(__xludf.DUMMYFUNCTION("IFERROR(VLOOKUP(A11,IMPORTRANGE(""1QaxxyUjrDq2kgz300C1Bq1tacFk6e-xX218cSXCQUK0"",""Form Responses 1!B:C""),2,FALSE),)"),6.0)</f>
        <v>6</v>
      </c>
      <c r="F11" s="70">
        <f>IFERROR(__xludf.DUMMYFUNCTION("IFERROR(VLOOKUP(A11,IMPORTRANGE(""1fn2ECph_y8Uz78DhjLaiXcwgt6kh3oe-0Le36Uw0noE"",""Form Responses 1!B:C""),2,FALSE),)"),10.0)</f>
        <v>10</v>
      </c>
      <c r="G11" s="39">
        <f>IFERROR(__xludf.DUMMYFUNCTION("IFERROR(IF(COUNTIF(IMPORTRANGE(""1t6NbzWBtAQKR9pGjBnxm9V-bRaGdRVT_-u2ojrUkYZw"",""Form Responses 1!B:B""),A11)&gt;0,10,),0)"),10.0)</f>
        <v>10</v>
      </c>
      <c r="H11" s="39">
        <f>IFERROR(__xludf.DUMMYFUNCTION("IFERROR(VLOOKUP(A11,IMPORTRANGE(""1ytv6MYmm-8DwYEf-PC6L-upnzfG4TJT_K2_Q1BobE6k"",""Form Responses 1!B:C""),2,FALSE),)"),7.0)</f>
        <v>7</v>
      </c>
      <c r="I11" s="39">
        <f>IFERROR(__xludf.DUMMYFUNCTION("IFERROR(VLOOKUP(A11,IMPORTRANGE(""1LTj0BC6WXgHo3fEDDSQlGOM1HkEYGTw8epmIdU0RnB4"",""Form Responses 1!B:C""),2,FALSE),)"),3.0)</f>
        <v>3</v>
      </c>
      <c r="J11" s="39" t="str">
        <f>IFERROR(__xludf.DUMMYFUNCTION("IFERROR(VLOOKUP(A11,IMPORTRANGE(""1lBH5Hghbbsr-XV8ZpAW4SFOyMpQX5vY0tEjkjRAJH48"",""Form Responses 1!B:C""),2,FALSE),)"),"")</f>
        <v/>
      </c>
      <c r="K11" s="39">
        <f>IFERROR(__xludf.DUMMYFUNCTION("IFERROR(IF(COUNTIF(IMPORTRANGE(""11sIXwmK0co7YC01jkeOYS_Q9btyVErtOm8MrXzqLkm8"",""Form Responses 1!B:B""),A11)&gt;0,10,),0)"),10.0)</f>
        <v>10</v>
      </c>
      <c r="L11" s="70">
        <f>IFERROR(__xludf.DUMMYFUNCTION("IFERROR(IF(COUNTIF(IMPORTRANGE(""1csqG5dOxr6mnQQeHuLyfSoVeWZspfrn9T3cQFX5jhi8"",""Form Responses 1!B:B""),A11)&gt;0,10,),0)"),10.0)</f>
        <v>10</v>
      </c>
      <c r="M11" s="70">
        <f>IFERROR(__xludf.DUMMYFUNCTION("IFERROR(VLOOKUP(A11,IMPORTRANGE(""1C8QMXhp6CypS1pNA-UXlEADxmI-6nbSN9P4kujkvESI"",""Form Responses 1!B:C""),2,FALSE),)"),21.0)</f>
        <v>21</v>
      </c>
      <c r="N11" s="70">
        <f>IFERROR(__xludf.DUMMYFUNCTION("IFERROR(VLOOKUP(A11,IMPORTRANGE(""1e33dV9wgou_u1lnmBtok6Ato-q97II29uUvmeO7Juhw"",""Form Responses 1!B:C""),2,FALSE),)"),23.0)</f>
        <v>23</v>
      </c>
      <c r="O11" s="70">
        <f>IFERROR(__xludf.DUMMYFUNCTION("IFERROR(VLOOKUP(A11,IMPORTRANGE(""15TUXUTXgRTcnnjS-jyDta7Ecw7-lv8-wZMGVKaxe8TY"",""Form Responses 1!B:C""),2,FALSE),)"),26.0)</f>
        <v>26</v>
      </c>
      <c r="P11" s="77">
        <f>IFERROR(__xludf.DUMMYFUNCTION("IFERROR(IF(COUNTIF(IMPORTRANGE(""1KFxxroaoSLanJBYtWVxeITrgly-aztutk24Q4y14KKU"",""Form Responses 1!B:B""),A11)&gt;0,10,),0)"),10.0)</f>
        <v>10</v>
      </c>
      <c r="Q11" s="71" t="str">
        <f>IFERROR(__xludf.DUMMYFUNCTION("IFERROR(VLOOKUP(TRIM(A11),IMPORTRANGE(""1WjiLR_MTMxI_IZUKuvPO4Sg2rTSIqBzP3edakSRXbOA"",""Form Responses 1!B:C""),2,0),"""")"),"")</f>
        <v/>
      </c>
      <c r="R11" s="70" t="str">
        <f>IFERROR(__xludf.DUMMYFUNCTION("IFERROR(VLOOKUP(TRIM(A11),IMPORTRANGE(""1Ixzbal5tEbtWhozsFEppQzOYE6ZSrkNXHg_HW5k3Wt4"",""Form Responses 1!B:C""),2,0),"""")"),"")</f>
        <v/>
      </c>
      <c r="S11" s="70" t="str">
        <f>IFERROR(__xludf.DUMMYFUNCTION("IFERROR(VLOOKUP(TRIM(A11),IMPORTRANGE(""1zxjtEKGvVIJPIDqZdnxENwVpPXYa88EihzyI44hcQUo"",""Form Responses 1!B:C""),2,0),"""")"),"")</f>
        <v/>
      </c>
      <c r="T11" s="70">
        <f>IFERROR(__xludf.DUMMYFUNCTION("IFERROR(VLOOKUP(TRIM(A11),IMPORTRANGE(""1H3cO01obd5zFULYqaT5NAqecZBFFIHeDFn4CeQLZF3w"",""Form Responses 1!B:C""),2,0),"""")"),2.0)</f>
        <v>2</v>
      </c>
      <c r="U11" s="70">
        <f>IFERROR(__xludf.DUMMYFUNCTION("IFERROR(VLOOKUP(TRIM(A11),IMPORTRANGE(""1IG9qoa6PeLdDDFzKpW39lxXshN0-M8Z25a_R1EpsYyg"",""Form Responses 1!B:C""),2,0),"""")"),4.0)</f>
        <v>4</v>
      </c>
      <c r="V11" s="74">
        <v>19.0</v>
      </c>
      <c r="W11" s="70">
        <f>IFERROR(__xludf.DUMMYFUNCTION("IFERROR(VLOOKUP(TRIM(A11),IMPORTRANGE(""1JzBbPfIn5kXHe-RuBwssvVRSauekkTw9cwf70DsYix4"",""Form Responses 1!B:C""),2,0),"""")"),12.0)</f>
        <v>12</v>
      </c>
      <c r="X11" s="70">
        <f>IFERROR(__xludf.DUMMYFUNCTION("IFERROR(VLOOKUP(TRIM(A11),IMPORTRANGE(""1JbcCdZBzu6Yag8PuyvlbtYmdvUYYQNraxAgoikGBi5w"",""Form Responses 1!B:C""),2,0),"""")"),20.0)</f>
        <v>20</v>
      </c>
      <c r="Y11" s="70" t="str">
        <f>IFERROR(__xludf.DUMMYFUNCTION("IFERROR(VLOOKUP(TRIM(A11),IMPORTRANGE(""15-YcWQKwT7GXCzNpEoDkSlrruglscDYeQTD3uXec8uQ"",""Form Responses 1!B:C""),2,0),"""")"),"")</f>
        <v/>
      </c>
      <c r="Z11" s="70" t="str">
        <f>IFERROR(__xludf.DUMMYFUNCTION("IFERROR(VLOOKUP(TRIM(A11),IMPORTRANGE(""1X2rXjxJaWCoTCv5SRdgsC_V3cXeEyqXGQY3NvE1KDUk"",""Form Responses 1!B:C""),2,0),"""")"),"")</f>
        <v/>
      </c>
      <c r="AA11" s="70" t="str">
        <f>IFERROR(__xludf.DUMMYFUNCTION("IFERROR(VLOOKUP(TRIM(A11),IMPORTRANGE(""1zEJQnPshpdjcOtCVSP0I8nG2EXKbBMH9BJ8IeNFUEV8"",""Form Responses 1!B:C""),2,0),"""")"),"")</f>
        <v/>
      </c>
      <c r="AB11" s="70">
        <f>IFERROR(__xludf.DUMMYFUNCTION("IFERROR(VLOOKUP(TRIM(A11),IMPORTRANGE(""1JzBbPfIn5kXHe-RuBwssvVRSauekkTw9cwf70DsYix4"",""Form Responses 1!B:C""),2,0),"""")"),12.0)</f>
        <v>12</v>
      </c>
      <c r="AC11" s="70">
        <f>IFERROR(__xludf.DUMMYFUNCTION("IFERROR(VLOOKUP(TRIM(A11),IMPORTRANGE(""1JbcCdZBzu6Yag8PuyvlbtYmdvUYYQNraxAgoikGBi5w"",""Form Responses 1!B:C""),2,0),"""")"),20.0)</f>
        <v>20</v>
      </c>
      <c r="AD11" s="70" t="str">
        <f>IFERROR(__xludf.DUMMYFUNCTION("IFERROR(VLOOKUP(TRIM(A11),IMPORTRANGE(""15-YcWQKwT7GXCzNpEoDkSlrruglscDYeQTD3uXec8uQ"",""Form Responses 1!B:C""),2,0),"""")"),"")</f>
        <v/>
      </c>
      <c r="AE11" s="70" t="str">
        <f>IFERROR(__xludf.DUMMYFUNCTION("IFERROR(VLOOKUP(TRIM(A11),IMPORTRANGE(""1X2rXjxJaWCoTCv5SRdgsC_V3cXeEyqXGQY3NvE1KDUk"",""Form Responses 1!B:C""),2,0),"""")"),"")</f>
        <v/>
      </c>
      <c r="AF11" s="70" t="str">
        <f>IFERROR(__xludf.DUMMYFUNCTION("IFERROR(VLOOKUP(TRIM(A11),IMPORTRANGE(""1zEJQnPshpdjcOtCVSP0I8nG2EXKbBMH9BJ8IeNFUEV8"",""Form Responses 1!B:C""),2,0),"""")"),"")</f>
        <v/>
      </c>
      <c r="AG11" s="70" t="str">
        <f>IFERROR(__xludf.DUMMYFUNCTION("""COMPUTED_VALUE"""),"mya.frazier@kairosacademies.org")</f>
        <v>mya.frazier@kairosacademies.org</v>
      </c>
      <c r="AH11" s="75">
        <f>IFERROR(__xludf.DUMMYFUNCTION("""COMPUTED_VALUE"""),4.0)</f>
        <v>4</v>
      </c>
      <c r="AI11" s="70"/>
      <c r="AJ11" s="70"/>
      <c r="AK11" s="70"/>
      <c r="AL11" s="70"/>
      <c r="AM11" s="70"/>
      <c r="AN11" s="70"/>
      <c r="AO11" s="70"/>
      <c r="AP11" s="70"/>
      <c r="AQ11" s="70"/>
      <c r="AR11" s="70"/>
      <c r="AS11" s="70"/>
      <c r="AT11" s="70"/>
      <c r="AU11" s="70"/>
    </row>
    <row r="12">
      <c r="A12" s="39" t="s">
        <v>263</v>
      </c>
      <c r="B12" s="70">
        <f>IFERROR(__xludf.DUMMYFUNCTION("IFERROR(IF(COUNTIF(IMPORTRANGE(""1RTcwEJsI_0aJRebhNwO_H_AoKl9r46k7hWYbtciIyM4"",""Form Responses 1!B:B""),A12)&gt;0,10,),0)"),10.0)</f>
        <v>10</v>
      </c>
      <c r="C12" s="70">
        <f>IFERROR(__xludf.DUMMYFUNCTION("IFERROR(VLOOKUP(A12,IMPORTRANGE(""11i8IUhq_U6RRKRV3CBWIKqYed_fMvFgNUHTq1YDJfp8"",""Form Responses 1!B:C""),2,FALSE),)"),7.0)</f>
        <v>7</v>
      </c>
      <c r="D12" s="70">
        <f>IFERROR(__xludf.DUMMYFUNCTION("IFERROR(VLOOKUP(A12,IMPORTRANGE(""1StiHxuxrFhYdrq5WLR2JMORicW0TbnJf3J-oTHeMRtM"",""Form Responses 1!B:C""),2,FALSE),)"),10.0)</f>
        <v>10</v>
      </c>
      <c r="E12" s="70">
        <f>IFERROR(__xludf.DUMMYFUNCTION("IFERROR(VLOOKUP(A12,IMPORTRANGE(""1QaxxyUjrDq2kgz300C1Bq1tacFk6e-xX218cSXCQUK0"",""Form Responses 1!B:C""),2,FALSE),)"),2.0)</f>
        <v>2</v>
      </c>
      <c r="F12" s="70">
        <f>IFERROR(__xludf.DUMMYFUNCTION("IFERROR(VLOOKUP(A12,IMPORTRANGE(""1fn2ECph_y8Uz78DhjLaiXcwgt6kh3oe-0Le36Uw0noE"",""Form Responses 1!B:C""),2,FALSE),)"),4.0)</f>
        <v>4</v>
      </c>
      <c r="G12" s="39">
        <f>IFERROR(__xludf.DUMMYFUNCTION("IFERROR(IF(COUNTIF(IMPORTRANGE(""1t6NbzWBtAQKR9pGjBnxm9V-bRaGdRVT_-u2ojrUkYZw"",""Form Responses 1!B:B""),A12)&gt;0,10,),0)"),10.0)</f>
        <v>10</v>
      </c>
      <c r="H12" s="39">
        <f>IFERROR(__xludf.DUMMYFUNCTION("IFERROR(VLOOKUP(A12,IMPORTRANGE(""1ytv6MYmm-8DwYEf-PC6L-upnzfG4TJT_K2_Q1BobE6k"",""Form Responses 1!B:C""),2,FALSE),)"),4.0)</f>
        <v>4</v>
      </c>
      <c r="I12" s="39">
        <f>IFERROR(__xludf.DUMMYFUNCTION("IFERROR(VLOOKUP(A12,IMPORTRANGE(""1LTj0BC6WXgHo3fEDDSQlGOM1HkEYGTw8epmIdU0RnB4"",""Form Responses 1!B:C""),2,FALSE),)"),2.0)</f>
        <v>2</v>
      </c>
      <c r="J12" s="39">
        <f>IFERROR(__xludf.DUMMYFUNCTION("IFERROR(VLOOKUP(A12,IMPORTRANGE(""1lBH5Hghbbsr-XV8ZpAW4SFOyMpQX5vY0tEjkjRAJH48"",""Form Responses 1!B:C""),2,FALSE),)"),0.0)</f>
        <v>0</v>
      </c>
      <c r="K12" s="39">
        <f>IFERROR(__xludf.DUMMYFUNCTION("IFERROR(IF(COUNTIF(IMPORTRANGE(""11sIXwmK0co7YC01jkeOYS_Q9btyVErtOm8MrXzqLkm8"",""Form Responses 1!B:B""),A12)&gt;0,10,),0)"),10.0)</f>
        <v>10</v>
      </c>
      <c r="L12" s="70">
        <f>IFERROR(__xludf.DUMMYFUNCTION("IFERROR(IF(COUNTIF(IMPORTRANGE(""1csqG5dOxr6mnQQeHuLyfSoVeWZspfrn9T3cQFX5jhi8"",""Form Responses 1!B:B""),A12)&gt;0,10,),0)"),10.0)</f>
        <v>10</v>
      </c>
      <c r="M12" s="70">
        <f>IFERROR(__xludf.DUMMYFUNCTION("IFERROR(VLOOKUP(A12,IMPORTRANGE(""1C8QMXhp6CypS1pNA-UXlEADxmI-6nbSN9P4kujkvESI"",""Form Responses 1!B:C""),2,FALSE),)"),13.0)</f>
        <v>13</v>
      </c>
      <c r="N12" s="70">
        <f>IFERROR(__xludf.DUMMYFUNCTION("IFERROR(VLOOKUP(A12,IMPORTRANGE(""1e33dV9wgou_u1lnmBtok6Ato-q97II29uUvmeO7Juhw"",""Form Responses 1!B:C""),2,FALSE),)"),16.0)</f>
        <v>16</v>
      </c>
      <c r="O12" s="70">
        <f>IFERROR(__xludf.DUMMYFUNCTION("IFERROR(VLOOKUP(A12,IMPORTRANGE(""15TUXUTXgRTcnnjS-jyDta7Ecw7-lv8-wZMGVKaxe8TY"",""Form Responses 1!B:C""),2,FALSE),)"),15.0)</f>
        <v>15</v>
      </c>
      <c r="P12" s="70">
        <f>IFERROR(__xludf.DUMMYFUNCTION("IFERROR(IF(COUNTIF(IMPORTRANGE(""1KFxxroaoSLanJBYtWVxeITrgly-aztutk24Q4y14KKU"",""Form Responses 1!B:B""),A12)&gt;0,10,),0)"),10.0)</f>
        <v>10</v>
      </c>
      <c r="Q12" s="71">
        <f>IFERROR(__xludf.DUMMYFUNCTION("IFERROR(VLOOKUP(TRIM(A12),IMPORTRANGE(""1WjiLR_MTMxI_IZUKuvPO4Sg2rTSIqBzP3edakSRXbOA"",""Form Responses 1!B:C""),2,0),"""")"),8.0)</f>
        <v>8</v>
      </c>
      <c r="R12" s="70">
        <f>IFERROR(__xludf.DUMMYFUNCTION("IFERROR(VLOOKUP(TRIM(A12),IMPORTRANGE(""1Ixzbal5tEbtWhozsFEppQzOYE6ZSrkNXHg_HW5k3Wt4"",""Form Responses 1!B:C""),2,0),"""")"),7.0)</f>
        <v>7</v>
      </c>
      <c r="S12" s="70">
        <f>IFERROR(__xludf.DUMMYFUNCTION("IFERROR(VLOOKUP(TRIM(A12),IMPORTRANGE(""1zxjtEKGvVIJPIDqZdnxENwVpPXYa88EihzyI44hcQUo"",""Form Responses 1!B:C""),2,0),"""")"),9.0)</f>
        <v>9</v>
      </c>
      <c r="T12" s="70" t="str">
        <f>IFERROR(__xludf.DUMMYFUNCTION("IFERROR(VLOOKUP(TRIM(A12),IMPORTRANGE(""1H3cO01obd5zFULYqaT5NAqecZBFFIHeDFn4CeQLZF3w"",""Form Responses 1!B:C""),2,0),"""")"),"")</f>
        <v/>
      </c>
      <c r="U12" s="70" t="str">
        <f>IFERROR(__xludf.DUMMYFUNCTION("IFERROR(VLOOKUP(TRIM(A12),IMPORTRANGE(""1IG9qoa6PeLdDDFzKpW39lxXshN0-M8Z25a_R1EpsYyg"",""Form Responses 1!B:C""),2,0),"""")"),"")</f>
        <v/>
      </c>
      <c r="V12" s="74">
        <v>17.0</v>
      </c>
      <c r="W12" s="70">
        <f>IFERROR(__xludf.DUMMYFUNCTION("IFERROR(VLOOKUP(TRIM(A12),IMPORTRANGE(""1JzBbPfIn5kXHe-RuBwssvVRSauekkTw9cwf70DsYix4"",""Form Responses 1!B:C""),2,0),"""")"),9.0)</f>
        <v>9</v>
      </c>
      <c r="X12" s="70">
        <f>IFERROR(__xludf.DUMMYFUNCTION("IFERROR(VLOOKUP(TRIM(A12),IMPORTRANGE(""1JbcCdZBzu6Yag8PuyvlbtYmdvUYYQNraxAgoikGBi5w"",""Form Responses 1!B:C""),2,0),"""")"),12.0)</f>
        <v>12</v>
      </c>
      <c r="Y12" s="70" t="str">
        <f>IFERROR(__xludf.DUMMYFUNCTION("IFERROR(VLOOKUP(TRIM(A12),IMPORTRANGE(""15-YcWQKwT7GXCzNpEoDkSlrruglscDYeQTD3uXec8uQ"",""Form Responses 1!B:C""),2,0),"""")"),"")</f>
        <v/>
      </c>
      <c r="Z12" s="70" t="str">
        <f>IFERROR(__xludf.DUMMYFUNCTION("IFERROR(VLOOKUP(TRIM(A12),IMPORTRANGE(""1X2rXjxJaWCoTCv5SRdgsC_V3cXeEyqXGQY3NvE1KDUk"",""Form Responses 1!B:C""),2,0),"""")"),"")</f>
        <v/>
      </c>
      <c r="AA12" s="70" t="str">
        <f>IFERROR(__xludf.DUMMYFUNCTION("IFERROR(VLOOKUP(TRIM(A12),IMPORTRANGE(""1zEJQnPshpdjcOtCVSP0I8nG2EXKbBMH9BJ8IeNFUEV8"",""Form Responses 1!B:C""),2,0),"""")"),"")</f>
        <v/>
      </c>
      <c r="AB12" s="70">
        <f>IFERROR(__xludf.DUMMYFUNCTION("IFERROR(VLOOKUP(TRIM(A12),IMPORTRANGE(""1JzBbPfIn5kXHe-RuBwssvVRSauekkTw9cwf70DsYix4"",""Form Responses 1!B:C""),2,0),"""")"),9.0)</f>
        <v>9</v>
      </c>
      <c r="AC12" s="70">
        <f>IFERROR(__xludf.DUMMYFUNCTION("IFERROR(VLOOKUP(TRIM(A12),IMPORTRANGE(""1JbcCdZBzu6Yag8PuyvlbtYmdvUYYQNraxAgoikGBi5w"",""Form Responses 1!B:C""),2,0),"""")"),12.0)</f>
        <v>12</v>
      </c>
      <c r="AD12" s="70" t="str">
        <f>IFERROR(__xludf.DUMMYFUNCTION("IFERROR(VLOOKUP(TRIM(A12),IMPORTRANGE(""15-YcWQKwT7GXCzNpEoDkSlrruglscDYeQTD3uXec8uQ"",""Form Responses 1!B:C""),2,0),"""")"),"")</f>
        <v/>
      </c>
      <c r="AE12" s="70" t="str">
        <f>IFERROR(__xludf.DUMMYFUNCTION("IFERROR(VLOOKUP(TRIM(A12),IMPORTRANGE(""1X2rXjxJaWCoTCv5SRdgsC_V3cXeEyqXGQY3NvE1KDUk"",""Form Responses 1!B:C""),2,0),"""")"),"")</f>
        <v/>
      </c>
      <c r="AF12" s="70" t="str">
        <f>IFERROR(__xludf.DUMMYFUNCTION("IFERROR(VLOOKUP(TRIM(A12),IMPORTRANGE(""1zEJQnPshpdjcOtCVSP0I8nG2EXKbBMH9BJ8IeNFUEV8"",""Form Responses 1!B:C""),2,0),"""")"),"")</f>
        <v/>
      </c>
      <c r="AG12" s="70" t="str">
        <f>IFERROR(__xludf.DUMMYFUNCTION("""COMPUTED_VALUE"""),"alina.watkins@kairosacademies.org")</f>
        <v>alina.watkins@kairosacademies.org</v>
      </c>
      <c r="AH12" s="75">
        <f>IFERROR(__xludf.DUMMYFUNCTION("""COMPUTED_VALUE"""),4.0)</f>
        <v>4</v>
      </c>
      <c r="AI12" s="70"/>
      <c r="AJ12" s="70"/>
      <c r="AK12" s="70"/>
      <c r="AL12" s="70"/>
      <c r="AM12" s="70"/>
      <c r="AN12" s="70"/>
      <c r="AO12" s="70"/>
      <c r="AP12" s="70"/>
      <c r="AQ12" s="70"/>
      <c r="AR12" s="70"/>
      <c r="AS12" s="70"/>
      <c r="AT12" s="70"/>
      <c r="AU12" s="70"/>
    </row>
    <row r="13">
      <c r="A13" s="39" t="s">
        <v>264</v>
      </c>
      <c r="B13" s="70">
        <f>IFERROR(__xludf.DUMMYFUNCTION("IFERROR(IF(COUNTIF(IMPORTRANGE(""1RTcwEJsI_0aJRebhNwO_H_AoKl9r46k7hWYbtciIyM4"",""Form Responses 1!B:B""),A13)&gt;0,10,),0)"),10.0)</f>
        <v>10</v>
      </c>
      <c r="C13" s="70" t="str">
        <f>IFERROR(__xludf.DUMMYFUNCTION("IFERROR(VLOOKUP(A13,IMPORTRANGE(""11i8IUhq_U6RRKRV3CBWIKqYed_fMvFgNUHTq1YDJfp8"",""Form Responses 1!B:C""),2,FALSE),)"),"")</f>
        <v/>
      </c>
      <c r="D13" s="70" t="str">
        <f>IFERROR(__xludf.DUMMYFUNCTION("IFERROR(VLOOKUP(A13,IMPORTRANGE(""1StiHxuxrFhYdrq5WLR2JMORicW0TbnJf3J-oTHeMRtM"",""Form Responses 1!B:C""),2,FALSE),)"),"")</f>
        <v/>
      </c>
      <c r="E13" s="70" t="str">
        <f>IFERROR(__xludf.DUMMYFUNCTION("IFERROR(VLOOKUP(A13,IMPORTRANGE(""1QaxxyUjrDq2kgz300C1Bq1tacFk6e-xX218cSXCQUK0"",""Form Responses 1!B:C""),2,FALSE),)"),"")</f>
        <v/>
      </c>
      <c r="F13" s="70" t="str">
        <f>IFERROR(__xludf.DUMMYFUNCTION("IFERROR(VLOOKUP(A13,IMPORTRANGE(""1fn2ECph_y8Uz78DhjLaiXcwgt6kh3oe-0Le36Uw0noE"",""Form Responses 1!B:C""),2,FALSE),)"),"")</f>
        <v/>
      </c>
      <c r="G13" s="39" t="str">
        <f>IFERROR(__xludf.DUMMYFUNCTION("IFERROR(IF(COUNTIF(IMPORTRANGE(""1t6NbzWBtAQKR9pGjBnxm9V-bRaGdRVT_-u2ojrUkYZw"",""Form Responses 1!B:B""),A13)&gt;0,10,),0)"),"")</f>
        <v/>
      </c>
      <c r="H13" s="39" t="str">
        <f>IFERROR(__xludf.DUMMYFUNCTION("IFERROR(VLOOKUP(A13,IMPORTRANGE(""1ytv6MYmm-8DwYEf-PC6L-upnzfG4TJT_K2_Q1BobE6k"",""Form Responses 1!B:C""),2,FALSE),)"),"")</f>
        <v/>
      </c>
      <c r="I13" s="39" t="str">
        <f>IFERROR(__xludf.DUMMYFUNCTION("IFERROR(VLOOKUP(A13,IMPORTRANGE(""1LTj0BC6WXgHo3fEDDSQlGOM1HkEYGTw8epmIdU0RnB4"",""Form Responses 1!B:C""),2,FALSE),)"),"")</f>
        <v/>
      </c>
      <c r="J13" s="39" t="str">
        <f>IFERROR(__xludf.DUMMYFUNCTION("IFERROR(VLOOKUP(A13,IMPORTRANGE(""1lBH5Hghbbsr-XV8ZpAW4SFOyMpQX5vY0tEjkjRAJH48"",""Form Responses 1!B:C""),2,FALSE),)"),"")</f>
        <v/>
      </c>
      <c r="K13" s="39" t="str">
        <f>IFERROR(__xludf.DUMMYFUNCTION("IFERROR(IF(COUNTIF(IMPORTRANGE(""11sIXwmK0co7YC01jkeOYS_Q9btyVErtOm8MrXzqLkm8"",""Form Responses 1!B:B""),A13)&gt;0,10,),0)"),"")</f>
        <v/>
      </c>
      <c r="L13" s="70" t="str">
        <f>IFERROR(__xludf.DUMMYFUNCTION("IFERROR(IF(COUNTIF(IMPORTRANGE(""1csqG5dOxr6mnQQeHuLyfSoVeWZspfrn9T3cQFX5jhi8"",""Form Responses 1!B:B""),A13)&gt;0,10,),0)"),"")</f>
        <v/>
      </c>
      <c r="M13" s="70" t="str">
        <f>IFERROR(__xludf.DUMMYFUNCTION("IFERROR(VLOOKUP(A13,IMPORTRANGE(""1C8QMXhp6CypS1pNA-UXlEADxmI-6nbSN9P4kujkvESI"",""Form Responses 1!B:C""),2,FALSE),)"),"")</f>
        <v/>
      </c>
      <c r="N13" s="70" t="str">
        <f>IFERROR(__xludf.DUMMYFUNCTION("IFERROR(VLOOKUP(A13,IMPORTRANGE(""1e33dV9wgou_u1lnmBtok6Ato-q97II29uUvmeO7Juhw"",""Form Responses 1!B:C""),2,FALSE),)"),"")</f>
        <v/>
      </c>
      <c r="O13" s="70" t="str">
        <f>IFERROR(__xludf.DUMMYFUNCTION("IFERROR(VLOOKUP(A13,IMPORTRANGE(""15TUXUTXgRTcnnjS-jyDta7Ecw7-lv8-wZMGVKaxe8TY"",""Form Responses 1!B:C""),2,FALSE),)"),"")</f>
        <v/>
      </c>
      <c r="P13" s="70" t="str">
        <f>IFERROR(__xludf.DUMMYFUNCTION("IFERROR(IF(COUNTIF(IMPORTRANGE(""1KFxxroaoSLanJBYtWVxeITrgly-aztutk24Q4y14KKU"",""Form Responses 1!B:B""),A13)&gt;0,10,),0)"),"")</f>
        <v/>
      </c>
      <c r="Q13" s="71" t="str">
        <f>IFERROR(__xludf.DUMMYFUNCTION("IFERROR(VLOOKUP(TRIM(A13),IMPORTRANGE(""1WjiLR_MTMxI_IZUKuvPO4Sg2rTSIqBzP3edakSRXbOA"",""Form Responses 1!B:C""),2,0),"""")"),"")</f>
        <v/>
      </c>
      <c r="R13" s="70" t="str">
        <f>IFERROR(__xludf.DUMMYFUNCTION("IFERROR(VLOOKUP(TRIM(A13),IMPORTRANGE(""1Ixzbal5tEbtWhozsFEppQzOYE6ZSrkNXHg_HW5k3Wt4"",""Form Responses 1!B:C""),2,0),"""")"),"")</f>
        <v/>
      </c>
      <c r="S13" s="70" t="str">
        <f>IFERROR(__xludf.DUMMYFUNCTION("IFERROR(VLOOKUP(TRIM(A13),IMPORTRANGE(""1zxjtEKGvVIJPIDqZdnxENwVpPXYa88EihzyI44hcQUo"",""Form Responses 1!B:C""),2,0),"""")"),"")</f>
        <v/>
      </c>
      <c r="T13" s="70" t="str">
        <f>IFERROR(__xludf.DUMMYFUNCTION("IFERROR(VLOOKUP(TRIM(A13),IMPORTRANGE(""1H3cO01obd5zFULYqaT5NAqecZBFFIHeDFn4CeQLZF3w"",""Form Responses 1!B:C""),2,0),"""")"),"")</f>
        <v/>
      </c>
      <c r="U13" s="70" t="str">
        <f>IFERROR(__xludf.DUMMYFUNCTION("IFERROR(VLOOKUP(TRIM(A13),IMPORTRANGE(""1IG9qoa6PeLdDDFzKpW39lxXshN0-M8Z25a_R1EpsYyg"",""Form Responses 1!B:C""),2,0),"""")"),"")</f>
        <v/>
      </c>
      <c r="V13" s="72"/>
      <c r="W13" s="70" t="str">
        <f>IFERROR(__xludf.DUMMYFUNCTION("IFERROR(VLOOKUP(TRIM(A13),IMPORTRANGE(""1JzBbPfIn5kXHe-RuBwssvVRSauekkTw9cwf70DsYix4"",""Form Responses 1!B:C""),2,0),"""")"),"")</f>
        <v/>
      </c>
      <c r="X13" s="70" t="str">
        <f>IFERROR(__xludf.DUMMYFUNCTION("IFERROR(VLOOKUP(TRIM(A13),IMPORTRANGE(""1JbcCdZBzu6Yag8PuyvlbtYmdvUYYQNraxAgoikGBi5w"",""Form Responses 1!B:C""),2,0),"""")"),"")</f>
        <v/>
      </c>
      <c r="Y13" s="70" t="str">
        <f>IFERROR(__xludf.DUMMYFUNCTION("IFERROR(VLOOKUP(TRIM(A13),IMPORTRANGE(""15-YcWQKwT7GXCzNpEoDkSlrruglscDYeQTD3uXec8uQ"",""Form Responses 1!B:C""),2,0),"""")"),"")</f>
        <v/>
      </c>
      <c r="Z13" s="70" t="str">
        <f>IFERROR(__xludf.DUMMYFUNCTION("IFERROR(VLOOKUP(TRIM(A13),IMPORTRANGE(""1X2rXjxJaWCoTCv5SRdgsC_V3cXeEyqXGQY3NvE1KDUk"",""Form Responses 1!B:C""),2,0),"""")"),"")</f>
        <v/>
      </c>
      <c r="AA13" s="70" t="str">
        <f>IFERROR(__xludf.DUMMYFUNCTION("IFERROR(VLOOKUP(TRIM(A13),IMPORTRANGE(""1zEJQnPshpdjcOtCVSP0I8nG2EXKbBMH9BJ8IeNFUEV8"",""Form Responses 1!B:C""),2,0),"""")"),"")</f>
        <v/>
      </c>
      <c r="AB13" s="70" t="str">
        <f>IFERROR(__xludf.DUMMYFUNCTION("IFERROR(VLOOKUP(TRIM(A13),IMPORTRANGE(""1JzBbPfIn5kXHe-RuBwssvVRSauekkTw9cwf70DsYix4"",""Form Responses 1!B:C""),2,0),"""")"),"")</f>
        <v/>
      </c>
      <c r="AC13" s="70" t="str">
        <f>IFERROR(__xludf.DUMMYFUNCTION("IFERROR(VLOOKUP(TRIM(A13),IMPORTRANGE(""1JbcCdZBzu6Yag8PuyvlbtYmdvUYYQNraxAgoikGBi5w"",""Form Responses 1!B:C""),2,0),"""")"),"")</f>
        <v/>
      </c>
      <c r="AD13" s="70" t="str">
        <f>IFERROR(__xludf.DUMMYFUNCTION("IFERROR(VLOOKUP(TRIM(A13),IMPORTRANGE(""15-YcWQKwT7GXCzNpEoDkSlrruglscDYeQTD3uXec8uQ"",""Form Responses 1!B:C""),2,0),"""")"),"")</f>
        <v/>
      </c>
      <c r="AE13" s="70" t="str">
        <f>IFERROR(__xludf.DUMMYFUNCTION("IFERROR(VLOOKUP(TRIM(A13),IMPORTRANGE(""1X2rXjxJaWCoTCv5SRdgsC_V3cXeEyqXGQY3NvE1KDUk"",""Form Responses 1!B:C""),2,0),"""")"),"")</f>
        <v/>
      </c>
      <c r="AF13" s="70" t="str">
        <f>IFERROR(__xludf.DUMMYFUNCTION("IFERROR(VLOOKUP(TRIM(A13),IMPORTRANGE(""1zEJQnPshpdjcOtCVSP0I8nG2EXKbBMH9BJ8IeNFUEV8"",""Form Responses 1!B:C""),2,0),"""")"),"")</f>
        <v/>
      </c>
      <c r="AG13" s="70"/>
      <c r="AH13" s="70"/>
      <c r="AI13" s="70"/>
      <c r="AJ13" s="70"/>
      <c r="AK13" s="70"/>
      <c r="AL13" s="70"/>
      <c r="AM13" s="70"/>
      <c r="AN13" s="70"/>
      <c r="AO13" s="70"/>
      <c r="AP13" s="70"/>
      <c r="AQ13" s="70"/>
      <c r="AR13" s="70"/>
      <c r="AS13" s="70"/>
      <c r="AT13" s="70"/>
      <c r="AU13" s="70"/>
    </row>
    <row r="14">
      <c r="A14" s="39" t="s">
        <v>265</v>
      </c>
      <c r="B14" s="70">
        <f>IFERROR(__xludf.DUMMYFUNCTION("IFERROR(IF(COUNTIF(IMPORTRANGE(""1RTcwEJsI_0aJRebhNwO_H_AoKl9r46k7hWYbtciIyM4"",""Form Responses 1!B:B""),A14)&gt;0,10,),0)"),10.0)</f>
        <v>10</v>
      </c>
      <c r="C14" s="70" t="str">
        <f>IFERROR(__xludf.DUMMYFUNCTION("IFERROR(VLOOKUP(A14,IMPORTRANGE(""11i8IUhq_U6RRKRV3CBWIKqYed_fMvFgNUHTq1YDJfp8"",""Form Responses 1!B:C""),2,FALSE),)"),"")</f>
        <v/>
      </c>
      <c r="D14" s="70" t="str">
        <f>IFERROR(__xludf.DUMMYFUNCTION("IFERROR(VLOOKUP(A14,IMPORTRANGE(""1StiHxuxrFhYdrq5WLR2JMORicW0TbnJf3J-oTHeMRtM"",""Form Responses 1!B:C""),2,FALSE),)"),"")</f>
        <v/>
      </c>
      <c r="E14" s="70" t="str">
        <f>IFERROR(__xludf.DUMMYFUNCTION("IFERROR(VLOOKUP(A14,IMPORTRANGE(""1QaxxyUjrDq2kgz300C1Bq1tacFk6e-xX218cSXCQUK0"",""Form Responses 1!B:C""),2,FALSE),)"),"")</f>
        <v/>
      </c>
      <c r="F14" s="70" t="str">
        <f>IFERROR(__xludf.DUMMYFUNCTION("IFERROR(VLOOKUP(A14,IMPORTRANGE(""1fn2ECph_y8Uz78DhjLaiXcwgt6kh3oe-0Le36Uw0noE"",""Form Responses 1!B:C""),2,FALSE),)"),"")</f>
        <v/>
      </c>
      <c r="G14" s="39">
        <f>IFERROR(__xludf.DUMMYFUNCTION("IFERROR(IF(COUNTIF(IMPORTRANGE(""1t6NbzWBtAQKR9pGjBnxm9V-bRaGdRVT_-u2ojrUkYZw"",""Form Responses 1!B:B""),A14)&gt;0,10,),0)"),10.0)</f>
        <v>10</v>
      </c>
      <c r="H14" s="39" t="str">
        <f>IFERROR(__xludf.DUMMYFUNCTION("IFERROR(VLOOKUP(A14,IMPORTRANGE(""1ytv6MYmm-8DwYEf-PC6L-upnzfG4TJT_K2_Q1BobE6k"",""Form Responses 1!B:C""),2,FALSE),)"),"")</f>
        <v/>
      </c>
      <c r="I14" s="39">
        <f>IFERROR(__xludf.DUMMYFUNCTION("IFERROR(VLOOKUP(A14,IMPORTRANGE(""1LTj0BC6WXgHo3fEDDSQlGOM1HkEYGTw8epmIdU0RnB4"",""Form Responses 1!B:C""),2,FALSE),)"),4.0)</f>
        <v>4</v>
      </c>
      <c r="J14" s="39" t="str">
        <f>IFERROR(__xludf.DUMMYFUNCTION("IFERROR(VLOOKUP(A14,IMPORTRANGE(""1lBH5Hghbbsr-XV8ZpAW4SFOyMpQX5vY0tEjkjRAJH48"",""Form Responses 1!B:C""),2,FALSE),)"),"")</f>
        <v/>
      </c>
      <c r="K14" s="39" t="str">
        <f>IFERROR(__xludf.DUMMYFUNCTION("IFERROR(IF(COUNTIF(IMPORTRANGE(""11sIXwmK0co7YC01jkeOYS_Q9btyVErtOm8MrXzqLkm8"",""Form Responses 1!B:B""),A14)&gt;0,10,),0)"),"")</f>
        <v/>
      </c>
      <c r="L14" s="70" t="str">
        <f>IFERROR(__xludf.DUMMYFUNCTION("IFERROR(IF(COUNTIF(IMPORTRANGE(""1csqG5dOxr6mnQQeHuLyfSoVeWZspfrn9T3cQFX5jhi8"",""Form Responses 1!B:B""),A14)&gt;0,10,),0)"),"")</f>
        <v/>
      </c>
      <c r="M14" s="70" t="str">
        <f>IFERROR(__xludf.DUMMYFUNCTION("IFERROR(VLOOKUP(A14,IMPORTRANGE(""1C8QMXhp6CypS1pNA-UXlEADxmI-6nbSN9P4kujkvESI"",""Form Responses 1!B:C""),2,FALSE),)"),"")</f>
        <v/>
      </c>
      <c r="N14" s="70" t="str">
        <f>IFERROR(__xludf.DUMMYFUNCTION("IFERROR(VLOOKUP(A14,IMPORTRANGE(""1e33dV9wgou_u1lnmBtok6Ato-q97II29uUvmeO7Juhw"",""Form Responses 1!B:C""),2,FALSE),)"),"")</f>
        <v/>
      </c>
      <c r="O14" s="70" t="str">
        <f>IFERROR(__xludf.DUMMYFUNCTION("IFERROR(VLOOKUP(A14,IMPORTRANGE(""15TUXUTXgRTcnnjS-jyDta7Ecw7-lv8-wZMGVKaxe8TY"",""Form Responses 1!B:C""),2,FALSE),)"),"")</f>
        <v/>
      </c>
      <c r="P14" s="70" t="str">
        <f>IFERROR(__xludf.DUMMYFUNCTION("IFERROR(IF(COUNTIF(IMPORTRANGE(""1KFxxroaoSLanJBYtWVxeITrgly-aztutk24Q4y14KKU"",""Form Responses 1!B:B""),A14)&gt;0,10,),0)"),"")</f>
        <v/>
      </c>
      <c r="Q14" s="71" t="str">
        <f>IFERROR(__xludf.DUMMYFUNCTION("IFERROR(VLOOKUP(TRIM(A14),IMPORTRANGE(""1WjiLR_MTMxI_IZUKuvPO4Sg2rTSIqBzP3edakSRXbOA"",""Form Responses 1!B:C""),2,0),"""")"),"")</f>
        <v/>
      </c>
      <c r="R14" s="70" t="str">
        <f>IFERROR(__xludf.DUMMYFUNCTION("IFERROR(VLOOKUP(TRIM(A14),IMPORTRANGE(""1Ixzbal5tEbtWhozsFEppQzOYE6ZSrkNXHg_HW5k3Wt4"",""Form Responses 1!B:C""),2,0),"""")"),"")</f>
        <v/>
      </c>
      <c r="S14" s="70" t="str">
        <f>IFERROR(__xludf.DUMMYFUNCTION("IFERROR(VLOOKUP(TRIM(A14),IMPORTRANGE(""1zxjtEKGvVIJPIDqZdnxENwVpPXYa88EihzyI44hcQUo"",""Form Responses 1!B:C""),2,0),"""")"),"")</f>
        <v/>
      </c>
      <c r="T14" s="70" t="str">
        <f>IFERROR(__xludf.DUMMYFUNCTION("IFERROR(VLOOKUP(TRIM(A14),IMPORTRANGE(""1H3cO01obd5zFULYqaT5NAqecZBFFIHeDFn4CeQLZF3w"",""Form Responses 1!B:C""),2,0),"""")"),"")</f>
        <v/>
      </c>
      <c r="U14" s="70" t="str">
        <f>IFERROR(__xludf.DUMMYFUNCTION("IFERROR(VLOOKUP(TRIM(A14),IMPORTRANGE(""1IG9qoa6PeLdDDFzKpW39lxXshN0-M8Z25a_R1EpsYyg"",""Form Responses 1!B:C""),2,0),"""")"),"")</f>
        <v/>
      </c>
      <c r="V14" s="74">
        <v>33.0</v>
      </c>
      <c r="W14" s="70">
        <f>IFERROR(__xludf.DUMMYFUNCTION("IFERROR(VLOOKUP(TRIM(A14),IMPORTRANGE(""1JzBbPfIn5kXHe-RuBwssvVRSauekkTw9cwf70DsYix4"",""Form Responses 1!B:C""),2,0),"""")"),12.0)</f>
        <v>12</v>
      </c>
      <c r="X14" s="70" t="str">
        <f>IFERROR(__xludf.DUMMYFUNCTION("IFERROR(VLOOKUP(TRIM(A14),IMPORTRANGE(""1JbcCdZBzu6Yag8PuyvlbtYmdvUYYQNraxAgoikGBi5w"",""Form Responses 1!B:C""),2,0),"""")"),"")</f>
        <v/>
      </c>
      <c r="Y14" s="70" t="str">
        <f>IFERROR(__xludf.DUMMYFUNCTION("IFERROR(VLOOKUP(TRIM(A14),IMPORTRANGE(""15-YcWQKwT7GXCzNpEoDkSlrruglscDYeQTD3uXec8uQ"",""Form Responses 1!B:C""),2,0),"""")"),"")</f>
        <v/>
      </c>
      <c r="Z14" s="70" t="str">
        <f>IFERROR(__xludf.DUMMYFUNCTION("IFERROR(VLOOKUP(TRIM(A14),IMPORTRANGE(""1X2rXjxJaWCoTCv5SRdgsC_V3cXeEyqXGQY3NvE1KDUk"",""Form Responses 1!B:C""),2,0),"""")"),"")</f>
        <v/>
      </c>
      <c r="AA14" s="70" t="str">
        <f>IFERROR(__xludf.DUMMYFUNCTION("IFERROR(VLOOKUP(TRIM(A14),IMPORTRANGE(""1zEJQnPshpdjcOtCVSP0I8nG2EXKbBMH9BJ8IeNFUEV8"",""Form Responses 1!B:C""),2,0),"""")"),"")</f>
        <v/>
      </c>
      <c r="AB14" s="70">
        <f>IFERROR(__xludf.DUMMYFUNCTION("IFERROR(VLOOKUP(TRIM(A14),IMPORTRANGE(""1JzBbPfIn5kXHe-RuBwssvVRSauekkTw9cwf70DsYix4"",""Form Responses 1!B:C""),2,0),"""")"),12.0)</f>
        <v>12</v>
      </c>
      <c r="AC14" s="70" t="str">
        <f>IFERROR(__xludf.DUMMYFUNCTION("IFERROR(VLOOKUP(TRIM(A14),IMPORTRANGE(""1JbcCdZBzu6Yag8PuyvlbtYmdvUYYQNraxAgoikGBi5w"",""Form Responses 1!B:C""),2,0),"""")"),"")</f>
        <v/>
      </c>
      <c r="AD14" s="70" t="str">
        <f>IFERROR(__xludf.DUMMYFUNCTION("IFERROR(VLOOKUP(TRIM(A14),IMPORTRANGE(""15-YcWQKwT7GXCzNpEoDkSlrruglscDYeQTD3uXec8uQ"",""Form Responses 1!B:C""),2,0),"""")"),"")</f>
        <v/>
      </c>
      <c r="AE14" s="70" t="str">
        <f>IFERROR(__xludf.DUMMYFUNCTION("IFERROR(VLOOKUP(TRIM(A14),IMPORTRANGE(""1X2rXjxJaWCoTCv5SRdgsC_V3cXeEyqXGQY3NvE1KDUk"",""Form Responses 1!B:C""),2,0),"""")"),"")</f>
        <v/>
      </c>
      <c r="AF14" s="70" t="str">
        <f>IFERROR(__xludf.DUMMYFUNCTION("IFERROR(VLOOKUP(TRIM(A14),IMPORTRANGE(""1zEJQnPshpdjcOtCVSP0I8nG2EXKbBMH9BJ8IeNFUEV8"",""Form Responses 1!B:C""),2,0),"""")"),"")</f>
        <v/>
      </c>
      <c r="AG14" s="70"/>
      <c r="AH14" s="70"/>
      <c r="AI14" s="70"/>
      <c r="AJ14" s="70"/>
      <c r="AK14" s="70"/>
      <c r="AL14" s="70"/>
      <c r="AM14" s="70"/>
      <c r="AN14" s="70"/>
      <c r="AO14" s="70"/>
      <c r="AP14" s="70"/>
      <c r="AQ14" s="70"/>
      <c r="AR14" s="70"/>
      <c r="AS14" s="70"/>
      <c r="AT14" s="70"/>
      <c r="AU14" s="70"/>
    </row>
    <row r="15">
      <c r="A15" s="39" t="s">
        <v>266</v>
      </c>
      <c r="B15" s="70">
        <f>IFERROR(__xludf.DUMMYFUNCTION("IFERROR(IF(COUNTIF(IMPORTRANGE(""1RTcwEJsI_0aJRebhNwO_H_AoKl9r46k7hWYbtciIyM4"",""Form Responses 1!B:B""),A15)&gt;0,10,),0)"),10.0)</f>
        <v>10</v>
      </c>
      <c r="C15" s="70">
        <f>IFERROR(__xludf.DUMMYFUNCTION("IFERROR(VLOOKUP(A15,IMPORTRANGE(""11i8IUhq_U6RRKRV3CBWIKqYed_fMvFgNUHTq1YDJfp8"",""Form Responses 1!B:C""),2,FALSE),)"),4.0)</f>
        <v>4</v>
      </c>
      <c r="D15" s="70">
        <f>IFERROR(__xludf.DUMMYFUNCTION("IFERROR(VLOOKUP(A15,IMPORTRANGE(""1StiHxuxrFhYdrq5WLR2JMORicW0TbnJf3J-oTHeMRtM"",""Form Responses 1!B:C""),2,FALSE),)"),8.0)</f>
        <v>8</v>
      </c>
      <c r="E15" s="70">
        <f>IFERROR(__xludf.DUMMYFUNCTION("IFERROR(VLOOKUP(A15,IMPORTRANGE(""1QaxxyUjrDq2kgz300C1Bq1tacFk6e-xX218cSXCQUK0"",""Form Responses 1!B:C""),2,FALSE),)"),0.0)</f>
        <v>0</v>
      </c>
      <c r="F15" s="70">
        <f>IFERROR(__xludf.DUMMYFUNCTION("IFERROR(VLOOKUP(A15,IMPORTRANGE(""1fn2ECph_y8Uz78DhjLaiXcwgt6kh3oe-0Le36Uw0noE"",""Form Responses 1!B:C""),2,FALSE),)"),7.0)</f>
        <v>7</v>
      </c>
      <c r="G15" s="39">
        <f>IFERROR(__xludf.DUMMYFUNCTION("IFERROR(IF(COUNTIF(IMPORTRANGE(""1t6NbzWBtAQKR9pGjBnxm9V-bRaGdRVT_-u2ojrUkYZw"",""Form Responses 1!B:B""),A15)&gt;0,10,),0)"),10.0)</f>
        <v>10</v>
      </c>
      <c r="H15" s="39">
        <f>IFERROR(__xludf.DUMMYFUNCTION("IFERROR(VLOOKUP(A15,IMPORTRANGE(""1ytv6MYmm-8DwYEf-PC6L-upnzfG4TJT_K2_Q1BobE6k"",""Form Responses 1!B:C""),2,FALSE),)"),11.0)</f>
        <v>11</v>
      </c>
      <c r="I15" s="39">
        <f>IFERROR(__xludf.DUMMYFUNCTION("IFERROR(VLOOKUP(A15,IMPORTRANGE(""1LTj0BC6WXgHo3fEDDSQlGOM1HkEYGTw8epmIdU0RnB4"",""Form Responses 1!B:C""),2,FALSE),)"),8.0)</f>
        <v>8</v>
      </c>
      <c r="J15" s="39">
        <f>IFERROR(__xludf.DUMMYFUNCTION("IFERROR(VLOOKUP(A15,IMPORTRANGE(""1lBH5Hghbbsr-XV8ZpAW4SFOyMpQX5vY0tEjkjRAJH48"",""Form Responses 1!B:C""),2,FALSE),)"),0.0)</f>
        <v>0</v>
      </c>
      <c r="K15" s="39">
        <f>IFERROR(__xludf.DUMMYFUNCTION("IFERROR(IF(COUNTIF(IMPORTRANGE(""11sIXwmK0co7YC01jkeOYS_Q9btyVErtOm8MrXzqLkm8"",""Form Responses 1!B:B""),A15)&gt;0,10,),0)"),10.0)</f>
        <v>10</v>
      </c>
      <c r="L15" s="70">
        <f>IFERROR(__xludf.DUMMYFUNCTION("IFERROR(IF(COUNTIF(IMPORTRANGE(""1csqG5dOxr6mnQQeHuLyfSoVeWZspfrn9T3cQFX5jhi8"",""Form Responses 1!B:B""),A15)&gt;0,10,),0)"),10.0)</f>
        <v>10</v>
      </c>
      <c r="M15" s="70">
        <f>IFERROR(__xludf.DUMMYFUNCTION("IFERROR(VLOOKUP(A15,IMPORTRANGE(""1C8QMXhp6CypS1pNA-UXlEADxmI-6nbSN9P4kujkvESI"",""Form Responses 1!B:C""),2,FALSE),)"),24.0)</f>
        <v>24</v>
      </c>
      <c r="N15" s="70">
        <f>IFERROR(__xludf.DUMMYFUNCTION("IFERROR(VLOOKUP(A15,IMPORTRANGE(""1e33dV9wgou_u1lnmBtok6Ato-q97II29uUvmeO7Juhw"",""Form Responses 1!B:C""),2,FALSE),)"),26.0)</f>
        <v>26</v>
      </c>
      <c r="O15" s="70" t="str">
        <f>IFERROR(__xludf.DUMMYFUNCTION("IFERROR(VLOOKUP(A15,IMPORTRANGE(""15TUXUTXgRTcnnjS-jyDta7Ecw7-lv8-wZMGVKaxe8TY"",""Form Responses 1!B:C""),2,FALSE),)"),"")</f>
        <v/>
      </c>
      <c r="P15" s="70">
        <f>IFERROR(__xludf.DUMMYFUNCTION("IFERROR(IF(COUNTIF(IMPORTRANGE(""1KFxxroaoSLanJBYtWVxeITrgly-aztutk24Q4y14KKU"",""Form Responses 1!B:B""),A15)&gt;0,10,),0)"),10.0)</f>
        <v>10</v>
      </c>
      <c r="Q15" s="71" t="str">
        <f>IFERROR(__xludf.DUMMYFUNCTION("IFERROR(VLOOKUP(TRIM(A15),IMPORTRANGE(""1WjiLR_MTMxI_IZUKuvPO4Sg2rTSIqBzP3edakSRXbOA"",""Form Responses 1!B:C""),2,0),"""")"),"")</f>
        <v/>
      </c>
      <c r="R15" s="70" t="str">
        <f>IFERROR(__xludf.DUMMYFUNCTION("IFERROR(VLOOKUP(TRIM(A15),IMPORTRANGE(""1Ixzbal5tEbtWhozsFEppQzOYE6ZSrkNXHg_HW5k3Wt4"",""Form Responses 1!B:C""),2,0),"""")"),"")</f>
        <v/>
      </c>
      <c r="S15" s="70" t="str">
        <f>IFERROR(__xludf.DUMMYFUNCTION("IFERROR(VLOOKUP(TRIM(A15),IMPORTRANGE(""1zxjtEKGvVIJPIDqZdnxENwVpPXYa88EihzyI44hcQUo"",""Form Responses 1!B:C""),2,0),"""")"),"")</f>
        <v/>
      </c>
      <c r="T15" s="70" t="str">
        <f>IFERROR(__xludf.DUMMYFUNCTION("IFERROR(VLOOKUP(TRIM(A15),IMPORTRANGE(""1H3cO01obd5zFULYqaT5NAqecZBFFIHeDFn4CeQLZF3w"",""Form Responses 1!B:C""),2,0),"""")"),"")</f>
        <v/>
      </c>
      <c r="U15" s="70" t="str">
        <f>IFERROR(__xludf.DUMMYFUNCTION("IFERROR(VLOOKUP(TRIM(A15),IMPORTRANGE(""1IG9qoa6PeLdDDFzKpW39lxXshN0-M8Z25a_R1EpsYyg"",""Form Responses 1!B:C""),2,0),"""")"),"")</f>
        <v/>
      </c>
      <c r="V15" s="72"/>
      <c r="W15" s="70">
        <f>IFERROR(__xludf.DUMMYFUNCTION("IFERROR(VLOOKUP(TRIM(A15),IMPORTRANGE(""1JzBbPfIn5kXHe-RuBwssvVRSauekkTw9cwf70DsYix4"",""Form Responses 1!B:C""),2,0),"""")"),0.0)</f>
        <v>0</v>
      </c>
      <c r="X15" s="70">
        <f>IFERROR(__xludf.DUMMYFUNCTION("IFERROR(VLOOKUP(TRIM(A15),IMPORTRANGE(""1JbcCdZBzu6Yag8PuyvlbtYmdvUYYQNraxAgoikGBi5w"",""Form Responses 1!B:C""),2,0),"""")"),4.0)</f>
        <v>4</v>
      </c>
      <c r="Y15" s="70">
        <f>IFERROR(__xludf.DUMMYFUNCTION("IFERROR(VLOOKUP(TRIM(A15),IMPORTRANGE(""15-YcWQKwT7GXCzNpEoDkSlrruglscDYeQTD3uXec8uQ"",""Form Responses 1!B:C""),2,0),"""")"),4.0)</f>
        <v>4</v>
      </c>
      <c r="Z15" s="70" t="str">
        <f>IFERROR(__xludf.DUMMYFUNCTION("IFERROR(VLOOKUP(TRIM(A15),IMPORTRANGE(""1X2rXjxJaWCoTCv5SRdgsC_V3cXeEyqXGQY3NvE1KDUk"",""Form Responses 1!B:C""),2,0),"""")"),"")</f>
        <v/>
      </c>
      <c r="AA15" s="70" t="str">
        <f>IFERROR(__xludf.DUMMYFUNCTION("IFERROR(VLOOKUP(TRIM(A15),IMPORTRANGE(""1zEJQnPshpdjcOtCVSP0I8nG2EXKbBMH9BJ8IeNFUEV8"",""Form Responses 1!B:C""),2,0),"""")"),"")</f>
        <v/>
      </c>
      <c r="AB15" s="70">
        <f>IFERROR(__xludf.DUMMYFUNCTION("IFERROR(VLOOKUP(TRIM(A15),IMPORTRANGE(""1JzBbPfIn5kXHe-RuBwssvVRSauekkTw9cwf70DsYix4"",""Form Responses 1!B:C""),2,0),"""")"),0.0)</f>
        <v>0</v>
      </c>
      <c r="AC15" s="70">
        <f>IFERROR(__xludf.DUMMYFUNCTION("IFERROR(VLOOKUP(TRIM(A15),IMPORTRANGE(""1JbcCdZBzu6Yag8PuyvlbtYmdvUYYQNraxAgoikGBi5w"",""Form Responses 1!B:C""),2,0),"""")"),4.0)</f>
        <v>4</v>
      </c>
      <c r="AD15" s="70">
        <f>IFERROR(__xludf.DUMMYFUNCTION("IFERROR(VLOOKUP(TRIM(A15),IMPORTRANGE(""15-YcWQKwT7GXCzNpEoDkSlrruglscDYeQTD3uXec8uQ"",""Form Responses 1!B:C""),2,0),"""")"),4.0)</f>
        <v>4</v>
      </c>
      <c r="AE15" s="70" t="str">
        <f>IFERROR(__xludf.DUMMYFUNCTION("IFERROR(VLOOKUP(TRIM(A15),IMPORTRANGE(""1X2rXjxJaWCoTCv5SRdgsC_V3cXeEyqXGQY3NvE1KDUk"",""Form Responses 1!B:C""),2,0),"""")"),"")</f>
        <v/>
      </c>
      <c r="AF15" s="70" t="str">
        <f>IFERROR(__xludf.DUMMYFUNCTION("IFERROR(VLOOKUP(TRIM(A15),IMPORTRANGE(""1zEJQnPshpdjcOtCVSP0I8nG2EXKbBMH9BJ8IeNFUEV8"",""Form Responses 1!B:C""),2,0),"""")"),"")</f>
        <v/>
      </c>
      <c r="AG15" s="70"/>
      <c r="AH15" s="70"/>
      <c r="AI15" s="70"/>
      <c r="AJ15" s="70"/>
      <c r="AK15" s="70"/>
      <c r="AL15" s="70"/>
      <c r="AM15" s="70"/>
      <c r="AN15" s="70"/>
      <c r="AO15" s="70"/>
      <c r="AP15" s="70"/>
      <c r="AQ15" s="70"/>
      <c r="AR15" s="70"/>
      <c r="AS15" s="70"/>
      <c r="AT15" s="70"/>
      <c r="AU15" s="70"/>
    </row>
    <row r="16">
      <c r="A16" s="39" t="s">
        <v>267</v>
      </c>
      <c r="B16" s="70" t="str">
        <f>IFERROR(__xludf.DUMMYFUNCTION("IFERROR(IF(COUNTIF(IMPORTRANGE(""1RTcwEJsI_0aJRebhNwO_H_AoKl9r46k7hWYbtciIyM4"",""Form Responses 1!B:B""),A16)&gt;0,10,),0)"),"")</f>
        <v/>
      </c>
      <c r="C16" s="70" t="str">
        <f>IFERROR(__xludf.DUMMYFUNCTION("IFERROR(VLOOKUP(A16,IMPORTRANGE(""11i8IUhq_U6RRKRV3CBWIKqYed_fMvFgNUHTq1YDJfp8"",""Form Responses 1!B:C""),2,FALSE),)"),"")</f>
        <v/>
      </c>
      <c r="D16" s="70" t="str">
        <f>IFERROR(__xludf.DUMMYFUNCTION("IFERROR(VLOOKUP(A16,IMPORTRANGE(""1StiHxuxrFhYdrq5WLR2JMORicW0TbnJf3J-oTHeMRtM"",""Form Responses 1!B:C""),2,FALSE),)"),"")</f>
        <v/>
      </c>
      <c r="E16" s="70" t="str">
        <f>IFERROR(__xludf.DUMMYFUNCTION("IFERROR(VLOOKUP(A16,IMPORTRANGE(""1QaxxyUjrDq2kgz300C1Bq1tacFk6e-xX218cSXCQUK0"",""Form Responses 1!B:C""),2,FALSE),)"),"")</f>
        <v/>
      </c>
      <c r="F16" s="70" t="str">
        <f>IFERROR(__xludf.DUMMYFUNCTION("IFERROR(VLOOKUP(A16,IMPORTRANGE(""1fn2ECph_y8Uz78DhjLaiXcwgt6kh3oe-0Le36Uw0noE"",""Form Responses 1!B:C""),2,FALSE),)"),"")</f>
        <v/>
      </c>
      <c r="G16" s="39" t="str">
        <f>IFERROR(__xludf.DUMMYFUNCTION("IFERROR(IF(COUNTIF(IMPORTRANGE(""1t6NbzWBtAQKR9pGjBnxm9V-bRaGdRVT_-u2ojrUkYZw"",""Form Responses 1!B:B""),A16)&gt;0,10,),0)"),"")</f>
        <v/>
      </c>
      <c r="H16" s="39" t="str">
        <f>IFERROR(__xludf.DUMMYFUNCTION("IFERROR(VLOOKUP(A16,IMPORTRANGE(""1ytv6MYmm-8DwYEf-PC6L-upnzfG4TJT_K2_Q1BobE6k"",""Form Responses 1!B:C""),2,FALSE),)"),"")</f>
        <v/>
      </c>
      <c r="I16" s="39" t="str">
        <f>IFERROR(__xludf.DUMMYFUNCTION("IFERROR(VLOOKUP(A16,IMPORTRANGE(""1LTj0BC6WXgHo3fEDDSQlGOM1HkEYGTw8epmIdU0RnB4"",""Form Responses 1!B:C""),2,FALSE),)"),"")</f>
        <v/>
      </c>
      <c r="J16" s="39" t="str">
        <f>IFERROR(__xludf.DUMMYFUNCTION("IFERROR(VLOOKUP(A16,IMPORTRANGE(""1lBH5Hghbbsr-XV8ZpAW4SFOyMpQX5vY0tEjkjRAJH48"",""Form Responses 1!B:C""),2,FALSE),)"),"")</f>
        <v/>
      </c>
      <c r="K16" s="39" t="str">
        <f>IFERROR(__xludf.DUMMYFUNCTION("IFERROR(IF(COUNTIF(IMPORTRANGE(""11sIXwmK0co7YC01jkeOYS_Q9btyVErtOm8MrXzqLkm8"",""Form Responses 1!B:B""),A16)&gt;0,10,),0)"),"")</f>
        <v/>
      </c>
      <c r="L16" s="70" t="str">
        <f>IFERROR(__xludf.DUMMYFUNCTION("IFERROR(IF(COUNTIF(IMPORTRANGE(""1csqG5dOxr6mnQQeHuLyfSoVeWZspfrn9T3cQFX5jhi8"",""Form Responses 1!B:B""),A16)&gt;0,10,),0)"),"")</f>
        <v/>
      </c>
      <c r="M16" s="70" t="str">
        <f>IFERROR(__xludf.DUMMYFUNCTION("IFERROR(VLOOKUP(A16,IMPORTRANGE(""1C8QMXhp6CypS1pNA-UXlEADxmI-6nbSN9P4kujkvESI"",""Form Responses 1!B:C""),2,FALSE),)"),"")</f>
        <v/>
      </c>
      <c r="N16" s="70" t="str">
        <f>IFERROR(__xludf.DUMMYFUNCTION("IFERROR(VLOOKUP(A16,IMPORTRANGE(""1e33dV9wgou_u1lnmBtok6Ato-q97II29uUvmeO7Juhw"",""Form Responses 1!B:C""),2,FALSE),)"),"")</f>
        <v/>
      </c>
      <c r="O16" s="70" t="str">
        <f>IFERROR(__xludf.DUMMYFUNCTION("IFERROR(VLOOKUP(A16,IMPORTRANGE(""15TUXUTXgRTcnnjS-jyDta7Ecw7-lv8-wZMGVKaxe8TY"",""Form Responses 1!B:C""),2,FALSE),)"),"")</f>
        <v/>
      </c>
      <c r="P16" s="70" t="str">
        <f>IFERROR(__xludf.DUMMYFUNCTION("IFERROR(IF(COUNTIF(IMPORTRANGE(""1KFxxroaoSLanJBYtWVxeITrgly-aztutk24Q4y14KKU"",""Form Responses 1!B:B""),A16)&gt;0,10,),0)"),"")</f>
        <v/>
      </c>
      <c r="Q16" s="71" t="str">
        <f>IFERROR(__xludf.DUMMYFUNCTION("IFERROR(VLOOKUP(TRIM(A16),IMPORTRANGE(""1WjiLR_MTMxI_IZUKuvPO4Sg2rTSIqBzP3edakSRXbOA"",""Form Responses 1!B:C""),2,0),"""")"),"")</f>
        <v/>
      </c>
      <c r="R16" s="70" t="str">
        <f>IFERROR(__xludf.DUMMYFUNCTION("IFERROR(VLOOKUP(TRIM(A16),IMPORTRANGE(""1Ixzbal5tEbtWhozsFEppQzOYE6ZSrkNXHg_HW5k3Wt4"",""Form Responses 1!B:C""),2,0),"""")"),"")</f>
        <v/>
      </c>
      <c r="S16" s="70" t="str">
        <f>IFERROR(__xludf.DUMMYFUNCTION("IFERROR(VLOOKUP(TRIM(A16),IMPORTRANGE(""1zxjtEKGvVIJPIDqZdnxENwVpPXYa88EihzyI44hcQUo"",""Form Responses 1!B:C""),2,0),"""")"),"")</f>
        <v/>
      </c>
      <c r="T16" s="70" t="str">
        <f>IFERROR(__xludf.DUMMYFUNCTION("IFERROR(VLOOKUP(TRIM(A16),IMPORTRANGE(""1H3cO01obd5zFULYqaT5NAqecZBFFIHeDFn4CeQLZF3w"",""Form Responses 1!B:C""),2,0),"""")"),"")</f>
        <v/>
      </c>
      <c r="U16" s="70" t="str">
        <f>IFERROR(__xludf.DUMMYFUNCTION("IFERROR(VLOOKUP(TRIM(A16),IMPORTRANGE(""1IG9qoa6PeLdDDFzKpW39lxXshN0-M8Z25a_R1EpsYyg"",""Form Responses 1!B:C""),2,0),"""")"),"")</f>
        <v/>
      </c>
      <c r="V16" s="72"/>
      <c r="W16" s="70" t="str">
        <f>IFERROR(__xludf.DUMMYFUNCTION("IFERROR(VLOOKUP(TRIM(A16),IMPORTRANGE(""1JzBbPfIn5kXHe-RuBwssvVRSauekkTw9cwf70DsYix4"",""Form Responses 1!B:C""),2,0),"""")"),"")</f>
        <v/>
      </c>
      <c r="X16" s="70" t="str">
        <f>IFERROR(__xludf.DUMMYFUNCTION("IFERROR(VLOOKUP(TRIM(A16),IMPORTRANGE(""1JbcCdZBzu6Yag8PuyvlbtYmdvUYYQNraxAgoikGBi5w"",""Form Responses 1!B:C""),2,0),"""")"),"")</f>
        <v/>
      </c>
      <c r="Y16" s="70" t="str">
        <f>IFERROR(__xludf.DUMMYFUNCTION("IFERROR(VLOOKUP(TRIM(A16),IMPORTRANGE(""15-YcWQKwT7GXCzNpEoDkSlrruglscDYeQTD3uXec8uQ"",""Form Responses 1!B:C""),2,0),"""")"),"")</f>
        <v/>
      </c>
      <c r="Z16" s="70" t="str">
        <f>IFERROR(__xludf.DUMMYFUNCTION("IFERROR(VLOOKUP(TRIM(A16),IMPORTRANGE(""1X2rXjxJaWCoTCv5SRdgsC_V3cXeEyqXGQY3NvE1KDUk"",""Form Responses 1!B:C""),2,0),"""")"),"")</f>
        <v/>
      </c>
      <c r="AA16" s="70" t="str">
        <f>IFERROR(__xludf.DUMMYFUNCTION("IFERROR(VLOOKUP(TRIM(A16),IMPORTRANGE(""1zEJQnPshpdjcOtCVSP0I8nG2EXKbBMH9BJ8IeNFUEV8"",""Form Responses 1!B:C""),2,0),"""")"),"")</f>
        <v/>
      </c>
      <c r="AB16" s="70" t="str">
        <f>IFERROR(__xludf.DUMMYFUNCTION("IFERROR(VLOOKUP(TRIM(A16),IMPORTRANGE(""1JzBbPfIn5kXHe-RuBwssvVRSauekkTw9cwf70DsYix4"",""Form Responses 1!B:C""),2,0),"""")"),"")</f>
        <v/>
      </c>
      <c r="AC16" s="70" t="str">
        <f>IFERROR(__xludf.DUMMYFUNCTION("IFERROR(VLOOKUP(TRIM(A16),IMPORTRANGE(""1JbcCdZBzu6Yag8PuyvlbtYmdvUYYQNraxAgoikGBi5w"",""Form Responses 1!B:C""),2,0),"""")"),"")</f>
        <v/>
      </c>
      <c r="AD16" s="70" t="str">
        <f>IFERROR(__xludf.DUMMYFUNCTION("IFERROR(VLOOKUP(TRIM(A16),IMPORTRANGE(""15-YcWQKwT7GXCzNpEoDkSlrruglscDYeQTD3uXec8uQ"",""Form Responses 1!B:C""),2,0),"""")"),"")</f>
        <v/>
      </c>
      <c r="AE16" s="70" t="str">
        <f>IFERROR(__xludf.DUMMYFUNCTION("IFERROR(VLOOKUP(TRIM(A16),IMPORTRANGE(""1X2rXjxJaWCoTCv5SRdgsC_V3cXeEyqXGQY3NvE1KDUk"",""Form Responses 1!B:C""),2,0),"""")"),"")</f>
        <v/>
      </c>
      <c r="AF16" s="70" t="str">
        <f>IFERROR(__xludf.DUMMYFUNCTION("IFERROR(VLOOKUP(TRIM(A16),IMPORTRANGE(""1zEJQnPshpdjcOtCVSP0I8nG2EXKbBMH9BJ8IeNFUEV8"",""Form Responses 1!B:C""),2,0),"""")"),"")</f>
        <v/>
      </c>
      <c r="AG16" s="70"/>
      <c r="AH16" s="70"/>
      <c r="AI16" s="70"/>
      <c r="AJ16" s="70"/>
      <c r="AK16" s="70"/>
      <c r="AL16" s="70"/>
      <c r="AM16" s="70"/>
      <c r="AN16" s="70"/>
      <c r="AO16" s="70"/>
      <c r="AP16" s="70"/>
      <c r="AQ16" s="70"/>
      <c r="AR16" s="70"/>
      <c r="AS16" s="70"/>
      <c r="AT16" s="70"/>
      <c r="AU16" s="70"/>
    </row>
    <row r="17">
      <c r="A17" s="39" t="s">
        <v>268</v>
      </c>
      <c r="B17" s="70">
        <f>IFERROR(__xludf.DUMMYFUNCTION("IFERROR(IF(COUNTIF(IMPORTRANGE(""1RTcwEJsI_0aJRebhNwO_H_AoKl9r46k7hWYbtciIyM4"",""Form Responses 1!B:B""),A17)&gt;0,10,),0)"),10.0)</f>
        <v>10</v>
      </c>
      <c r="C17" s="70" t="str">
        <f>IFERROR(__xludf.DUMMYFUNCTION("IFERROR(VLOOKUP(A17,IMPORTRANGE(""11i8IUhq_U6RRKRV3CBWIKqYed_fMvFgNUHTq1YDJfp8"",""Form Responses 1!B:C""),2,FALSE),)"),"")</f>
        <v/>
      </c>
      <c r="D17" s="70" t="str">
        <f>IFERROR(__xludf.DUMMYFUNCTION("IFERROR(VLOOKUP(A17,IMPORTRANGE(""1StiHxuxrFhYdrq5WLR2JMORicW0TbnJf3J-oTHeMRtM"",""Form Responses 1!B:C""),2,FALSE),)"),"")</f>
        <v/>
      </c>
      <c r="E17" s="70" t="str">
        <f>IFERROR(__xludf.DUMMYFUNCTION("IFERROR(VLOOKUP(A17,IMPORTRANGE(""1QaxxyUjrDq2kgz300C1Bq1tacFk6e-xX218cSXCQUK0"",""Form Responses 1!B:C""),2,FALSE),)"),"")</f>
        <v/>
      </c>
      <c r="F17" s="70" t="str">
        <f>IFERROR(__xludf.DUMMYFUNCTION("IFERROR(VLOOKUP(A17,IMPORTRANGE(""1fn2ECph_y8Uz78DhjLaiXcwgt6kh3oe-0Le36Uw0noE"",""Form Responses 1!B:C""),2,FALSE),)"),"")</f>
        <v/>
      </c>
      <c r="G17" s="39">
        <f>IFERROR(__xludf.DUMMYFUNCTION("IFERROR(IF(COUNTIF(IMPORTRANGE(""1t6NbzWBtAQKR9pGjBnxm9V-bRaGdRVT_-u2ojrUkYZw"",""Form Responses 1!B:B""),A17)&gt;0,10,),0)"),10.0)</f>
        <v>10</v>
      </c>
      <c r="H17" s="39" t="str">
        <f>IFERROR(__xludf.DUMMYFUNCTION("IFERROR(VLOOKUP(A17,IMPORTRANGE(""1ytv6MYmm-8DwYEf-PC6L-upnzfG4TJT_K2_Q1BobE6k"",""Form Responses 1!B:C""),2,FALSE),)"),"")</f>
        <v/>
      </c>
      <c r="I17" s="39" t="str">
        <f>IFERROR(__xludf.DUMMYFUNCTION("IFERROR(VLOOKUP(A17,IMPORTRANGE(""1LTj0BC6WXgHo3fEDDSQlGOM1HkEYGTw8epmIdU0RnB4"",""Form Responses 1!B:C""),2,FALSE),)"),"")</f>
        <v/>
      </c>
      <c r="J17" s="39" t="str">
        <f>IFERROR(__xludf.DUMMYFUNCTION("IFERROR(VLOOKUP(A17,IMPORTRANGE(""1lBH5Hghbbsr-XV8ZpAW4SFOyMpQX5vY0tEjkjRAJH48"",""Form Responses 1!B:C""),2,FALSE),)"),"")</f>
        <v/>
      </c>
      <c r="K17" s="39" t="str">
        <f>IFERROR(__xludf.DUMMYFUNCTION("IFERROR(IF(COUNTIF(IMPORTRANGE(""11sIXwmK0co7YC01jkeOYS_Q9btyVErtOm8MrXzqLkm8"",""Form Responses 1!B:B""),A17)&gt;0,10,),0)"),"")</f>
        <v/>
      </c>
      <c r="L17" s="70" t="str">
        <f>IFERROR(__xludf.DUMMYFUNCTION("IFERROR(IF(COUNTIF(IMPORTRANGE(""1csqG5dOxr6mnQQeHuLyfSoVeWZspfrn9T3cQFX5jhi8"",""Form Responses 1!B:B""),A17)&gt;0,10,),0)"),"")</f>
        <v/>
      </c>
      <c r="M17" s="70" t="str">
        <f>IFERROR(__xludf.DUMMYFUNCTION("IFERROR(VLOOKUP(A17,IMPORTRANGE(""1C8QMXhp6CypS1pNA-UXlEADxmI-6nbSN9P4kujkvESI"",""Form Responses 1!B:C""),2,FALSE),)"),"")</f>
        <v/>
      </c>
      <c r="N17" s="70" t="str">
        <f>IFERROR(__xludf.DUMMYFUNCTION("IFERROR(VLOOKUP(A17,IMPORTRANGE(""1e33dV9wgou_u1lnmBtok6Ato-q97II29uUvmeO7Juhw"",""Form Responses 1!B:C""),2,FALSE),)"),"")</f>
        <v/>
      </c>
      <c r="O17" s="70" t="str">
        <f>IFERROR(__xludf.DUMMYFUNCTION("IFERROR(VLOOKUP(A17,IMPORTRANGE(""15TUXUTXgRTcnnjS-jyDta7Ecw7-lv8-wZMGVKaxe8TY"",""Form Responses 1!B:C""),2,FALSE),)"),"")</f>
        <v/>
      </c>
      <c r="P17" s="70" t="str">
        <f>IFERROR(__xludf.DUMMYFUNCTION("IFERROR(IF(COUNTIF(IMPORTRANGE(""1KFxxroaoSLanJBYtWVxeITrgly-aztutk24Q4y14KKU"",""Form Responses 1!B:B""),A17)&gt;0,10,),0)"),"")</f>
        <v/>
      </c>
      <c r="Q17" s="71" t="str">
        <f>IFERROR(__xludf.DUMMYFUNCTION("IFERROR(VLOOKUP(TRIM(A17),IMPORTRANGE(""1WjiLR_MTMxI_IZUKuvPO4Sg2rTSIqBzP3edakSRXbOA"",""Form Responses 1!B:C""),2,0),"""")"),"")</f>
        <v/>
      </c>
      <c r="R17" s="70" t="str">
        <f>IFERROR(__xludf.DUMMYFUNCTION("IFERROR(VLOOKUP(TRIM(A17),IMPORTRANGE(""1Ixzbal5tEbtWhozsFEppQzOYE6ZSrkNXHg_HW5k3Wt4"",""Form Responses 1!B:C""),2,0),"""")"),"")</f>
        <v/>
      </c>
      <c r="S17" s="70" t="str">
        <f>IFERROR(__xludf.DUMMYFUNCTION("IFERROR(VLOOKUP(TRIM(A17),IMPORTRANGE(""1zxjtEKGvVIJPIDqZdnxENwVpPXYa88EihzyI44hcQUo"",""Form Responses 1!B:C""),2,0),"""")"),"")</f>
        <v/>
      </c>
      <c r="T17" s="70" t="str">
        <f>IFERROR(__xludf.DUMMYFUNCTION("IFERROR(VLOOKUP(TRIM(A17),IMPORTRANGE(""1H3cO01obd5zFULYqaT5NAqecZBFFIHeDFn4CeQLZF3w"",""Form Responses 1!B:C""),2,0),"""")"),"")</f>
        <v/>
      </c>
      <c r="U17" s="70" t="str">
        <f>IFERROR(__xludf.DUMMYFUNCTION("IFERROR(VLOOKUP(TRIM(A17),IMPORTRANGE(""1IG9qoa6PeLdDDFzKpW39lxXshN0-M8Z25a_R1EpsYyg"",""Form Responses 1!B:C""),2,0),"""")"),"")</f>
        <v/>
      </c>
      <c r="V17" s="72"/>
      <c r="W17" s="70">
        <f>IFERROR(__xludf.DUMMYFUNCTION("IFERROR(VLOOKUP(TRIM(A17),IMPORTRANGE(""1JzBbPfIn5kXHe-RuBwssvVRSauekkTw9cwf70DsYix4"",""Form Responses 1!B:C""),2,0),"""")"),9.0)</f>
        <v>9</v>
      </c>
      <c r="X17" s="70" t="str">
        <f>IFERROR(__xludf.DUMMYFUNCTION("IFERROR(VLOOKUP(TRIM(A17),IMPORTRANGE(""1JbcCdZBzu6Yag8PuyvlbtYmdvUYYQNraxAgoikGBi5w"",""Form Responses 1!B:C""),2,0),"""")"),"")</f>
        <v/>
      </c>
      <c r="Y17" s="70" t="str">
        <f>IFERROR(__xludf.DUMMYFUNCTION("IFERROR(VLOOKUP(TRIM(A17),IMPORTRANGE(""15-YcWQKwT7GXCzNpEoDkSlrruglscDYeQTD3uXec8uQ"",""Form Responses 1!B:C""),2,0),"""")"),"")</f>
        <v/>
      </c>
      <c r="Z17" s="70" t="str">
        <f>IFERROR(__xludf.DUMMYFUNCTION("IFERROR(VLOOKUP(TRIM(A17),IMPORTRANGE(""1X2rXjxJaWCoTCv5SRdgsC_V3cXeEyqXGQY3NvE1KDUk"",""Form Responses 1!B:C""),2,0),"""")"),"")</f>
        <v/>
      </c>
      <c r="AA17" s="70" t="str">
        <f>IFERROR(__xludf.DUMMYFUNCTION("IFERROR(VLOOKUP(TRIM(A17),IMPORTRANGE(""1zEJQnPshpdjcOtCVSP0I8nG2EXKbBMH9BJ8IeNFUEV8"",""Form Responses 1!B:C""),2,0),"""")"),"")</f>
        <v/>
      </c>
      <c r="AB17" s="70">
        <f>IFERROR(__xludf.DUMMYFUNCTION("IFERROR(VLOOKUP(TRIM(A17),IMPORTRANGE(""1JzBbPfIn5kXHe-RuBwssvVRSauekkTw9cwf70DsYix4"",""Form Responses 1!B:C""),2,0),"""")"),9.0)</f>
        <v>9</v>
      </c>
      <c r="AC17" s="70" t="str">
        <f>IFERROR(__xludf.DUMMYFUNCTION("IFERROR(VLOOKUP(TRIM(A17),IMPORTRANGE(""1JbcCdZBzu6Yag8PuyvlbtYmdvUYYQNraxAgoikGBi5w"",""Form Responses 1!B:C""),2,0),"""")"),"")</f>
        <v/>
      </c>
      <c r="AD17" s="70" t="str">
        <f>IFERROR(__xludf.DUMMYFUNCTION("IFERROR(VLOOKUP(TRIM(A17),IMPORTRANGE(""15-YcWQKwT7GXCzNpEoDkSlrruglscDYeQTD3uXec8uQ"",""Form Responses 1!B:C""),2,0),"""")"),"")</f>
        <v/>
      </c>
      <c r="AE17" s="70" t="str">
        <f>IFERROR(__xludf.DUMMYFUNCTION("IFERROR(VLOOKUP(TRIM(A17),IMPORTRANGE(""1X2rXjxJaWCoTCv5SRdgsC_V3cXeEyqXGQY3NvE1KDUk"",""Form Responses 1!B:C""),2,0),"""")"),"")</f>
        <v/>
      </c>
      <c r="AF17" s="70" t="str">
        <f>IFERROR(__xludf.DUMMYFUNCTION("IFERROR(VLOOKUP(TRIM(A17),IMPORTRANGE(""1zEJQnPshpdjcOtCVSP0I8nG2EXKbBMH9BJ8IeNFUEV8"",""Form Responses 1!B:C""),2,0),"""")"),"")</f>
        <v/>
      </c>
      <c r="AG17" s="70"/>
      <c r="AH17" s="70"/>
      <c r="AI17" s="70"/>
      <c r="AJ17" s="70"/>
      <c r="AK17" s="70"/>
      <c r="AL17" s="70"/>
      <c r="AM17" s="70"/>
      <c r="AN17" s="70"/>
      <c r="AO17" s="70"/>
      <c r="AP17" s="70"/>
      <c r="AQ17" s="70"/>
      <c r="AR17" s="70"/>
      <c r="AS17" s="70"/>
      <c r="AT17" s="70"/>
      <c r="AU17" s="70"/>
    </row>
    <row r="18">
      <c r="A18" s="39" t="s">
        <v>269</v>
      </c>
      <c r="B18" s="70" t="str">
        <f>IFERROR(__xludf.DUMMYFUNCTION("IFERROR(IF(COUNTIF(IMPORTRANGE(""1RTcwEJsI_0aJRebhNwO_H_AoKl9r46k7hWYbtciIyM4"",""Form Responses 1!B:B""),A18)&gt;0,10,),0)"),"")</f>
        <v/>
      </c>
      <c r="C18" s="70" t="str">
        <f>IFERROR(__xludf.DUMMYFUNCTION("IFERROR(VLOOKUP(A18,IMPORTRANGE(""11i8IUhq_U6RRKRV3CBWIKqYed_fMvFgNUHTq1YDJfp8"",""Form Responses 1!B:C""),2,FALSE),)"),"")</f>
        <v/>
      </c>
      <c r="D18" s="70" t="str">
        <f>IFERROR(__xludf.DUMMYFUNCTION("IFERROR(VLOOKUP(A18,IMPORTRANGE(""1StiHxuxrFhYdrq5WLR2JMORicW0TbnJf3J-oTHeMRtM"",""Form Responses 1!B:C""),2,FALSE),)"),"")</f>
        <v/>
      </c>
      <c r="E18" s="70" t="str">
        <f>IFERROR(__xludf.DUMMYFUNCTION("IFERROR(VLOOKUP(A18,IMPORTRANGE(""1QaxxyUjrDq2kgz300C1Bq1tacFk6e-xX218cSXCQUK0"",""Form Responses 1!B:C""),2,FALSE),)"),"")</f>
        <v/>
      </c>
      <c r="F18" s="70" t="str">
        <f>IFERROR(__xludf.DUMMYFUNCTION("IFERROR(VLOOKUP(A18,IMPORTRANGE(""1fn2ECph_y8Uz78DhjLaiXcwgt6kh3oe-0Le36Uw0noE"",""Form Responses 1!B:C""),2,FALSE),)"),"")</f>
        <v/>
      </c>
      <c r="G18" s="39">
        <f>IFERROR(__xludf.DUMMYFUNCTION("IFERROR(IF(COUNTIF(IMPORTRANGE(""1t6NbzWBtAQKR9pGjBnxm9V-bRaGdRVT_-u2ojrUkYZw"",""Form Responses 1!B:B""),A18)&gt;0,10,),0)"),10.0)</f>
        <v>10</v>
      </c>
      <c r="H18" s="39" t="str">
        <f>IFERROR(__xludf.DUMMYFUNCTION("IFERROR(VLOOKUP(A18,IMPORTRANGE(""1ytv6MYmm-8DwYEf-PC6L-upnzfG4TJT_K2_Q1BobE6k"",""Form Responses 1!B:C""),2,FALSE),)"),"")</f>
        <v/>
      </c>
      <c r="I18" s="39" t="str">
        <f>IFERROR(__xludf.DUMMYFUNCTION("IFERROR(VLOOKUP(A18,IMPORTRANGE(""1LTj0BC6WXgHo3fEDDSQlGOM1HkEYGTw8epmIdU0RnB4"",""Form Responses 1!B:C""),2,FALSE),)"),"")</f>
        <v/>
      </c>
      <c r="J18" s="39" t="str">
        <f>IFERROR(__xludf.DUMMYFUNCTION("IFERROR(VLOOKUP(A18,IMPORTRANGE(""1lBH5Hghbbsr-XV8ZpAW4SFOyMpQX5vY0tEjkjRAJH48"",""Form Responses 1!B:C""),2,FALSE),)"),"")</f>
        <v/>
      </c>
      <c r="K18" s="39" t="str">
        <f>IFERROR(__xludf.DUMMYFUNCTION("IFERROR(IF(COUNTIF(IMPORTRANGE(""11sIXwmK0co7YC01jkeOYS_Q9btyVErtOm8MrXzqLkm8"",""Form Responses 1!B:B""),A18)&gt;0,10,),0)"),"")</f>
        <v/>
      </c>
      <c r="L18" s="70" t="str">
        <f>IFERROR(__xludf.DUMMYFUNCTION("IFERROR(IF(COUNTIF(IMPORTRANGE(""1csqG5dOxr6mnQQeHuLyfSoVeWZspfrn9T3cQFX5jhi8"",""Form Responses 1!B:B""),A18)&gt;0,10,),0)"),"")</f>
        <v/>
      </c>
      <c r="M18" s="70" t="str">
        <f>IFERROR(__xludf.DUMMYFUNCTION("IFERROR(VLOOKUP(A18,IMPORTRANGE(""1C8QMXhp6CypS1pNA-UXlEADxmI-6nbSN9P4kujkvESI"",""Form Responses 1!B:C""),2,FALSE),)"),"")</f>
        <v/>
      </c>
      <c r="N18" s="70" t="str">
        <f>IFERROR(__xludf.DUMMYFUNCTION("IFERROR(VLOOKUP(A18,IMPORTRANGE(""1e33dV9wgou_u1lnmBtok6Ato-q97II29uUvmeO7Juhw"",""Form Responses 1!B:C""),2,FALSE),)"),"")</f>
        <v/>
      </c>
      <c r="O18" s="70" t="str">
        <f>IFERROR(__xludf.DUMMYFUNCTION("IFERROR(VLOOKUP(A18,IMPORTRANGE(""15TUXUTXgRTcnnjS-jyDta7Ecw7-lv8-wZMGVKaxe8TY"",""Form Responses 1!B:C""),2,FALSE),)"),"")</f>
        <v/>
      </c>
      <c r="P18" s="70" t="str">
        <f>IFERROR(__xludf.DUMMYFUNCTION("IFERROR(IF(COUNTIF(IMPORTRANGE(""1KFxxroaoSLanJBYtWVxeITrgly-aztutk24Q4y14KKU"",""Form Responses 1!B:B""),A18)&gt;0,10,),0)"),"")</f>
        <v/>
      </c>
      <c r="Q18" s="71">
        <f>IFERROR(__xludf.DUMMYFUNCTION("IFERROR(VLOOKUP(TRIM(A18),IMPORTRANGE(""1WjiLR_MTMxI_IZUKuvPO4Sg2rTSIqBzP3edakSRXbOA"",""Form Responses 1!B:C""),2,0),"""")"),10.0)</f>
        <v>10</v>
      </c>
      <c r="R18" s="70" t="str">
        <f>IFERROR(__xludf.DUMMYFUNCTION("IFERROR(VLOOKUP(TRIM(A18),IMPORTRANGE(""1Ixzbal5tEbtWhozsFEppQzOYE6ZSrkNXHg_HW5k3Wt4"",""Form Responses 1!B:C""),2,0),"""")"),"")</f>
        <v/>
      </c>
      <c r="S18" s="70" t="str">
        <f>IFERROR(__xludf.DUMMYFUNCTION("IFERROR(VLOOKUP(TRIM(A18),IMPORTRANGE(""1zxjtEKGvVIJPIDqZdnxENwVpPXYa88EihzyI44hcQUo"",""Form Responses 1!B:C""),2,0),"""")"),"")</f>
        <v/>
      </c>
      <c r="T18" s="70" t="str">
        <f>IFERROR(__xludf.DUMMYFUNCTION("IFERROR(VLOOKUP(TRIM(A18),IMPORTRANGE(""1H3cO01obd5zFULYqaT5NAqecZBFFIHeDFn4CeQLZF3w"",""Form Responses 1!B:C""),2,0),"""")"),"")</f>
        <v/>
      </c>
      <c r="U18" s="70">
        <f>IFERROR(__xludf.DUMMYFUNCTION("IFERROR(VLOOKUP(TRIM(A18),IMPORTRANGE(""1IG9qoa6PeLdDDFzKpW39lxXshN0-M8Z25a_R1EpsYyg"",""Form Responses 1!B:C""),2,0),"""")"),4.0)</f>
        <v>4</v>
      </c>
      <c r="V18" s="72"/>
      <c r="W18" s="70" t="str">
        <f>IFERROR(__xludf.DUMMYFUNCTION("IFERROR(VLOOKUP(TRIM(A18),IMPORTRANGE(""1JzBbPfIn5kXHe-RuBwssvVRSauekkTw9cwf70DsYix4"",""Form Responses 1!B:C""),2,0),"""")"),"")</f>
        <v/>
      </c>
      <c r="X18" s="70" t="str">
        <f>IFERROR(__xludf.DUMMYFUNCTION("IFERROR(VLOOKUP(TRIM(A18),IMPORTRANGE(""1JbcCdZBzu6Yag8PuyvlbtYmdvUYYQNraxAgoikGBi5w"",""Form Responses 1!B:C""),2,0),"""")"),"")</f>
        <v/>
      </c>
      <c r="Y18" s="70" t="str">
        <f>IFERROR(__xludf.DUMMYFUNCTION("IFERROR(VLOOKUP(TRIM(A18),IMPORTRANGE(""15-YcWQKwT7GXCzNpEoDkSlrruglscDYeQTD3uXec8uQ"",""Form Responses 1!B:C""),2,0),"""")"),"")</f>
        <v/>
      </c>
      <c r="Z18" s="70" t="str">
        <f>IFERROR(__xludf.DUMMYFUNCTION("IFERROR(VLOOKUP(TRIM(A18),IMPORTRANGE(""1X2rXjxJaWCoTCv5SRdgsC_V3cXeEyqXGQY3NvE1KDUk"",""Form Responses 1!B:C""),2,0),"""")"),"")</f>
        <v/>
      </c>
      <c r="AA18" s="70" t="str">
        <f>IFERROR(__xludf.DUMMYFUNCTION("IFERROR(VLOOKUP(TRIM(A18),IMPORTRANGE(""1zEJQnPshpdjcOtCVSP0I8nG2EXKbBMH9BJ8IeNFUEV8"",""Form Responses 1!B:C""),2,0),"""")"),"")</f>
        <v/>
      </c>
      <c r="AB18" s="70" t="str">
        <f>IFERROR(__xludf.DUMMYFUNCTION("IFERROR(VLOOKUP(TRIM(A18),IMPORTRANGE(""1JzBbPfIn5kXHe-RuBwssvVRSauekkTw9cwf70DsYix4"",""Form Responses 1!B:C""),2,0),"""")"),"")</f>
        <v/>
      </c>
      <c r="AC18" s="70" t="str">
        <f>IFERROR(__xludf.DUMMYFUNCTION("IFERROR(VLOOKUP(TRIM(A18),IMPORTRANGE(""1JbcCdZBzu6Yag8PuyvlbtYmdvUYYQNraxAgoikGBi5w"",""Form Responses 1!B:C""),2,0),"""")"),"")</f>
        <v/>
      </c>
      <c r="AD18" s="70" t="str">
        <f>IFERROR(__xludf.DUMMYFUNCTION("IFERROR(VLOOKUP(TRIM(A18),IMPORTRANGE(""15-YcWQKwT7GXCzNpEoDkSlrruglscDYeQTD3uXec8uQ"",""Form Responses 1!B:C""),2,0),"""")"),"")</f>
        <v/>
      </c>
      <c r="AE18" s="70" t="str">
        <f>IFERROR(__xludf.DUMMYFUNCTION("IFERROR(VLOOKUP(TRIM(A18),IMPORTRANGE(""1X2rXjxJaWCoTCv5SRdgsC_V3cXeEyqXGQY3NvE1KDUk"",""Form Responses 1!B:C""),2,0),"""")"),"")</f>
        <v/>
      </c>
      <c r="AF18" s="70" t="str">
        <f>IFERROR(__xludf.DUMMYFUNCTION("IFERROR(VLOOKUP(TRIM(A18),IMPORTRANGE(""1zEJQnPshpdjcOtCVSP0I8nG2EXKbBMH9BJ8IeNFUEV8"",""Form Responses 1!B:C""),2,0),"""")"),"")</f>
        <v/>
      </c>
      <c r="AG18" s="70"/>
      <c r="AH18" s="70"/>
      <c r="AI18" s="70"/>
      <c r="AJ18" s="70"/>
      <c r="AK18" s="70"/>
      <c r="AL18" s="70"/>
      <c r="AM18" s="70"/>
      <c r="AN18" s="70"/>
      <c r="AO18" s="70"/>
      <c r="AP18" s="70"/>
      <c r="AQ18" s="70"/>
      <c r="AR18" s="70"/>
      <c r="AS18" s="70"/>
      <c r="AT18" s="70"/>
      <c r="AU18" s="70"/>
    </row>
    <row r="19">
      <c r="A19" s="39" t="s">
        <v>270</v>
      </c>
      <c r="B19" s="70">
        <f>IFERROR(__xludf.DUMMYFUNCTION("IFERROR(IF(COUNTIF(IMPORTRANGE(""1RTcwEJsI_0aJRebhNwO_H_AoKl9r46k7hWYbtciIyM4"",""Form Responses 1!B:B""),A19)&gt;0,10,),0)"),10.0)</f>
        <v>10</v>
      </c>
      <c r="C19" s="70">
        <f>IFERROR(__xludf.DUMMYFUNCTION("IFERROR(VLOOKUP(A19,IMPORTRANGE(""11i8IUhq_U6RRKRV3CBWIKqYed_fMvFgNUHTq1YDJfp8"",""Form Responses 1!B:C""),2,FALSE),)"),4.0)</f>
        <v>4</v>
      </c>
      <c r="D19" s="70">
        <f>IFERROR(__xludf.DUMMYFUNCTION("IFERROR(VLOOKUP(A19,IMPORTRANGE(""1StiHxuxrFhYdrq5WLR2JMORicW0TbnJf3J-oTHeMRtM"",""Form Responses 1!B:C""),2,FALSE),)"),3.0)</f>
        <v>3</v>
      </c>
      <c r="E19" s="70" t="str">
        <f>IFERROR(__xludf.DUMMYFUNCTION("IFERROR(VLOOKUP(A19,IMPORTRANGE(""1QaxxyUjrDq2kgz300C1Bq1tacFk6e-xX218cSXCQUK0"",""Form Responses 1!B:C""),2,FALSE),)"),"")</f>
        <v/>
      </c>
      <c r="F19" s="70" t="str">
        <f>IFERROR(__xludf.DUMMYFUNCTION("IFERROR(VLOOKUP(A19,IMPORTRANGE(""1fn2ECph_y8Uz78DhjLaiXcwgt6kh3oe-0Le36Uw0noE"",""Form Responses 1!B:C""),2,FALSE),)"),"")</f>
        <v/>
      </c>
      <c r="G19" s="39">
        <f>IFERROR(__xludf.DUMMYFUNCTION("IFERROR(IF(COUNTIF(IMPORTRANGE(""1t6NbzWBtAQKR9pGjBnxm9V-bRaGdRVT_-u2ojrUkYZw"",""Form Responses 1!B:B""),A19)&gt;0,10,),0)"),10.0)</f>
        <v>10</v>
      </c>
      <c r="H19" s="39">
        <f>IFERROR(__xludf.DUMMYFUNCTION("IFERROR(VLOOKUP(A19,IMPORTRANGE(""1ytv6MYmm-8DwYEf-PC6L-upnzfG4TJT_K2_Q1BobE6k"",""Form Responses 1!B:C""),2,FALSE),)"),3.0)</f>
        <v>3</v>
      </c>
      <c r="I19" s="39">
        <f>IFERROR(__xludf.DUMMYFUNCTION("IFERROR(VLOOKUP(A19,IMPORTRANGE(""1LTj0BC6WXgHo3fEDDSQlGOM1HkEYGTw8epmIdU0RnB4"",""Form Responses 1!B:C""),2,FALSE),)"),7.0)</f>
        <v>7</v>
      </c>
      <c r="J19" s="39">
        <f>IFERROR(__xludf.DUMMYFUNCTION("IFERROR(VLOOKUP(A19,IMPORTRANGE(""1lBH5Hghbbsr-XV8ZpAW4SFOyMpQX5vY0tEjkjRAJH48"",""Form Responses 1!B:C""),2,FALSE),)"),0.0)</f>
        <v>0</v>
      </c>
      <c r="K19" s="39" t="str">
        <f>IFERROR(__xludf.DUMMYFUNCTION("IFERROR(IF(COUNTIF(IMPORTRANGE(""11sIXwmK0co7YC01jkeOYS_Q9btyVErtOm8MrXzqLkm8"",""Form Responses 1!B:B""),A19)&gt;0,10,),0)"),"")</f>
        <v/>
      </c>
      <c r="L19" s="70">
        <f>IFERROR(__xludf.DUMMYFUNCTION("IFERROR(IF(COUNTIF(IMPORTRANGE(""1csqG5dOxr6mnQQeHuLyfSoVeWZspfrn9T3cQFX5jhi8"",""Form Responses 1!B:B""),A19)&gt;0,10,),0)"),10.0)</f>
        <v>10</v>
      </c>
      <c r="M19" s="70">
        <f>IFERROR(__xludf.DUMMYFUNCTION("IFERROR(VLOOKUP(A19,IMPORTRANGE(""1C8QMXhp6CypS1pNA-UXlEADxmI-6nbSN9P4kujkvESI"",""Form Responses 1!B:C""),2,FALSE),)"),10.0)</f>
        <v>10</v>
      </c>
      <c r="N19" s="70">
        <f>IFERROR(__xludf.DUMMYFUNCTION("IFERROR(VLOOKUP(A19,IMPORTRANGE(""1e33dV9wgou_u1lnmBtok6Ato-q97II29uUvmeO7Juhw"",""Form Responses 1!B:C""),2,FALSE),)"),9.0)</f>
        <v>9</v>
      </c>
      <c r="O19" s="70">
        <f>IFERROR(__xludf.DUMMYFUNCTION("IFERROR(VLOOKUP(A19,IMPORTRANGE(""15TUXUTXgRTcnnjS-jyDta7Ecw7-lv8-wZMGVKaxe8TY"",""Form Responses 1!B:C""),2,FALSE),)"),4.0)</f>
        <v>4</v>
      </c>
      <c r="P19" s="70">
        <f>IFERROR(__xludf.DUMMYFUNCTION("IFERROR(IF(COUNTIF(IMPORTRANGE(""1KFxxroaoSLanJBYtWVxeITrgly-aztutk24Q4y14KKU"",""Form Responses 1!B:B""),A19)&gt;0,10,),0)"),10.0)</f>
        <v>10</v>
      </c>
      <c r="Q19" s="71">
        <f>IFERROR(__xludf.DUMMYFUNCTION("IFERROR(VLOOKUP(TRIM(A19),IMPORTRANGE(""1WjiLR_MTMxI_IZUKuvPO4Sg2rTSIqBzP3edakSRXbOA"",""Form Responses 1!B:C""),2,0),"""")"),4.0)</f>
        <v>4</v>
      </c>
      <c r="R19" s="70">
        <f>IFERROR(__xludf.DUMMYFUNCTION("IFERROR(VLOOKUP(TRIM(A19),IMPORTRANGE(""1Ixzbal5tEbtWhozsFEppQzOYE6ZSrkNXHg_HW5k3Wt4"",""Form Responses 1!B:C""),2,0),"""")"),0.0)</f>
        <v>0</v>
      </c>
      <c r="S19" s="70">
        <f>IFERROR(__xludf.DUMMYFUNCTION("IFERROR(VLOOKUP(TRIM(A19),IMPORTRANGE(""1zxjtEKGvVIJPIDqZdnxENwVpPXYa88EihzyI44hcQUo"",""Form Responses 1!B:C""),2,0),"""")"),3.0)</f>
        <v>3</v>
      </c>
      <c r="T19" s="70">
        <f>IFERROR(__xludf.DUMMYFUNCTION("IFERROR(VLOOKUP(TRIM(A19),IMPORTRANGE(""1H3cO01obd5zFULYqaT5NAqecZBFFIHeDFn4CeQLZF3w"",""Form Responses 1!B:C""),2,0),"""")"),3.0)</f>
        <v>3</v>
      </c>
      <c r="U19" s="70">
        <f>IFERROR(__xludf.DUMMYFUNCTION("IFERROR(VLOOKUP(TRIM(A19),IMPORTRANGE(""1IG9qoa6PeLdDDFzKpW39lxXshN0-M8Z25a_R1EpsYyg"",""Form Responses 1!B:C""),2,0),"""")"),0.0)</f>
        <v>0</v>
      </c>
      <c r="V19" s="72"/>
      <c r="W19" s="70">
        <f>IFERROR(__xludf.DUMMYFUNCTION("IFERROR(VLOOKUP(TRIM(A19),IMPORTRANGE(""1JzBbPfIn5kXHe-RuBwssvVRSauekkTw9cwf70DsYix4"",""Form Responses 1!B:C""),2,0),"""")"),7.0)</f>
        <v>7</v>
      </c>
      <c r="X19" s="70">
        <f>IFERROR(__xludf.DUMMYFUNCTION("IFERROR(VLOOKUP(TRIM(A19),IMPORTRANGE(""1JbcCdZBzu6Yag8PuyvlbtYmdvUYYQNraxAgoikGBi5w"",""Form Responses 1!B:C""),2,0),"""")"),8.0)</f>
        <v>8</v>
      </c>
      <c r="Y19" s="70" t="str">
        <f>IFERROR(__xludf.DUMMYFUNCTION("IFERROR(VLOOKUP(TRIM(A19),IMPORTRANGE(""15-YcWQKwT7GXCzNpEoDkSlrruglscDYeQTD3uXec8uQ"",""Form Responses 1!B:C""),2,0),"""")"),"")</f>
        <v/>
      </c>
      <c r="Z19" s="70" t="str">
        <f>IFERROR(__xludf.DUMMYFUNCTION("IFERROR(VLOOKUP(TRIM(A19),IMPORTRANGE(""1X2rXjxJaWCoTCv5SRdgsC_V3cXeEyqXGQY3NvE1KDUk"",""Form Responses 1!B:C""),2,0),"""")"),"")</f>
        <v/>
      </c>
      <c r="AA19" s="70" t="str">
        <f>IFERROR(__xludf.DUMMYFUNCTION("IFERROR(VLOOKUP(TRIM(A19),IMPORTRANGE(""1zEJQnPshpdjcOtCVSP0I8nG2EXKbBMH9BJ8IeNFUEV8"",""Form Responses 1!B:C""),2,0),"""")"),"")</f>
        <v/>
      </c>
      <c r="AB19" s="70">
        <f>IFERROR(__xludf.DUMMYFUNCTION("IFERROR(VLOOKUP(TRIM(A19),IMPORTRANGE(""1JzBbPfIn5kXHe-RuBwssvVRSauekkTw9cwf70DsYix4"",""Form Responses 1!B:C""),2,0),"""")"),7.0)</f>
        <v>7</v>
      </c>
      <c r="AC19" s="70">
        <f>IFERROR(__xludf.DUMMYFUNCTION("IFERROR(VLOOKUP(TRIM(A19),IMPORTRANGE(""1JbcCdZBzu6Yag8PuyvlbtYmdvUYYQNraxAgoikGBi5w"",""Form Responses 1!B:C""),2,0),"""")"),8.0)</f>
        <v>8</v>
      </c>
      <c r="AD19" s="70" t="str">
        <f>IFERROR(__xludf.DUMMYFUNCTION("IFERROR(VLOOKUP(TRIM(A19),IMPORTRANGE(""15-YcWQKwT7GXCzNpEoDkSlrruglscDYeQTD3uXec8uQ"",""Form Responses 1!B:C""),2,0),"""")"),"")</f>
        <v/>
      </c>
      <c r="AE19" s="70" t="str">
        <f>IFERROR(__xludf.DUMMYFUNCTION("IFERROR(VLOOKUP(TRIM(A19),IMPORTRANGE(""1X2rXjxJaWCoTCv5SRdgsC_V3cXeEyqXGQY3NvE1KDUk"",""Form Responses 1!B:C""),2,0),"""")"),"")</f>
        <v/>
      </c>
      <c r="AF19" s="70" t="str">
        <f>IFERROR(__xludf.DUMMYFUNCTION("IFERROR(VLOOKUP(TRIM(A19),IMPORTRANGE(""1zEJQnPshpdjcOtCVSP0I8nG2EXKbBMH9BJ8IeNFUEV8"",""Form Responses 1!B:C""),2,0),"""")"),"")</f>
        <v/>
      </c>
      <c r="AG19" s="70"/>
      <c r="AH19" s="70"/>
      <c r="AI19" s="70"/>
      <c r="AJ19" s="70"/>
      <c r="AK19" s="70"/>
      <c r="AL19" s="70"/>
      <c r="AM19" s="70"/>
      <c r="AN19" s="70"/>
      <c r="AO19" s="70"/>
      <c r="AP19" s="70"/>
      <c r="AQ19" s="70"/>
      <c r="AR19" s="70"/>
      <c r="AS19" s="70"/>
      <c r="AT19" s="70"/>
      <c r="AU19" s="70"/>
    </row>
    <row r="20">
      <c r="A20" s="39" t="s">
        <v>271</v>
      </c>
      <c r="B20" s="70">
        <f>IFERROR(__xludf.DUMMYFUNCTION("IFERROR(IF(COUNTIF(IMPORTRANGE(""1RTcwEJsI_0aJRebhNwO_H_AoKl9r46k7hWYbtciIyM4"",""Form Responses 1!B:B""),A20)&gt;0,10,),0)"),10.0)</f>
        <v>10</v>
      </c>
      <c r="C20" s="70">
        <f>IFERROR(__xludf.DUMMYFUNCTION("IFERROR(VLOOKUP(A20,IMPORTRANGE(""11i8IUhq_U6RRKRV3CBWIKqYed_fMvFgNUHTq1YDJfp8"",""Form Responses 1!B:C""),2,FALSE),)"),2.0)</f>
        <v>2</v>
      </c>
      <c r="D20" s="70">
        <f>IFERROR(__xludf.DUMMYFUNCTION("IFERROR(VLOOKUP(A20,IMPORTRANGE(""1StiHxuxrFhYdrq5WLR2JMORicW0TbnJf3J-oTHeMRtM"",""Form Responses 1!B:C""),2,FALSE),)"),2.0)</f>
        <v>2</v>
      </c>
      <c r="E20" s="70">
        <f>IFERROR(__xludf.DUMMYFUNCTION("IFERROR(VLOOKUP(A20,IMPORTRANGE(""1QaxxyUjrDq2kgz300C1Bq1tacFk6e-xX218cSXCQUK0"",""Form Responses 1!B:C""),2,FALSE),)"),4.0)</f>
        <v>4</v>
      </c>
      <c r="F20" s="70" t="str">
        <f>IFERROR(__xludf.DUMMYFUNCTION("IFERROR(VLOOKUP(A20,IMPORTRANGE(""1fn2ECph_y8Uz78DhjLaiXcwgt6kh3oe-0Le36Uw0noE"",""Form Responses 1!B:C""),2,FALSE),)"),"")</f>
        <v/>
      </c>
      <c r="G20" s="39">
        <f>IFERROR(__xludf.DUMMYFUNCTION("IFERROR(IF(COUNTIF(IMPORTRANGE(""1t6NbzWBtAQKR9pGjBnxm9V-bRaGdRVT_-u2ojrUkYZw"",""Form Responses 1!B:B""),A20)&gt;0,10,),0)"),10.0)</f>
        <v>10</v>
      </c>
      <c r="H20" s="39" t="str">
        <f>IFERROR(__xludf.DUMMYFUNCTION("IFERROR(VLOOKUP(A20,IMPORTRANGE(""1ytv6MYmm-8DwYEf-PC6L-upnzfG4TJT_K2_Q1BobE6k"",""Form Responses 1!B:C""),2,FALSE),)"),"")</f>
        <v/>
      </c>
      <c r="I20" s="39" t="str">
        <f>IFERROR(__xludf.DUMMYFUNCTION("IFERROR(VLOOKUP(A20,IMPORTRANGE(""1LTj0BC6WXgHo3fEDDSQlGOM1HkEYGTw8epmIdU0RnB4"",""Form Responses 1!B:C""),2,FALSE),)"),"")</f>
        <v/>
      </c>
      <c r="J20" s="39" t="str">
        <f>IFERROR(__xludf.DUMMYFUNCTION("IFERROR(VLOOKUP(A20,IMPORTRANGE(""1lBH5Hghbbsr-XV8ZpAW4SFOyMpQX5vY0tEjkjRAJH48"",""Form Responses 1!B:C""),2,FALSE),)"),"")</f>
        <v/>
      </c>
      <c r="K20" s="39" t="str">
        <f>IFERROR(__xludf.DUMMYFUNCTION("IFERROR(IF(COUNTIF(IMPORTRANGE(""11sIXwmK0co7YC01jkeOYS_Q9btyVErtOm8MrXzqLkm8"",""Form Responses 1!B:B""),A20)&gt;0,10,),0)"),"")</f>
        <v/>
      </c>
      <c r="L20" s="70">
        <f>IFERROR(__xludf.DUMMYFUNCTION("IFERROR(IF(COUNTIF(IMPORTRANGE(""1csqG5dOxr6mnQQeHuLyfSoVeWZspfrn9T3cQFX5jhi8"",""Form Responses 1!B:B""),A20)&gt;0,10,),0)"),10.0)</f>
        <v>10</v>
      </c>
      <c r="M20" s="70">
        <f>IFERROR(__xludf.DUMMYFUNCTION("IFERROR(VLOOKUP(A20,IMPORTRANGE(""1C8QMXhp6CypS1pNA-UXlEADxmI-6nbSN9P4kujkvESI"",""Form Responses 1!B:C""),2,FALSE),)"),6.0)</f>
        <v>6</v>
      </c>
      <c r="N20" s="70">
        <f>IFERROR(__xludf.DUMMYFUNCTION("IFERROR(VLOOKUP(A20,IMPORTRANGE(""1e33dV9wgou_u1lnmBtok6Ato-q97II29uUvmeO7Juhw"",""Form Responses 1!B:C""),2,FALSE),)"),6.0)</f>
        <v>6</v>
      </c>
      <c r="O20" s="70" t="str">
        <f>IFERROR(__xludf.DUMMYFUNCTION("IFERROR(VLOOKUP(A20,IMPORTRANGE(""15TUXUTXgRTcnnjS-jyDta7Ecw7-lv8-wZMGVKaxe8TY"",""Form Responses 1!B:C""),2,FALSE),)"),"")</f>
        <v/>
      </c>
      <c r="P20" s="70" t="str">
        <f>IFERROR(__xludf.DUMMYFUNCTION("IFERROR(IF(COUNTIF(IMPORTRANGE(""1KFxxroaoSLanJBYtWVxeITrgly-aztutk24Q4y14KKU"",""Form Responses 1!B:B""),A20)&gt;0,10,),0)"),"")</f>
        <v/>
      </c>
      <c r="Q20" s="71" t="str">
        <f>IFERROR(__xludf.DUMMYFUNCTION("IFERROR(VLOOKUP(TRIM(A20),IMPORTRANGE(""1WjiLR_MTMxI_IZUKuvPO4Sg2rTSIqBzP3edakSRXbOA"",""Form Responses 1!B:C""),2,0),"""")"),"")</f>
        <v/>
      </c>
      <c r="R20" s="70" t="str">
        <f>IFERROR(__xludf.DUMMYFUNCTION("IFERROR(VLOOKUP(TRIM(A20),IMPORTRANGE(""1Ixzbal5tEbtWhozsFEppQzOYE6ZSrkNXHg_HW5k3Wt4"",""Form Responses 1!B:C""),2,0),"""")"),"")</f>
        <v/>
      </c>
      <c r="S20" s="70" t="str">
        <f>IFERROR(__xludf.DUMMYFUNCTION("IFERROR(VLOOKUP(TRIM(A20),IMPORTRANGE(""1zxjtEKGvVIJPIDqZdnxENwVpPXYa88EihzyI44hcQUo"",""Form Responses 1!B:C""),2,0),"""")"),"")</f>
        <v/>
      </c>
      <c r="T20" s="70" t="str">
        <f>IFERROR(__xludf.DUMMYFUNCTION("IFERROR(VLOOKUP(TRIM(A20),IMPORTRANGE(""1H3cO01obd5zFULYqaT5NAqecZBFFIHeDFn4CeQLZF3w"",""Form Responses 1!B:C""),2,0),"""")"),"")</f>
        <v/>
      </c>
      <c r="U20" s="70" t="str">
        <f>IFERROR(__xludf.DUMMYFUNCTION("IFERROR(VLOOKUP(TRIM(A20),IMPORTRANGE(""1IG9qoa6PeLdDDFzKpW39lxXshN0-M8Z25a_R1EpsYyg"",""Form Responses 1!B:C""),2,0),"""")"),"")</f>
        <v/>
      </c>
      <c r="V20" s="72"/>
      <c r="W20" s="70">
        <f>IFERROR(__xludf.DUMMYFUNCTION("IFERROR(VLOOKUP(TRIM(A20),IMPORTRANGE(""1JzBbPfIn5kXHe-RuBwssvVRSauekkTw9cwf70DsYix4"",""Form Responses 1!B:C""),2,0),"""")"),9.0)</f>
        <v>9</v>
      </c>
      <c r="X20" s="70">
        <f>IFERROR(__xludf.DUMMYFUNCTION("IFERROR(VLOOKUP(TRIM(A20),IMPORTRANGE(""1JbcCdZBzu6Yag8PuyvlbtYmdvUYYQNraxAgoikGBi5w"",""Form Responses 1!B:C""),2,0),"""")"),11.0)</f>
        <v>11</v>
      </c>
      <c r="Y20" s="70">
        <f>IFERROR(__xludf.DUMMYFUNCTION("IFERROR(VLOOKUP(TRIM(A20),IMPORTRANGE(""15-YcWQKwT7GXCzNpEoDkSlrruglscDYeQTD3uXec8uQ"",""Form Responses 1!B:C""),2,0),"""")"),15.0)</f>
        <v>15</v>
      </c>
      <c r="Z20" s="70">
        <f>IFERROR(__xludf.DUMMYFUNCTION("IFERROR(VLOOKUP(TRIM(A20),IMPORTRANGE(""1X2rXjxJaWCoTCv5SRdgsC_V3cXeEyqXGQY3NvE1KDUk"",""Form Responses 1!B:C""),2,0),"""")"),20.0)</f>
        <v>20</v>
      </c>
      <c r="AA20" s="70">
        <f>IFERROR(__xludf.DUMMYFUNCTION("IFERROR(VLOOKUP(TRIM(A20),IMPORTRANGE(""1zEJQnPshpdjcOtCVSP0I8nG2EXKbBMH9BJ8IeNFUEV8"",""Form Responses 1!B:C""),2,0),"""")"),16.0)</f>
        <v>16</v>
      </c>
      <c r="AB20" s="70">
        <f>IFERROR(__xludf.DUMMYFUNCTION("IFERROR(VLOOKUP(TRIM(A20),IMPORTRANGE(""1JzBbPfIn5kXHe-RuBwssvVRSauekkTw9cwf70DsYix4"",""Form Responses 1!B:C""),2,0),"""")"),9.0)</f>
        <v>9</v>
      </c>
      <c r="AC20" s="70">
        <f>IFERROR(__xludf.DUMMYFUNCTION("IFERROR(VLOOKUP(TRIM(A20),IMPORTRANGE(""1JbcCdZBzu6Yag8PuyvlbtYmdvUYYQNraxAgoikGBi5w"",""Form Responses 1!B:C""),2,0),"""")"),11.0)</f>
        <v>11</v>
      </c>
      <c r="AD20" s="70">
        <f>IFERROR(__xludf.DUMMYFUNCTION("IFERROR(VLOOKUP(TRIM(A20),IMPORTRANGE(""15-YcWQKwT7GXCzNpEoDkSlrruglscDYeQTD3uXec8uQ"",""Form Responses 1!B:C""),2,0),"""")"),15.0)</f>
        <v>15</v>
      </c>
      <c r="AE20" s="70">
        <f>IFERROR(__xludf.DUMMYFUNCTION("IFERROR(VLOOKUP(TRIM(A20),IMPORTRANGE(""1X2rXjxJaWCoTCv5SRdgsC_V3cXeEyqXGQY3NvE1KDUk"",""Form Responses 1!B:C""),2,0),"""")"),20.0)</f>
        <v>20</v>
      </c>
      <c r="AF20" s="70">
        <f>IFERROR(__xludf.DUMMYFUNCTION("IFERROR(VLOOKUP(TRIM(A20),IMPORTRANGE(""1zEJQnPshpdjcOtCVSP0I8nG2EXKbBMH9BJ8IeNFUEV8"",""Form Responses 1!B:C""),2,0),"""")"),16.0)</f>
        <v>16</v>
      </c>
      <c r="AG20" s="70"/>
      <c r="AH20" s="70"/>
      <c r="AI20" s="70"/>
      <c r="AJ20" s="70"/>
      <c r="AK20" s="70"/>
      <c r="AL20" s="70"/>
      <c r="AM20" s="70"/>
      <c r="AN20" s="70"/>
      <c r="AO20" s="70"/>
      <c r="AP20" s="70"/>
      <c r="AQ20" s="70"/>
      <c r="AR20" s="70"/>
      <c r="AS20" s="70"/>
      <c r="AT20" s="70"/>
      <c r="AU20" s="70"/>
    </row>
    <row r="21">
      <c r="A21" s="39" t="s">
        <v>272</v>
      </c>
      <c r="B21" s="70">
        <f>IFERROR(__xludf.DUMMYFUNCTION("IFERROR(IF(COUNTIF(IMPORTRANGE(""1RTcwEJsI_0aJRebhNwO_H_AoKl9r46k7hWYbtciIyM4"",""Form Responses 1!B:B""),A21)&gt;0,10,),0)"),10.0)</f>
        <v>10</v>
      </c>
      <c r="C21" s="70">
        <f>IFERROR(__xludf.DUMMYFUNCTION("IFERROR(VLOOKUP(A21,IMPORTRANGE(""11i8IUhq_U6RRKRV3CBWIKqYed_fMvFgNUHTq1YDJfp8"",""Form Responses 1!B:C""),2,FALSE),)"),2.0)</f>
        <v>2</v>
      </c>
      <c r="D21" s="70">
        <f>IFERROR(__xludf.DUMMYFUNCTION("IFERROR(VLOOKUP(A21,IMPORTRANGE(""1StiHxuxrFhYdrq5WLR2JMORicW0TbnJf3J-oTHeMRtM"",""Form Responses 1!B:C""),2,FALSE),)"),2.0)</f>
        <v>2</v>
      </c>
      <c r="E21" s="70">
        <f>IFERROR(__xludf.DUMMYFUNCTION("IFERROR(VLOOKUP(A21,IMPORTRANGE(""1QaxxyUjrDq2kgz300C1Bq1tacFk6e-xX218cSXCQUK0"",""Form Responses 1!B:C""),2,FALSE),)"),4.0)</f>
        <v>4</v>
      </c>
      <c r="F21" s="70">
        <f>IFERROR(__xludf.DUMMYFUNCTION("IFERROR(VLOOKUP(A21,IMPORTRANGE(""1fn2ECph_y8Uz78DhjLaiXcwgt6kh3oe-0Le36Uw0noE"",""Form Responses 1!B:C""),2,FALSE),)"),4.0)</f>
        <v>4</v>
      </c>
      <c r="G21" s="39">
        <f>IFERROR(__xludf.DUMMYFUNCTION("IFERROR(IF(COUNTIF(IMPORTRANGE(""1t6NbzWBtAQKR9pGjBnxm9V-bRaGdRVT_-u2ojrUkYZw"",""Form Responses 1!B:B""),A21)&gt;0,10,),0)"),10.0)</f>
        <v>10</v>
      </c>
      <c r="H21" s="39" t="str">
        <f>IFERROR(__xludf.DUMMYFUNCTION("IFERROR(VLOOKUP(A21,IMPORTRANGE(""1ytv6MYmm-8DwYEf-PC6L-upnzfG4TJT_K2_Q1BobE6k"",""Form Responses 1!B:C""),2,FALSE),)"),"")</f>
        <v/>
      </c>
      <c r="I21" s="39" t="str">
        <f>IFERROR(__xludf.DUMMYFUNCTION("IFERROR(VLOOKUP(A21,IMPORTRANGE(""1LTj0BC6WXgHo3fEDDSQlGOM1HkEYGTw8epmIdU0RnB4"",""Form Responses 1!B:C""),2,FALSE),)"),"")</f>
        <v/>
      </c>
      <c r="J21" s="39" t="str">
        <f>IFERROR(__xludf.DUMMYFUNCTION("IFERROR(VLOOKUP(A21,IMPORTRANGE(""1lBH5Hghbbsr-XV8ZpAW4SFOyMpQX5vY0tEjkjRAJH48"",""Form Responses 1!B:C""),2,FALSE),)"),"")</f>
        <v/>
      </c>
      <c r="K21" s="39" t="str">
        <f>IFERROR(__xludf.DUMMYFUNCTION("IFERROR(IF(COUNTIF(IMPORTRANGE(""11sIXwmK0co7YC01jkeOYS_Q9btyVErtOm8MrXzqLkm8"",""Form Responses 1!B:B""),A21)&gt;0,10,),0)"),"")</f>
        <v/>
      </c>
      <c r="L21" s="70">
        <f>IFERROR(__xludf.DUMMYFUNCTION("IFERROR(IF(COUNTIF(IMPORTRANGE(""1csqG5dOxr6mnQQeHuLyfSoVeWZspfrn9T3cQFX5jhi8"",""Form Responses 1!B:B""),A21)&gt;0,10,),0)"),10.0)</f>
        <v>10</v>
      </c>
      <c r="M21" s="70" t="str">
        <f>IFERROR(__xludf.DUMMYFUNCTION("IFERROR(VLOOKUP(A21,IMPORTRANGE(""1C8QMXhp6CypS1pNA-UXlEADxmI-6nbSN9P4kujkvESI"",""Form Responses 1!B:C""),2,FALSE),)"),"")</f>
        <v/>
      </c>
      <c r="N21" s="70" t="str">
        <f>IFERROR(__xludf.DUMMYFUNCTION("IFERROR(VLOOKUP(A21,IMPORTRANGE(""1e33dV9wgou_u1lnmBtok6Ato-q97II29uUvmeO7Juhw"",""Form Responses 1!B:C""),2,FALSE),)"),"")</f>
        <v/>
      </c>
      <c r="O21" s="70" t="str">
        <f>IFERROR(__xludf.DUMMYFUNCTION("IFERROR(VLOOKUP(A21,IMPORTRANGE(""15TUXUTXgRTcnnjS-jyDta7Ecw7-lv8-wZMGVKaxe8TY"",""Form Responses 1!B:C""),2,FALSE),)"),"")</f>
        <v/>
      </c>
      <c r="P21" s="70" t="str">
        <f>IFERROR(__xludf.DUMMYFUNCTION("IFERROR(IF(COUNTIF(IMPORTRANGE(""1KFxxroaoSLanJBYtWVxeITrgly-aztutk24Q4y14KKU"",""Form Responses 1!B:B""),A21)&gt;0,10,),0)"),"")</f>
        <v/>
      </c>
      <c r="Q21" s="71">
        <f>IFERROR(__xludf.DUMMYFUNCTION("IFERROR(VLOOKUP(TRIM(A21),IMPORTRANGE(""1WjiLR_MTMxI_IZUKuvPO4Sg2rTSIqBzP3edakSRXbOA"",""Form Responses 1!B:C""),2,0),"""")"),8.0)</f>
        <v>8</v>
      </c>
      <c r="R21" s="70" t="str">
        <f>IFERROR(__xludf.DUMMYFUNCTION("IFERROR(VLOOKUP(TRIM(A21),IMPORTRANGE(""1Ixzbal5tEbtWhozsFEppQzOYE6ZSrkNXHg_HW5k3Wt4"",""Form Responses 1!B:C""),2,0),"""")"),"")</f>
        <v/>
      </c>
      <c r="S21" s="70" t="str">
        <f>IFERROR(__xludf.DUMMYFUNCTION("IFERROR(VLOOKUP(TRIM(A21),IMPORTRANGE(""1zxjtEKGvVIJPIDqZdnxENwVpPXYa88EihzyI44hcQUo"",""Form Responses 1!B:C""),2,0),"""")"),"")</f>
        <v/>
      </c>
      <c r="T21" s="70" t="str">
        <f>IFERROR(__xludf.DUMMYFUNCTION("IFERROR(VLOOKUP(TRIM(A21),IMPORTRANGE(""1H3cO01obd5zFULYqaT5NAqecZBFFIHeDFn4CeQLZF3w"",""Form Responses 1!B:C""),2,0),"""")"),"")</f>
        <v/>
      </c>
      <c r="U21" s="70" t="str">
        <f>IFERROR(__xludf.DUMMYFUNCTION("IFERROR(VLOOKUP(TRIM(A21),IMPORTRANGE(""1IG9qoa6PeLdDDFzKpW39lxXshN0-M8Z25a_R1EpsYyg"",""Form Responses 1!B:C""),2,0),"""")"),"")</f>
        <v/>
      </c>
      <c r="V21" s="74">
        <v>20.0</v>
      </c>
      <c r="W21" s="70">
        <f>IFERROR(__xludf.DUMMYFUNCTION("IFERROR(VLOOKUP(TRIM(A21),IMPORTRANGE(""1JzBbPfIn5kXHe-RuBwssvVRSauekkTw9cwf70DsYix4"",""Form Responses 1!B:C""),2,0),"""")"),9.0)</f>
        <v>9</v>
      </c>
      <c r="X21" s="70">
        <f>IFERROR(__xludf.DUMMYFUNCTION("IFERROR(VLOOKUP(TRIM(A21),IMPORTRANGE(""1JbcCdZBzu6Yag8PuyvlbtYmdvUYYQNraxAgoikGBi5w"",""Form Responses 1!B:C""),2,0),"""")"),16.0)</f>
        <v>16</v>
      </c>
      <c r="Y21" s="70" t="str">
        <f>IFERROR(__xludf.DUMMYFUNCTION("IFERROR(VLOOKUP(TRIM(A21),IMPORTRANGE(""15-YcWQKwT7GXCzNpEoDkSlrruglscDYeQTD3uXec8uQ"",""Form Responses 1!B:C""),2,0),"""")"),"")</f>
        <v/>
      </c>
      <c r="Z21" s="70">
        <f>IFERROR(__xludf.DUMMYFUNCTION("IFERROR(VLOOKUP(TRIM(A21),IMPORTRANGE(""1X2rXjxJaWCoTCv5SRdgsC_V3cXeEyqXGQY3NvE1KDUk"",""Form Responses 1!B:C""),2,0),"""")"),20.0)</f>
        <v>20</v>
      </c>
      <c r="AA21" s="70" t="str">
        <f>IFERROR(__xludf.DUMMYFUNCTION("IFERROR(VLOOKUP(TRIM(A21),IMPORTRANGE(""1zEJQnPshpdjcOtCVSP0I8nG2EXKbBMH9BJ8IeNFUEV8"",""Form Responses 1!B:C""),2,0),"""")"),"")</f>
        <v/>
      </c>
      <c r="AB21" s="70">
        <f>IFERROR(__xludf.DUMMYFUNCTION("IFERROR(VLOOKUP(TRIM(A21),IMPORTRANGE(""1JzBbPfIn5kXHe-RuBwssvVRSauekkTw9cwf70DsYix4"",""Form Responses 1!B:C""),2,0),"""")"),9.0)</f>
        <v>9</v>
      </c>
      <c r="AC21" s="70">
        <f>IFERROR(__xludf.DUMMYFUNCTION("IFERROR(VLOOKUP(TRIM(A21),IMPORTRANGE(""1JbcCdZBzu6Yag8PuyvlbtYmdvUYYQNraxAgoikGBi5w"",""Form Responses 1!B:C""),2,0),"""")"),16.0)</f>
        <v>16</v>
      </c>
      <c r="AD21" s="70" t="str">
        <f>IFERROR(__xludf.DUMMYFUNCTION("IFERROR(VLOOKUP(TRIM(A21),IMPORTRANGE(""15-YcWQKwT7GXCzNpEoDkSlrruglscDYeQTD3uXec8uQ"",""Form Responses 1!B:C""),2,0),"""")"),"")</f>
        <v/>
      </c>
      <c r="AE21" s="70">
        <f>IFERROR(__xludf.DUMMYFUNCTION("IFERROR(VLOOKUP(TRIM(A21),IMPORTRANGE(""1X2rXjxJaWCoTCv5SRdgsC_V3cXeEyqXGQY3NvE1KDUk"",""Form Responses 1!B:C""),2,0),"""")"),20.0)</f>
        <v>20</v>
      </c>
      <c r="AF21" s="70" t="str">
        <f>IFERROR(__xludf.DUMMYFUNCTION("IFERROR(VLOOKUP(TRIM(A21),IMPORTRANGE(""1zEJQnPshpdjcOtCVSP0I8nG2EXKbBMH9BJ8IeNFUEV8"",""Form Responses 1!B:C""),2,0),"""")"),"")</f>
        <v/>
      </c>
      <c r="AG21" s="70"/>
      <c r="AH21" s="70"/>
      <c r="AI21" s="70"/>
      <c r="AJ21" s="70"/>
      <c r="AK21" s="70"/>
      <c r="AL21" s="70"/>
      <c r="AM21" s="70"/>
      <c r="AN21" s="70"/>
      <c r="AO21" s="70"/>
      <c r="AP21" s="70"/>
      <c r="AQ21" s="70"/>
      <c r="AR21" s="70"/>
      <c r="AS21" s="70"/>
      <c r="AT21" s="70"/>
      <c r="AU21" s="70"/>
    </row>
    <row r="22">
      <c r="A22" s="39" t="s">
        <v>273</v>
      </c>
      <c r="B22" s="70">
        <f>IFERROR(__xludf.DUMMYFUNCTION("IFERROR(IF(COUNTIF(IMPORTRANGE(""1RTcwEJsI_0aJRebhNwO_H_AoKl9r46k7hWYbtciIyM4"",""Form Responses 1!B:B""),A22)&gt;0,10,),0)"),10.0)</f>
        <v>10</v>
      </c>
      <c r="C22" s="70">
        <f>IFERROR(__xludf.DUMMYFUNCTION("IFERROR(VLOOKUP(A22,IMPORTRANGE(""11i8IUhq_U6RRKRV3CBWIKqYed_fMvFgNUHTq1YDJfp8"",""Form Responses 1!B:C""),2,FALSE),)"),4.0)</f>
        <v>4</v>
      </c>
      <c r="D22" s="70">
        <f>IFERROR(__xludf.DUMMYFUNCTION("IFERROR(VLOOKUP(A22,IMPORTRANGE(""1StiHxuxrFhYdrq5WLR2JMORicW0TbnJf3J-oTHeMRtM"",""Form Responses 1!B:C""),2,FALSE),)"),9.0)</f>
        <v>9</v>
      </c>
      <c r="E22" s="70">
        <f>IFERROR(__xludf.DUMMYFUNCTION("IFERROR(VLOOKUP(A22,IMPORTRANGE(""1QaxxyUjrDq2kgz300C1Bq1tacFk6e-xX218cSXCQUK0"",""Form Responses 1!B:C""),2,FALSE),)"),6.0)</f>
        <v>6</v>
      </c>
      <c r="F22" s="70">
        <f>IFERROR(__xludf.DUMMYFUNCTION("IFERROR(VLOOKUP(A22,IMPORTRANGE(""1fn2ECph_y8Uz78DhjLaiXcwgt6kh3oe-0Le36Uw0noE"",""Form Responses 1!B:C""),2,FALSE),)"),7.0)</f>
        <v>7</v>
      </c>
      <c r="G22" s="39">
        <f>IFERROR(__xludf.DUMMYFUNCTION("IFERROR(IF(COUNTIF(IMPORTRANGE(""1t6NbzWBtAQKR9pGjBnxm9V-bRaGdRVT_-u2ojrUkYZw"",""Form Responses 1!B:B""),A22)&gt;0,10,),0)"),10.0)</f>
        <v>10</v>
      </c>
      <c r="H22" s="39">
        <f>IFERROR(__xludf.DUMMYFUNCTION("IFERROR(VLOOKUP(A22,IMPORTRANGE(""1ytv6MYmm-8DwYEf-PC6L-upnzfG4TJT_K2_Q1BobE6k"",""Form Responses 1!B:C""),2,FALSE),)"),13.0)</f>
        <v>13</v>
      </c>
      <c r="I22" s="39">
        <f>IFERROR(__xludf.DUMMYFUNCTION("IFERROR(VLOOKUP(A22,IMPORTRANGE(""1LTj0BC6WXgHo3fEDDSQlGOM1HkEYGTw8epmIdU0RnB4"",""Form Responses 1!B:C""),2,FALSE),)"),8.0)</f>
        <v>8</v>
      </c>
      <c r="J22" s="39">
        <f>IFERROR(__xludf.DUMMYFUNCTION("IFERROR(VLOOKUP(A22,IMPORTRANGE(""1lBH5Hghbbsr-XV8ZpAW4SFOyMpQX5vY0tEjkjRAJH48"",""Form Responses 1!B:C""),2,FALSE),)"),0.0)</f>
        <v>0</v>
      </c>
      <c r="K22" s="39">
        <f>IFERROR(__xludf.DUMMYFUNCTION("IFERROR(IF(COUNTIF(IMPORTRANGE(""11sIXwmK0co7YC01jkeOYS_Q9btyVErtOm8MrXzqLkm8"",""Form Responses 1!B:B""),A22)&gt;0,10,),0)"),10.0)</f>
        <v>10</v>
      </c>
      <c r="L22" s="70">
        <f>IFERROR(__xludf.DUMMYFUNCTION("IFERROR(IF(COUNTIF(IMPORTRANGE(""1csqG5dOxr6mnQQeHuLyfSoVeWZspfrn9T3cQFX5jhi8"",""Form Responses 1!B:B""),A22)&gt;0,10,),0)"),10.0)</f>
        <v>10</v>
      </c>
      <c r="M22" s="70">
        <f>IFERROR(__xludf.DUMMYFUNCTION("IFERROR(VLOOKUP(A22,IMPORTRANGE(""1C8QMXhp6CypS1pNA-UXlEADxmI-6nbSN9P4kujkvESI"",""Form Responses 1!B:C""),2,FALSE),)"),13.0)</f>
        <v>13</v>
      </c>
      <c r="N22" s="70">
        <f>IFERROR(__xludf.DUMMYFUNCTION("IFERROR(VLOOKUP(A22,IMPORTRANGE(""1e33dV9wgou_u1lnmBtok6Ato-q97II29uUvmeO7Juhw"",""Form Responses 1!B:C""),2,FALSE),)"),20.0)</f>
        <v>20</v>
      </c>
      <c r="O22" s="70">
        <f>IFERROR(__xludf.DUMMYFUNCTION("IFERROR(VLOOKUP(A22,IMPORTRANGE(""15TUXUTXgRTcnnjS-jyDta7Ecw7-lv8-wZMGVKaxe8TY"",""Form Responses 1!B:C""),2,FALSE),)"),11.0)</f>
        <v>11</v>
      </c>
      <c r="P22" s="70">
        <f>IFERROR(__xludf.DUMMYFUNCTION("IFERROR(IF(COUNTIF(IMPORTRANGE(""1KFxxroaoSLanJBYtWVxeITrgly-aztutk24Q4y14KKU"",""Form Responses 1!B:B""),A22)&gt;0,10,),0)"),10.0)</f>
        <v>10</v>
      </c>
      <c r="Q22" s="71">
        <f>IFERROR(__xludf.DUMMYFUNCTION("IFERROR(VLOOKUP(TRIM(A22),IMPORTRANGE(""1WjiLR_MTMxI_IZUKuvPO4Sg2rTSIqBzP3edakSRXbOA"",""Form Responses 1!B:C""),2,0),"""")"),10.0)</f>
        <v>10</v>
      </c>
      <c r="R22" s="70" t="str">
        <f>IFERROR(__xludf.DUMMYFUNCTION("IFERROR(VLOOKUP(TRIM(A22),IMPORTRANGE(""1Ixzbal5tEbtWhozsFEppQzOYE6ZSrkNXHg_HW5k3Wt4"",""Form Responses 1!B:C""),2,0),"""")"),"")</f>
        <v/>
      </c>
      <c r="S22" s="70" t="str">
        <f>IFERROR(__xludf.DUMMYFUNCTION("IFERROR(VLOOKUP(TRIM(A22),IMPORTRANGE(""1zxjtEKGvVIJPIDqZdnxENwVpPXYa88EihzyI44hcQUo"",""Form Responses 1!B:C""),2,0),"""")"),"")</f>
        <v/>
      </c>
      <c r="T22" s="70" t="str">
        <f>IFERROR(__xludf.DUMMYFUNCTION("IFERROR(VLOOKUP(TRIM(A22),IMPORTRANGE(""1H3cO01obd5zFULYqaT5NAqecZBFFIHeDFn4CeQLZF3w"",""Form Responses 1!B:C""),2,0),"""")"),"")</f>
        <v/>
      </c>
      <c r="U22" s="70" t="str">
        <f>IFERROR(__xludf.DUMMYFUNCTION("IFERROR(VLOOKUP(TRIM(A22),IMPORTRANGE(""1IG9qoa6PeLdDDFzKpW39lxXshN0-M8Z25a_R1EpsYyg"",""Form Responses 1!B:C""),2,0),"""")"),"")</f>
        <v/>
      </c>
      <c r="V22" s="74">
        <v>23.0</v>
      </c>
      <c r="W22" s="70">
        <f>IFERROR(__xludf.DUMMYFUNCTION("IFERROR(VLOOKUP(TRIM(A22),IMPORTRANGE(""1JzBbPfIn5kXHe-RuBwssvVRSauekkTw9cwf70DsYix4"",""Form Responses 1!B:C""),2,0),"""")"),11.0)</f>
        <v>11</v>
      </c>
      <c r="X22" s="70">
        <f>IFERROR(__xludf.DUMMYFUNCTION("IFERROR(VLOOKUP(TRIM(A22),IMPORTRANGE(""1JbcCdZBzu6Yag8PuyvlbtYmdvUYYQNraxAgoikGBi5w"",""Form Responses 1!B:C""),2,0),"""")"),12.0)</f>
        <v>12</v>
      </c>
      <c r="Y22" s="70">
        <f>IFERROR(__xludf.DUMMYFUNCTION("IFERROR(VLOOKUP(TRIM(A22),IMPORTRANGE(""15-YcWQKwT7GXCzNpEoDkSlrruglscDYeQTD3uXec8uQ"",""Form Responses 1!B:C""),2,0),"""")"),0.0)</f>
        <v>0</v>
      </c>
      <c r="Z22" s="70">
        <f>IFERROR(__xludf.DUMMYFUNCTION("IFERROR(VLOOKUP(TRIM(A22),IMPORTRANGE(""1X2rXjxJaWCoTCv5SRdgsC_V3cXeEyqXGQY3NvE1KDUk"",""Form Responses 1!B:C""),2,0),"""")"),24.0)</f>
        <v>24</v>
      </c>
      <c r="AA22" s="70">
        <f>IFERROR(__xludf.DUMMYFUNCTION("IFERROR(VLOOKUP(TRIM(A22),IMPORTRANGE(""1zEJQnPshpdjcOtCVSP0I8nG2EXKbBMH9BJ8IeNFUEV8"",""Form Responses 1!B:C""),2,0),"""")"),4.0)</f>
        <v>4</v>
      </c>
      <c r="AB22" s="70">
        <f>IFERROR(__xludf.DUMMYFUNCTION("IFERROR(VLOOKUP(TRIM(A22),IMPORTRANGE(""1JzBbPfIn5kXHe-RuBwssvVRSauekkTw9cwf70DsYix4"",""Form Responses 1!B:C""),2,0),"""")"),11.0)</f>
        <v>11</v>
      </c>
      <c r="AC22" s="70">
        <f>IFERROR(__xludf.DUMMYFUNCTION("IFERROR(VLOOKUP(TRIM(A22),IMPORTRANGE(""1JbcCdZBzu6Yag8PuyvlbtYmdvUYYQNraxAgoikGBi5w"",""Form Responses 1!B:C""),2,0),"""")"),12.0)</f>
        <v>12</v>
      </c>
      <c r="AD22" s="70">
        <f>IFERROR(__xludf.DUMMYFUNCTION("IFERROR(VLOOKUP(TRIM(A22),IMPORTRANGE(""15-YcWQKwT7GXCzNpEoDkSlrruglscDYeQTD3uXec8uQ"",""Form Responses 1!B:C""),2,0),"""")"),0.0)</f>
        <v>0</v>
      </c>
      <c r="AE22" s="70">
        <f>IFERROR(__xludf.DUMMYFUNCTION("IFERROR(VLOOKUP(TRIM(A22),IMPORTRANGE(""1X2rXjxJaWCoTCv5SRdgsC_V3cXeEyqXGQY3NvE1KDUk"",""Form Responses 1!B:C""),2,0),"""")"),24.0)</f>
        <v>24</v>
      </c>
      <c r="AF22" s="70">
        <f>IFERROR(__xludf.DUMMYFUNCTION("IFERROR(VLOOKUP(TRIM(A22),IMPORTRANGE(""1zEJQnPshpdjcOtCVSP0I8nG2EXKbBMH9BJ8IeNFUEV8"",""Form Responses 1!B:C""),2,0),"""")"),4.0)</f>
        <v>4</v>
      </c>
      <c r="AG22" s="70"/>
      <c r="AH22" s="70"/>
      <c r="AI22" s="70"/>
      <c r="AJ22" s="70"/>
      <c r="AK22" s="70"/>
      <c r="AL22" s="70"/>
      <c r="AM22" s="70"/>
      <c r="AN22" s="70"/>
      <c r="AO22" s="70"/>
      <c r="AP22" s="70"/>
      <c r="AQ22" s="70"/>
      <c r="AR22" s="70"/>
      <c r="AS22" s="70"/>
      <c r="AT22" s="70"/>
      <c r="AU22" s="70"/>
    </row>
    <row r="23">
      <c r="A23" s="39" t="s">
        <v>274</v>
      </c>
      <c r="B23" s="70">
        <f>IFERROR(__xludf.DUMMYFUNCTION("IFERROR(IF(COUNTIF(IMPORTRANGE(""1RTcwEJsI_0aJRebhNwO_H_AoKl9r46k7hWYbtciIyM4"",""Form Responses 1!B:B""),A23)&gt;0,10,),0)"),10.0)</f>
        <v>10</v>
      </c>
      <c r="C23" s="70" t="str">
        <f>IFERROR(__xludf.DUMMYFUNCTION("IFERROR(VLOOKUP(A23,IMPORTRANGE(""11i8IUhq_U6RRKRV3CBWIKqYed_fMvFgNUHTq1YDJfp8"",""Form Responses 1!B:C""),2,FALSE),)"),"")</f>
        <v/>
      </c>
      <c r="D23" s="70" t="str">
        <f>IFERROR(__xludf.DUMMYFUNCTION("IFERROR(VLOOKUP(A23,IMPORTRANGE(""1StiHxuxrFhYdrq5WLR2JMORicW0TbnJf3J-oTHeMRtM"",""Form Responses 1!B:C""),2,FALSE),)"),"")</f>
        <v/>
      </c>
      <c r="E23" s="70" t="str">
        <f>IFERROR(__xludf.DUMMYFUNCTION("IFERROR(VLOOKUP(A23,IMPORTRANGE(""1QaxxyUjrDq2kgz300C1Bq1tacFk6e-xX218cSXCQUK0"",""Form Responses 1!B:C""),2,FALSE),)"),"")</f>
        <v/>
      </c>
      <c r="F23" s="70" t="str">
        <f>IFERROR(__xludf.DUMMYFUNCTION("IFERROR(VLOOKUP(A23,IMPORTRANGE(""1fn2ECph_y8Uz78DhjLaiXcwgt6kh3oe-0Le36Uw0noE"",""Form Responses 1!B:C""),2,FALSE),)"),"")</f>
        <v/>
      </c>
      <c r="G23" s="39" t="str">
        <f>IFERROR(__xludf.DUMMYFUNCTION("IFERROR(IF(COUNTIF(IMPORTRANGE(""1t6NbzWBtAQKR9pGjBnxm9V-bRaGdRVT_-u2ojrUkYZw"",""Form Responses 1!B:B""),A23)&gt;0,10,),0)"),"")</f>
        <v/>
      </c>
      <c r="H23" s="39" t="str">
        <f>IFERROR(__xludf.DUMMYFUNCTION("IFERROR(VLOOKUP(A23,IMPORTRANGE(""1ytv6MYmm-8DwYEf-PC6L-upnzfG4TJT_K2_Q1BobE6k"",""Form Responses 1!B:C""),2,FALSE),)"),"")</f>
        <v/>
      </c>
      <c r="I23" s="39" t="str">
        <f>IFERROR(__xludf.DUMMYFUNCTION("IFERROR(VLOOKUP(A23,IMPORTRANGE(""1LTj0BC6WXgHo3fEDDSQlGOM1HkEYGTw8epmIdU0RnB4"",""Form Responses 1!B:C""),2,FALSE),)"),"")</f>
        <v/>
      </c>
      <c r="J23" s="39" t="str">
        <f>IFERROR(__xludf.DUMMYFUNCTION("IFERROR(VLOOKUP(A23,IMPORTRANGE(""1lBH5Hghbbsr-XV8ZpAW4SFOyMpQX5vY0tEjkjRAJH48"",""Form Responses 1!B:C""),2,FALSE),)"),"")</f>
        <v/>
      </c>
      <c r="K23" s="39" t="str">
        <f>IFERROR(__xludf.DUMMYFUNCTION("IFERROR(IF(COUNTIF(IMPORTRANGE(""11sIXwmK0co7YC01jkeOYS_Q9btyVErtOm8MrXzqLkm8"",""Form Responses 1!B:B""),A23)&gt;0,10,),0)"),"")</f>
        <v/>
      </c>
      <c r="L23" s="70" t="str">
        <f>IFERROR(__xludf.DUMMYFUNCTION("IFERROR(IF(COUNTIF(IMPORTRANGE(""1csqG5dOxr6mnQQeHuLyfSoVeWZspfrn9T3cQFX5jhi8"",""Form Responses 1!B:B""),A23)&gt;0,10,),0)"),"")</f>
        <v/>
      </c>
      <c r="M23" s="70" t="str">
        <f>IFERROR(__xludf.DUMMYFUNCTION("IFERROR(VLOOKUP(A23,IMPORTRANGE(""1C8QMXhp6CypS1pNA-UXlEADxmI-6nbSN9P4kujkvESI"",""Form Responses 1!B:C""),2,FALSE),)"),"")</f>
        <v/>
      </c>
      <c r="N23" s="70" t="str">
        <f>IFERROR(__xludf.DUMMYFUNCTION("IFERROR(VLOOKUP(A23,IMPORTRANGE(""1e33dV9wgou_u1lnmBtok6Ato-q97II29uUvmeO7Juhw"",""Form Responses 1!B:C""),2,FALSE),)"),"")</f>
        <v/>
      </c>
      <c r="O23" s="70" t="str">
        <f>IFERROR(__xludf.DUMMYFUNCTION("IFERROR(VLOOKUP(A23,IMPORTRANGE(""15TUXUTXgRTcnnjS-jyDta7Ecw7-lv8-wZMGVKaxe8TY"",""Form Responses 1!B:C""),2,FALSE),)"),"")</f>
        <v/>
      </c>
      <c r="P23" s="70" t="str">
        <f>IFERROR(__xludf.DUMMYFUNCTION("IFERROR(IF(COUNTIF(IMPORTRANGE(""1KFxxroaoSLanJBYtWVxeITrgly-aztutk24Q4y14KKU"",""Form Responses 1!B:B""),A23)&gt;0,10,),0)"),"")</f>
        <v/>
      </c>
      <c r="Q23" s="71" t="str">
        <f>IFERROR(__xludf.DUMMYFUNCTION("IFERROR(VLOOKUP(TRIM(A23),IMPORTRANGE(""1WjiLR_MTMxI_IZUKuvPO4Sg2rTSIqBzP3edakSRXbOA"",""Form Responses 1!B:C""),2,0),"""")"),"")</f>
        <v/>
      </c>
      <c r="R23" s="70" t="str">
        <f>IFERROR(__xludf.DUMMYFUNCTION("IFERROR(VLOOKUP(TRIM(A23),IMPORTRANGE(""1Ixzbal5tEbtWhozsFEppQzOYE6ZSrkNXHg_HW5k3Wt4"",""Form Responses 1!B:C""),2,0),"""")"),"")</f>
        <v/>
      </c>
      <c r="S23" s="70" t="str">
        <f>IFERROR(__xludf.DUMMYFUNCTION("IFERROR(VLOOKUP(TRIM(A23),IMPORTRANGE(""1zxjtEKGvVIJPIDqZdnxENwVpPXYa88EihzyI44hcQUo"",""Form Responses 1!B:C""),2,0),"""")"),"")</f>
        <v/>
      </c>
      <c r="T23" s="70" t="str">
        <f>IFERROR(__xludf.DUMMYFUNCTION("IFERROR(VLOOKUP(TRIM(A23),IMPORTRANGE(""1H3cO01obd5zFULYqaT5NAqecZBFFIHeDFn4CeQLZF3w"",""Form Responses 1!B:C""),2,0),"""")"),"")</f>
        <v/>
      </c>
      <c r="U23" s="70" t="str">
        <f>IFERROR(__xludf.DUMMYFUNCTION("IFERROR(VLOOKUP(TRIM(A23),IMPORTRANGE(""1IG9qoa6PeLdDDFzKpW39lxXshN0-M8Z25a_R1EpsYyg"",""Form Responses 1!B:C""),2,0),"""")"),"")</f>
        <v/>
      </c>
      <c r="V23" s="72"/>
      <c r="W23" s="70" t="str">
        <f>IFERROR(__xludf.DUMMYFUNCTION("IFERROR(VLOOKUP(TRIM(A23),IMPORTRANGE(""1JzBbPfIn5kXHe-RuBwssvVRSauekkTw9cwf70DsYix4"",""Form Responses 1!B:C""),2,0),"""")"),"")</f>
        <v/>
      </c>
      <c r="X23" s="70" t="str">
        <f>IFERROR(__xludf.DUMMYFUNCTION("IFERROR(VLOOKUP(TRIM(A23),IMPORTRANGE(""1JbcCdZBzu6Yag8PuyvlbtYmdvUYYQNraxAgoikGBi5w"",""Form Responses 1!B:C""),2,0),"""")"),"")</f>
        <v/>
      </c>
      <c r="Y23" s="70" t="str">
        <f>IFERROR(__xludf.DUMMYFUNCTION("IFERROR(VLOOKUP(TRIM(A23),IMPORTRANGE(""15-YcWQKwT7GXCzNpEoDkSlrruglscDYeQTD3uXec8uQ"",""Form Responses 1!B:C""),2,0),"""")"),"")</f>
        <v/>
      </c>
      <c r="Z23" s="70" t="str">
        <f>IFERROR(__xludf.DUMMYFUNCTION("IFERROR(VLOOKUP(TRIM(A23),IMPORTRANGE(""1X2rXjxJaWCoTCv5SRdgsC_V3cXeEyqXGQY3NvE1KDUk"",""Form Responses 1!B:C""),2,0),"""")"),"")</f>
        <v/>
      </c>
      <c r="AA23" s="70" t="str">
        <f>IFERROR(__xludf.DUMMYFUNCTION("IFERROR(VLOOKUP(TRIM(A23),IMPORTRANGE(""1zEJQnPshpdjcOtCVSP0I8nG2EXKbBMH9BJ8IeNFUEV8"",""Form Responses 1!B:C""),2,0),"""")"),"")</f>
        <v/>
      </c>
      <c r="AB23" s="70" t="str">
        <f>IFERROR(__xludf.DUMMYFUNCTION("IFERROR(VLOOKUP(TRIM(A23),IMPORTRANGE(""1JzBbPfIn5kXHe-RuBwssvVRSauekkTw9cwf70DsYix4"",""Form Responses 1!B:C""),2,0),"""")"),"")</f>
        <v/>
      </c>
      <c r="AC23" s="70" t="str">
        <f>IFERROR(__xludf.DUMMYFUNCTION("IFERROR(VLOOKUP(TRIM(A23),IMPORTRANGE(""1JbcCdZBzu6Yag8PuyvlbtYmdvUYYQNraxAgoikGBi5w"",""Form Responses 1!B:C""),2,0),"""")"),"")</f>
        <v/>
      </c>
      <c r="AD23" s="70" t="str">
        <f>IFERROR(__xludf.DUMMYFUNCTION("IFERROR(VLOOKUP(TRIM(A23),IMPORTRANGE(""15-YcWQKwT7GXCzNpEoDkSlrruglscDYeQTD3uXec8uQ"",""Form Responses 1!B:C""),2,0),"""")"),"")</f>
        <v/>
      </c>
      <c r="AE23" s="70" t="str">
        <f>IFERROR(__xludf.DUMMYFUNCTION("IFERROR(VLOOKUP(TRIM(A23),IMPORTRANGE(""1X2rXjxJaWCoTCv5SRdgsC_V3cXeEyqXGQY3NvE1KDUk"",""Form Responses 1!B:C""),2,0),"""")"),"")</f>
        <v/>
      </c>
      <c r="AF23" s="70" t="str">
        <f>IFERROR(__xludf.DUMMYFUNCTION("IFERROR(VLOOKUP(TRIM(A23),IMPORTRANGE(""1zEJQnPshpdjcOtCVSP0I8nG2EXKbBMH9BJ8IeNFUEV8"",""Form Responses 1!B:C""),2,0),"""")"),"")</f>
        <v/>
      </c>
      <c r="AG23" s="70"/>
      <c r="AH23" s="70"/>
      <c r="AI23" s="70"/>
      <c r="AJ23" s="70"/>
      <c r="AK23" s="70"/>
      <c r="AL23" s="70"/>
      <c r="AM23" s="70"/>
      <c r="AN23" s="70"/>
      <c r="AO23" s="70"/>
      <c r="AP23" s="70"/>
      <c r="AQ23" s="70"/>
      <c r="AR23" s="70"/>
      <c r="AS23" s="70"/>
      <c r="AT23" s="70"/>
      <c r="AU23" s="70"/>
    </row>
    <row r="24">
      <c r="A24" s="39" t="s">
        <v>275</v>
      </c>
      <c r="B24" s="70">
        <f>IFERROR(__xludf.DUMMYFUNCTION("IFERROR(IF(COUNTIF(IMPORTRANGE(""1RTcwEJsI_0aJRebhNwO_H_AoKl9r46k7hWYbtciIyM4"",""Form Responses 1!B:B""),A24)&gt;0,10,),0)"),10.0)</f>
        <v>10</v>
      </c>
      <c r="C24" s="70">
        <f>IFERROR(__xludf.DUMMYFUNCTION("IFERROR(VLOOKUP(A24,IMPORTRANGE(""11i8IUhq_U6RRKRV3CBWIKqYed_fMvFgNUHTq1YDJfp8"",""Form Responses 1!B:C""),2,FALSE),)"),5.0)</f>
        <v>5</v>
      </c>
      <c r="D24" s="70" t="str">
        <f>IFERROR(__xludf.DUMMYFUNCTION("IFERROR(VLOOKUP(A24,IMPORTRANGE(""1StiHxuxrFhYdrq5WLR2JMORicW0TbnJf3J-oTHeMRtM"",""Form Responses 1!B:C""),2,FALSE),)"),"")</f>
        <v/>
      </c>
      <c r="E24" s="70" t="str">
        <f>IFERROR(__xludf.DUMMYFUNCTION("IFERROR(VLOOKUP(A24,IMPORTRANGE(""1QaxxyUjrDq2kgz300C1Bq1tacFk6e-xX218cSXCQUK0"",""Form Responses 1!B:C""),2,FALSE),)"),"")</f>
        <v/>
      </c>
      <c r="F24" s="70" t="str">
        <f>IFERROR(__xludf.DUMMYFUNCTION("IFERROR(VLOOKUP(A24,IMPORTRANGE(""1fn2ECph_y8Uz78DhjLaiXcwgt6kh3oe-0Le36Uw0noE"",""Form Responses 1!B:C""),2,FALSE),)"),"")</f>
        <v/>
      </c>
      <c r="G24" s="39">
        <f>IFERROR(__xludf.DUMMYFUNCTION("IFERROR(IF(COUNTIF(IMPORTRANGE(""1t6NbzWBtAQKR9pGjBnxm9V-bRaGdRVT_-u2ojrUkYZw"",""Form Responses 1!B:B""),A24)&gt;0,10,),0)"),10.0)</f>
        <v>10</v>
      </c>
      <c r="H24" s="39">
        <f>IFERROR(__xludf.DUMMYFUNCTION("IFERROR(VLOOKUP(A24,IMPORTRANGE(""1ytv6MYmm-8DwYEf-PC6L-upnzfG4TJT_K2_Q1BobE6k"",""Form Responses 1!B:C""),2,FALSE),)"),4.0)</f>
        <v>4</v>
      </c>
      <c r="I24" s="39" t="str">
        <f>IFERROR(__xludf.DUMMYFUNCTION("IFERROR(VLOOKUP(A24,IMPORTRANGE(""1LTj0BC6WXgHo3fEDDSQlGOM1HkEYGTw8epmIdU0RnB4"",""Form Responses 1!B:C""),2,FALSE),)"),"")</f>
        <v/>
      </c>
      <c r="J24" s="39" t="str">
        <f>IFERROR(__xludf.DUMMYFUNCTION("IFERROR(VLOOKUP(A24,IMPORTRANGE(""1lBH5Hghbbsr-XV8ZpAW4SFOyMpQX5vY0tEjkjRAJH48"",""Form Responses 1!B:C""),2,FALSE),)"),"")</f>
        <v/>
      </c>
      <c r="K24" s="39" t="str">
        <f>IFERROR(__xludf.DUMMYFUNCTION("IFERROR(IF(COUNTIF(IMPORTRANGE(""11sIXwmK0co7YC01jkeOYS_Q9btyVErtOm8MrXzqLkm8"",""Form Responses 1!B:B""),A24)&gt;0,10,),0)"),"")</f>
        <v/>
      </c>
      <c r="L24" s="70">
        <f>IFERROR(__xludf.DUMMYFUNCTION("IFERROR(IF(COUNTIF(IMPORTRANGE(""1csqG5dOxr6mnQQeHuLyfSoVeWZspfrn9T3cQFX5jhi8"",""Form Responses 1!B:B""),A24)&gt;0,10,),0)"),10.0)</f>
        <v>10</v>
      </c>
      <c r="M24" s="70" t="str">
        <f>IFERROR(__xludf.DUMMYFUNCTION("IFERROR(VLOOKUP(A24,IMPORTRANGE(""1C8QMXhp6CypS1pNA-UXlEADxmI-6nbSN9P4kujkvESI"",""Form Responses 1!B:C""),2,FALSE),)"),"")</f>
        <v/>
      </c>
      <c r="N24" s="70" t="str">
        <f>IFERROR(__xludf.DUMMYFUNCTION("IFERROR(VLOOKUP(A24,IMPORTRANGE(""1e33dV9wgou_u1lnmBtok6Ato-q97II29uUvmeO7Juhw"",""Form Responses 1!B:C""),2,FALSE),)"),"")</f>
        <v/>
      </c>
      <c r="O24" s="70" t="str">
        <f>IFERROR(__xludf.DUMMYFUNCTION("IFERROR(VLOOKUP(A24,IMPORTRANGE(""15TUXUTXgRTcnnjS-jyDta7Ecw7-lv8-wZMGVKaxe8TY"",""Form Responses 1!B:C""),2,FALSE),)"),"")</f>
        <v/>
      </c>
      <c r="P24" s="70" t="str">
        <f>IFERROR(__xludf.DUMMYFUNCTION("IFERROR(IF(COUNTIF(IMPORTRANGE(""1KFxxroaoSLanJBYtWVxeITrgly-aztutk24Q4y14KKU"",""Form Responses 1!B:B""),A24)&gt;0,10,),0)"),"")</f>
        <v/>
      </c>
      <c r="Q24" s="71">
        <f>IFERROR(__xludf.DUMMYFUNCTION("IFERROR(VLOOKUP(TRIM(A24),IMPORTRANGE(""1WjiLR_MTMxI_IZUKuvPO4Sg2rTSIqBzP3edakSRXbOA"",""Form Responses 1!B:C""),2,0),"""")"),4.0)</f>
        <v>4</v>
      </c>
      <c r="R24" s="70" t="str">
        <f>IFERROR(__xludf.DUMMYFUNCTION("IFERROR(VLOOKUP(TRIM(A24),IMPORTRANGE(""1Ixzbal5tEbtWhozsFEppQzOYE6ZSrkNXHg_HW5k3Wt4"",""Form Responses 1!B:C""),2,0),"""")"),"")</f>
        <v/>
      </c>
      <c r="S24" s="70" t="str">
        <f>IFERROR(__xludf.DUMMYFUNCTION("IFERROR(VLOOKUP(TRIM(A24),IMPORTRANGE(""1zxjtEKGvVIJPIDqZdnxENwVpPXYa88EihzyI44hcQUo"",""Form Responses 1!B:C""),2,0),"""")"),"")</f>
        <v/>
      </c>
      <c r="T24" s="70" t="str">
        <f>IFERROR(__xludf.DUMMYFUNCTION("IFERROR(VLOOKUP(TRIM(A24),IMPORTRANGE(""1H3cO01obd5zFULYqaT5NAqecZBFFIHeDFn4CeQLZF3w"",""Form Responses 1!B:C""),2,0),"""")"),"")</f>
        <v/>
      </c>
      <c r="U24" s="70" t="str">
        <f>IFERROR(__xludf.DUMMYFUNCTION("IFERROR(VLOOKUP(TRIM(A24),IMPORTRANGE(""1IG9qoa6PeLdDDFzKpW39lxXshN0-M8Z25a_R1EpsYyg"",""Form Responses 1!B:C""),2,0),"""")"),"")</f>
        <v/>
      </c>
      <c r="V24" s="72"/>
      <c r="W24" s="70" t="str">
        <f>IFERROR(__xludf.DUMMYFUNCTION("IFERROR(VLOOKUP(TRIM(A24),IMPORTRANGE(""1JzBbPfIn5kXHe-RuBwssvVRSauekkTw9cwf70DsYix4"",""Form Responses 1!B:C""),2,0),"""")"),"")</f>
        <v/>
      </c>
      <c r="X24" s="70" t="str">
        <f>IFERROR(__xludf.DUMMYFUNCTION("IFERROR(VLOOKUP(TRIM(A24),IMPORTRANGE(""1JbcCdZBzu6Yag8PuyvlbtYmdvUYYQNraxAgoikGBi5w"",""Form Responses 1!B:C""),2,0),"""")"),"")</f>
        <v/>
      </c>
      <c r="Y24" s="70" t="str">
        <f>IFERROR(__xludf.DUMMYFUNCTION("IFERROR(VLOOKUP(TRIM(A24),IMPORTRANGE(""15-YcWQKwT7GXCzNpEoDkSlrruglscDYeQTD3uXec8uQ"",""Form Responses 1!B:C""),2,0),"""")"),"")</f>
        <v/>
      </c>
      <c r="Z24" s="70" t="str">
        <f>IFERROR(__xludf.DUMMYFUNCTION("IFERROR(VLOOKUP(TRIM(A24),IMPORTRANGE(""1X2rXjxJaWCoTCv5SRdgsC_V3cXeEyqXGQY3NvE1KDUk"",""Form Responses 1!B:C""),2,0),"""")"),"")</f>
        <v/>
      </c>
      <c r="AA24" s="70" t="str">
        <f>IFERROR(__xludf.DUMMYFUNCTION("IFERROR(VLOOKUP(TRIM(A24),IMPORTRANGE(""1zEJQnPshpdjcOtCVSP0I8nG2EXKbBMH9BJ8IeNFUEV8"",""Form Responses 1!B:C""),2,0),"""")"),"")</f>
        <v/>
      </c>
      <c r="AB24" s="70" t="str">
        <f>IFERROR(__xludf.DUMMYFUNCTION("IFERROR(VLOOKUP(TRIM(A24),IMPORTRANGE(""1JzBbPfIn5kXHe-RuBwssvVRSauekkTw9cwf70DsYix4"",""Form Responses 1!B:C""),2,0),"""")"),"")</f>
        <v/>
      </c>
      <c r="AC24" s="70" t="str">
        <f>IFERROR(__xludf.DUMMYFUNCTION("IFERROR(VLOOKUP(TRIM(A24),IMPORTRANGE(""1JbcCdZBzu6Yag8PuyvlbtYmdvUYYQNraxAgoikGBi5w"",""Form Responses 1!B:C""),2,0),"""")"),"")</f>
        <v/>
      </c>
      <c r="AD24" s="70" t="str">
        <f>IFERROR(__xludf.DUMMYFUNCTION("IFERROR(VLOOKUP(TRIM(A24),IMPORTRANGE(""15-YcWQKwT7GXCzNpEoDkSlrruglscDYeQTD3uXec8uQ"",""Form Responses 1!B:C""),2,0),"""")"),"")</f>
        <v/>
      </c>
      <c r="AE24" s="70" t="str">
        <f>IFERROR(__xludf.DUMMYFUNCTION("IFERROR(VLOOKUP(TRIM(A24),IMPORTRANGE(""1X2rXjxJaWCoTCv5SRdgsC_V3cXeEyqXGQY3NvE1KDUk"",""Form Responses 1!B:C""),2,0),"""")"),"")</f>
        <v/>
      </c>
      <c r="AF24" s="70" t="str">
        <f>IFERROR(__xludf.DUMMYFUNCTION("IFERROR(VLOOKUP(TRIM(A24),IMPORTRANGE(""1zEJQnPshpdjcOtCVSP0I8nG2EXKbBMH9BJ8IeNFUEV8"",""Form Responses 1!B:C""),2,0),"""")"),"")</f>
        <v/>
      </c>
      <c r="AG24" s="70"/>
      <c r="AH24" s="70"/>
      <c r="AI24" s="70"/>
      <c r="AJ24" s="70"/>
      <c r="AK24" s="70"/>
      <c r="AL24" s="70"/>
      <c r="AM24" s="70"/>
      <c r="AN24" s="70"/>
      <c r="AO24" s="70"/>
      <c r="AP24" s="70"/>
      <c r="AQ24" s="70"/>
      <c r="AR24" s="70"/>
      <c r="AS24" s="70"/>
      <c r="AT24" s="70"/>
      <c r="AU24" s="70"/>
    </row>
    <row r="25">
      <c r="A25" s="39" t="s">
        <v>276</v>
      </c>
      <c r="B25" s="70">
        <f>IFERROR(__xludf.DUMMYFUNCTION("IFERROR(IF(COUNTIF(IMPORTRANGE(""1RTcwEJsI_0aJRebhNwO_H_AoKl9r46k7hWYbtciIyM4"",""Form Responses 1!B:B""),A25)&gt;0,10,),0)"),10.0)</f>
        <v>10</v>
      </c>
      <c r="C25" s="70">
        <f>IFERROR(__xludf.DUMMYFUNCTION("IFERROR(VLOOKUP(A25,IMPORTRANGE(""11i8IUhq_U6RRKRV3CBWIKqYed_fMvFgNUHTq1YDJfp8"",""Form Responses 1!B:C""),2,FALSE),)"),5.0)</f>
        <v>5</v>
      </c>
      <c r="D25" s="70">
        <f>IFERROR(__xludf.DUMMYFUNCTION("IFERROR(VLOOKUP(A25,IMPORTRANGE(""1StiHxuxrFhYdrq5WLR2JMORicW0TbnJf3J-oTHeMRtM"",""Form Responses 1!B:C""),2,FALSE),)"),2.0)</f>
        <v>2</v>
      </c>
      <c r="E25" s="70">
        <f>IFERROR(__xludf.DUMMYFUNCTION("IFERROR(VLOOKUP(A25,IMPORTRANGE(""1QaxxyUjrDq2kgz300C1Bq1tacFk6e-xX218cSXCQUK0"",""Form Responses 1!B:C""),2,FALSE),)"),6.0)</f>
        <v>6</v>
      </c>
      <c r="F25" s="70">
        <f>IFERROR(__xludf.DUMMYFUNCTION("IFERROR(VLOOKUP(A25,IMPORTRANGE(""1fn2ECph_y8Uz78DhjLaiXcwgt6kh3oe-0Le36Uw0noE"",""Form Responses 1!B:C""),2,FALSE),)"),10.0)</f>
        <v>10</v>
      </c>
      <c r="G25" s="39">
        <f>IFERROR(__xludf.DUMMYFUNCTION("IFERROR(IF(COUNTIF(IMPORTRANGE(""1t6NbzWBtAQKR9pGjBnxm9V-bRaGdRVT_-u2ojrUkYZw"",""Form Responses 1!B:B""),A25)&gt;0,10,),0)"),10.0)</f>
        <v>10</v>
      </c>
      <c r="H25" s="39">
        <f>IFERROR(__xludf.DUMMYFUNCTION("IFERROR(VLOOKUP(A25,IMPORTRANGE(""1ytv6MYmm-8DwYEf-PC6L-upnzfG4TJT_K2_Q1BobE6k"",""Form Responses 1!B:C""),2,FALSE),)"),11.0)</f>
        <v>11</v>
      </c>
      <c r="I25" s="39">
        <f>IFERROR(__xludf.DUMMYFUNCTION("IFERROR(VLOOKUP(A25,IMPORTRANGE(""1LTj0BC6WXgHo3fEDDSQlGOM1HkEYGTw8epmIdU0RnB4"",""Form Responses 1!B:C""),2,FALSE),)"),5.0)</f>
        <v>5</v>
      </c>
      <c r="J25" s="39" t="str">
        <f>IFERROR(__xludf.DUMMYFUNCTION("IFERROR(VLOOKUP(A25,IMPORTRANGE(""1lBH5Hghbbsr-XV8ZpAW4SFOyMpQX5vY0tEjkjRAJH48"",""Form Responses 1!B:C""),2,FALSE),)"),"")</f>
        <v/>
      </c>
      <c r="K25" s="39" t="str">
        <f>IFERROR(__xludf.DUMMYFUNCTION("IFERROR(IF(COUNTIF(IMPORTRANGE(""11sIXwmK0co7YC01jkeOYS_Q9btyVErtOm8MrXzqLkm8"",""Form Responses 1!B:B""),A25)&gt;0,10,),0)"),"")</f>
        <v/>
      </c>
      <c r="L25" s="70" t="str">
        <f>IFERROR(__xludf.DUMMYFUNCTION("IFERROR(IF(COUNTIF(IMPORTRANGE(""1csqG5dOxr6mnQQeHuLyfSoVeWZspfrn9T3cQFX5jhi8"",""Form Responses 1!B:B""),A25)&gt;0,10,),0)"),"")</f>
        <v/>
      </c>
      <c r="M25" s="70" t="str">
        <f>IFERROR(__xludf.DUMMYFUNCTION("IFERROR(VLOOKUP(A25,IMPORTRANGE(""1C8QMXhp6CypS1pNA-UXlEADxmI-6nbSN9P4kujkvESI"",""Form Responses 1!B:C""),2,FALSE),)"),"")</f>
        <v/>
      </c>
      <c r="N25" s="70" t="str">
        <f>IFERROR(__xludf.DUMMYFUNCTION("IFERROR(VLOOKUP(A25,IMPORTRANGE(""1e33dV9wgou_u1lnmBtok6Ato-q97II29uUvmeO7Juhw"",""Form Responses 1!B:C""),2,FALSE),)"),"")</f>
        <v/>
      </c>
      <c r="O25" s="70" t="str">
        <f>IFERROR(__xludf.DUMMYFUNCTION("IFERROR(VLOOKUP(A25,IMPORTRANGE(""15TUXUTXgRTcnnjS-jyDta7Ecw7-lv8-wZMGVKaxe8TY"",""Form Responses 1!B:C""),2,FALSE),)"),"")</f>
        <v/>
      </c>
      <c r="P25" s="70" t="str">
        <f>IFERROR(__xludf.DUMMYFUNCTION("IFERROR(IF(COUNTIF(IMPORTRANGE(""1KFxxroaoSLanJBYtWVxeITrgly-aztutk24Q4y14KKU"",""Form Responses 1!B:B""),A25)&gt;0,10,),0)"),"")</f>
        <v/>
      </c>
      <c r="Q25" s="71" t="str">
        <f>IFERROR(__xludf.DUMMYFUNCTION("IFERROR(VLOOKUP(TRIM(A25),IMPORTRANGE(""1WjiLR_MTMxI_IZUKuvPO4Sg2rTSIqBzP3edakSRXbOA"",""Form Responses 1!B:C""),2,0),"""")"),"")</f>
        <v/>
      </c>
      <c r="R25" s="70" t="str">
        <f>IFERROR(__xludf.DUMMYFUNCTION("IFERROR(VLOOKUP(TRIM(A25),IMPORTRANGE(""1Ixzbal5tEbtWhozsFEppQzOYE6ZSrkNXHg_HW5k3Wt4"",""Form Responses 1!B:C""),2,0),"""")"),"")</f>
        <v/>
      </c>
      <c r="S25" s="70" t="str">
        <f>IFERROR(__xludf.DUMMYFUNCTION("IFERROR(VLOOKUP(TRIM(A25),IMPORTRANGE(""1zxjtEKGvVIJPIDqZdnxENwVpPXYa88EihzyI44hcQUo"",""Form Responses 1!B:C""),2,0),"""")"),"")</f>
        <v/>
      </c>
      <c r="T25" s="70" t="str">
        <f>IFERROR(__xludf.DUMMYFUNCTION("IFERROR(VLOOKUP(TRIM(A25),IMPORTRANGE(""1H3cO01obd5zFULYqaT5NAqecZBFFIHeDFn4CeQLZF3w"",""Form Responses 1!B:C""),2,0),"""")"),"")</f>
        <v/>
      </c>
      <c r="U25" s="70" t="str">
        <f>IFERROR(__xludf.DUMMYFUNCTION("IFERROR(VLOOKUP(TRIM(A25),IMPORTRANGE(""1IG9qoa6PeLdDDFzKpW39lxXshN0-M8Z25a_R1EpsYyg"",""Form Responses 1!B:C""),2,0),"""")"),"")</f>
        <v/>
      </c>
      <c r="V25" s="72"/>
      <c r="W25" s="70">
        <f>IFERROR(__xludf.DUMMYFUNCTION("IFERROR(VLOOKUP(TRIM(A25),IMPORTRANGE(""1JzBbPfIn5kXHe-RuBwssvVRSauekkTw9cwf70DsYix4"",""Form Responses 1!B:C""),2,0),"""")"),9.0)</f>
        <v>9</v>
      </c>
      <c r="X25" s="70" t="str">
        <f>IFERROR(__xludf.DUMMYFUNCTION("IFERROR(VLOOKUP(TRIM(A25),IMPORTRANGE(""1JbcCdZBzu6Yag8PuyvlbtYmdvUYYQNraxAgoikGBi5w"",""Form Responses 1!B:C""),2,0),"""")"),"")</f>
        <v/>
      </c>
      <c r="Y25" s="70" t="str">
        <f>IFERROR(__xludf.DUMMYFUNCTION("IFERROR(VLOOKUP(TRIM(A25),IMPORTRANGE(""15-YcWQKwT7GXCzNpEoDkSlrruglscDYeQTD3uXec8uQ"",""Form Responses 1!B:C""),2,0),"""")"),"")</f>
        <v/>
      </c>
      <c r="Z25" s="70" t="str">
        <f>IFERROR(__xludf.DUMMYFUNCTION("IFERROR(VLOOKUP(TRIM(A25),IMPORTRANGE(""1X2rXjxJaWCoTCv5SRdgsC_V3cXeEyqXGQY3NvE1KDUk"",""Form Responses 1!B:C""),2,0),"""")"),"")</f>
        <v/>
      </c>
      <c r="AA25" s="70" t="str">
        <f>IFERROR(__xludf.DUMMYFUNCTION("IFERROR(VLOOKUP(TRIM(A25),IMPORTRANGE(""1zEJQnPshpdjcOtCVSP0I8nG2EXKbBMH9BJ8IeNFUEV8"",""Form Responses 1!B:C""),2,0),"""")"),"")</f>
        <v/>
      </c>
      <c r="AB25" s="70">
        <f>IFERROR(__xludf.DUMMYFUNCTION("IFERROR(VLOOKUP(TRIM(A25),IMPORTRANGE(""1JzBbPfIn5kXHe-RuBwssvVRSauekkTw9cwf70DsYix4"",""Form Responses 1!B:C""),2,0),"""")"),9.0)</f>
        <v>9</v>
      </c>
      <c r="AC25" s="70" t="str">
        <f>IFERROR(__xludf.DUMMYFUNCTION("IFERROR(VLOOKUP(TRIM(A25),IMPORTRANGE(""1JbcCdZBzu6Yag8PuyvlbtYmdvUYYQNraxAgoikGBi5w"",""Form Responses 1!B:C""),2,0),"""")"),"")</f>
        <v/>
      </c>
      <c r="AD25" s="70" t="str">
        <f>IFERROR(__xludf.DUMMYFUNCTION("IFERROR(VLOOKUP(TRIM(A25),IMPORTRANGE(""15-YcWQKwT7GXCzNpEoDkSlrruglscDYeQTD3uXec8uQ"",""Form Responses 1!B:C""),2,0),"""")"),"")</f>
        <v/>
      </c>
      <c r="AE25" s="70" t="str">
        <f>IFERROR(__xludf.DUMMYFUNCTION("IFERROR(VLOOKUP(TRIM(A25),IMPORTRANGE(""1X2rXjxJaWCoTCv5SRdgsC_V3cXeEyqXGQY3NvE1KDUk"",""Form Responses 1!B:C""),2,0),"""")"),"")</f>
        <v/>
      </c>
      <c r="AF25" s="70" t="str">
        <f>IFERROR(__xludf.DUMMYFUNCTION("IFERROR(VLOOKUP(TRIM(A25),IMPORTRANGE(""1zEJQnPshpdjcOtCVSP0I8nG2EXKbBMH9BJ8IeNFUEV8"",""Form Responses 1!B:C""),2,0),"""")"),"")</f>
        <v/>
      </c>
      <c r="AG25" s="70"/>
      <c r="AH25" s="70"/>
      <c r="AI25" s="70"/>
      <c r="AJ25" s="70"/>
      <c r="AK25" s="70"/>
      <c r="AL25" s="70"/>
      <c r="AM25" s="70"/>
      <c r="AN25" s="70"/>
      <c r="AO25" s="70"/>
      <c r="AP25" s="70"/>
      <c r="AQ25" s="70"/>
      <c r="AR25" s="70"/>
      <c r="AS25" s="70"/>
      <c r="AT25" s="70"/>
      <c r="AU25" s="70"/>
    </row>
    <row r="26">
      <c r="A26" s="39" t="s">
        <v>277</v>
      </c>
      <c r="B26" s="70">
        <f>IFERROR(__xludf.DUMMYFUNCTION("IFERROR(IF(COUNTIF(IMPORTRANGE(""1RTcwEJsI_0aJRebhNwO_H_AoKl9r46k7hWYbtciIyM4"",""Form Responses 1!B:B""),A26)&gt;0,10,),0)"),10.0)</f>
        <v>10</v>
      </c>
      <c r="C26" s="70">
        <f>IFERROR(__xludf.DUMMYFUNCTION("IFERROR(VLOOKUP(A26,IMPORTRANGE(""11i8IUhq_U6RRKRV3CBWIKqYed_fMvFgNUHTq1YDJfp8"",""Form Responses 1!B:C""),2,FALSE),)"),7.0)</f>
        <v>7</v>
      </c>
      <c r="D26" s="70" t="str">
        <f>IFERROR(__xludf.DUMMYFUNCTION("IFERROR(VLOOKUP(A26,IMPORTRANGE(""1StiHxuxrFhYdrq5WLR2JMORicW0TbnJf3J-oTHeMRtM"",""Form Responses 1!B:C""),2,FALSE),)"),"")</f>
        <v/>
      </c>
      <c r="E26" s="70" t="str">
        <f>IFERROR(__xludf.DUMMYFUNCTION("IFERROR(VLOOKUP(A26,IMPORTRANGE(""1QaxxyUjrDq2kgz300C1Bq1tacFk6e-xX218cSXCQUK0"",""Form Responses 1!B:C""),2,FALSE),)"),"")</f>
        <v/>
      </c>
      <c r="F26" s="70" t="str">
        <f>IFERROR(__xludf.DUMMYFUNCTION("IFERROR(VLOOKUP(A26,IMPORTRANGE(""1fn2ECph_y8Uz78DhjLaiXcwgt6kh3oe-0Le36Uw0noE"",""Form Responses 1!B:C""),2,FALSE),)"),"")</f>
        <v/>
      </c>
      <c r="G26" s="39">
        <f>IFERROR(__xludf.DUMMYFUNCTION("IFERROR(IF(COUNTIF(IMPORTRANGE(""1t6NbzWBtAQKR9pGjBnxm9V-bRaGdRVT_-u2ojrUkYZw"",""Form Responses 1!B:B""),A26)&gt;0,10,),0)"),10.0)</f>
        <v>10</v>
      </c>
      <c r="H26" s="39">
        <f>IFERROR(__xludf.DUMMYFUNCTION("IFERROR(VLOOKUP(A26,IMPORTRANGE(""1ytv6MYmm-8DwYEf-PC6L-upnzfG4TJT_K2_Q1BobE6k"",""Form Responses 1!B:C""),2,FALSE),)"),13.0)</f>
        <v>13</v>
      </c>
      <c r="I26" s="39" t="str">
        <f>IFERROR(__xludf.DUMMYFUNCTION("IFERROR(VLOOKUP(A26,IMPORTRANGE(""1LTj0BC6WXgHo3fEDDSQlGOM1HkEYGTw8epmIdU0RnB4"",""Form Responses 1!B:C""),2,FALSE),)"),"")</f>
        <v/>
      </c>
      <c r="J26" s="39" t="str">
        <f>IFERROR(__xludf.DUMMYFUNCTION("IFERROR(VLOOKUP(A26,IMPORTRANGE(""1lBH5Hghbbsr-XV8ZpAW4SFOyMpQX5vY0tEjkjRAJH48"",""Form Responses 1!B:C""),2,FALSE),)"),"")</f>
        <v/>
      </c>
      <c r="K26" s="39" t="str">
        <f>IFERROR(__xludf.DUMMYFUNCTION("IFERROR(IF(COUNTIF(IMPORTRANGE(""11sIXwmK0co7YC01jkeOYS_Q9btyVErtOm8MrXzqLkm8"",""Form Responses 1!B:B""),A26)&gt;0,10,),0)"),"")</f>
        <v/>
      </c>
      <c r="L26" s="70" t="str">
        <f>IFERROR(__xludf.DUMMYFUNCTION("IFERROR(IF(COUNTIF(IMPORTRANGE(""1csqG5dOxr6mnQQeHuLyfSoVeWZspfrn9T3cQFX5jhi8"",""Form Responses 1!B:B""),A26)&gt;0,10,),0)"),"")</f>
        <v/>
      </c>
      <c r="M26" s="70" t="str">
        <f>IFERROR(__xludf.DUMMYFUNCTION("IFERROR(VLOOKUP(A26,IMPORTRANGE(""1C8QMXhp6CypS1pNA-UXlEADxmI-6nbSN9P4kujkvESI"",""Form Responses 1!B:C""),2,FALSE),)"),"")</f>
        <v/>
      </c>
      <c r="N26" s="70" t="str">
        <f>IFERROR(__xludf.DUMMYFUNCTION("IFERROR(VLOOKUP(A26,IMPORTRANGE(""1e33dV9wgou_u1lnmBtok6Ato-q97II29uUvmeO7Juhw"",""Form Responses 1!B:C""),2,FALSE),)"),"")</f>
        <v/>
      </c>
      <c r="O26" s="70" t="str">
        <f>IFERROR(__xludf.DUMMYFUNCTION("IFERROR(VLOOKUP(A26,IMPORTRANGE(""15TUXUTXgRTcnnjS-jyDta7Ecw7-lv8-wZMGVKaxe8TY"",""Form Responses 1!B:C""),2,FALSE),)"),"")</f>
        <v/>
      </c>
      <c r="P26" s="70" t="str">
        <f>IFERROR(__xludf.DUMMYFUNCTION("IFERROR(IF(COUNTIF(IMPORTRANGE(""1KFxxroaoSLanJBYtWVxeITrgly-aztutk24Q4y14KKU"",""Form Responses 1!B:B""),A26)&gt;0,10,),0)"),"")</f>
        <v/>
      </c>
      <c r="Q26" s="71" t="str">
        <f>IFERROR(__xludf.DUMMYFUNCTION("IFERROR(VLOOKUP(TRIM(A26),IMPORTRANGE(""1WjiLR_MTMxI_IZUKuvPO4Sg2rTSIqBzP3edakSRXbOA"",""Form Responses 1!B:C""),2,0),"""")"),"")</f>
        <v/>
      </c>
      <c r="R26" s="70" t="str">
        <f>IFERROR(__xludf.DUMMYFUNCTION("IFERROR(VLOOKUP(TRIM(A26),IMPORTRANGE(""1Ixzbal5tEbtWhozsFEppQzOYE6ZSrkNXHg_HW5k3Wt4"",""Form Responses 1!B:C""),2,0),"""")"),"")</f>
        <v/>
      </c>
      <c r="S26" s="70" t="str">
        <f>IFERROR(__xludf.DUMMYFUNCTION("IFERROR(VLOOKUP(TRIM(A26),IMPORTRANGE(""1zxjtEKGvVIJPIDqZdnxENwVpPXYa88EihzyI44hcQUo"",""Form Responses 1!B:C""),2,0),"""")"),"")</f>
        <v/>
      </c>
      <c r="T26" s="70" t="str">
        <f>IFERROR(__xludf.DUMMYFUNCTION("IFERROR(VLOOKUP(TRIM(A26),IMPORTRANGE(""1H3cO01obd5zFULYqaT5NAqecZBFFIHeDFn4CeQLZF3w"",""Form Responses 1!B:C""),2,0),"""")"),"")</f>
        <v/>
      </c>
      <c r="U26" s="70" t="str">
        <f>IFERROR(__xludf.DUMMYFUNCTION("IFERROR(VLOOKUP(TRIM(A26),IMPORTRANGE(""1IG9qoa6PeLdDDFzKpW39lxXshN0-M8Z25a_R1EpsYyg"",""Form Responses 1!B:C""),2,0),"""")"),"")</f>
        <v/>
      </c>
      <c r="V26" s="74">
        <v>16.0</v>
      </c>
      <c r="W26" s="70">
        <f>IFERROR(__xludf.DUMMYFUNCTION("IFERROR(VLOOKUP(TRIM(A26),IMPORTRANGE(""1JzBbPfIn5kXHe-RuBwssvVRSauekkTw9cwf70DsYix4"",""Form Responses 1!B:C""),2,0),"""")"),12.0)</f>
        <v>12</v>
      </c>
      <c r="X26" s="70" t="str">
        <f>IFERROR(__xludf.DUMMYFUNCTION("IFERROR(VLOOKUP(TRIM(A26),IMPORTRANGE(""1JbcCdZBzu6Yag8PuyvlbtYmdvUYYQNraxAgoikGBi5w"",""Form Responses 1!B:C""),2,0),"""")"),"")</f>
        <v/>
      </c>
      <c r="Y26" s="70" t="str">
        <f>IFERROR(__xludf.DUMMYFUNCTION("IFERROR(VLOOKUP(TRIM(A26),IMPORTRANGE(""15-YcWQKwT7GXCzNpEoDkSlrruglscDYeQTD3uXec8uQ"",""Form Responses 1!B:C""),2,0),"""")"),"")</f>
        <v/>
      </c>
      <c r="Z26" s="70" t="str">
        <f>IFERROR(__xludf.DUMMYFUNCTION("IFERROR(VLOOKUP(TRIM(A26),IMPORTRANGE(""1X2rXjxJaWCoTCv5SRdgsC_V3cXeEyqXGQY3NvE1KDUk"",""Form Responses 1!B:C""),2,0),"""")"),"")</f>
        <v/>
      </c>
      <c r="AA26" s="70" t="str">
        <f>IFERROR(__xludf.DUMMYFUNCTION("IFERROR(VLOOKUP(TRIM(A26),IMPORTRANGE(""1zEJQnPshpdjcOtCVSP0I8nG2EXKbBMH9BJ8IeNFUEV8"",""Form Responses 1!B:C""),2,0),"""")"),"")</f>
        <v/>
      </c>
      <c r="AB26" s="70">
        <f>IFERROR(__xludf.DUMMYFUNCTION("IFERROR(VLOOKUP(TRIM(A26),IMPORTRANGE(""1JzBbPfIn5kXHe-RuBwssvVRSauekkTw9cwf70DsYix4"",""Form Responses 1!B:C""),2,0),"""")"),12.0)</f>
        <v>12</v>
      </c>
      <c r="AC26" s="70" t="str">
        <f>IFERROR(__xludf.DUMMYFUNCTION("IFERROR(VLOOKUP(TRIM(A26),IMPORTRANGE(""1JbcCdZBzu6Yag8PuyvlbtYmdvUYYQNraxAgoikGBi5w"",""Form Responses 1!B:C""),2,0),"""")"),"")</f>
        <v/>
      </c>
      <c r="AD26" s="70" t="str">
        <f>IFERROR(__xludf.DUMMYFUNCTION("IFERROR(VLOOKUP(TRIM(A26),IMPORTRANGE(""15-YcWQKwT7GXCzNpEoDkSlrruglscDYeQTD3uXec8uQ"",""Form Responses 1!B:C""),2,0),"""")"),"")</f>
        <v/>
      </c>
      <c r="AE26" s="70" t="str">
        <f>IFERROR(__xludf.DUMMYFUNCTION("IFERROR(VLOOKUP(TRIM(A26),IMPORTRANGE(""1X2rXjxJaWCoTCv5SRdgsC_V3cXeEyqXGQY3NvE1KDUk"",""Form Responses 1!B:C""),2,0),"""")"),"")</f>
        <v/>
      </c>
      <c r="AF26" s="70" t="str">
        <f>IFERROR(__xludf.DUMMYFUNCTION("IFERROR(VLOOKUP(TRIM(A26),IMPORTRANGE(""1zEJQnPshpdjcOtCVSP0I8nG2EXKbBMH9BJ8IeNFUEV8"",""Form Responses 1!B:C""),2,0),"""")"),"")</f>
        <v/>
      </c>
      <c r="AG26" s="70"/>
      <c r="AH26" s="70"/>
      <c r="AI26" s="70"/>
      <c r="AJ26" s="70"/>
      <c r="AK26" s="70"/>
      <c r="AL26" s="70"/>
      <c r="AM26" s="70"/>
      <c r="AN26" s="70"/>
      <c r="AO26" s="70"/>
      <c r="AP26" s="70"/>
      <c r="AQ26" s="70"/>
      <c r="AR26" s="70"/>
      <c r="AS26" s="70"/>
      <c r="AT26" s="70"/>
      <c r="AU26" s="70"/>
    </row>
    <row r="27">
      <c r="A27" s="39" t="s">
        <v>278</v>
      </c>
      <c r="B27" s="70">
        <f>IFERROR(__xludf.DUMMYFUNCTION("IFERROR(IF(COUNTIF(IMPORTRANGE(""1RTcwEJsI_0aJRebhNwO_H_AoKl9r46k7hWYbtciIyM4"",""Form Responses 1!B:B""),A27)&gt;0,10,),0)"),10.0)</f>
        <v>10</v>
      </c>
      <c r="C27" s="70">
        <f>IFERROR(__xludf.DUMMYFUNCTION("IFERROR(VLOOKUP(A27,IMPORTRANGE(""11i8IUhq_U6RRKRV3CBWIKqYed_fMvFgNUHTq1YDJfp8"",""Form Responses 1!B:C""),2,FALSE),)"),8.0)</f>
        <v>8</v>
      </c>
      <c r="D27" s="70">
        <f>IFERROR(__xludf.DUMMYFUNCTION("IFERROR(VLOOKUP(A27,IMPORTRANGE(""1StiHxuxrFhYdrq5WLR2JMORicW0TbnJf3J-oTHeMRtM"",""Form Responses 1!B:C""),2,FALSE),)"),2.0)</f>
        <v>2</v>
      </c>
      <c r="E27" s="70">
        <f>IFERROR(__xludf.DUMMYFUNCTION("IFERROR(VLOOKUP(A27,IMPORTRANGE(""1QaxxyUjrDq2kgz300C1Bq1tacFk6e-xX218cSXCQUK0"",""Form Responses 1!B:C""),2,FALSE),)"),2.0)</f>
        <v>2</v>
      </c>
      <c r="F27" s="70">
        <f>IFERROR(__xludf.DUMMYFUNCTION("IFERROR(VLOOKUP(A27,IMPORTRANGE(""1fn2ECph_y8Uz78DhjLaiXcwgt6kh3oe-0Le36Uw0noE"",""Form Responses 1!B:C""),2,FALSE),)"),0.0)</f>
        <v>0</v>
      </c>
      <c r="G27" s="39">
        <f>IFERROR(__xludf.DUMMYFUNCTION("IFERROR(IF(COUNTIF(IMPORTRANGE(""1t6NbzWBtAQKR9pGjBnxm9V-bRaGdRVT_-u2ojrUkYZw"",""Form Responses 1!B:B""),A27)&gt;0,10,),0)"),10.0)</f>
        <v>10</v>
      </c>
      <c r="H27" s="39">
        <f>IFERROR(__xludf.DUMMYFUNCTION("IFERROR(VLOOKUP(A27,IMPORTRANGE(""1ytv6MYmm-8DwYEf-PC6L-upnzfG4TJT_K2_Q1BobE6k"",""Form Responses 1!B:C""),2,FALSE),)"),8.0)</f>
        <v>8</v>
      </c>
      <c r="I27" s="39">
        <f>IFERROR(__xludf.DUMMYFUNCTION("IFERROR(VLOOKUP(A27,IMPORTRANGE(""1LTj0BC6WXgHo3fEDDSQlGOM1HkEYGTw8epmIdU0RnB4"",""Form Responses 1!B:C""),2,FALSE),)"),0.0)</f>
        <v>0</v>
      </c>
      <c r="J27" s="39" t="str">
        <f>IFERROR(__xludf.DUMMYFUNCTION("IFERROR(VLOOKUP(A27,IMPORTRANGE(""1lBH5Hghbbsr-XV8ZpAW4SFOyMpQX5vY0tEjkjRAJH48"",""Form Responses 1!B:C""),2,FALSE),)"),"")</f>
        <v/>
      </c>
      <c r="K27" s="39" t="str">
        <f>IFERROR(__xludf.DUMMYFUNCTION("IFERROR(IF(COUNTIF(IMPORTRANGE(""11sIXwmK0co7YC01jkeOYS_Q9btyVErtOm8MrXzqLkm8"",""Form Responses 1!B:B""),A27)&gt;0,10,),0)"),"")</f>
        <v/>
      </c>
      <c r="L27" s="70">
        <f>IFERROR(__xludf.DUMMYFUNCTION("IFERROR(IF(COUNTIF(IMPORTRANGE(""1csqG5dOxr6mnQQeHuLyfSoVeWZspfrn9T3cQFX5jhi8"",""Form Responses 1!B:B""),A27)&gt;0,10,),0)"),10.0)</f>
        <v>10</v>
      </c>
      <c r="M27" s="70">
        <f>IFERROR(__xludf.DUMMYFUNCTION("IFERROR(VLOOKUP(A27,IMPORTRANGE(""1C8QMXhp6CypS1pNA-UXlEADxmI-6nbSN9P4kujkvESI"",""Form Responses 1!B:C""),2,FALSE),)"),11.0)</f>
        <v>11</v>
      </c>
      <c r="N27" s="70">
        <f>IFERROR(__xludf.DUMMYFUNCTION("IFERROR(VLOOKUP(A27,IMPORTRANGE(""1e33dV9wgou_u1lnmBtok6Ato-q97II29uUvmeO7Juhw"",""Form Responses 1!B:C""),2,FALSE),)"),16.0)</f>
        <v>16</v>
      </c>
      <c r="O27" s="70">
        <f>IFERROR(__xludf.DUMMYFUNCTION("IFERROR(VLOOKUP(A27,IMPORTRANGE(""15TUXUTXgRTcnnjS-jyDta7Ecw7-lv8-wZMGVKaxe8TY"",""Form Responses 1!B:C""),2,FALSE),)"),22.0)</f>
        <v>22</v>
      </c>
      <c r="P27" s="70">
        <f>IFERROR(__xludf.DUMMYFUNCTION("IFERROR(IF(COUNTIF(IMPORTRANGE(""1KFxxroaoSLanJBYtWVxeITrgly-aztutk24Q4y14KKU"",""Form Responses 1!B:B""),A27)&gt;0,10,),0)"),10.0)</f>
        <v>10</v>
      </c>
      <c r="Q27" s="71">
        <f>IFERROR(__xludf.DUMMYFUNCTION("IFERROR(VLOOKUP(TRIM(A27),IMPORTRANGE(""1WjiLR_MTMxI_IZUKuvPO4Sg2rTSIqBzP3edakSRXbOA"",""Form Responses 1!B:C""),2,0),"""")"),6.0)</f>
        <v>6</v>
      </c>
      <c r="R27" s="70">
        <f>IFERROR(__xludf.DUMMYFUNCTION("IFERROR(VLOOKUP(TRIM(A27),IMPORTRANGE(""1Ixzbal5tEbtWhozsFEppQzOYE6ZSrkNXHg_HW5k3Wt4"",""Form Responses 1!B:C""),2,0),"""")"),2.0)</f>
        <v>2</v>
      </c>
      <c r="S27" s="70">
        <f>IFERROR(__xludf.DUMMYFUNCTION("IFERROR(VLOOKUP(TRIM(A27),IMPORTRANGE(""1zxjtEKGvVIJPIDqZdnxENwVpPXYa88EihzyI44hcQUo"",""Form Responses 1!B:C""),2,0),"""")"),5.0)</f>
        <v>5</v>
      </c>
      <c r="T27" s="70">
        <f>IFERROR(__xludf.DUMMYFUNCTION("IFERROR(VLOOKUP(TRIM(A27),IMPORTRANGE(""1H3cO01obd5zFULYqaT5NAqecZBFFIHeDFn4CeQLZF3w"",""Form Responses 1!B:C""),2,0),"""")"),2.0)</f>
        <v>2</v>
      </c>
      <c r="U27" s="70">
        <f>IFERROR(__xludf.DUMMYFUNCTION("IFERROR(VLOOKUP(TRIM(A27),IMPORTRANGE(""1IG9qoa6PeLdDDFzKpW39lxXshN0-M8Z25a_R1EpsYyg"",""Form Responses 1!B:C""),2,0),"""")"),2.0)</f>
        <v>2</v>
      </c>
      <c r="V27" s="72"/>
      <c r="W27" s="70" t="str">
        <f>IFERROR(__xludf.DUMMYFUNCTION("IFERROR(VLOOKUP(TRIM(A27),IMPORTRANGE(""1JzBbPfIn5kXHe-RuBwssvVRSauekkTw9cwf70DsYix4"",""Form Responses 1!B:C""),2,0),"""")"),"")</f>
        <v/>
      </c>
      <c r="X27" s="70" t="str">
        <f>IFERROR(__xludf.DUMMYFUNCTION("IFERROR(VLOOKUP(TRIM(A27),IMPORTRANGE(""1JbcCdZBzu6Yag8PuyvlbtYmdvUYYQNraxAgoikGBi5w"",""Form Responses 1!B:C""),2,0),"""")"),"")</f>
        <v/>
      </c>
      <c r="Y27" s="70" t="str">
        <f>IFERROR(__xludf.DUMMYFUNCTION("IFERROR(VLOOKUP(TRIM(A27),IMPORTRANGE(""15-YcWQKwT7GXCzNpEoDkSlrruglscDYeQTD3uXec8uQ"",""Form Responses 1!B:C""),2,0),"""")"),"")</f>
        <v/>
      </c>
      <c r="Z27" s="70" t="str">
        <f>IFERROR(__xludf.DUMMYFUNCTION("IFERROR(VLOOKUP(TRIM(A27),IMPORTRANGE(""1X2rXjxJaWCoTCv5SRdgsC_V3cXeEyqXGQY3NvE1KDUk"",""Form Responses 1!B:C""),2,0),"""")"),"")</f>
        <v/>
      </c>
      <c r="AA27" s="70" t="str">
        <f>IFERROR(__xludf.DUMMYFUNCTION("IFERROR(VLOOKUP(TRIM(A27),IMPORTRANGE(""1zEJQnPshpdjcOtCVSP0I8nG2EXKbBMH9BJ8IeNFUEV8"",""Form Responses 1!B:C""),2,0),"""")"),"")</f>
        <v/>
      </c>
      <c r="AB27" s="70" t="str">
        <f>IFERROR(__xludf.DUMMYFUNCTION("IFERROR(VLOOKUP(TRIM(A27),IMPORTRANGE(""1JzBbPfIn5kXHe-RuBwssvVRSauekkTw9cwf70DsYix4"",""Form Responses 1!B:C""),2,0),"""")"),"")</f>
        <v/>
      </c>
      <c r="AC27" s="70" t="str">
        <f>IFERROR(__xludf.DUMMYFUNCTION("IFERROR(VLOOKUP(TRIM(A27),IMPORTRANGE(""1JbcCdZBzu6Yag8PuyvlbtYmdvUYYQNraxAgoikGBi5w"",""Form Responses 1!B:C""),2,0),"""")"),"")</f>
        <v/>
      </c>
      <c r="AD27" s="70" t="str">
        <f>IFERROR(__xludf.DUMMYFUNCTION("IFERROR(VLOOKUP(TRIM(A27),IMPORTRANGE(""15-YcWQKwT7GXCzNpEoDkSlrruglscDYeQTD3uXec8uQ"",""Form Responses 1!B:C""),2,0),"""")"),"")</f>
        <v/>
      </c>
      <c r="AE27" s="70" t="str">
        <f>IFERROR(__xludf.DUMMYFUNCTION("IFERROR(VLOOKUP(TRIM(A27),IMPORTRANGE(""1X2rXjxJaWCoTCv5SRdgsC_V3cXeEyqXGQY3NvE1KDUk"",""Form Responses 1!B:C""),2,0),"""")"),"")</f>
        <v/>
      </c>
      <c r="AF27" s="70" t="str">
        <f>IFERROR(__xludf.DUMMYFUNCTION("IFERROR(VLOOKUP(TRIM(A27),IMPORTRANGE(""1zEJQnPshpdjcOtCVSP0I8nG2EXKbBMH9BJ8IeNFUEV8"",""Form Responses 1!B:C""),2,0),"""")"),"")</f>
        <v/>
      </c>
      <c r="AG27" s="70"/>
      <c r="AH27" s="70"/>
      <c r="AI27" s="70"/>
      <c r="AJ27" s="70"/>
      <c r="AK27" s="70"/>
      <c r="AL27" s="70"/>
      <c r="AM27" s="70"/>
      <c r="AN27" s="70"/>
      <c r="AO27" s="70"/>
      <c r="AP27" s="70"/>
      <c r="AQ27" s="70"/>
      <c r="AR27" s="70"/>
      <c r="AS27" s="70"/>
      <c r="AT27" s="70"/>
      <c r="AU27" s="70"/>
    </row>
    <row r="28">
      <c r="A28" s="39" t="s">
        <v>279</v>
      </c>
      <c r="B28" s="70">
        <f>IFERROR(__xludf.DUMMYFUNCTION("IFERROR(IF(COUNTIF(IMPORTRANGE(""1RTcwEJsI_0aJRebhNwO_H_AoKl9r46k7hWYbtciIyM4"",""Form Responses 1!B:B""),A28)&gt;0,10,),0)"),10.0)</f>
        <v>10</v>
      </c>
      <c r="C28" s="70" t="str">
        <f>IFERROR(__xludf.DUMMYFUNCTION("IFERROR(VLOOKUP(A28,IMPORTRANGE(""11i8IUhq_U6RRKRV3CBWIKqYed_fMvFgNUHTq1YDJfp8"",""Form Responses 1!B:C""),2,FALSE),)"),"")</f>
        <v/>
      </c>
      <c r="D28" s="70" t="str">
        <f>IFERROR(__xludf.DUMMYFUNCTION("IFERROR(VLOOKUP(A28,IMPORTRANGE(""1StiHxuxrFhYdrq5WLR2JMORicW0TbnJf3J-oTHeMRtM"",""Form Responses 1!B:C""),2,FALSE),)"),"")</f>
        <v/>
      </c>
      <c r="E28" s="70" t="str">
        <f>IFERROR(__xludf.DUMMYFUNCTION("IFERROR(VLOOKUP(A28,IMPORTRANGE(""1QaxxyUjrDq2kgz300C1Bq1tacFk6e-xX218cSXCQUK0"",""Form Responses 1!B:C""),2,FALSE),)"),"")</f>
        <v/>
      </c>
      <c r="F28" s="70" t="str">
        <f>IFERROR(__xludf.DUMMYFUNCTION("IFERROR(VLOOKUP(A28,IMPORTRANGE(""1fn2ECph_y8Uz78DhjLaiXcwgt6kh3oe-0Le36Uw0noE"",""Form Responses 1!B:C""),2,FALSE),)"),"")</f>
        <v/>
      </c>
      <c r="G28" s="39" t="str">
        <f>IFERROR(__xludf.DUMMYFUNCTION("IFERROR(IF(COUNTIF(IMPORTRANGE(""1t6NbzWBtAQKR9pGjBnxm9V-bRaGdRVT_-u2ojrUkYZw"",""Form Responses 1!B:B""),A28)&gt;0,10,),0)"),"")</f>
        <v/>
      </c>
      <c r="H28" s="39" t="str">
        <f>IFERROR(__xludf.DUMMYFUNCTION("IFERROR(VLOOKUP(A28,IMPORTRANGE(""1ytv6MYmm-8DwYEf-PC6L-upnzfG4TJT_K2_Q1BobE6k"",""Form Responses 1!B:C""),2,FALSE),)"),"")</f>
        <v/>
      </c>
      <c r="I28" s="39" t="str">
        <f>IFERROR(__xludf.DUMMYFUNCTION("IFERROR(VLOOKUP(A28,IMPORTRANGE(""1LTj0BC6WXgHo3fEDDSQlGOM1HkEYGTw8epmIdU0RnB4"",""Form Responses 1!B:C""),2,FALSE),)"),"")</f>
        <v/>
      </c>
      <c r="J28" s="39" t="str">
        <f>IFERROR(__xludf.DUMMYFUNCTION("IFERROR(VLOOKUP(A28,IMPORTRANGE(""1lBH5Hghbbsr-XV8ZpAW4SFOyMpQX5vY0tEjkjRAJH48"",""Form Responses 1!B:C""),2,FALSE),)"),"")</f>
        <v/>
      </c>
      <c r="K28" s="39" t="str">
        <f>IFERROR(__xludf.DUMMYFUNCTION("IFERROR(IF(COUNTIF(IMPORTRANGE(""11sIXwmK0co7YC01jkeOYS_Q9btyVErtOm8MrXzqLkm8"",""Form Responses 1!B:B""),A28)&gt;0,10,),0)"),"")</f>
        <v/>
      </c>
      <c r="L28" s="70">
        <f>IFERROR(__xludf.DUMMYFUNCTION("IFERROR(IF(COUNTIF(IMPORTRANGE(""1csqG5dOxr6mnQQeHuLyfSoVeWZspfrn9T3cQFX5jhi8"",""Form Responses 1!B:B""),A28)&gt;0,10,),0)"),10.0)</f>
        <v>10</v>
      </c>
      <c r="M28" s="70" t="str">
        <f>IFERROR(__xludf.DUMMYFUNCTION("IFERROR(VLOOKUP(A28,IMPORTRANGE(""1C8QMXhp6CypS1pNA-UXlEADxmI-6nbSN9P4kujkvESI"",""Form Responses 1!B:C""),2,FALSE),)"),"")</f>
        <v/>
      </c>
      <c r="N28" s="70" t="str">
        <f>IFERROR(__xludf.DUMMYFUNCTION("IFERROR(VLOOKUP(A28,IMPORTRANGE(""1e33dV9wgou_u1lnmBtok6Ato-q97II29uUvmeO7Juhw"",""Form Responses 1!B:C""),2,FALSE),)"),"")</f>
        <v/>
      </c>
      <c r="O28" s="70" t="str">
        <f>IFERROR(__xludf.DUMMYFUNCTION("IFERROR(VLOOKUP(A28,IMPORTRANGE(""15TUXUTXgRTcnnjS-jyDta7Ecw7-lv8-wZMGVKaxe8TY"",""Form Responses 1!B:C""),2,FALSE),)"),"")</f>
        <v/>
      </c>
      <c r="P28" s="70" t="str">
        <f>IFERROR(__xludf.DUMMYFUNCTION("IFERROR(IF(COUNTIF(IMPORTRANGE(""1KFxxroaoSLanJBYtWVxeITrgly-aztutk24Q4y14KKU"",""Form Responses 1!B:B""),A28)&gt;0,10,),0)"),"")</f>
        <v/>
      </c>
      <c r="Q28" s="71">
        <f>IFERROR(__xludf.DUMMYFUNCTION("IFERROR(VLOOKUP(TRIM(A28),IMPORTRANGE(""1WjiLR_MTMxI_IZUKuvPO4Sg2rTSIqBzP3edakSRXbOA"",""Form Responses 1!B:C""),2,0),"""")"),4.0)</f>
        <v>4</v>
      </c>
      <c r="R28" s="70" t="str">
        <f>IFERROR(__xludf.DUMMYFUNCTION("IFERROR(VLOOKUP(TRIM(A28),IMPORTRANGE(""1Ixzbal5tEbtWhozsFEppQzOYE6ZSrkNXHg_HW5k3Wt4"",""Form Responses 1!B:C""),2,0),"""")"),"")</f>
        <v/>
      </c>
      <c r="S28" s="70" t="str">
        <f>IFERROR(__xludf.DUMMYFUNCTION("IFERROR(VLOOKUP(TRIM(A28),IMPORTRANGE(""1zxjtEKGvVIJPIDqZdnxENwVpPXYa88EihzyI44hcQUo"",""Form Responses 1!B:C""),2,0),"""")"),"")</f>
        <v/>
      </c>
      <c r="T28" s="70" t="str">
        <f>IFERROR(__xludf.DUMMYFUNCTION("IFERROR(VLOOKUP(TRIM(A28),IMPORTRANGE(""1H3cO01obd5zFULYqaT5NAqecZBFFIHeDFn4CeQLZF3w"",""Form Responses 1!B:C""),2,0),"""")"),"")</f>
        <v/>
      </c>
      <c r="U28" s="70" t="str">
        <f>IFERROR(__xludf.DUMMYFUNCTION("IFERROR(VLOOKUP(TRIM(A28),IMPORTRANGE(""1IG9qoa6PeLdDDFzKpW39lxXshN0-M8Z25a_R1EpsYyg"",""Form Responses 1!B:C""),2,0),"""")"),"")</f>
        <v/>
      </c>
      <c r="V28" s="72"/>
      <c r="W28" s="70" t="str">
        <f>IFERROR(__xludf.DUMMYFUNCTION("IFERROR(VLOOKUP(TRIM(A28),IMPORTRANGE(""1JzBbPfIn5kXHe-RuBwssvVRSauekkTw9cwf70DsYix4"",""Form Responses 1!B:C""),2,0),"""")"),"")</f>
        <v/>
      </c>
      <c r="X28" s="70" t="str">
        <f>IFERROR(__xludf.DUMMYFUNCTION("IFERROR(VLOOKUP(TRIM(A28),IMPORTRANGE(""1JbcCdZBzu6Yag8PuyvlbtYmdvUYYQNraxAgoikGBi5w"",""Form Responses 1!B:C""),2,0),"""")"),"")</f>
        <v/>
      </c>
      <c r="Y28" s="70" t="str">
        <f>IFERROR(__xludf.DUMMYFUNCTION("IFERROR(VLOOKUP(TRIM(A28),IMPORTRANGE(""15-YcWQKwT7GXCzNpEoDkSlrruglscDYeQTD3uXec8uQ"",""Form Responses 1!B:C""),2,0),"""")"),"")</f>
        <v/>
      </c>
      <c r="Z28" s="70" t="str">
        <f>IFERROR(__xludf.DUMMYFUNCTION("IFERROR(VLOOKUP(TRIM(A28),IMPORTRANGE(""1X2rXjxJaWCoTCv5SRdgsC_V3cXeEyqXGQY3NvE1KDUk"",""Form Responses 1!B:C""),2,0),"""")"),"")</f>
        <v/>
      </c>
      <c r="AA28" s="70" t="str">
        <f>IFERROR(__xludf.DUMMYFUNCTION("IFERROR(VLOOKUP(TRIM(A28),IMPORTRANGE(""1zEJQnPshpdjcOtCVSP0I8nG2EXKbBMH9BJ8IeNFUEV8"",""Form Responses 1!B:C""),2,0),"""")"),"")</f>
        <v/>
      </c>
      <c r="AB28" s="70" t="str">
        <f>IFERROR(__xludf.DUMMYFUNCTION("IFERROR(VLOOKUP(TRIM(A28),IMPORTRANGE(""1JzBbPfIn5kXHe-RuBwssvVRSauekkTw9cwf70DsYix4"",""Form Responses 1!B:C""),2,0),"""")"),"")</f>
        <v/>
      </c>
      <c r="AC28" s="70" t="str">
        <f>IFERROR(__xludf.DUMMYFUNCTION("IFERROR(VLOOKUP(TRIM(A28),IMPORTRANGE(""1JbcCdZBzu6Yag8PuyvlbtYmdvUYYQNraxAgoikGBi5w"",""Form Responses 1!B:C""),2,0),"""")"),"")</f>
        <v/>
      </c>
      <c r="AD28" s="70" t="str">
        <f>IFERROR(__xludf.DUMMYFUNCTION("IFERROR(VLOOKUP(TRIM(A28),IMPORTRANGE(""15-YcWQKwT7GXCzNpEoDkSlrruglscDYeQTD3uXec8uQ"",""Form Responses 1!B:C""),2,0),"""")"),"")</f>
        <v/>
      </c>
      <c r="AE28" s="70" t="str">
        <f>IFERROR(__xludf.DUMMYFUNCTION("IFERROR(VLOOKUP(TRIM(A28),IMPORTRANGE(""1X2rXjxJaWCoTCv5SRdgsC_V3cXeEyqXGQY3NvE1KDUk"",""Form Responses 1!B:C""),2,0),"""")"),"")</f>
        <v/>
      </c>
      <c r="AF28" s="70" t="str">
        <f>IFERROR(__xludf.DUMMYFUNCTION("IFERROR(VLOOKUP(TRIM(A28),IMPORTRANGE(""1zEJQnPshpdjcOtCVSP0I8nG2EXKbBMH9BJ8IeNFUEV8"",""Form Responses 1!B:C""),2,0),"""")"),"")</f>
        <v/>
      </c>
      <c r="AG28" s="70"/>
      <c r="AH28" s="70"/>
      <c r="AI28" s="70"/>
      <c r="AJ28" s="70"/>
      <c r="AK28" s="70"/>
      <c r="AL28" s="70"/>
      <c r="AM28" s="70"/>
      <c r="AN28" s="70"/>
      <c r="AO28" s="70"/>
      <c r="AP28" s="70"/>
      <c r="AQ28" s="70"/>
      <c r="AR28" s="70"/>
      <c r="AS28" s="70"/>
      <c r="AT28" s="70"/>
      <c r="AU28" s="70"/>
    </row>
    <row r="29">
      <c r="A29" s="39" t="s">
        <v>280</v>
      </c>
      <c r="B29" s="70" t="str">
        <f>IFERROR(__xludf.DUMMYFUNCTION("IFERROR(IF(COUNTIF(IMPORTRANGE(""1RTcwEJsI_0aJRebhNwO_H_AoKl9r46k7hWYbtciIyM4"",""Form Responses 1!B:B""),A29)&gt;0,10,),0)"),"")</f>
        <v/>
      </c>
      <c r="C29" s="70" t="str">
        <f>IFERROR(__xludf.DUMMYFUNCTION("IFERROR(VLOOKUP(A29,IMPORTRANGE(""11i8IUhq_U6RRKRV3CBWIKqYed_fMvFgNUHTq1YDJfp8"",""Form Responses 1!B:C""),2,FALSE),)"),"")</f>
        <v/>
      </c>
      <c r="D29" s="70" t="str">
        <f>IFERROR(__xludf.DUMMYFUNCTION("IFERROR(VLOOKUP(A29,IMPORTRANGE(""1StiHxuxrFhYdrq5WLR2JMORicW0TbnJf3J-oTHeMRtM"",""Form Responses 1!B:C""),2,FALSE),)"),"")</f>
        <v/>
      </c>
      <c r="E29" s="70" t="str">
        <f>IFERROR(__xludf.DUMMYFUNCTION("IFERROR(VLOOKUP(A29,IMPORTRANGE(""1QaxxyUjrDq2kgz300C1Bq1tacFk6e-xX218cSXCQUK0"",""Form Responses 1!B:C""),2,FALSE),)"),"")</f>
        <v/>
      </c>
      <c r="F29" s="70" t="str">
        <f>IFERROR(__xludf.DUMMYFUNCTION("IFERROR(VLOOKUP(A29,IMPORTRANGE(""1fn2ECph_y8Uz78DhjLaiXcwgt6kh3oe-0Le36Uw0noE"",""Form Responses 1!B:C""),2,FALSE),)"),"")</f>
        <v/>
      </c>
      <c r="G29" s="39">
        <f>IFERROR(__xludf.DUMMYFUNCTION("IFERROR(IF(COUNTIF(IMPORTRANGE(""1t6NbzWBtAQKR9pGjBnxm9V-bRaGdRVT_-u2ojrUkYZw"",""Form Responses 1!B:B""),A29)&gt;0,10,),0)"),10.0)</f>
        <v>10</v>
      </c>
      <c r="H29" s="39" t="str">
        <f>IFERROR(__xludf.DUMMYFUNCTION("IFERROR(VLOOKUP(A29,IMPORTRANGE(""1ytv6MYmm-8DwYEf-PC6L-upnzfG4TJT_K2_Q1BobE6k"",""Form Responses 1!B:C""),2,FALSE),)"),"")</f>
        <v/>
      </c>
      <c r="I29" s="39" t="str">
        <f>IFERROR(__xludf.DUMMYFUNCTION("IFERROR(VLOOKUP(A29,IMPORTRANGE(""1LTj0BC6WXgHo3fEDDSQlGOM1HkEYGTw8epmIdU0RnB4"",""Form Responses 1!B:C""),2,FALSE),)"),"")</f>
        <v/>
      </c>
      <c r="J29" s="39" t="str">
        <f>IFERROR(__xludf.DUMMYFUNCTION("IFERROR(VLOOKUP(A29,IMPORTRANGE(""1lBH5Hghbbsr-XV8ZpAW4SFOyMpQX5vY0tEjkjRAJH48"",""Form Responses 1!B:C""),2,FALSE),)"),"")</f>
        <v/>
      </c>
      <c r="K29" s="39" t="str">
        <f>IFERROR(__xludf.DUMMYFUNCTION("IFERROR(IF(COUNTIF(IMPORTRANGE(""11sIXwmK0co7YC01jkeOYS_Q9btyVErtOm8MrXzqLkm8"",""Form Responses 1!B:B""),A29)&gt;0,10,),0)"),"")</f>
        <v/>
      </c>
      <c r="L29" s="70" t="str">
        <f>IFERROR(__xludf.DUMMYFUNCTION("IFERROR(IF(COUNTIF(IMPORTRANGE(""1csqG5dOxr6mnQQeHuLyfSoVeWZspfrn9T3cQFX5jhi8"",""Form Responses 1!B:B""),A29)&gt;0,10,),0)"),"")</f>
        <v/>
      </c>
      <c r="M29" s="70" t="str">
        <f>IFERROR(__xludf.DUMMYFUNCTION("IFERROR(VLOOKUP(A29,IMPORTRANGE(""1C8QMXhp6CypS1pNA-UXlEADxmI-6nbSN9P4kujkvESI"",""Form Responses 1!B:C""),2,FALSE),)"),"")</f>
        <v/>
      </c>
      <c r="N29" s="70" t="str">
        <f>IFERROR(__xludf.DUMMYFUNCTION("IFERROR(VLOOKUP(A29,IMPORTRANGE(""1e33dV9wgou_u1lnmBtok6Ato-q97II29uUvmeO7Juhw"",""Form Responses 1!B:C""),2,FALSE),)"),"")</f>
        <v/>
      </c>
      <c r="O29" s="70" t="str">
        <f>IFERROR(__xludf.DUMMYFUNCTION("IFERROR(VLOOKUP(A29,IMPORTRANGE(""15TUXUTXgRTcnnjS-jyDta7Ecw7-lv8-wZMGVKaxe8TY"",""Form Responses 1!B:C""),2,FALSE),)"),"")</f>
        <v/>
      </c>
      <c r="P29" s="70" t="str">
        <f>IFERROR(__xludf.DUMMYFUNCTION("IFERROR(IF(COUNTIF(IMPORTRANGE(""1KFxxroaoSLanJBYtWVxeITrgly-aztutk24Q4y14KKU"",""Form Responses 1!B:B""),A29)&gt;0,10,),0)"),"")</f>
        <v/>
      </c>
      <c r="Q29" s="71" t="str">
        <f>IFERROR(__xludf.DUMMYFUNCTION("IFERROR(VLOOKUP(TRIM(A29),IMPORTRANGE(""1WjiLR_MTMxI_IZUKuvPO4Sg2rTSIqBzP3edakSRXbOA"",""Form Responses 1!B:C""),2,0),"""")"),"")</f>
        <v/>
      </c>
      <c r="R29" s="70" t="str">
        <f>IFERROR(__xludf.DUMMYFUNCTION("IFERROR(VLOOKUP(TRIM(A29),IMPORTRANGE(""1Ixzbal5tEbtWhozsFEppQzOYE6ZSrkNXHg_HW5k3Wt4"",""Form Responses 1!B:C""),2,0),"""")"),"")</f>
        <v/>
      </c>
      <c r="S29" s="70" t="str">
        <f>IFERROR(__xludf.DUMMYFUNCTION("IFERROR(VLOOKUP(TRIM(A29),IMPORTRANGE(""1zxjtEKGvVIJPIDqZdnxENwVpPXYa88EihzyI44hcQUo"",""Form Responses 1!B:C""),2,0),"""")"),"")</f>
        <v/>
      </c>
      <c r="T29" s="70" t="str">
        <f>IFERROR(__xludf.DUMMYFUNCTION("IFERROR(VLOOKUP(TRIM(A29),IMPORTRANGE(""1H3cO01obd5zFULYqaT5NAqecZBFFIHeDFn4CeQLZF3w"",""Form Responses 1!B:C""),2,0),"""")"),"")</f>
        <v/>
      </c>
      <c r="U29" s="70" t="str">
        <f>IFERROR(__xludf.DUMMYFUNCTION("IFERROR(VLOOKUP(TRIM(A29),IMPORTRANGE(""1IG9qoa6PeLdDDFzKpW39lxXshN0-M8Z25a_R1EpsYyg"",""Form Responses 1!B:C""),2,0),"""")"),"")</f>
        <v/>
      </c>
      <c r="V29" s="74">
        <v>10.0</v>
      </c>
      <c r="W29" s="70" t="str">
        <f>IFERROR(__xludf.DUMMYFUNCTION("IFERROR(VLOOKUP(TRIM(A29),IMPORTRANGE(""1JzBbPfIn5kXHe-RuBwssvVRSauekkTw9cwf70DsYix4"",""Form Responses 1!B:C""),2,0),"""")"),"")</f>
        <v/>
      </c>
      <c r="X29" s="70" t="str">
        <f>IFERROR(__xludf.DUMMYFUNCTION("IFERROR(VLOOKUP(TRIM(A29),IMPORTRANGE(""1JbcCdZBzu6Yag8PuyvlbtYmdvUYYQNraxAgoikGBi5w"",""Form Responses 1!B:C""),2,0),"""")"),"")</f>
        <v/>
      </c>
      <c r="Y29" s="70" t="str">
        <f>IFERROR(__xludf.DUMMYFUNCTION("IFERROR(VLOOKUP(TRIM(A29),IMPORTRANGE(""15-YcWQKwT7GXCzNpEoDkSlrruglscDYeQTD3uXec8uQ"",""Form Responses 1!B:C""),2,0),"""")"),"")</f>
        <v/>
      </c>
      <c r="Z29" s="70" t="str">
        <f>IFERROR(__xludf.DUMMYFUNCTION("IFERROR(VLOOKUP(TRIM(A29),IMPORTRANGE(""1X2rXjxJaWCoTCv5SRdgsC_V3cXeEyqXGQY3NvE1KDUk"",""Form Responses 1!B:C""),2,0),"""")"),"")</f>
        <v/>
      </c>
      <c r="AA29" s="70" t="str">
        <f>IFERROR(__xludf.DUMMYFUNCTION("IFERROR(VLOOKUP(TRIM(A29),IMPORTRANGE(""1zEJQnPshpdjcOtCVSP0I8nG2EXKbBMH9BJ8IeNFUEV8"",""Form Responses 1!B:C""),2,0),"""")"),"")</f>
        <v/>
      </c>
      <c r="AB29" s="70" t="str">
        <f>IFERROR(__xludf.DUMMYFUNCTION("IFERROR(VLOOKUP(TRIM(A29),IMPORTRANGE(""1JzBbPfIn5kXHe-RuBwssvVRSauekkTw9cwf70DsYix4"",""Form Responses 1!B:C""),2,0),"""")"),"")</f>
        <v/>
      </c>
      <c r="AC29" s="70" t="str">
        <f>IFERROR(__xludf.DUMMYFUNCTION("IFERROR(VLOOKUP(TRIM(A29),IMPORTRANGE(""1JbcCdZBzu6Yag8PuyvlbtYmdvUYYQNraxAgoikGBi5w"",""Form Responses 1!B:C""),2,0),"""")"),"")</f>
        <v/>
      </c>
      <c r="AD29" s="70" t="str">
        <f>IFERROR(__xludf.DUMMYFUNCTION("IFERROR(VLOOKUP(TRIM(A29),IMPORTRANGE(""15-YcWQKwT7GXCzNpEoDkSlrruglscDYeQTD3uXec8uQ"",""Form Responses 1!B:C""),2,0),"""")"),"")</f>
        <v/>
      </c>
      <c r="AE29" s="70" t="str">
        <f>IFERROR(__xludf.DUMMYFUNCTION("IFERROR(VLOOKUP(TRIM(A29),IMPORTRANGE(""1X2rXjxJaWCoTCv5SRdgsC_V3cXeEyqXGQY3NvE1KDUk"",""Form Responses 1!B:C""),2,0),"""")"),"")</f>
        <v/>
      </c>
      <c r="AF29" s="70" t="str">
        <f>IFERROR(__xludf.DUMMYFUNCTION("IFERROR(VLOOKUP(TRIM(A29),IMPORTRANGE(""1zEJQnPshpdjcOtCVSP0I8nG2EXKbBMH9BJ8IeNFUEV8"",""Form Responses 1!B:C""),2,0),"""")"),"")</f>
        <v/>
      </c>
      <c r="AG29" s="70"/>
      <c r="AH29" s="70"/>
      <c r="AI29" s="70"/>
      <c r="AJ29" s="70"/>
      <c r="AK29" s="70"/>
      <c r="AL29" s="70"/>
      <c r="AM29" s="70"/>
      <c r="AN29" s="70"/>
      <c r="AO29" s="70"/>
      <c r="AP29" s="70"/>
      <c r="AQ29" s="70"/>
      <c r="AR29" s="70"/>
      <c r="AS29" s="70"/>
      <c r="AT29" s="70"/>
      <c r="AU29" s="70"/>
    </row>
    <row r="30">
      <c r="A30" s="39" t="s">
        <v>281</v>
      </c>
      <c r="B30" s="70" t="str">
        <f>IFERROR(__xludf.DUMMYFUNCTION("IFERROR(IF(COUNTIF(IMPORTRANGE(""1RTcwEJsI_0aJRebhNwO_H_AoKl9r46k7hWYbtciIyM4"",""Form Responses 1!B:B""),A30)&gt;0,10,),0)"),"")</f>
        <v/>
      </c>
      <c r="C30" s="70" t="str">
        <f>IFERROR(__xludf.DUMMYFUNCTION("IFERROR(VLOOKUP(A30,IMPORTRANGE(""11i8IUhq_U6RRKRV3CBWIKqYed_fMvFgNUHTq1YDJfp8"",""Form Responses 1!B:C""),2,FALSE),)"),"")</f>
        <v/>
      </c>
      <c r="D30" s="70" t="str">
        <f>IFERROR(__xludf.DUMMYFUNCTION("IFERROR(VLOOKUP(A30,IMPORTRANGE(""1StiHxuxrFhYdrq5WLR2JMORicW0TbnJf3J-oTHeMRtM"",""Form Responses 1!B:C""),2,FALSE),)"),"")</f>
        <v/>
      </c>
      <c r="E30" s="70" t="str">
        <f>IFERROR(__xludf.DUMMYFUNCTION("IFERROR(VLOOKUP(A30,IMPORTRANGE(""1QaxxyUjrDq2kgz300C1Bq1tacFk6e-xX218cSXCQUK0"",""Form Responses 1!B:C""),2,FALSE),)"),"")</f>
        <v/>
      </c>
      <c r="F30" s="70" t="str">
        <f>IFERROR(__xludf.DUMMYFUNCTION("IFERROR(VLOOKUP(A30,IMPORTRANGE(""1fn2ECph_y8Uz78DhjLaiXcwgt6kh3oe-0Le36Uw0noE"",""Form Responses 1!B:C""),2,FALSE),)"),"")</f>
        <v/>
      </c>
      <c r="G30" s="39" t="str">
        <f>IFERROR(__xludf.DUMMYFUNCTION("IFERROR(IF(COUNTIF(IMPORTRANGE(""1t6NbzWBtAQKR9pGjBnxm9V-bRaGdRVT_-u2ojrUkYZw"",""Form Responses 1!B:B""),A30)&gt;0,10,),0)"),"")</f>
        <v/>
      </c>
      <c r="H30" s="39" t="str">
        <f>IFERROR(__xludf.DUMMYFUNCTION("IFERROR(VLOOKUP(A30,IMPORTRANGE(""1ytv6MYmm-8DwYEf-PC6L-upnzfG4TJT_K2_Q1BobE6k"",""Form Responses 1!B:C""),2,FALSE),)"),"")</f>
        <v/>
      </c>
      <c r="I30" s="39" t="str">
        <f>IFERROR(__xludf.DUMMYFUNCTION("IFERROR(VLOOKUP(A30,IMPORTRANGE(""1LTj0BC6WXgHo3fEDDSQlGOM1HkEYGTw8epmIdU0RnB4"",""Form Responses 1!B:C""),2,FALSE),)"),"")</f>
        <v/>
      </c>
      <c r="J30" s="39" t="str">
        <f>IFERROR(__xludf.DUMMYFUNCTION("IFERROR(VLOOKUP(A30,IMPORTRANGE(""1lBH5Hghbbsr-XV8ZpAW4SFOyMpQX5vY0tEjkjRAJH48"",""Form Responses 1!B:C""),2,FALSE),)"),"")</f>
        <v/>
      </c>
      <c r="K30" s="39" t="str">
        <f>IFERROR(__xludf.DUMMYFUNCTION("IFERROR(IF(COUNTIF(IMPORTRANGE(""11sIXwmK0co7YC01jkeOYS_Q9btyVErtOm8MrXzqLkm8"",""Form Responses 1!B:B""),A30)&gt;0,10,),0)"),"")</f>
        <v/>
      </c>
      <c r="L30" s="70" t="str">
        <f>IFERROR(__xludf.DUMMYFUNCTION("IFERROR(IF(COUNTIF(IMPORTRANGE(""1csqG5dOxr6mnQQeHuLyfSoVeWZspfrn9T3cQFX5jhi8"",""Form Responses 1!B:B""),A30)&gt;0,10,),0)"),"")</f>
        <v/>
      </c>
      <c r="M30" s="70" t="str">
        <f>IFERROR(__xludf.DUMMYFUNCTION("IFERROR(VLOOKUP(A30,IMPORTRANGE(""1C8QMXhp6CypS1pNA-UXlEADxmI-6nbSN9P4kujkvESI"",""Form Responses 1!B:C""),2,FALSE),)"),"")</f>
        <v/>
      </c>
      <c r="N30" s="70" t="str">
        <f>IFERROR(__xludf.DUMMYFUNCTION("IFERROR(VLOOKUP(A30,IMPORTRANGE(""1e33dV9wgou_u1lnmBtok6Ato-q97II29uUvmeO7Juhw"",""Form Responses 1!B:C""),2,FALSE),)"),"")</f>
        <v/>
      </c>
      <c r="O30" s="70" t="str">
        <f>IFERROR(__xludf.DUMMYFUNCTION("IFERROR(VLOOKUP(A30,IMPORTRANGE(""15TUXUTXgRTcnnjS-jyDta7Ecw7-lv8-wZMGVKaxe8TY"",""Form Responses 1!B:C""),2,FALSE),)"),"")</f>
        <v/>
      </c>
      <c r="P30" s="70" t="str">
        <f>IFERROR(__xludf.DUMMYFUNCTION("IFERROR(IF(COUNTIF(IMPORTRANGE(""1KFxxroaoSLanJBYtWVxeITrgly-aztutk24Q4y14KKU"",""Form Responses 1!B:B""),A30)&gt;0,10,),0)"),"")</f>
        <v/>
      </c>
      <c r="Q30" s="71" t="str">
        <f>IFERROR(__xludf.DUMMYFUNCTION("IFERROR(VLOOKUP(TRIM(A30),IMPORTRANGE(""1WjiLR_MTMxI_IZUKuvPO4Sg2rTSIqBzP3edakSRXbOA"",""Form Responses 1!B:C""),2,0),"""")"),"")</f>
        <v/>
      </c>
      <c r="R30" s="70" t="str">
        <f>IFERROR(__xludf.DUMMYFUNCTION("IFERROR(VLOOKUP(TRIM(A30),IMPORTRANGE(""1Ixzbal5tEbtWhozsFEppQzOYE6ZSrkNXHg_HW5k3Wt4"",""Form Responses 1!B:C""),2,0),"""")"),"")</f>
        <v/>
      </c>
      <c r="S30" s="70" t="str">
        <f>IFERROR(__xludf.DUMMYFUNCTION("IFERROR(VLOOKUP(TRIM(A30),IMPORTRANGE(""1zxjtEKGvVIJPIDqZdnxENwVpPXYa88EihzyI44hcQUo"",""Form Responses 1!B:C""),2,0),"""")"),"")</f>
        <v/>
      </c>
      <c r="T30" s="70" t="str">
        <f>IFERROR(__xludf.DUMMYFUNCTION("IFERROR(VLOOKUP(TRIM(A30),IMPORTRANGE(""1H3cO01obd5zFULYqaT5NAqecZBFFIHeDFn4CeQLZF3w"",""Form Responses 1!B:C""),2,0),"""")"),"")</f>
        <v/>
      </c>
      <c r="U30" s="70" t="str">
        <f>IFERROR(__xludf.DUMMYFUNCTION("IFERROR(VLOOKUP(TRIM(A30),IMPORTRANGE(""1IG9qoa6PeLdDDFzKpW39lxXshN0-M8Z25a_R1EpsYyg"",""Form Responses 1!B:C""),2,0),"""")"),"")</f>
        <v/>
      </c>
      <c r="V30" s="72"/>
      <c r="W30" s="70" t="str">
        <f>IFERROR(__xludf.DUMMYFUNCTION("IFERROR(VLOOKUP(TRIM(A30),IMPORTRANGE(""1JzBbPfIn5kXHe-RuBwssvVRSauekkTw9cwf70DsYix4"",""Form Responses 1!B:C""),2,0),"""")"),"")</f>
        <v/>
      </c>
      <c r="X30" s="70" t="str">
        <f>IFERROR(__xludf.DUMMYFUNCTION("IFERROR(VLOOKUP(TRIM(A30),IMPORTRANGE(""1JbcCdZBzu6Yag8PuyvlbtYmdvUYYQNraxAgoikGBi5w"",""Form Responses 1!B:C""),2,0),"""")"),"")</f>
        <v/>
      </c>
      <c r="Y30" s="70" t="str">
        <f>IFERROR(__xludf.DUMMYFUNCTION("IFERROR(VLOOKUP(TRIM(A30),IMPORTRANGE(""15-YcWQKwT7GXCzNpEoDkSlrruglscDYeQTD3uXec8uQ"",""Form Responses 1!B:C""),2,0),"""")"),"")</f>
        <v/>
      </c>
      <c r="Z30" s="70" t="str">
        <f>IFERROR(__xludf.DUMMYFUNCTION("IFERROR(VLOOKUP(TRIM(A30),IMPORTRANGE(""1X2rXjxJaWCoTCv5SRdgsC_V3cXeEyqXGQY3NvE1KDUk"",""Form Responses 1!B:C""),2,0),"""")"),"")</f>
        <v/>
      </c>
      <c r="AA30" s="70" t="str">
        <f>IFERROR(__xludf.DUMMYFUNCTION("IFERROR(VLOOKUP(TRIM(A30),IMPORTRANGE(""1zEJQnPshpdjcOtCVSP0I8nG2EXKbBMH9BJ8IeNFUEV8"",""Form Responses 1!B:C""),2,0),"""")"),"")</f>
        <v/>
      </c>
      <c r="AB30" s="70" t="str">
        <f>IFERROR(__xludf.DUMMYFUNCTION("IFERROR(VLOOKUP(TRIM(A30),IMPORTRANGE(""1JzBbPfIn5kXHe-RuBwssvVRSauekkTw9cwf70DsYix4"",""Form Responses 1!B:C""),2,0),"""")"),"")</f>
        <v/>
      </c>
      <c r="AC30" s="70" t="str">
        <f>IFERROR(__xludf.DUMMYFUNCTION("IFERROR(VLOOKUP(TRIM(A30),IMPORTRANGE(""1JbcCdZBzu6Yag8PuyvlbtYmdvUYYQNraxAgoikGBi5w"",""Form Responses 1!B:C""),2,0),"""")"),"")</f>
        <v/>
      </c>
      <c r="AD30" s="70" t="str">
        <f>IFERROR(__xludf.DUMMYFUNCTION("IFERROR(VLOOKUP(TRIM(A30),IMPORTRANGE(""15-YcWQKwT7GXCzNpEoDkSlrruglscDYeQTD3uXec8uQ"",""Form Responses 1!B:C""),2,0),"""")"),"")</f>
        <v/>
      </c>
      <c r="AE30" s="70" t="str">
        <f>IFERROR(__xludf.DUMMYFUNCTION("IFERROR(VLOOKUP(TRIM(A30),IMPORTRANGE(""1X2rXjxJaWCoTCv5SRdgsC_V3cXeEyqXGQY3NvE1KDUk"",""Form Responses 1!B:C""),2,0),"""")"),"")</f>
        <v/>
      </c>
      <c r="AF30" s="70" t="str">
        <f>IFERROR(__xludf.DUMMYFUNCTION("IFERROR(VLOOKUP(TRIM(A30),IMPORTRANGE(""1zEJQnPshpdjcOtCVSP0I8nG2EXKbBMH9BJ8IeNFUEV8"",""Form Responses 1!B:C""),2,0),"""")"),"")</f>
        <v/>
      </c>
      <c r="AG30" s="70"/>
      <c r="AH30" s="70"/>
      <c r="AI30" s="70"/>
      <c r="AJ30" s="70"/>
      <c r="AK30" s="70"/>
      <c r="AL30" s="70"/>
      <c r="AM30" s="70"/>
      <c r="AN30" s="70"/>
      <c r="AO30" s="70"/>
      <c r="AP30" s="70"/>
      <c r="AQ30" s="70"/>
      <c r="AR30" s="70"/>
      <c r="AS30" s="70"/>
      <c r="AT30" s="70"/>
      <c r="AU30" s="70"/>
    </row>
    <row r="31">
      <c r="A31" s="39" t="s">
        <v>282</v>
      </c>
      <c r="B31" s="70" t="str">
        <f>IFERROR(__xludf.DUMMYFUNCTION("IFERROR(IF(COUNTIF(IMPORTRANGE(""1RTcwEJsI_0aJRebhNwO_H_AoKl9r46k7hWYbtciIyM4"",""Form Responses 1!B:B""),A31)&gt;0,10,),0)"),"")</f>
        <v/>
      </c>
      <c r="C31" s="70" t="str">
        <f>IFERROR(__xludf.DUMMYFUNCTION("IFERROR(VLOOKUP(A31,IMPORTRANGE(""11i8IUhq_U6RRKRV3CBWIKqYed_fMvFgNUHTq1YDJfp8"",""Form Responses 1!B:C""),2,FALSE),)"),"")</f>
        <v/>
      </c>
      <c r="D31" s="70" t="str">
        <f>IFERROR(__xludf.DUMMYFUNCTION("IFERROR(VLOOKUP(A31,IMPORTRANGE(""1StiHxuxrFhYdrq5WLR2JMORicW0TbnJf3J-oTHeMRtM"",""Form Responses 1!B:C""),2,FALSE),)"),"")</f>
        <v/>
      </c>
      <c r="E31" s="70" t="str">
        <f>IFERROR(__xludf.DUMMYFUNCTION("IFERROR(VLOOKUP(A31,IMPORTRANGE(""1QaxxyUjrDq2kgz300C1Bq1tacFk6e-xX218cSXCQUK0"",""Form Responses 1!B:C""),2,FALSE),)"),"")</f>
        <v/>
      </c>
      <c r="F31" s="70" t="str">
        <f>IFERROR(__xludf.DUMMYFUNCTION("IFERROR(VLOOKUP(A31,IMPORTRANGE(""1fn2ECph_y8Uz78DhjLaiXcwgt6kh3oe-0Le36Uw0noE"",""Form Responses 1!B:C""),2,FALSE),)"),"")</f>
        <v/>
      </c>
      <c r="G31" s="39" t="str">
        <f>IFERROR(__xludf.DUMMYFUNCTION("IFERROR(IF(COUNTIF(IMPORTRANGE(""1t6NbzWBtAQKR9pGjBnxm9V-bRaGdRVT_-u2ojrUkYZw"",""Form Responses 1!B:B""),A31)&gt;0,10,),0)"),"")</f>
        <v/>
      </c>
      <c r="H31" s="39" t="str">
        <f>IFERROR(__xludf.DUMMYFUNCTION("IFERROR(VLOOKUP(A31,IMPORTRANGE(""1ytv6MYmm-8DwYEf-PC6L-upnzfG4TJT_K2_Q1BobE6k"",""Form Responses 1!B:C""),2,FALSE),)"),"")</f>
        <v/>
      </c>
      <c r="I31" s="39" t="str">
        <f>IFERROR(__xludf.DUMMYFUNCTION("IFERROR(VLOOKUP(A31,IMPORTRANGE(""1LTj0BC6WXgHo3fEDDSQlGOM1HkEYGTw8epmIdU0RnB4"",""Form Responses 1!B:C""),2,FALSE),)"),"")</f>
        <v/>
      </c>
      <c r="J31" s="39" t="str">
        <f>IFERROR(__xludf.DUMMYFUNCTION("IFERROR(VLOOKUP(A31,IMPORTRANGE(""1lBH5Hghbbsr-XV8ZpAW4SFOyMpQX5vY0tEjkjRAJH48"",""Form Responses 1!B:C""),2,FALSE),)"),"")</f>
        <v/>
      </c>
      <c r="K31" s="39" t="str">
        <f>IFERROR(__xludf.DUMMYFUNCTION("IFERROR(IF(COUNTIF(IMPORTRANGE(""11sIXwmK0co7YC01jkeOYS_Q9btyVErtOm8MrXzqLkm8"",""Form Responses 1!B:B""),A31)&gt;0,10,),0)"),"")</f>
        <v/>
      </c>
      <c r="L31" s="70" t="str">
        <f>IFERROR(__xludf.DUMMYFUNCTION("IFERROR(IF(COUNTIF(IMPORTRANGE(""1csqG5dOxr6mnQQeHuLyfSoVeWZspfrn9T3cQFX5jhi8"",""Form Responses 1!B:B""),A31)&gt;0,10,),0)"),"")</f>
        <v/>
      </c>
      <c r="M31" s="70" t="str">
        <f>IFERROR(__xludf.DUMMYFUNCTION("IFERROR(VLOOKUP(A31,IMPORTRANGE(""1C8QMXhp6CypS1pNA-UXlEADxmI-6nbSN9P4kujkvESI"",""Form Responses 1!B:C""),2,FALSE),)"),"")</f>
        <v/>
      </c>
      <c r="N31" s="70" t="str">
        <f>IFERROR(__xludf.DUMMYFUNCTION("IFERROR(VLOOKUP(A31,IMPORTRANGE(""1e33dV9wgou_u1lnmBtok6Ato-q97II29uUvmeO7Juhw"",""Form Responses 1!B:C""),2,FALSE),)"),"")</f>
        <v/>
      </c>
      <c r="O31" s="70" t="str">
        <f>IFERROR(__xludf.DUMMYFUNCTION("IFERROR(VLOOKUP(A31,IMPORTRANGE(""15TUXUTXgRTcnnjS-jyDta7Ecw7-lv8-wZMGVKaxe8TY"",""Form Responses 1!B:C""),2,FALSE),)"),"")</f>
        <v/>
      </c>
      <c r="P31" s="70" t="str">
        <f>IFERROR(__xludf.DUMMYFUNCTION("IFERROR(IF(COUNTIF(IMPORTRANGE(""1KFxxroaoSLanJBYtWVxeITrgly-aztutk24Q4y14KKU"",""Form Responses 1!B:B""),A31)&gt;0,10,),0)"),"")</f>
        <v/>
      </c>
      <c r="Q31" s="71" t="str">
        <f>IFERROR(__xludf.DUMMYFUNCTION("IFERROR(VLOOKUP(TRIM(A31),IMPORTRANGE(""1WjiLR_MTMxI_IZUKuvPO4Sg2rTSIqBzP3edakSRXbOA"",""Form Responses 1!B:C""),2,0),"""")"),"")</f>
        <v/>
      </c>
      <c r="R31" s="70" t="str">
        <f>IFERROR(__xludf.DUMMYFUNCTION("IFERROR(VLOOKUP(TRIM(A31),IMPORTRANGE(""1Ixzbal5tEbtWhozsFEppQzOYE6ZSrkNXHg_HW5k3Wt4"",""Form Responses 1!B:C""),2,0),"""")"),"")</f>
        <v/>
      </c>
      <c r="S31" s="70" t="str">
        <f>IFERROR(__xludf.DUMMYFUNCTION("IFERROR(VLOOKUP(TRIM(A31),IMPORTRANGE(""1zxjtEKGvVIJPIDqZdnxENwVpPXYa88EihzyI44hcQUo"",""Form Responses 1!B:C""),2,0),"""")"),"")</f>
        <v/>
      </c>
      <c r="T31" s="70" t="str">
        <f>IFERROR(__xludf.DUMMYFUNCTION("IFERROR(VLOOKUP(TRIM(A31),IMPORTRANGE(""1H3cO01obd5zFULYqaT5NAqecZBFFIHeDFn4CeQLZF3w"",""Form Responses 1!B:C""),2,0),"""")"),"")</f>
        <v/>
      </c>
      <c r="U31" s="70" t="str">
        <f>IFERROR(__xludf.DUMMYFUNCTION("IFERROR(VLOOKUP(TRIM(A31),IMPORTRANGE(""1IG9qoa6PeLdDDFzKpW39lxXshN0-M8Z25a_R1EpsYyg"",""Form Responses 1!B:C""),2,0),"""")"),"")</f>
        <v/>
      </c>
      <c r="V31" s="72"/>
      <c r="W31" s="70" t="str">
        <f>IFERROR(__xludf.DUMMYFUNCTION("IFERROR(VLOOKUP(TRIM(A31),IMPORTRANGE(""1JzBbPfIn5kXHe-RuBwssvVRSauekkTw9cwf70DsYix4"",""Form Responses 1!B:C""),2,0),"""")"),"")</f>
        <v/>
      </c>
      <c r="X31" s="70" t="str">
        <f>IFERROR(__xludf.DUMMYFUNCTION("IFERROR(VLOOKUP(TRIM(A31),IMPORTRANGE(""1JbcCdZBzu6Yag8PuyvlbtYmdvUYYQNraxAgoikGBi5w"",""Form Responses 1!B:C""),2,0),"""")"),"")</f>
        <v/>
      </c>
      <c r="Y31" s="70" t="str">
        <f>IFERROR(__xludf.DUMMYFUNCTION("IFERROR(VLOOKUP(TRIM(A31),IMPORTRANGE(""15-YcWQKwT7GXCzNpEoDkSlrruglscDYeQTD3uXec8uQ"",""Form Responses 1!B:C""),2,0),"""")"),"")</f>
        <v/>
      </c>
      <c r="Z31" s="70" t="str">
        <f>IFERROR(__xludf.DUMMYFUNCTION("IFERROR(VLOOKUP(TRIM(A31),IMPORTRANGE(""1X2rXjxJaWCoTCv5SRdgsC_V3cXeEyqXGQY3NvE1KDUk"",""Form Responses 1!B:C""),2,0),"""")"),"")</f>
        <v/>
      </c>
      <c r="AA31" s="70" t="str">
        <f>IFERROR(__xludf.DUMMYFUNCTION("IFERROR(VLOOKUP(TRIM(A31),IMPORTRANGE(""1zEJQnPshpdjcOtCVSP0I8nG2EXKbBMH9BJ8IeNFUEV8"",""Form Responses 1!B:C""),2,0),"""")"),"")</f>
        <v/>
      </c>
      <c r="AB31" s="70" t="str">
        <f>IFERROR(__xludf.DUMMYFUNCTION("IFERROR(VLOOKUP(TRIM(A31),IMPORTRANGE(""1JzBbPfIn5kXHe-RuBwssvVRSauekkTw9cwf70DsYix4"",""Form Responses 1!B:C""),2,0),"""")"),"")</f>
        <v/>
      </c>
      <c r="AC31" s="70" t="str">
        <f>IFERROR(__xludf.DUMMYFUNCTION("IFERROR(VLOOKUP(TRIM(A31),IMPORTRANGE(""1JbcCdZBzu6Yag8PuyvlbtYmdvUYYQNraxAgoikGBi5w"",""Form Responses 1!B:C""),2,0),"""")"),"")</f>
        <v/>
      </c>
      <c r="AD31" s="70" t="str">
        <f>IFERROR(__xludf.DUMMYFUNCTION("IFERROR(VLOOKUP(TRIM(A31),IMPORTRANGE(""15-YcWQKwT7GXCzNpEoDkSlrruglscDYeQTD3uXec8uQ"",""Form Responses 1!B:C""),2,0),"""")"),"")</f>
        <v/>
      </c>
      <c r="AE31" s="70" t="str">
        <f>IFERROR(__xludf.DUMMYFUNCTION("IFERROR(VLOOKUP(TRIM(A31),IMPORTRANGE(""1X2rXjxJaWCoTCv5SRdgsC_V3cXeEyqXGQY3NvE1KDUk"",""Form Responses 1!B:C""),2,0),"""")"),"")</f>
        <v/>
      </c>
      <c r="AF31" s="70" t="str">
        <f>IFERROR(__xludf.DUMMYFUNCTION("IFERROR(VLOOKUP(TRIM(A31),IMPORTRANGE(""1zEJQnPshpdjcOtCVSP0I8nG2EXKbBMH9BJ8IeNFUEV8"",""Form Responses 1!B:C""),2,0),"""")"),"")</f>
        <v/>
      </c>
      <c r="AG31" s="70"/>
      <c r="AH31" s="70"/>
      <c r="AI31" s="70"/>
      <c r="AJ31" s="70"/>
      <c r="AK31" s="70"/>
      <c r="AL31" s="70"/>
      <c r="AM31" s="70"/>
      <c r="AN31" s="70"/>
      <c r="AO31" s="70"/>
      <c r="AP31" s="70"/>
      <c r="AQ31" s="70"/>
      <c r="AR31" s="70"/>
      <c r="AS31" s="70"/>
      <c r="AT31" s="70"/>
      <c r="AU31" s="70"/>
    </row>
    <row r="32">
      <c r="A32" s="39" t="s">
        <v>283</v>
      </c>
      <c r="B32" s="70">
        <f>IFERROR(__xludf.DUMMYFUNCTION("IFERROR(IF(COUNTIF(IMPORTRANGE(""1RTcwEJsI_0aJRebhNwO_H_AoKl9r46k7hWYbtciIyM4"",""Form Responses 1!B:B""),A32)&gt;0,10,),0)"),10.0)</f>
        <v>10</v>
      </c>
      <c r="C32" s="70">
        <f>IFERROR(__xludf.DUMMYFUNCTION("IFERROR(VLOOKUP(A32,IMPORTRANGE(""11i8IUhq_U6RRKRV3CBWIKqYed_fMvFgNUHTq1YDJfp8"",""Form Responses 1!B:C""),2,FALSE),)"),2.0)</f>
        <v>2</v>
      </c>
      <c r="D32" s="70">
        <f>IFERROR(__xludf.DUMMYFUNCTION("IFERROR(VLOOKUP(A32,IMPORTRANGE(""1StiHxuxrFhYdrq5WLR2JMORicW0TbnJf3J-oTHeMRtM"",""Form Responses 1!B:C""),2,FALSE),)"),2.0)</f>
        <v>2</v>
      </c>
      <c r="E32" s="70">
        <f>IFERROR(__xludf.DUMMYFUNCTION("IFERROR(VLOOKUP(A32,IMPORTRANGE(""1QaxxyUjrDq2kgz300C1Bq1tacFk6e-xX218cSXCQUK0"",""Form Responses 1!B:C""),2,FALSE),)"),6.0)</f>
        <v>6</v>
      </c>
      <c r="F32" s="70">
        <f>IFERROR(__xludf.DUMMYFUNCTION("IFERROR(VLOOKUP(A32,IMPORTRANGE(""1fn2ECph_y8Uz78DhjLaiXcwgt6kh3oe-0Le36Uw0noE"",""Form Responses 1!B:C""),2,FALSE),)"),10.0)</f>
        <v>10</v>
      </c>
      <c r="G32" s="39">
        <f>IFERROR(__xludf.DUMMYFUNCTION("IFERROR(IF(COUNTIF(IMPORTRANGE(""1t6NbzWBtAQKR9pGjBnxm9V-bRaGdRVT_-u2ojrUkYZw"",""Form Responses 1!B:B""),A32)&gt;0,10,),0)"),10.0)</f>
        <v>10</v>
      </c>
      <c r="H32" s="39">
        <f>IFERROR(__xludf.DUMMYFUNCTION("IFERROR(VLOOKUP(A32,IMPORTRANGE(""1ytv6MYmm-8DwYEf-PC6L-upnzfG4TJT_K2_Q1BobE6k"",""Form Responses 1!B:C""),2,FALSE),)"),6.0)</f>
        <v>6</v>
      </c>
      <c r="I32" s="39">
        <f>IFERROR(__xludf.DUMMYFUNCTION("IFERROR(VLOOKUP(A32,IMPORTRANGE(""1LTj0BC6WXgHo3fEDDSQlGOM1HkEYGTw8epmIdU0RnB4"",""Form Responses 1!B:C""),2,FALSE),)"),2.0)</f>
        <v>2</v>
      </c>
      <c r="J32" s="39" t="str">
        <f>IFERROR(__xludf.DUMMYFUNCTION("IFERROR(VLOOKUP(A32,IMPORTRANGE(""1lBH5Hghbbsr-XV8ZpAW4SFOyMpQX5vY0tEjkjRAJH48"",""Form Responses 1!B:C""),2,FALSE),)"),"")</f>
        <v/>
      </c>
      <c r="K32" s="39" t="str">
        <f>IFERROR(__xludf.DUMMYFUNCTION("IFERROR(IF(COUNTIF(IMPORTRANGE(""11sIXwmK0co7YC01jkeOYS_Q9btyVErtOm8MrXzqLkm8"",""Form Responses 1!B:B""),A32)&gt;0,10,),0)"),"")</f>
        <v/>
      </c>
      <c r="L32" s="70" t="str">
        <f>IFERROR(__xludf.DUMMYFUNCTION("IFERROR(IF(COUNTIF(IMPORTRANGE(""1csqG5dOxr6mnQQeHuLyfSoVeWZspfrn9T3cQFX5jhi8"",""Form Responses 1!B:B""),A32)&gt;0,10,),0)"),"")</f>
        <v/>
      </c>
      <c r="M32" s="70" t="str">
        <f>IFERROR(__xludf.DUMMYFUNCTION("IFERROR(VLOOKUP(A32,IMPORTRANGE(""1C8QMXhp6CypS1pNA-UXlEADxmI-6nbSN9P4kujkvESI"",""Form Responses 1!B:C""),2,FALSE),)"),"")</f>
        <v/>
      </c>
      <c r="N32" s="70" t="str">
        <f>IFERROR(__xludf.DUMMYFUNCTION("IFERROR(VLOOKUP(A32,IMPORTRANGE(""1e33dV9wgou_u1lnmBtok6Ato-q97II29uUvmeO7Juhw"",""Form Responses 1!B:C""),2,FALSE),)"),"")</f>
        <v/>
      </c>
      <c r="O32" s="70" t="str">
        <f>IFERROR(__xludf.DUMMYFUNCTION("IFERROR(VLOOKUP(A32,IMPORTRANGE(""15TUXUTXgRTcnnjS-jyDta7Ecw7-lv8-wZMGVKaxe8TY"",""Form Responses 1!B:C""),2,FALSE),)"),"")</f>
        <v/>
      </c>
      <c r="P32" s="70" t="str">
        <f>IFERROR(__xludf.DUMMYFUNCTION("IFERROR(IF(COUNTIF(IMPORTRANGE(""1KFxxroaoSLanJBYtWVxeITrgly-aztutk24Q4y14KKU"",""Form Responses 1!B:B""),A32)&gt;0,10,),0)"),"")</f>
        <v/>
      </c>
      <c r="Q32" s="71" t="str">
        <f>IFERROR(__xludf.DUMMYFUNCTION("IFERROR(VLOOKUP(TRIM(A32),IMPORTRANGE(""1WjiLR_MTMxI_IZUKuvPO4Sg2rTSIqBzP3edakSRXbOA"",""Form Responses 1!B:C""),2,0),"""")"),"")</f>
        <v/>
      </c>
      <c r="R32" s="70" t="str">
        <f>IFERROR(__xludf.DUMMYFUNCTION("IFERROR(VLOOKUP(TRIM(A32),IMPORTRANGE(""1Ixzbal5tEbtWhozsFEppQzOYE6ZSrkNXHg_HW5k3Wt4"",""Form Responses 1!B:C""),2,0),"""")"),"")</f>
        <v/>
      </c>
      <c r="S32" s="70" t="str">
        <f>IFERROR(__xludf.DUMMYFUNCTION("IFERROR(VLOOKUP(TRIM(A32),IMPORTRANGE(""1zxjtEKGvVIJPIDqZdnxENwVpPXYa88EihzyI44hcQUo"",""Form Responses 1!B:C""),2,0),"""")"),"")</f>
        <v/>
      </c>
      <c r="T32" s="70" t="str">
        <f>IFERROR(__xludf.DUMMYFUNCTION("IFERROR(VLOOKUP(TRIM(A32),IMPORTRANGE(""1H3cO01obd5zFULYqaT5NAqecZBFFIHeDFn4CeQLZF3w"",""Form Responses 1!B:C""),2,0),"""")"),"")</f>
        <v/>
      </c>
      <c r="U32" s="70" t="str">
        <f>IFERROR(__xludf.DUMMYFUNCTION("IFERROR(VLOOKUP(TRIM(A32),IMPORTRANGE(""1IG9qoa6PeLdDDFzKpW39lxXshN0-M8Z25a_R1EpsYyg"",""Form Responses 1!B:C""),2,0),"""")"),"")</f>
        <v/>
      </c>
      <c r="V32" s="74">
        <v>30.0</v>
      </c>
      <c r="W32" s="70">
        <f>IFERROR(__xludf.DUMMYFUNCTION("IFERROR(VLOOKUP(TRIM(A32),IMPORTRANGE(""1JzBbPfIn5kXHe-RuBwssvVRSauekkTw9cwf70DsYix4"",""Form Responses 1!B:C""),2,0),"""")"),8.0)</f>
        <v>8</v>
      </c>
      <c r="X32" s="70" t="str">
        <f>IFERROR(__xludf.DUMMYFUNCTION("IFERROR(VLOOKUP(TRIM(A32),IMPORTRANGE(""1JbcCdZBzu6Yag8PuyvlbtYmdvUYYQNraxAgoikGBi5w"",""Form Responses 1!B:C""),2,0),"""")"),"")</f>
        <v/>
      </c>
      <c r="Y32" s="70" t="str">
        <f>IFERROR(__xludf.DUMMYFUNCTION("IFERROR(VLOOKUP(TRIM(A32),IMPORTRANGE(""15-YcWQKwT7GXCzNpEoDkSlrruglscDYeQTD3uXec8uQ"",""Form Responses 1!B:C""),2,0),"""")"),"")</f>
        <v/>
      </c>
      <c r="Z32" s="70" t="str">
        <f>IFERROR(__xludf.DUMMYFUNCTION("IFERROR(VLOOKUP(TRIM(A32),IMPORTRANGE(""1X2rXjxJaWCoTCv5SRdgsC_V3cXeEyqXGQY3NvE1KDUk"",""Form Responses 1!B:C""),2,0),"""")"),"")</f>
        <v/>
      </c>
      <c r="AA32" s="70" t="str">
        <f>IFERROR(__xludf.DUMMYFUNCTION("IFERROR(VLOOKUP(TRIM(A32),IMPORTRANGE(""1zEJQnPshpdjcOtCVSP0I8nG2EXKbBMH9BJ8IeNFUEV8"",""Form Responses 1!B:C""),2,0),"""")"),"")</f>
        <v/>
      </c>
      <c r="AB32" s="70">
        <f>IFERROR(__xludf.DUMMYFUNCTION("IFERROR(VLOOKUP(TRIM(A32),IMPORTRANGE(""1JzBbPfIn5kXHe-RuBwssvVRSauekkTw9cwf70DsYix4"",""Form Responses 1!B:C""),2,0),"""")"),8.0)</f>
        <v>8</v>
      </c>
      <c r="AC32" s="70" t="str">
        <f>IFERROR(__xludf.DUMMYFUNCTION("IFERROR(VLOOKUP(TRIM(A32),IMPORTRANGE(""1JbcCdZBzu6Yag8PuyvlbtYmdvUYYQNraxAgoikGBi5w"",""Form Responses 1!B:C""),2,0),"""")"),"")</f>
        <v/>
      </c>
      <c r="AD32" s="70" t="str">
        <f>IFERROR(__xludf.DUMMYFUNCTION("IFERROR(VLOOKUP(TRIM(A32),IMPORTRANGE(""15-YcWQKwT7GXCzNpEoDkSlrruglscDYeQTD3uXec8uQ"",""Form Responses 1!B:C""),2,0),"""")"),"")</f>
        <v/>
      </c>
      <c r="AE32" s="70" t="str">
        <f>IFERROR(__xludf.DUMMYFUNCTION("IFERROR(VLOOKUP(TRIM(A32),IMPORTRANGE(""1X2rXjxJaWCoTCv5SRdgsC_V3cXeEyqXGQY3NvE1KDUk"",""Form Responses 1!B:C""),2,0),"""")"),"")</f>
        <v/>
      </c>
      <c r="AF32" s="70" t="str">
        <f>IFERROR(__xludf.DUMMYFUNCTION("IFERROR(VLOOKUP(TRIM(A32),IMPORTRANGE(""1zEJQnPshpdjcOtCVSP0I8nG2EXKbBMH9BJ8IeNFUEV8"",""Form Responses 1!B:C""),2,0),"""")"),"")</f>
        <v/>
      </c>
      <c r="AG32" s="70"/>
      <c r="AH32" s="70"/>
      <c r="AI32" s="70"/>
      <c r="AJ32" s="70"/>
      <c r="AK32" s="70"/>
      <c r="AL32" s="70"/>
      <c r="AM32" s="70"/>
      <c r="AN32" s="70"/>
      <c r="AO32" s="70"/>
      <c r="AP32" s="70"/>
      <c r="AQ32" s="70"/>
      <c r="AR32" s="70"/>
      <c r="AS32" s="70"/>
      <c r="AT32" s="70"/>
      <c r="AU32" s="70"/>
    </row>
    <row r="33">
      <c r="A33" s="39" t="s">
        <v>284</v>
      </c>
      <c r="B33" s="70">
        <f>IFERROR(__xludf.DUMMYFUNCTION("IFERROR(IF(COUNTIF(IMPORTRANGE(""1RTcwEJsI_0aJRebhNwO_H_AoKl9r46k7hWYbtciIyM4"",""Form Responses 1!B:B""),A33)&gt;0,10,),0)"),10.0)</f>
        <v>10</v>
      </c>
      <c r="C33" s="70">
        <f>IFERROR(__xludf.DUMMYFUNCTION("IFERROR(VLOOKUP(A33,IMPORTRANGE(""11i8IUhq_U6RRKRV3CBWIKqYed_fMvFgNUHTq1YDJfp8"",""Form Responses 1!B:C""),2,FALSE),)"),4.0)</f>
        <v>4</v>
      </c>
      <c r="D33" s="70">
        <f>IFERROR(__xludf.DUMMYFUNCTION("IFERROR(VLOOKUP(A33,IMPORTRANGE(""1StiHxuxrFhYdrq5WLR2JMORicW0TbnJf3J-oTHeMRtM"",""Form Responses 1!B:C""),2,FALSE),)"),2.0)</f>
        <v>2</v>
      </c>
      <c r="E33" s="70">
        <f>IFERROR(__xludf.DUMMYFUNCTION("IFERROR(VLOOKUP(A33,IMPORTRANGE(""1QaxxyUjrDq2kgz300C1Bq1tacFk6e-xX218cSXCQUK0"",""Form Responses 1!B:C""),2,FALSE),)"),4.0)</f>
        <v>4</v>
      </c>
      <c r="F33" s="70">
        <f>IFERROR(__xludf.DUMMYFUNCTION("IFERROR(VLOOKUP(A33,IMPORTRANGE(""1fn2ECph_y8Uz78DhjLaiXcwgt6kh3oe-0Le36Uw0noE"",""Form Responses 1!B:C""),2,FALSE),)"),4.0)</f>
        <v>4</v>
      </c>
      <c r="G33" s="39">
        <f>IFERROR(__xludf.DUMMYFUNCTION("IFERROR(IF(COUNTIF(IMPORTRANGE(""1t6NbzWBtAQKR9pGjBnxm9V-bRaGdRVT_-u2ojrUkYZw"",""Form Responses 1!B:B""),A33)&gt;0,10,),0)"),10.0)</f>
        <v>10</v>
      </c>
      <c r="H33" s="39">
        <f>IFERROR(__xludf.DUMMYFUNCTION("IFERROR(VLOOKUP(A33,IMPORTRANGE(""1ytv6MYmm-8DwYEf-PC6L-upnzfG4TJT_K2_Q1BobE6k"",""Form Responses 1!B:C""),2,FALSE),)"),4.0)</f>
        <v>4</v>
      </c>
      <c r="I33" s="39">
        <f>IFERROR(__xludf.DUMMYFUNCTION("IFERROR(VLOOKUP(A33,IMPORTRANGE(""1LTj0BC6WXgHo3fEDDSQlGOM1HkEYGTw8epmIdU0RnB4"",""Form Responses 1!B:C""),2,FALSE),)"),6.0)</f>
        <v>6</v>
      </c>
      <c r="J33" s="39">
        <f>IFERROR(__xludf.DUMMYFUNCTION("IFERROR(VLOOKUP(A33,IMPORTRANGE(""1lBH5Hghbbsr-XV8ZpAW4SFOyMpQX5vY0tEjkjRAJH48"",""Form Responses 1!B:C""),2,FALSE),)"),0.0)</f>
        <v>0</v>
      </c>
      <c r="K33" s="39">
        <f>IFERROR(__xludf.DUMMYFUNCTION("IFERROR(IF(COUNTIF(IMPORTRANGE(""11sIXwmK0co7YC01jkeOYS_Q9btyVErtOm8MrXzqLkm8"",""Form Responses 1!B:B""),A33)&gt;0,10,),0)"),10.0)</f>
        <v>10</v>
      </c>
      <c r="L33" s="70">
        <f>IFERROR(__xludf.DUMMYFUNCTION("IFERROR(IF(COUNTIF(IMPORTRANGE(""1csqG5dOxr6mnQQeHuLyfSoVeWZspfrn9T3cQFX5jhi8"",""Form Responses 1!B:B""),A33)&gt;0,10,),0)"),10.0)</f>
        <v>10</v>
      </c>
      <c r="M33" s="70">
        <f>IFERROR(__xludf.DUMMYFUNCTION("IFERROR(VLOOKUP(A33,IMPORTRANGE(""1C8QMXhp6CypS1pNA-UXlEADxmI-6nbSN9P4kujkvESI"",""Form Responses 1!B:C""),2,FALSE),)"),17.0)</f>
        <v>17</v>
      </c>
      <c r="N33" s="70">
        <f>IFERROR(__xludf.DUMMYFUNCTION("IFERROR(VLOOKUP(A33,IMPORTRANGE(""1e33dV9wgou_u1lnmBtok6Ato-q97II29uUvmeO7Juhw"",""Form Responses 1!B:C""),2,FALSE),)"),19.0)</f>
        <v>19</v>
      </c>
      <c r="O33" s="70">
        <f>IFERROR(__xludf.DUMMYFUNCTION("IFERROR(VLOOKUP(A33,IMPORTRANGE(""15TUXUTXgRTcnnjS-jyDta7Ecw7-lv8-wZMGVKaxe8TY"",""Form Responses 1!B:C""),2,FALSE),)"),22.0)</f>
        <v>22</v>
      </c>
      <c r="P33" s="70">
        <f>IFERROR(__xludf.DUMMYFUNCTION("IFERROR(IF(COUNTIF(IMPORTRANGE(""1KFxxroaoSLanJBYtWVxeITrgly-aztutk24Q4y14KKU"",""Form Responses 1!B:B""),A33)&gt;0,10,),0)"),10.0)</f>
        <v>10</v>
      </c>
      <c r="Q33" s="71">
        <f>IFERROR(__xludf.DUMMYFUNCTION("IFERROR(VLOOKUP(TRIM(A33),IMPORTRANGE(""1WjiLR_MTMxI_IZUKuvPO4Sg2rTSIqBzP3edakSRXbOA"",""Form Responses 1!B:C""),2,0),"""")"),10.0)</f>
        <v>10</v>
      </c>
      <c r="R33" s="70">
        <f>IFERROR(__xludf.DUMMYFUNCTION("IFERROR(VLOOKUP(TRIM(A33),IMPORTRANGE(""1Ixzbal5tEbtWhozsFEppQzOYE6ZSrkNXHg_HW5k3Wt4"",""Form Responses 1!B:C""),2,0),"""")"),7.0)</f>
        <v>7</v>
      </c>
      <c r="S33" s="70">
        <f>IFERROR(__xludf.DUMMYFUNCTION("IFERROR(VLOOKUP(TRIM(A33),IMPORTRANGE(""1zxjtEKGvVIJPIDqZdnxENwVpPXYa88EihzyI44hcQUo"",""Form Responses 1!B:C""),2,0),"""")"),9.0)</f>
        <v>9</v>
      </c>
      <c r="T33" s="70" t="str">
        <f>IFERROR(__xludf.DUMMYFUNCTION("IFERROR(VLOOKUP(TRIM(A33),IMPORTRANGE(""1H3cO01obd5zFULYqaT5NAqecZBFFIHeDFn4CeQLZF3w"",""Form Responses 1!B:C""),2,0),"""")"),"")</f>
        <v/>
      </c>
      <c r="U33" s="70" t="str">
        <f>IFERROR(__xludf.DUMMYFUNCTION("IFERROR(VLOOKUP(TRIM(A33),IMPORTRANGE(""1IG9qoa6PeLdDDFzKpW39lxXshN0-M8Z25a_R1EpsYyg"",""Form Responses 1!B:C""),2,0),"""")"),"")</f>
        <v/>
      </c>
      <c r="V33" s="74">
        <v>38.0</v>
      </c>
      <c r="W33" s="70">
        <f>IFERROR(__xludf.DUMMYFUNCTION("IFERROR(VLOOKUP(TRIM(A33),IMPORTRANGE(""1JzBbPfIn5kXHe-RuBwssvVRSauekkTw9cwf70DsYix4"",""Form Responses 1!B:C""),2,0),"""")"),9.0)</f>
        <v>9</v>
      </c>
      <c r="X33" s="70" t="str">
        <f>IFERROR(__xludf.DUMMYFUNCTION("IFERROR(VLOOKUP(TRIM(A33),IMPORTRANGE(""1JbcCdZBzu6Yag8PuyvlbtYmdvUYYQNraxAgoikGBi5w"",""Form Responses 1!B:C""),2,0),"""")"),"")</f>
        <v/>
      </c>
      <c r="Y33" s="70" t="str">
        <f>IFERROR(__xludf.DUMMYFUNCTION("IFERROR(VLOOKUP(TRIM(A33),IMPORTRANGE(""15-YcWQKwT7GXCzNpEoDkSlrruglscDYeQTD3uXec8uQ"",""Form Responses 1!B:C""),2,0),"""")"),"")</f>
        <v/>
      </c>
      <c r="Z33" s="70" t="str">
        <f>IFERROR(__xludf.DUMMYFUNCTION("IFERROR(VLOOKUP(TRIM(A33),IMPORTRANGE(""1X2rXjxJaWCoTCv5SRdgsC_V3cXeEyqXGQY3NvE1KDUk"",""Form Responses 1!B:C""),2,0),"""")"),"")</f>
        <v/>
      </c>
      <c r="AA33" s="70" t="str">
        <f>IFERROR(__xludf.DUMMYFUNCTION("IFERROR(VLOOKUP(TRIM(A33),IMPORTRANGE(""1zEJQnPshpdjcOtCVSP0I8nG2EXKbBMH9BJ8IeNFUEV8"",""Form Responses 1!B:C""),2,0),"""")"),"")</f>
        <v/>
      </c>
      <c r="AB33" s="70">
        <f>IFERROR(__xludf.DUMMYFUNCTION("IFERROR(VLOOKUP(TRIM(A33),IMPORTRANGE(""1JzBbPfIn5kXHe-RuBwssvVRSauekkTw9cwf70DsYix4"",""Form Responses 1!B:C""),2,0),"""")"),9.0)</f>
        <v>9</v>
      </c>
      <c r="AC33" s="70" t="str">
        <f>IFERROR(__xludf.DUMMYFUNCTION("IFERROR(VLOOKUP(TRIM(A33),IMPORTRANGE(""1JbcCdZBzu6Yag8PuyvlbtYmdvUYYQNraxAgoikGBi5w"",""Form Responses 1!B:C""),2,0),"""")"),"")</f>
        <v/>
      </c>
      <c r="AD33" s="70" t="str">
        <f>IFERROR(__xludf.DUMMYFUNCTION("IFERROR(VLOOKUP(TRIM(A33),IMPORTRANGE(""15-YcWQKwT7GXCzNpEoDkSlrruglscDYeQTD3uXec8uQ"",""Form Responses 1!B:C""),2,0),"""")"),"")</f>
        <v/>
      </c>
      <c r="AE33" s="70" t="str">
        <f>IFERROR(__xludf.DUMMYFUNCTION("IFERROR(VLOOKUP(TRIM(A33),IMPORTRANGE(""1X2rXjxJaWCoTCv5SRdgsC_V3cXeEyqXGQY3NvE1KDUk"",""Form Responses 1!B:C""),2,0),"""")"),"")</f>
        <v/>
      </c>
      <c r="AF33" s="70" t="str">
        <f>IFERROR(__xludf.DUMMYFUNCTION("IFERROR(VLOOKUP(TRIM(A33),IMPORTRANGE(""1zEJQnPshpdjcOtCVSP0I8nG2EXKbBMH9BJ8IeNFUEV8"",""Form Responses 1!B:C""),2,0),"""")"),"")</f>
        <v/>
      </c>
      <c r="AG33" s="70"/>
      <c r="AH33" s="70"/>
      <c r="AI33" s="70"/>
      <c r="AJ33" s="70"/>
      <c r="AK33" s="70"/>
      <c r="AL33" s="70"/>
      <c r="AM33" s="70"/>
      <c r="AN33" s="70"/>
      <c r="AO33" s="70"/>
      <c r="AP33" s="70"/>
      <c r="AQ33" s="70"/>
      <c r="AR33" s="70"/>
      <c r="AS33" s="70"/>
      <c r="AT33" s="70"/>
      <c r="AU33" s="70"/>
    </row>
    <row r="34">
      <c r="A34" s="39" t="s">
        <v>285</v>
      </c>
      <c r="B34" s="70">
        <f>IFERROR(__xludf.DUMMYFUNCTION("IFERROR(IF(COUNTIF(IMPORTRANGE(""1RTcwEJsI_0aJRebhNwO_H_AoKl9r46k7hWYbtciIyM4"",""Form Responses 1!B:B""),A34)&gt;0,10,),0)"),10.0)</f>
        <v>10</v>
      </c>
      <c r="C34" s="70">
        <f>IFERROR(__xludf.DUMMYFUNCTION("IFERROR(VLOOKUP(A34,IMPORTRANGE(""11i8IUhq_U6RRKRV3CBWIKqYed_fMvFgNUHTq1YDJfp8"",""Form Responses 1!B:C""),2,FALSE),)"),2.0)</f>
        <v>2</v>
      </c>
      <c r="D34" s="70">
        <f>IFERROR(__xludf.DUMMYFUNCTION("IFERROR(VLOOKUP(A34,IMPORTRANGE(""1StiHxuxrFhYdrq5WLR2JMORicW0TbnJf3J-oTHeMRtM"",""Form Responses 1!B:C""),2,FALSE),)"),11.0)</f>
        <v>11</v>
      </c>
      <c r="E34" s="70">
        <f>IFERROR(__xludf.DUMMYFUNCTION("IFERROR(VLOOKUP(A34,IMPORTRANGE(""1QaxxyUjrDq2kgz300C1Bq1tacFk6e-xX218cSXCQUK0"",""Form Responses 1!B:C""),2,FALSE),)"),6.0)</f>
        <v>6</v>
      </c>
      <c r="F34" s="70" t="str">
        <f>IFERROR(__xludf.DUMMYFUNCTION("IFERROR(VLOOKUP(A34,IMPORTRANGE(""1fn2ECph_y8Uz78DhjLaiXcwgt6kh3oe-0Le36Uw0noE"",""Form Responses 1!B:C""),2,FALSE),)"),"")</f>
        <v/>
      </c>
      <c r="G34" s="39">
        <f>IFERROR(__xludf.DUMMYFUNCTION("IFERROR(IF(COUNTIF(IMPORTRANGE(""1t6NbzWBtAQKR9pGjBnxm9V-bRaGdRVT_-u2ojrUkYZw"",""Form Responses 1!B:B""),A34)&gt;0,10,),0)"),10.0)</f>
        <v>10</v>
      </c>
      <c r="H34" s="39">
        <f>IFERROR(__xludf.DUMMYFUNCTION("IFERROR(VLOOKUP(A34,IMPORTRANGE(""1ytv6MYmm-8DwYEf-PC6L-upnzfG4TJT_K2_Q1BobE6k"",""Form Responses 1!B:C""),2,FALSE),)"),11.0)</f>
        <v>11</v>
      </c>
      <c r="I34" s="39">
        <f>IFERROR(__xludf.DUMMYFUNCTION("IFERROR(VLOOKUP(A34,IMPORTRANGE(""1LTj0BC6WXgHo3fEDDSQlGOM1HkEYGTw8epmIdU0RnB4"",""Form Responses 1!B:C""),2,FALSE),)"),7.0)</f>
        <v>7</v>
      </c>
      <c r="J34" s="39" t="str">
        <f>IFERROR(__xludf.DUMMYFUNCTION("IFERROR(VLOOKUP(A34,IMPORTRANGE(""1lBH5Hghbbsr-XV8ZpAW4SFOyMpQX5vY0tEjkjRAJH48"",""Form Responses 1!B:C""),2,FALSE),)"),"")</f>
        <v/>
      </c>
      <c r="K34" s="39">
        <f>IFERROR(__xludf.DUMMYFUNCTION("IFERROR(IF(COUNTIF(IMPORTRANGE(""11sIXwmK0co7YC01jkeOYS_Q9btyVErtOm8MrXzqLkm8"",""Form Responses 1!B:B""),A34)&gt;0,10,),0)"),10.0)</f>
        <v>10</v>
      </c>
      <c r="L34" s="70">
        <f>IFERROR(__xludf.DUMMYFUNCTION("IFERROR(IF(COUNTIF(IMPORTRANGE(""1csqG5dOxr6mnQQeHuLyfSoVeWZspfrn9T3cQFX5jhi8"",""Form Responses 1!B:B""),A34)&gt;0,10,),0)"),10.0)</f>
        <v>10</v>
      </c>
      <c r="M34" s="70">
        <f>IFERROR(__xludf.DUMMYFUNCTION("IFERROR(VLOOKUP(A34,IMPORTRANGE(""1C8QMXhp6CypS1pNA-UXlEADxmI-6nbSN9P4kujkvESI"",""Form Responses 1!B:C""),2,FALSE),)"),14.0)</f>
        <v>14</v>
      </c>
      <c r="N34" s="70" t="str">
        <f>IFERROR(__xludf.DUMMYFUNCTION("IFERROR(VLOOKUP(A34,IMPORTRANGE(""1e33dV9wgou_u1lnmBtok6Ato-q97II29uUvmeO7Juhw"",""Form Responses 1!B:C""),2,FALSE),)"),"")</f>
        <v/>
      </c>
      <c r="O34" s="70" t="str">
        <f>IFERROR(__xludf.DUMMYFUNCTION("IFERROR(VLOOKUP(A34,IMPORTRANGE(""15TUXUTXgRTcnnjS-jyDta7Ecw7-lv8-wZMGVKaxe8TY"",""Form Responses 1!B:C""),2,FALSE),)"),"")</f>
        <v/>
      </c>
      <c r="P34" s="70" t="str">
        <f>IFERROR(__xludf.DUMMYFUNCTION("IFERROR(IF(COUNTIF(IMPORTRANGE(""1KFxxroaoSLanJBYtWVxeITrgly-aztutk24Q4y14KKU"",""Form Responses 1!B:B""),A34)&gt;0,10,),0)"),"")</f>
        <v/>
      </c>
      <c r="Q34" s="71" t="str">
        <f>IFERROR(__xludf.DUMMYFUNCTION("IFERROR(VLOOKUP(TRIM(A34),IMPORTRANGE(""1WjiLR_MTMxI_IZUKuvPO4Sg2rTSIqBzP3edakSRXbOA"",""Form Responses 1!B:C""),2,0),"""")"),"")</f>
        <v/>
      </c>
      <c r="R34" s="70" t="str">
        <f>IFERROR(__xludf.DUMMYFUNCTION("IFERROR(VLOOKUP(TRIM(A34),IMPORTRANGE(""1Ixzbal5tEbtWhozsFEppQzOYE6ZSrkNXHg_HW5k3Wt4"",""Form Responses 1!B:C""),2,0),"""")"),"")</f>
        <v/>
      </c>
      <c r="S34" s="70" t="str">
        <f>IFERROR(__xludf.DUMMYFUNCTION("IFERROR(VLOOKUP(TRIM(A34),IMPORTRANGE(""1zxjtEKGvVIJPIDqZdnxENwVpPXYa88EihzyI44hcQUo"",""Form Responses 1!B:C""),2,0),"""")"),"")</f>
        <v/>
      </c>
      <c r="T34" s="70" t="str">
        <f>IFERROR(__xludf.DUMMYFUNCTION("IFERROR(VLOOKUP(TRIM(A34),IMPORTRANGE(""1H3cO01obd5zFULYqaT5NAqecZBFFIHeDFn4CeQLZF3w"",""Form Responses 1!B:C""),2,0),"""")"),"")</f>
        <v/>
      </c>
      <c r="U34" s="70" t="str">
        <f>IFERROR(__xludf.DUMMYFUNCTION("IFERROR(VLOOKUP(TRIM(A34),IMPORTRANGE(""1IG9qoa6PeLdDDFzKpW39lxXshN0-M8Z25a_R1EpsYyg"",""Form Responses 1!B:C""),2,0),"""")"),"")</f>
        <v/>
      </c>
      <c r="V34" s="72"/>
      <c r="W34" s="70">
        <f>IFERROR(__xludf.DUMMYFUNCTION("IFERROR(VLOOKUP(TRIM(A34),IMPORTRANGE(""1JzBbPfIn5kXHe-RuBwssvVRSauekkTw9cwf70DsYix4"",""Form Responses 1!B:C""),2,0),"""")"),12.0)</f>
        <v>12</v>
      </c>
      <c r="X34" s="70" t="str">
        <f>IFERROR(__xludf.DUMMYFUNCTION("IFERROR(VLOOKUP(TRIM(A34),IMPORTRANGE(""1JbcCdZBzu6Yag8PuyvlbtYmdvUYYQNraxAgoikGBi5w"",""Form Responses 1!B:C""),2,0),"""")"),"")</f>
        <v/>
      </c>
      <c r="Y34" s="70" t="str">
        <f>IFERROR(__xludf.DUMMYFUNCTION("IFERROR(VLOOKUP(TRIM(A34),IMPORTRANGE(""15-YcWQKwT7GXCzNpEoDkSlrruglscDYeQTD3uXec8uQ"",""Form Responses 1!B:C""),2,0),"""")"),"")</f>
        <v/>
      </c>
      <c r="Z34" s="70" t="str">
        <f>IFERROR(__xludf.DUMMYFUNCTION("IFERROR(VLOOKUP(TRIM(A34),IMPORTRANGE(""1X2rXjxJaWCoTCv5SRdgsC_V3cXeEyqXGQY3NvE1KDUk"",""Form Responses 1!B:C""),2,0),"""")"),"")</f>
        <v/>
      </c>
      <c r="AA34" s="70" t="str">
        <f>IFERROR(__xludf.DUMMYFUNCTION("IFERROR(VLOOKUP(TRIM(A34),IMPORTRANGE(""1zEJQnPshpdjcOtCVSP0I8nG2EXKbBMH9BJ8IeNFUEV8"",""Form Responses 1!B:C""),2,0),"""")"),"")</f>
        <v/>
      </c>
      <c r="AB34" s="70">
        <f>IFERROR(__xludf.DUMMYFUNCTION("IFERROR(VLOOKUP(TRIM(A34),IMPORTRANGE(""1JzBbPfIn5kXHe-RuBwssvVRSauekkTw9cwf70DsYix4"",""Form Responses 1!B:C""),2,0),"""")"),12.0)</f>
        <v>12</v>
      </c>
      <c r="AC34" s="70" t="str">
        <f>IFERROR(__xludf.DUMMYFUNCTION("IFERROR(VLOOKUP(TRIM(A34),IMPORTRANGE(""1JbcCdZBzu6Yag8PuyvlbtYmdvUYYQNraxAgoikGBi5w"",""Form Responses 1!B:C""),2,0),"""")"),"")</f>
        <v/>
      </c>
      <c r="AD34" s="70" t="str">
        <f>IFERROR(__xludf.DUMMYFUNCTION("IFERROR(VLOOKUP(TRIM(A34),IMPORTRANGE(""15-YcWQKwT7GXCzNpEoDkSlrruglscDYeQTD3uXec8uQ"",""Form Responses 1!B:C""),2,0),"""")"),"")</f>
        <v/>
      </c>
      <c r="AE34" s="70" t="str">
        <f>IFERROR(__xludf.DUMMYFUNCTION("IFERROR(VLOOKUP(TRIM(A34),IMPORTRANGE(""1X2rXjxJaWCoTCv5SRdgsC_V3cXeEyqXGQY3NvE1KDUk"",""Form Responses 1!B:C""),2,0),"""")"),"")</f>
        <v/>
      </c>
      <c r="AF34" s="70" t="str">
        <f>IFERROR(__xludf.DUMMYFUNCTION("IFERROR(VLOOKUP(TRIM(A34),IMPORTRANGE(""1zEJQnPshpdjcOtCVSP0I8nG2EXKbBMH9BJ8IeNFUEV8"",""Form Responses 1!B:C""),2,0),"""")"),"")</f>
        <v/>
      </c>
      <c r="AG34" s="70"/>
      <c r="AH34" s="70"/>
      <c r="AI34" s="70"/>
      <c r="AJ34" s="70"/>
      <c r="AK34" s="70"/>
      <c r="AL34" s="70"/>
      <c r="AM34" s="70"/>
      <c r="AN34" s="70"/>
      <c r="AO34" s="70"/>
      <c r="AP34" s="70"/>
      <c r="AQ34" s="70"/>
      <c r="AR34" s="70"/>
      <c r="AS34" s="70"/>
      <c r="AT34" s="70"/>
      <c r="AU34" s="70"/>
    </row>
    <row r="35">
      <c r="A35" s="39" t="s">
        <v>286</v>
      </c>
      <c r="B35" s="70">
        <f>IFERROR(__xludf.DUMMYFUNCTION("IFERROR(IF(COUNTIF(IMPORTRANGE(""1RTcwEJsI_0aJRebhNwO_H_AoKl9r46k7hWYbtciIyM4"",""Form Responses 1!B:B""),A35)&gt;0,10,),0)"),10.0)</f>
        <v>10</v>
      </c>
      <c r="C35" s="70">
        <f>IFERROR(__xludf.DUMMYFUNCTION("IFERROR(VLOOKUP(A35,IMPORTRANGE(""11i8IUhq_U6RRKRV3CBWIKqYed_fMvFgNUHTq1YDJfp8"",""Form Responses 1!B:C""),2,FALSE),)"),2.0)</f>
        <v>2</v>
      </c>
      <c r="D35" s="70">
        <f>IFERROR(__xludf.DUMMYFUNCTION("IFERROR(VLOOKUP(A35,IMPORTRANGE(""1StiHxuxrFhYdrq5WLR2JMORicW0TbnJf3J-oTHeMRtM"",""Form Responses 1!B:C""),2,FALSE),)"),10.0)</f>
        <v>10</v>
      </c>
      <c r="E35" s="70">
        <f>IFERROR(__xludf.DUMMYFUNCTION("IFERROR(VLOOKUP(A35,IMPORTRANGE(""1QaxxyUjrDq2kgz300C1Bq1tacFk6e-xX218cSXCQUK0"",""Form Responses 1!B:C""),2,FALSE),)"),6.0)</f>
        <v>6</v>
      </c>
      <c r="F35" s="70">
        <f>IFERROR(__xludf.DUMMYFUNCTION("IFERROR(VLOOKUP(A35,IMPORTRANGE(""1fn2ECph_y8Uz78DhjLaiXcwgt6kh3oe-0Le36Uw0noE"",""Form Responses 1!B:C""),2,FALSE),)"),4.0)</f>
        <v>4</v>
      </c>
      <c r="G35" s="39">
        <f>IFERROR(__xludf.DUMMYFUNCTION("IFERROR(IF(COUNTIF(IMPORTRANGE(""1t6NbzWBtAQKR9pGjBnxm9V-bRaGdRVT_-u2ojrUkYZw"",""Form Responses 1!B:B""),A35)&gt;0,10,),0)"),10.0)</f>
        <v>10</v>
      </c>
      <c r="H35" s="39">
        <f>IFERROR(__xludf.DUMMYFUNCTION("IFERROR(VLOOKUP(A35,IMPORTRANGE(""1ytv6MYmm-8DwYEf-PC6L-upnzfG4TJT_K2_Q1BobE6k"",""Form Responses 1!B:C""),2,FALSE),)"),6.0)</f>
        <v>6</v>
      </c>
      <c r="I35" s="39">
        <f>IFERROR(__xludf.DUMMYFUNCTION("IFERROR(VLOOKUP(A35,IMPORTRANGE(""1LTj0BC6WXgHo3fEDDSQlGOM1HkEYGTw8epmIdU0RnB4"",""Form Responses 1!B:C""),2,FALSE),)"),5.0)</f>
        <v>5</v>
      </c>
      <c r="J35" s="39" t="str">
        <f>IFERROR(__xludf.DUMMYFUNCTION("IFERROR(VLOOKUP(A35,IMPORTRANGE(""1lBH5Hghbbsr-XV8ZpAW4SFOyMpQX5vY0tEjkjRAJH48"",""Form Responses 1!B:C""),2,FALSE),)"),"")</f>
        <v/>
      </c>
      <c r="K35" s="39" t="str">
        <f>IFERROR(__xludf.DUMMYFUNCTION("IFERROR(IF(COUNTIF(IMPORTRANGE(""11sIXwmK0co7YC01jkeOYS_Q9btyVErtOm8MrXzqLkm8"",""Form Responses 1!B:B""),A35)&gt;0,10,),0)"),"")</f>
        <v/>
      </c>
      <c r="L35" s="70">
        <f>IFERROR(__xludf.DUMMYFUNCTION("IFERROR(IF(COUNTIF(IMPORTRANGE(""1csqG5dOxr6mnQQeHuLyfSoVeWZspfrn9T3cQFX5jhi8"",""Form Responses 1!B:B""),A35)&gt;0,10,),0)"),10.0)</f>
        <v>10</v>
      </c>
      <c r="M35" s="70">
        <f>IFERROR(__xludf.DUMMYFUNCTION("IFERROR(VLOOKUP(A35,IMPORTRANGE(""1C8QMXhp6CypS1pNA-UXlEADxmI-6nbSN9P4kujkvESI"",""Form Responses 1!B:C""),2,FALSE),)"),18.0)</f>
        <v>18</v>
      </c>
      <c r="N35" s="70">
        <f>IFERROR(__xludf.DUMMYFUNCTION("IFERROR(VLOOKUP(A35,IMPORTRANGE(""1e33dV9wgou_u1lnmBtok6Ato-q97II29uUvmeO7Juhw"",""Form Responses 1!B:C""),2,FALSE),)"),26.0)</f>
        <v>26</v>
      </c>
      <c r="O35" s="70" t="str">
        <f>IFERROR(__xludf.DUMMYFUNCTION("IFERROR(VLOOKUP(A35,IMPORTRANGE(""15TUXUTXgRTcnnjS-jyDta7Ecw7-lv8-wZMGVKaxe8TY"",""Form Responses 1!B:C""),2,FALSE),)"),"")</f>
        <v/>
      </c>
      <c r="P35" s="70" t="str">
        <f>IFERROR(__xludf.DUMMYFUNCTION("IFERROR(IF(COUNTIF(IMPORTRANGE(""1KFxxroaoSLanJBYtWVxeITrgly-aztutk24Q4y14KKU"",""Form Responses 1!B:B""),A35)&gt;0,10,),0)"),"")</f>
        <v/>
      </c>
      <c r="Q35" s="71" t="str">
        <f>IFERROR(__xludf.DUMMYFUNCTION("IFERROR(VLOOKUP(TRIM(A35),IMPORTRANGE(""1WjiLR_MTMxI_IZUKuvPO4Sg2rTSIqBzP3edakSRXbOA"",""Form Responses 1!B:C""),2,0),"""")"),"")</f>
        <v/>
      </c>
      <c r="R35" s="70" t="str">
        <f>IFERROR(__xludf.DUMMYFUNCTION("IFERROR(VLOOKUP(TRIM(A35),IMPORTRANGE(""1Ixzbal5tEbtWhozsFEppQzOYE6ZSrkNXHg_HW5k3Wt4"",""Form Responses 1!B:C""),2,0),"""")"),"")</f>
        <v/>
      </c>
      <c r="S35" s="70" t="str">
        <f>IFERROR(__xludf.DUMMYFUNCTION("IFERROR(VLOOKUP(TRIM(A35),IMPORTRANGE(""1zxjtEKGvVIJPIDqZdnxENwVpPXYa88EihzyI44hcQUo"",""Form Responses 1!B:C""),2,0),"""")"),"")</f>
        <v/>
      </c>
      <c r="T35" s="70" t="str">
        <f>IFERROR(__xludf.DUMMYFUNCTION("IFERROR(VLOOKUP(TRIM(A35),IMPORTRANGE(""1H3cO01obd5zFULYqaT5NAqecZBFFIHeDFn4CeQLZF3w"",""Form Responses 1!B:C""),2,0),"""")"),"")</f>
        <v/>
      </c>
      <c r="U35" s="70" t="str">
        <f>IFERROR(__xludf.DUMMYFUNCTION("IFERROR(VLOOKUP(TRIM(A35),IMPORTRANGE(""1IG9qoa6PeLdDDFzKpW39lxXshN0-M8Z25a_R1EpsYyg"",""Form Responses 1!B:C""),2,0),"""")"),"")</f>
        <v/>
      </c>
      <c r="V35" s="72"/>
      <c r="W35" s="70">
        <f>IFERROR(__xludf.DUMMYFUNCTION("IFERROR(VLOOKUP(TRIM(A35),IMPORTRANGE(""1JzBbPfIn5kXHe-RuBwssvVRSauekkTw9cwf70DsYix4"",""Form Responses 1!B:C""),2,0),"""")"),12.0)</f>
        <v>12</v>
      </c>
      <c r="X35" s="70">
        <f>IFERROR(__xludf.DUMMYFUNCTION("IFERROR(VLOOKUP(TRIM(A35),IMPORTRANGE(""1JbcCdZBzu6Yag8PuyvlbtYmdvUYYQNraxAgoikGBi5w"",""Form Responses 1!B:C""),2,0),"""")"),16.0)</f>
        <v>16</v>
      </c>
      <c r="Y35" s="70">
        <f>IFERROR(__xludf.DUMMYFUNCTION("IFERROR(VLOOKUP(TRIM(A35),IMPORTRANGE(""15-YcWQKwT7GXCzNpEoDkSlrruglscDYeQTD3uXec8uQ"",""Form Responses 1!B:C""),2,0),"""")"),17.0)</f>
        <v>17</v>
      </c>
      <c r="Z35" s="70">
        <f>IFERROR(__xludf.DUMMYFUNCTION("IFERROR(VLOOKUP(TRIM(A35),IMPORTRANGE(""1X2rXjxJaWCoTCv5SRdgsC_V3cXeEyqXGQY3NvE1KDUk"",""Form Responses 1!B:C""),2,0),"""")"),24.0)</f>
        <v>24</v>
      </c>
      <c r="AA35" s="70">
        <f>IFERROR(__xludf.DUMMYFUNCTION("IFERROR(VLOOKUP(TRIM(A35),IMPORTRANGE(""1zEJQnPshpdjcOtCVSP0I8nG2EXKbBMH9BJ8IeNFUEV8"",""Form Responses 1!B:C""),2,0),"""")"),15.0)</f>
        <v>15</v>
      </c>
      <c r="AB35" s="70">
        <f>IFERROR(__xludf.DUMMYFUNCTION("IFERROR(VLOOKUP(TRIM(A35),IMPORTRANGE(""1JzBbPfIn5kXHe-RuBwssvVRSauekkTw9cwf70DsYix4"",""Form Responses 1!B:C""),2,0),"""")"),12.0)</f>
        <v>12</v>
      </c>
      <c r="AC35" s="70">
        <f>IFERROR(__xludf.DUMMYFUNCTION("IFERROR(VLOOKUP(TRIM(A35),IMPORTRANGE(""1JbcCdZBzu6Yag8PuyvlbtYmdvUYYQNraxAgoikGBi5w"",""Form Responses 1!B:C""),2,0),"""")"),16.0)</f>
        <v>16</v>
      </c>
      <c r="AD35" s="70">
        <f>IFERROR(__xludf.DUMMYFUNCTION("IFERROR(VLOOKUP(TRIM(A35),IMPORTRANGE(""15-YcWQKwT7GXCzNpEoDkSlrruglscDYeQTD3uXec8uQ"",""Form Responses 1!B:C""),2,0),"""")"),17.0)</f>
        <v>17</v>
      </c>
      <c r="AE35" s="70">
        <f>IFERROR(__xludf.DUMMYFUNCTION("IFERROR(VLOOKUP(TRIM(A35),IMPORTRANGE(""1X2rXjxJaWCoTCv5SRdgsC_V3cXeEyqXGQY3NvE1KDUk"",""Form Responses 1!B:C""),2,0),"""")"),24.0)</f>
        <v>24</v>
      </c>
      <c r="AF35" s="70">
        <f>IFERROR(__xludf.DUMMYFUNCTION("IFERROR(VLOOKUP(TRIM(A35),IMPORTRANGE(""1zEJQnPshpdjcOtCVSP0I8nG2EXKbBMH9BJ8IeNFUEV8"",""Form Responses 1!B:C""),2,0),"""")"),15.0)</f>
        <v>15</v>
      </c>
      <c r="AG35" s="70"/>
      <c r="AH35" s="70"/>
      <c r="AI35" s="70"/>
      <c r="AJ35" s="70"/>
      <c r="AK35" s="70"/>
      <c r="AL35" s="70"/>
      <c r="AM35" s="70"/>
      <c r="AN35" s="70"/>
      <c r="AO35" s="70"/>
      <c r="AP35" s="70"/>
      <c r="AQ35" s="70"/>
      <c r="AR35" s="70"/>
      <c r="AS35" s="70"/>
      <c r="AT35" s="70"/>
      <c r="AU35" s="70"/>
    </row>
    <row r="36">
      <c r="A36" s="39" t="s">
        <v>287</v>
      </c>
      <c r="B36" s="70">
        <f>IFERROR(__xludf.DUMMYFUNCTION("IFERROR(IF(COUNTIF(IMPORTRANGE(""1RTcwEJsI_0aJRebhNwO_H_AoKl9r46k7hWYbtciIyM4"",""Form Responses 1!B:B""),A36)&gt;0,10,),0)"),10.0)</f>
        <v>10</v>
      </c>
      <c r="C36" s="70">
        <f>IFERROR(__xludf.DUMMYFUNCTION("IFERROR(VLOOKUP(A36,IMPORTRANGE(""11i8IUhq_U6RRKRV3CBWIKqYed_fMvFgNUHTq1YDJfp8"",""Form Responses 1!B:C""),2,FALSE),)"),10.0)</f>
        <v>10</v>
      </c>
      <c r="D36" s="70">
        <f>IFERROR(__xludf.DUMMYFUNCTION("IFERROR(VLOOKUP(A36,IMPORTRANGE(""1StiHxuxrFhYdrq5WLR2JMORicW0TbnJf3J-oTHeMRtM"",""Form Responses 1!B:C""),2,FALSE),)"),13.0)</f>
        <v>13</v>
      </c>
      <c r="E36" s="70">
        <f>IFERROR(__xludf.DUMMYFUNCTION("IFERROR(VLOOKUP(A36,IMPORTRANGE(""1QaxxyUjrDq2kgz300C1Bq1tacFk6e-xX218cSXCQUK0"",""Form Responses 1!B:C""),2,FALSE),)"),6.0)</f>
        <v>6</v>
      </c>
      <c r="F36" s="70">
        <f>IFERROR(__xludf.DUMMYFUNCTION("IFERROR(VLOOKUP(A36,IMPORTRANGE(""1fn2ECph_y8Uz78DhjLaiXcwgt6kh3oe-0Le36Uw0noE"",""Form Responses 1!B:C""),2,FALSE),)"),10.0)</f>
        <v>10</v>
      </c>
      <c r="G36" s="39">
        <f>IFERROR(__xludf.DUMMYFUNCTION("IFERROR(IF(COUNTIF(IMPORTRANGE(""1t6NbzWBtAQKR9pGjBnxm9V-bRaGdRVT_-u2ojrUkYZw"",""Form Responses 1!B:B""),A36)&gt;0,10,),0)"),10.0)</f>
        <v>10</v>
      </c>
      <c r="H36" s="39">
        <f>IFERROR(__xludf.DUMMYFUNCTION("IFERROR(VLOOKUP(A36,IMPORTRANGE(""1ytv6MYmm-8DwYEf-PC6L-upnzfG4TJT_K2_Q1BobE6k"",""Form Responses 1!B:C""),2,FALSE),)"),13.0)</f>
        <v>13</v>
      </c>
      <c r="I36" s="39" t="str">
        <f>IFERROR(__xludf.DUMMYFUNCTION("IFERROR(VLOOKUP(A36,IMPORTRANGE(""1LTj0BC6WXgHo3fEDDSQlGOM1HkEYGTw8epmIdU0RnB4"",""Form Responses 1!B:C""),2,FALSE),)"),"")</f>
        <v/>
      </c>
      <c r="J36" s="39" t="str">
        <f>IFERROR(__xludf.DUMMYFUNCTION("IFERROR(VLOOKUP(A36,IMPORTRANGE(""1lBH5Hghbbsr-XV8ZpAW4SFOyMpQX5vY0tEjkjRAJH48"",""Form Responses 1!B:C""),2,FALSE),)"),"")</f>
        <v/>
      </c>
      <c r="K36" s="39" t="str">
        <f>IFERROR(__xludf.DUMMYFUNCTION("IFERROR(IF(COUNTIF(IMPORTRANGE(""11sIXwmK0co7YC01jkeOYS_Q9btyVErtOm8MrXzqLkm8"",""Form Responses 1!B:B""),A36)&gt;0,10,),0)"),"")</f>
        <v/>
      </c>
      <c r="L36" s="70">
        <f>IFERROR(__xludf.DUMMYFUNCTION("IFERROR(IF(COUNTIF(IMPORTRANGE(""1csqG5dOxr6mnQQeHuLyfSoVeWZspfrn9T3cQFX5jhi8"",""Form Responses 1!B:B""),A36)&gt;0,10,),0)"),10.0)</f>
        <v>10</v>
      </c>
      <c r="M36" s="70">
        <f>IFERROR(__xludf.DUMMYFUNCTION("IFERROR(VLOOKUP(A36,IMPORTRANGE(""1C8QMXhp6CypS1pNA-UXlEADxmI-6nbSN9P4kujkvESI"",""Form Responses 1!B:C""),2,FALSE),)"),20.0)</f>
        <v>20</v>
      </c>
      <c r="N36" s="70" t="str">
        <f>IFERROR(__xludf.DUMMYFUNCTION("IFERROR(VLOOKUP(A36,IMPORTRANGE(""1e33dV9wgou_u1lnmBtok6Ato-q97II29uUvmeO7Juhw"",""Form Responses 1!B:C""),2,FALSE),)"),"")</f>
        <v/>
      </c>
      <c r="O36" s="70" t="str">
        <f>IFERROR(__xludf.DUMMYFUNCTION("IFERROR(VLOOKUP(A36,IMPORTRANGE(""15TUXUTXgRTcnnjS-jyDta7Ecw7-lv8-wZMGVKaxe8TY"",""Form Responses 1!B:C""),2,FALSE),)"),"")</f>
        <v/>
      </c>
      <c r="P36" s="70" t="str">
        <f>IFERROR(__xludf.DUMMYFUNCTION("IFERROR(IF(COUNTIF(IMPORTRANGE(""1KFxxroaoSLanJBYtWVxeITrgly-aztutk24Q4y14KKU"",""Form Responses 1!B:B""),A36)&gt;0,10,),0)"),"")</f>
        <v/>
      </c>
      <c r="Q36" s="71">
        <f>IFERROR(__xludf.DUMMYFUNCTION("IFERROR(VLOOKUP(TRIM(A36),IMPORTRANGE(""1WjiLR_MTMxI_IZUKuvPO4Sg2rTSIqBzP3edakSRXbOA"",""Form Responses 1!B:C""),2,0),"""")"),6.0)</f>
        <v>6</v>
      </c>
      <c r="R36" s="70" t="str">
        <f>IFERROR(__xludf.DUMMYFUNCTION("IFERROR(VLOOKUP(TRIM(A36),IMPORTRANGE(""1Ixzbal5tEbtWhozsFEppQzOYE6ZSrkNXHg_HW5k3Wt4"",""Form Responses 1!B:C""),2,0),"""")"),"")</f>
        <v/>
      </c>
      <c r="S36" s="70" t="str">
        <f>IFERROR(__xludf.DUMMYFUNCTION("IFERROR(VLOOKUP(TRIM(A36),IMPORTRANGE(""1zxjtEKGvVIJPIDqZdnxENwVpPXYa88EihzyI44hcQUo"",""Form Responses 1!B:C""),2,0),"""")"),"")</f>
        <v/>
      </c>
      <c r="T36" s="70" t="str">
        <f>IFERROR(__xludf.DUMMYFUNCTION("IFERROR(VLOOKUP(TRIM(A36),IMPORTRANGE(""1H3cO01obd5zFULYqaT5NAqecZBFFIHeDFn4CeQLZF3w"",""Form Responses 1!B:C""),2,0),"""")"),"")</f>
        <v/>
      </c>
      <c r="U36" s="70" t="str">
        <f>IFERROR(__xludf.DUMMYFUNCTION("IFERROR(VLOOKUP(TRIM(A36),IMPORTRANGE(""1IG9qoa6PeLdDDFzKpW39lxXshN0-M8Z25a_R1EpsYyg"",""Form Responses 1!B:C""),2,0),"""")"),"")</f>
        <v/>
      </c>
      <c r="V36" s="74">
        <v>15.0</v>
      </c>
      <c r="W36" s="70" t="str">
        <f>IFERROR(__xludf.DUMMYFUNCTION("IFERROR(VLOOKUP(TRIM(A36),IMPORTRANGE(""1JzBbPfIn5kXHe-RuBwssvVRSauekkTw9cwf70DsYix4"",""Form Responses 1!B:C""),2,0),"""")"),"")</f>
        <v/>
      </c>
      <c r="X36" s="70" t="str">
        <f>IFERROR(__xludf.DUMMYFUNCTION("IFERROR(VLOOKUP(TRIM(A36),IMPORTRANGE(""1JbcCdZBzu6Yag8PuyvlbtYmdvUYYQNraxAgoikGBi5w"",""Form Responses 1!B:C""),2,0),"""")"),"")</f>
        <v/>
      </c>
      <c r="Y36" s="70" t="str">
        <f>IFERROR(__xludf.DUMMYFUNCTION("IFERROR(VLOOKUP(TRIM(A36),IMPORTRANGE(""15-YcWQKwT7GXCzNpEoDkSlrruglscDYeQTD3uXec8uQ"",""Form Responses 1!B:C""),2,0),"""")"),"")</f>
        <v/>
      </c>
      <c r="Z36" s="70" t="str">
        <f>IFERROR(__xludf.DUMMYFUNCTION("IFERROR(VLOOKUP(TRIM(A36),IMPORTRANGE(""1X2rXjxJaWCoTCv5SRdgsC_V3cXeEyqXGQY3NvE1KDUk"",""Form Responses 1!B:C""),2,0),"""")"),"")</f>
        <v/>
      </c>
      <c r="AA36" s="70" t="str">
        <f>IFERROR(__xludf.DUMMYFUNCTION("IFERROR(VLOOKUP(TRIM(A36),IMPORTRANGE(""1zEJQnPshpdjcOtCVSP0I8nG2EXKbBMH9BJ8IeNFUEV8"",""Form Responses 1!B:C""),2,0),"""")"),"")</f>
        <v/>
      </c>
      <c r="AB36" s="70" t="str">
        <f>IFERROR(__xludf.DUMMYFUNCTION("IFERROR(VLOOKUP(TRIM(A36),IMPORTRANGE(""1JzBbPfIn5kXHe-RuBwssvVRSauekkTw9cwf70DsYix4"",""Form Responses 1!B:C""),2,0),"""")"),"")</f>
        <v/>
      </c>
      <c r="AC36" s="70" t="str">
        <f>IFERROR(__xludf.DUMMYFUNCTION("IFERROR(VLOOKUP(TRIM(A36),IMPORTRANGE(""1JbcCdZBzu6Yag8PuyvlbtYmdvUYYQNraxAgoikGBi5w"",""Form Responses 1!B:C""),2,0),"""")"),"")</f>
        <v/>
      </c>
      <c r="AD36" s="70" t="str">
        <f>IFERROR(__xludf.DUMMYFUNCTION("IFERROR(VLOOKUP(TRIM(A36),IMPORTRANGE(""15-YcWQKwT7GXCzNpEoDkSlrruglscDYeQTD3uXec8uQ"",""Form Responses 1!B:C""),2,0),"""")"),"")</f>
        <v/>
      </c>
      <c r="AE36" s="70" t="str">
        <f>IFERROR(__xludf.DUMMYFUNCTION("IFERROR(VLOOKUP(TRIM(A36),IMPORTRANGE(""1X2rXjxJaWCoTCv5SRdgsC_V3cXeEyqXGQY3NvE1KDUk"",""Form Responses 1!B:C""),2,0),"""")"),"")</f>
        <v/>
      </c>
      <c r="AF36" s="70" t="str">
        <f>IFERROR(__xludf.DUMMYFUNCTION("IFERROR(VLOOKUP(TRIM(A36),IMPORTRANGE(""1zEJQnPshpdjcOtCVSP0I8nG2EXKbBMH9BJ8IeNFUEV8"",""Form Responses 1!B:C""),2,0),"""")"),"")</f>
        <v/>
      </c>
      <c r="AG36" s="70"/>
      <c r="AH36" s="70"/>
      <c r="AI36" s="70"/>
      <c r="AJ36" s="70"/>
      <c r="AK36" s="70"/>
      <c r="AL36" s="70"/>
      <c r="AM36" s="70"/>
      <c r="AN36" s="70"/>
      <c r="AO36" s="70"/>
      <c r="AP36" s="70"/>
      <c r="AQ36" s="70"/>
      <c r="AR36" s="70"/>
      <c r="AS36" s="70"/>
      <c r="AT36" s="70"/>
      <c r="AU36" s="70"/>
    </row>
    <row r="37">
      <c r="A37" s="39" t="s">
        <v>288</v>
      </c>
      <c r="B37" s="70">
        <f>IFERROR(__xludf.DUMMYFUNCTION("IFERROR(IF(COUNTIF(IMPORTRANGE(""1RTcwEJsI_0aJRebhNwO_H_AoKl9r46k7hWYbtciIyM4"",""Form Responses 1!B:B""),A37)&gt;0,10,),0)"),10.0)</f>
        <v>10</v>
      </c>
      <c r="C37" s="70">
        <f>IFERROR(__xludf.DUMMYFUNCTION("IFERROR(VLOOKUP(A37,IMPORTRANGE(""11i8IUhq_U6RRKRV3CBWIKqYed_fMvFgNUHTq1YDJfp8"",""Form Responses 1!B:C""),2,FALSE),)"),10.0)</f>
        <v>10</v>
      </c>
      <c r="D37" s="70">
        <f>IFERROR(__xludf.DUMMYFUNCTION("IFERROR(VLOOKUP(A37,IMPORTRANGE(""1StiHxuxrFhYdrq5WLR2JMORicW0TbnJf3J-oTHeMRtM"",""Form Responses 1!B:C""),2,FALSE),)"),11.0)</f>
        <v>11</v>
      </c>
      <c r="E37" s="70">
        <f>IFERROR(__xludf.DUMMYFUNCTION("IFERROR(VLOOKUP(A37,IMPORTRANGE(""1QaxxyUjrDq2kgz300C1Bq1tacFk6e-xX218cSXCQUK0"",""Form Responses 1!B:C""),2,FALSE),)"),6.0)</f>
        <v>6</v>
      </c>
      <c r="F37" s="70">
        <f>IFERROR(__xludf.DUMMYFUNCTION("IFERROR(VLOOKUP(A37,IMPORTRANGE(""1fn2ECph_y8Uz78DhjLaiXcwgt6kh3oe-0Le36Uw0noE"",""Form Responses 1!B:C""),2,FALSE),)"),10.0)</f>
        <v>10</v>
      </c>
      <c r="G37" s="39">
        <f>IFERROR(__xludf.DUMMYFUNCTION("IFERROR(IF(COUNTIF(IMPORTRANGE(""1t6NbzWBtAQKR9pGjBnxm9V-bRaGdRVT_-u2ojrUkYZw"",""Form Responses 1!B:B""),A37)&gt;0,10,),0)"),10.0)</f>
        <v>10</v>
      </c>
      <c r="H37" s="39">
        <f>IFERROR(__xludf.DUMMYFUNCTION("IFERROR(VLOOKUP(A37,IMPORTRANGE(""1ytv6MYmm-8DwYEf-PC6L-upnzfG4TJT_K2_Q1BobE6k"",""Form Responses 1!B:C""),2,FALSE),)"),13.0)</f>
        <v>13</v>
      </c>
      <c r="I37" s="39">
        <f>IFERROR(__xludf.DUMMYFUNCTION("IFERROR(VLOOKUP(A37,IMPORTRANGE(""1LTj0BC6WXgHo3fEDDSQlGOM1HkEYGTw8epmIdU0RnB4"",""Form Responses 1!B:C""),2,FALSE),)"),8.0)</f>
        <v>8</v>
      </c>
      <c r="J37" s="39">
        <f>IFERROR(__xludf.DUMMYFUNCTION("IFERROR(VLOOKUP(A37,IMPORTRANGE(""1lBH5Hghbbsr-XV8ZpAW4SFOyMpQX5vY0tEjkjRAJH48"",""Form Responses 1!B:C""),2,FALSE),)"),0.0)</f>
        <v>0</v>
      </c>
      <c r="K37" s="39">
        <f>IFERROR(__xludf.DUMMYFUNCTION("IFERROR(IF(COUNTIF(IMPORTRANGE(""11sIXwmK0co7YC01jkeOYS_Q9btyVErtOm8MrXzqLkm8"",""Form Responses 1!B:B""),A37)&gt;0,10,),0)"),10.0)</f>
        <v>10</v>
      </c>
      <c r="L37" s="70">
        <f>IFERROR(__xludf.DUMMYFUNCTION("IFERROR(IF(COUNTIF(IMPORTRANGE(""1csqG5dOxr6mnQQeHuLyfSoVeWZspfrn9T3cQFX5jhi8"",""Form Responses 1!B:B""),A37)&gt;0,10,),0)"),10.0)</f>
        <v>10</v>
      </c>
      <c r="M37" s="70">
        <f>IFERROR(__xludf.DUMMYFUNCTION("IFERROR(VLOOKUP(A37,IMPORTRANGE(""1C8QMXhp6CypS1pNA-UXlEADxmI-6nbSN9P4kujkvESI"",""Form Responses 1!B:C""),2,FALSE),)"),24.0)</f>
        <v>24</v>
      </c>
      <c r="N37" s="70">
        <f>IFERROR(__xludf.DUMMYFUNCTION("IFERROR(VLOOKUP(A37,IMPORTRANGE(""1e33dV9wgou_u1lnmBtok6Ato-q97II29uUvmeO7Juhw"",""Form Responses 1!B:C""),2,FALSE),)"),26.0)</f>
        <v>26</v>
      </c>
      <c r="O37" s="70">
        <f>IFERROR(__xludf.DUMMYFUNCTION("IFERROR(VLOOKUP(A37,IMPORTRANGE(""15TUXUTXgRTcnnjS-jyDta7Ecw7-lv8-wZMGVKaxe8TY"",""Form Responses 1!B:C""),2,FALSE),)"),26.0)</f>
        <v>26</v>
      </c>
      <c r="P37" s="70">
        <f>IFERROR(__xludf.DUMMYFUNCTION("IFERROR(IF(COUNTIF(IMPORTRANGE(""1KFxxroaoSLanJBYtWVxeITrgly-aztutk24Q4y14KKU"",""Form Responses 1!B:B""),A37)&gt;0,10,),0)"),10.0)</f>
        <v>10</v>
      </c>
      <c r="Q37" s="71">
        <f>IFERROR(__xludf.DUMMYFUNCTION("IFERROR(VLOOKUP(TRIM(A37),IMPORTRANGE(""1WjiLR_MTMxI_IZUKuvPO4Sg2rTSIqBzP3edakSRXbOA"",""Form Responses 1!B:C""),2,0),"""")"),10.0)</f>
        <v>10</v>
      </c>
      <c r="R37" s="70">
        <f>IFERROR(__xludf.DUMMYFUNCTION("IFERROR(VLOOKUP(TRIM(A37),IMPORTRANGE(""1Ixzbal5tEbtWhozsFEppQzOYE6ZSrkNXHg_HW5k3Wt4"",""Form Responses 1!B:C""),2,0),"""")"),9.0)</f>
        <v>9</v>
      </c>
      <c r="S37" s="70">
        <f>IFERROR(__xludf.DUMMYFUNCTION("IFERROR(VLOOKUP(TRIM(A37),IMPORTRANGE(""1zxjtEKGvVIJPIDqZdnxENwVpPXYa88EihzyI44hcQUo"",""Form Responses 1!B:C""),2,0),"""")"),9.0)</f>
        <v>9</v>
      </c>
      <c r="T37" s="70">
        <f>IFERROR(__xludf.DUMMYFUNCTION("IFERROR(VLOOKUP(TRIM(A37),IMPORTRANGE(""1H3cO01obd5zFULYqaT5NAqecZBFFIHeDFn4CeQLZF3w"",""Form Responses 1!B:C""),2,0),"""")"),5.0)</f>
        <v>5</v>
      </c>
      <c r="U37" s="70">
        <f>IFERROR(__xludf.DUMMYFUNCTION("IFERROR(VLOOKUP(TRIM(A37),IMPORTRANGE(""1IG9qoa6PeLdDDFzKpW39lxXshN0-M8Z25a_R1EpsYyg"",""Form Responses 1!B:C""),2,0),"""")"),2.0)</f>
        <v>2</v>
      </c>
      <c r="V37" s="74">
        <v>17.0</v>
      </c>
      <c r="W37" s="70">
        <f>IFERROR(__xludf.DUMMYFUNCTION("IFERROR(VLOOKUP(TRIM(A37),IMPORTRANGE(""1JzBbPfIn5kXHe-RuBwssvVRSauekkTw9cwf70DsYix4"",""Form Responses 1!B:C""),2,0),"""")"),12.0)</f>
        <v>12</v>
      </c>
      <c r="X37" s="70">
        <f>IFERROR(__xludf.DUMMYFUNCTION("IFERROR(VLOOKUP(TRIM(A37),IMPORTRANGE(""1JbcCdZBzu6Yag8PuyvlbtYmdvUYYQNraxAgoikGBi5w"",""Form Responses 1!B:C""),2,0),"""")"),20.0)</f>
        <v>20</v>
      </c>
      <c r="Y37" s="70">
        <f>IFERROR(__xludf.DUMMYFUNCTION("IFERROR(VLOOKUP(TRIM(A37),IMPORTRANGE(""15-YcWQKwT7GXCzNpEoDkSlrruglscDYeQTD3uXec8uQ"",""Form Responses 1!B:C""),2,0),"""")"),21.0)</f>
        <v>21</v>
      </c>
      <c r="Z37" s="70">
        <f>IFERROR(__xludf.DUMMYFUNCTION("IFERROR(VLOOKUP(TRIM(A37),IMPORTRANGE(""1X2rXjxJaWCoTCv5SRdgsC_V3cXeEyqXGQY3NvE1KDUk"",""Form Responses 1!B:C""),2,0),"""")"),25.0)</f>
        <v>25</v>
      </c>
      <c r="AA37" s="70">
        <f>IFERROR(__xludf.DUMMYFUNCTION("IFERROR(VLOOKUP(TRIM(A37),IMPORTRANGE(""1zEJQnPshpdjcOtCVSP0I8nG2EXKbBMH9BJ8IeNFUEV8"",""Form Responses 1!B:C""),2,0),"""")"),22.0)</f>
        <v>22</v>
      </c>
      <c r="AB37" s="70">
        <f>IFERROR(__xludf.DUMMYFUNCTION("IFERROR(VLOOKUP(TRIM(A37),IMPORTRANGE(""1JzBbPfIn5kXHe-RuBwssvVRSauekkTw9cwf70DsYix4"",""Form Responses 1!B:C""),2,0),"""")"),12.0)</f>
        <v>12</v>
      </c>
      <c r="AC37" s="70">
        <f>IFERROR(__xludf.DUMMYFUNCTION("IFERROR(VLOOKUP(TRIM(A37),IMPORTRANGE(""1JbcCdZBzu6Yag8PuyvlbtYmdvUYYQNraxAgoikGBi5w"",""Form Responses 1!B:C""),2,0),"""")"),20.0)</f>
        <v>20</v>
      </c>
      <c r="AD37" s="70">
        <f>IFERROR(__xludf.DUMMYFUNCTION("IFERROR(VLOOKUP(TRIM(A37),IMPORTRANGE(""15-YcWQKwT7GXCzNpEoDkSlrruglscDYeQTD3uXec8uQ"",""Form Responses 1!B:C""),2,0),"""")"),21.0)</f>
        <v>21</v>
      </c>
      <c r="AE37" s="70">
        <f>IFERROR(__xludf.DUMMYFUNCTION("IFERROR(VLOOKUP(TRIM(A37),IMPORTRANGE(""1X2rXjxJaWCoTCv5SRdgsC_V3cXeEyqXGQY3NvE1KDUk"",""Form Responses 1!B:C""),2,0),"""")"),25.0)</f>
        <v>25</v>
      </c>
      <c r="AF37" s="70">
        <f>IFERROR(__xludf.DUMMYFUNCTION("IFERROR(VLOOKUP(TRIM(A37),IMPORTRANGE(""1zEJQnPshpdjcOtCVSP0I8nG2EXKbBMH9BJ8IeNFUEV8"",""Form Responses 1!B:C""),2,0),"""")"),22.0)</f>
        <v>22</v>
      </c>
      <c r="AG37" s="70"/>
      <c r="AH37" s="70"/>
      <c r="AI37" s="70"/>
      <c r="AJ37" s="70"/>
      <c r="AK37" s="70"/>
      <c r="AL37" s="70"/>
      <c r="AM37" s="70"/>
      <c r="AN37" s="70"/>
      <c r="AO37" s="70"/>
      <c r="AP37" s="70"/>
      <c r="AQ37" s="70"/>
      <c r="AR37" s="70"/>
      <c r="AS37" s="70"/>
      <c r="AT37" s="70"/>
      <c r="AU37" s="70"/>
    </row>
    <row r="38">
      <c r="A38" s="39" t="s">
        <v>289</v>
      </c>
      <c r="B38" s="70">
        <f>IFERROR(__xludf.DUMMYFUNCTION("IFERROR(IF(COUNTIF(IMPORTRANGE(""1RTcwEJsI_0aJRebhNwO_H_AoKl9r46k7hWYbtciIyM4"",""Form Responses 1!B:B""),A38)&gt;0,10,),0)"),10.0)</f>
        <v>10</v>
      </c>
      <c r="C38" s="70" t="str">
        <f>IFERROR(__xludf.DUMMYFUNCTION("IFERROR(VLOOKUP(A38,IMPORTRANGE(""11i8IUhq_U6RRKRV3CBWIKqYed_fMvFgNUHTq1YDJfp8"",""Form Responses 1!B:C""),2,FALSE),)"),"")</f>
        <v/>
      </c>
      <c r="D38" s="70" t="str">
        <f>IFERROR(__xludf.DUMMYFUNCTION("IFERROR(VLOOKUP(A38,IMPORTRANGE(""1StiHxuxrFhYdrq5WLR2JMORicW0TbnJf3J-oTHeMRtM"",""Form Responses 1!B:C""),2,FALSE),)"),"")</f>
        <v/>
      </c>
      <c r="E38" s="70" t="str">
        <f>IFERROR(__xludf.DUMMYFUNCTION("IFERROR(VLOOKUP(A38,IMPORTRANGE(""1QaxxyUjrDq2kgz300C1Bq1tacFk6e-xX218cSXCQUK0"",""Form Responses 1!B:C""),2,FALSE),)"),"")</f>
        <v/>
      </c>
      <c r="F38" s="70" t="str">
        <f>IFERROR(__xludf.DUMMYFUNCTION("IFERROR(VLOOKUP(A38,IMPORTRANGE(""1fn2ECph_y8Uz78DhjLaiXcwgt6kh3oe-0Le36Uw0noE"",""Form Responses 1!B:C""),2,FALSE),)"),"")</f>
        <v/>
      </c>
      <c r="G38" s="39" t="str">
        <f>IFERROR(__xludf.DUMMYFUNCTION("IFERROR(IF(COUNTIF(IMPORTRANGE(""1t6NbzWBtAQKR9pGjBnxm9V-bRaGdRVT_-u2ojrUkYZw"",""Form Responses 1!B:B""),A38)&gt;0,10,),0)"),"")</f>
        <v/>
      </c>
      <c r="H38" s="39" t="str">
        <f>IFERROR(__xludf.DUMMYFUNCTION("IFERROR(VLOOKUP(A38,IMPORTRANGE(""1ytv6MYmm-8DwYEf-PC6L-upnzfG4TJT_K2_Q1BobE6k"",""Form Responses 1!B:C""),2,FALSE),)"),"")</f>
        <v/>
      </c>
      <c r="I38" s="39" t="str">
        <f>IFERROR(__xludf.DUMMYFUNCTION("IFERROR(VLOOKUP(A38,IMPORTRANGE(""1LTj0BC6WXgHo3fEDDSQlGOM1HkEYGTw8epmIdU0RnB4"",""Form Responses 1!B:C""),2,FALSE),)"),"")</f>
        <v/>
      </c>
      <c r="J38" s="39" t="str">
        <f>IFERROR(__xludf.DUMMYFUNCTION("IFERROR(VLOOKUP(A38,IMPORTRANGE(""1lBH5Hghbbsr-XV8ZpAW4SFOyMpQX5vY0tEjkjRAJH48"",""Form Responses 1!B:C""),2,FALSE),)"),"")</f>
        <v/>
      </c>
      <c r="K38" s="39" t="str">
        <f>IFERROR(__xludf.DUMMYFUNCTION("IFERROR(IF(COUNTIF(IMPORTRANGE(""11sIXwmK0co7YC01jkeOYS_Q9btyVErtOm8MrXzqLkm8"",""Form Responses 1!B:B""),A38)&gt;0,10,),0)"),"")</f>
        <v/>
      </c>
      <c r="L38" s="70" t="str">
        <f>IFERROR(__xludf.DUMMYFUNCTION("IFERROR(IF(COUNTIF(IMPORTRANGE(""1csqG5dOxr6mnQQeHuLyfSoVeWZspfrn9T3cQFX5jhi8"",""Form Responses 1!B:B""),A38)&gt;0,10,),0)"),"")</f>
        <v/>
      </c>
      <c r="M38" s="70" t="str">
        <f>IFERROR(__xludf.DUMMYFUNCTION("IFERROR(VLOOKUP(A38,IMPORTRANGE(""1C8QMXhp6CypS1pNA-UXlEADxmI-6nbSN9P4kujkvESI"",""Form Responses 1!B:C""),2,FALSE),)"),"")</f>
        <v/>
      </c>
      <c r="N38" s="70" t="str">
        <f>IFERROR(__xludf.DUMMYFUNCTION("IFERROR(VLOOKUP(A38,IMPORTRANGE(""1e33dV9wgou_u1lnmBtok6Ato-q97II29uUvmeO7Juhw"",""Form Responses 1!B:C""),2,FALSE),)"),"")</f>
        <v/>
      </c>
      <c r="O38" s="70" t="str">
        <f>IFERROR(__xludf.DUMMYFUNCTION("IFERROR(VLOOKUP(A38,IMPORTRANGE(""15TUXUTXgRTcnnjS-jyDta7Ecw7-lv8-wZMGVKaxe8TY"",""Form Responses 1!B:C""),2,FALSE),)"),"")</f>
        <v/>
      </c>
      <c r="P38" s="70" t="str">
        <f>IFERROR(__xludf.DUMMYFUNCTION("IFERROR(IF(COUNTIF(IMPORTRANGE(""1KFxxroaoSLanJBYtWVxeITrgly-aztutk24Q4y14KKU"",""Form Responses 1!B:B""),A38)&gt;0,10,),0)"),"")</f>
        <v/>
      </c>
      <c r="Q38" s="71" t="str">
        <f>IFERROR(__xludf.DUMMYFUNCTION("IFERROR(VLOOKUP(TRIM(A38),IMPORTRANGE(""1WjiLR_MTMxI_IZUKuvPO4Sg2rTSIqBzP3edakSRXbOA"",""Form Responses 1!B:C""),2,0),"""")"),"")</f>
        <v/>
      </c>
      <c r="R38" s="70" t="str">
        <f>IFERROR(__xludf.DUMMYFUNCTION("IFERROR(VLOOKUP(TRIM(A38),IMPORTRANGE(""1Ixzbal5tEbtWhozsFEppQzOYE6ZSrkNXHg_HW5k3Wt4"",""Form Responses 1!B:C""),2,0),"""")"),"")</f>
        <v/>
      </c>
      <c r="S38" s="70" t="str">
        <f>IFERROR(__xludf.DUMMYFUNCTION("IFERROR(VLOOKUP(TRIM(A38),IMPORTRANGE(""1zxjtEKGvVIJPIDqZdnxENwVpPXYa88EihzyI44hcQUo"",""Form Responses 1!B:C""),2,0),"""")"),"")</f>
        <v/>
      </c>
      <c r="T38" s="70" t="str">
        <f>IFERROR(__xludf.DUMMYFUNCTION("IFERROR(VLOOKUP(TRIM(A38),IMPORTRANGE(""1H3cO01obd5zFULYqaT5NAqecZBFFIHeDFn4CeQLZF3w"",""Form Responses 1!B:C""),2,0),"""")"),"")</f>
        <v/>
      </c>
      <c r="U38" s="70" t="str">
        <f>IFERROR(__xludf.DUMMYFUNCTION("IFERROR(VLOOKUP(TRIM(A38),IMPORTRANGE(""1IG9qoa6PeLdDDFzKpW39lxXshN0-M8Z25a_R1EpsYyg"",""Form Responses 1!B:C""),2,0),"""")"),"")</f>
        <v/>
      </c>
      <c r="V38" s="72"/>
      <c r="W38" s="70" t="str">
        <f>IFERROR(__xludf.DUMMYFUNCTION("IFERROR(VLOOKUP(TRIM(A38),IMPORTRANGE(""1JzBbPfIn5kXHe-RuBwssvVRSauekkTw9cwf70DsYix4"",""Form Responses 1!B:C""),2,0),"""")"),"")</f>
        <v/>
      </c>
      <c r="X38" s="70" t="str">
        <f>IFERROR(__xludf.DUMMYFUNCTION("IFERROR(VLOOKUP(TRIM(A38),IMPORTRANGE(""1JbcCdZBzu6Yag8PuyvlbtYmdvUYYQNraxAgoikGBi5w"",""Form Responses 1!B:C""),2,0),"""")"),"")</f>
        <v/>
      </c>
      <c r="Y38" s="70" t="str">
        <f>IFERROR(__xludf.DUMMYFUNCTION("IFERROR(VLOOKUP(TRIM(A38),IMPORTRANGE(""15-YcWQKwT7GXCzNpEoDkSlrruglscDYeQTD3uXec8uQ"",""Form Responses 1!B:C""),2,0),"""")"),"")</f>
        <v/>
      </c>
      <c r="Z38" s="70" t="str">
        <f>IFERROR(__xludf.DUMMYFUNCTION("IFERROR(VLOOKUP(TRIM(A38),IMPORTRANGE(""1X2rXjxJaWCoTCv5SRdgsC_V3cXeEyqXGQY3NvE1KDUk"",""Form Responses 1!B:C""),2,0),"""")"),"")</f>
        <v/>
      </c>
      <c r="AA38" s="70" t="str">
        <f>IFERROR(__xludf.DUMMYFUNCTION("IFERROR(VLOOKUP(TRIM(A38),IMPORTRANGE(""1zEJQnPshpdjcOtCVSP0I8nG2EXKbBMH9BJ8IeNFUEV8"",""Form Responses 1!B:C""),2,0),"""")"),"")</f>
        <v/>
      </c>
      <c r="AB38" s="70" t="str">
        <f>IFERROR(__xludf.DUMMYFUNCTION("IFERROR(VLOOKUP(TRIM(A38),IMPORTRANGE(""1JzBbPfIn5kXHe-RuBwssvVRSauekkTw9cwf70DsYix4"",""Form Responses 1!B:C""),2,0),"""")"),"")</f>
        <v/>
      </c>
      <c r="AC38" s="70" t="str">
        <f>IFERROR(__xludf.DUMMYFUNCTION("IFERROR(VLOOKUP(TRIM(A38),IMPORTRANGE(""1JbcCdZBzu6Yag8PuyvlbtYmdvUYYQNraxAgoikGBi5w"",""Form Responses 1!B:C""),2,0),"""")"),"")</f>
        <v/>
      </c>
      <c r="AD38" s="70" t="str">
        <f>IFERROR(__xludf.DUMMYFUNCTION("IFERROR(VLOOKUP(TRIM(A38),IMPORTRANGE(""15-YcWQKwT7GXCzNpEoDkSlrruglscDYeQTD3uXec8uQ"",""Form Responses 1!B:C""),2,0),"""")"),"")</f>
        <v/>
      </c>
      <c r="AE38" s="70" t="str">
        <f>IFERROR(__xludf.DUMMYFUNCTION("IFERROR(VLOOKUP(TRIM(A38),IMPORTRANGE(""1X2rXjxJaWCoTCv5SRdgsC_V3cXeEyqXGQY3NvE1KDUk"",""Form Responses 1!B:C""),2,0),"""")"),"")</f>
        <v/>
      </c>
      <c r="AF38" s="70" t="str">
        <f>IFERROR(__xludf.DUMMYFUNCTION("IFERROR(VLOOKUP(TRIM(A38),IMPORTRANGE(""1zEJQnPshpdjcOtCVSP0I8nG2EXKbBMH9BJ8IeNFUEV8"",""Form Responses 1!B:C""),2,0),"""")"),"")</f>
        <v/>
      </c>
      <c r="AG38" s="70"/>
      <c r="AH38" s="70"/>
      <c r="AI38" s="70"/>
      <c r="AJ38" s="70"/>
      <c r="AK38" s="70"/>
      <c r="AL38" s="70"/>
      <c r="AM38" s="70"/>
      <c r="AN38" s="70"/>
      <c r="AO38" s="70"/>
      <c r="AP38" s="70"/>
      <c r="AQ38" s="70"/>
      <c r="AR38" s="70"/>
      <c r="AS38" s="70"/>
      <c r="AT38" s="70"/>
      <c r="AU38" s="70"/>
    </row>
    <row r="39">
      <c r="A39" s="39" t="s">
        <v>290</v>
      </c>
      <c r="B39" s="70" t="str">
        <f>IFERROR(__xludf.DUMMYFUNCTION("IFERROR(IF(COUNTIF(IMPORTRANGE(""1RTcwEJsI_0aJRebhNwO_H_AoKl9r46k7hWYbtciIyM4"",""Form Responses 1!B:B""),A39)&gt;0,10,),0)"),"")</f>
        <v/>
      </c>
      <c r="C39" s="70" t="str">
        <f>IFERROR(__xludf.DUMMYFUNCTION("IFERROR(VLOOKUP(A39,IMPORTRANGE(""11i8IUhq_U6RRKRV3CBWIKqYed_fMvFgNUHTq1YDJfp8"",""Form Responses 1!B:C""),2,FALSE),)"),"")</f>
        <v/>
      </c>
      <c r="D39" s="70" t="str">
        <f>IFERROR(__xludf.DUMMYFUNCTION("IFERROR(VLOOKUP(A39,IMPORTRANGE(""1StiHxuxrFhYdrq5WLR2JMORicW0TbnJf3J-oTHeMRtM"",""Form Responses 1!B:C""),2,FALSE),)"),"")</f>
        <v/>
      </c>
      <c r="E39" s="70" t="str">
        <f>IFERROR(__xludf.DUMMYFUNCTION("IFERROR(VLOOKUP(A39,IMPORTRANGE(""1QaxxyUjrDq2kgz300C1Bq1tacFk6e-xX218cSXCQUK0"",""Form Responses 1!B:C""),2,FALSE),)"),"")</f>
        <v/>
      </c>
      <c r="F39" s="70" t="str">
        <f>IFERROR(__xludf.DUMMYFUNCTION("IFERROR(VLOOKUP(A39,IMPORTRANGE(""1fn2ECph_y8Uz78DhjLaiXcwgt6kh3oe-0Le36Uw0noE"",""Form Responses 1!B:C""),2,FALSE),)"),"")</f>
        <v/>
      </c>
      <c r="G39" s="39">
        <f>IFERROR(__xludf.DUMMYFUNCTION("IFERROR(IF(COUNTIF(IMPORTRANGE(""1t6NbzWBtAQKR9pGjBnxm9V-bRaGdRVT_-u2ojrUkYZw"",""Form Responses 1!B:B""),A39)&gt;0,10,),0)"),10.0)</f>
        <v>10</v>
      </c>
      <c r="H39" s="39" t="str">
        <f>IFERROR(__xludf.DUMMYFUNCTION("IFERROR(VLOOKUP(A39,IMPORTRANGE(""1ytv6MYmm-8DwYEf-PC6L-upnzfG4TJT_K2_Q1BobE6k"",""Form Responses 1!B:C""),2,FALSE),)"),"")</f>
        <v/>
      </c>
      <c r="I39" s="39" t="str">
        <f>IFERROR(__xludf.DUMMYFUNCTION("IFERROR(VLOOKUP(A39,IMPORTRANGE(""1LTj0BC6WXgHo3fEDDSQlGOM1HkEYGTw8epmIdU0RnB4"",""Form Responses 1!B:C""),2,FALSE),)"),"")</f>
        <v/>
      </c>
      <c r="J39" s="39" t="str">
        <f>IFERROR(__xludf.DUMMYFUNCTION("IFERROR(VLOOKUP(A39,IMPORTRANGE(""1lBH5Hghbbsr-XV8ZpAW4SFOyMpQX5vY0tEjkjRAJH48"",""Form Responses 1!B:C""),2,FALSE),)"),"")</f>
        <v/>
      </c>
      <c r="K39" s="39" t="str">
        <f>IFERROR(__xludf.DUMMYFUNCTION("IFERROR(IF(COUNTIF(IMPORTRANGE(""11sIXwmK0co7YC01jkeOYS_Q9btyVErtOm8MrXzqLkm8"",""Form Responses 1!B:B""),A39)&gt;0,10,),0)"),"")</f>
        <v/>
      </c>
      <c r="L39" s="70">
        <f>IFERROR(__xludf.DUMMYFUNCTION("IFERROR(IF(COUNTIF(IMPORTRANGE(""1csqG5dOxr6mnQQeHuLyfSoVeWZspfrn9T3cQFX5jhi8"",""Form Responses 1!B:B""),A39)&gt;0,10,),0)"),10.0)</f>
        <v>10</v>
      </c>
      <c r="M39" s="70">
        <f>IFERROR(__xludf.DUMMYFUNCTION("IFERROR(VLOOKUP(A39,IMPORTRANGE(""1C8QMXhp6CypS1pNA-UXlEADxmI-6nbSN9P4kujkvESI"",""Form Responses 1!B:C""),2,FALSE),)"),7.0)</f>
        <v>7</v>
      </c>
      <c r="N39" s="70" t="str">
        <f>IFERROR(__xludf.DUMMYFUNCTION("IFERROR(VLOOKUP(A39,IMPORTRANGE(""1e33dV9wgou_u1lnmBtok6Ato-q97II29uUvmeO7Juhw"",""Form Responses 1!B:C""),2,FALSE),)"),"")</f>
        <v/>
      </c>
      <c r="O39" s="70" t="str">
        <f>IFERROR(__xludf.DUMMYFUNCTION("IFERROR(VLOOKUP(A39,IMPORTRANGE(""15TUXUTXgRTcnnjS-jyDta7Ecw7-lv8-wZMGVKaxe8TY"",""Form Responses 1!B:C""),2,FALSE),)"),"")</f>
        <v/>
      </c>
      <c r="P39" s="70" t="str">
        <f>IFERROR(__xludf.DUMMYFUNCTION("IFERROR(IF(COUNTIF(IMPORTRANGE(""1KFxxroaoSLanJBYtWVxeITrgly-aztutk24Q4y14KKU"",""Form Responses 1!B:B""),A39)&gt;0,10,),0)"),"")</f>
        <v/>
      </c>
      <c r="Q39" s="71" t="str">
        <f>IFERROR(__xludf.DUMMYFUNCTION("IFERROR(VLOOKUP(TRIM(A39),IMPORTRANGE(""1WjiLR_MTMxI_IZUKuvPO4Sg2rTSIqBzP3edakSRXbOA"",""Form Responses 1!B:C""),2,0),"""")"),"")</f>
        <v/>
      </c>
      <c r="R39" s="70" t="str">
        <f>IFERROR(__xludf.DUMMYFUNCTION("IFERROR(VLOOKUP(TRIM(A39),IMPORTRANGE(""1Ixzbal5tEbtWhozsFEppQzOYE6ZSrkNXHg_HW5k3Wt4"",""Form Responses 1!B:C""),2,0),"""")"),"")</f>
        <v/>
      </c>
      <c r="S39" s="70" t="str">
        <f>IFERROR(__xludf.DUMMYFUNCTION("IFERROR(VLOOKUP(TRIM(A39),IMPORTRANGE(""1zxjtEKGvVIJPIDqZdnxENwVpPXYa88EihzyI44hcQUo"",""Form Responses 1!B:C""),2,0),"""")"),"")</f>
        <v/>
      </c>
      <c r="T39" s="70" t="str">
        <f>IFERROR(__xludf.DUMMYFUNCTION("IFERROR(VLOOKUP(TRIM(A39),IMPORTRANGE(""1H3cO01obd5zFULYqaT5NAqecZBFFIHeDFn4CeQLZF3w"",""Form Responses 1!B:C""),2,0),"""")"),"")</f>
        <v/>
      </c>
      <c r="U39" s="70" t="str">
        <f>IFERROR(__xludf.DUMMYFUNCTION("IFERROR(VLOOKUP(TRIM(A39),IMPORTRANGE(""1IG9qoa6PeLdDDFzKpW39lxXshN0-M8Z25a_R1EpsYyg"",""Form Responses 1!B:C""),2,0),"""")"),"")</f>
        <v/>
      </c>
      <c r="V39" s="72"/>
      <c r="W39" s="70" t="str">
        <f>IFERROR(__xludf.DUMMYFUNCTION("IFERROR(VLOOKUP(TRIM(A39),IMPORTRANGE(""1JzBbPfIn5kXHe-RuBwssvVRSauekkTw9cwf70DsYix4"",""Form Responses 1!B:C""),2,0),"""")"),"")</f>
        <v/>
      </c>
      <c r="X39" s="70" t="str">
        <f>IFERROR(__xludf.DUMMYFUNCTION("IFERROR(VLOOKUP(TRIM(A39),IMPORTRANGE(""1JbcCdZBzu6Yag8PuyvlbtYmdvUYYQNraxAgoikGBi5w"",""Form Responses 1!B:C""),2,0),"""")"),"")</f>
        <v/>
      </c>
      <c r="Y39" s="70" t="str">
        <f>IFERROR(__xludf.DUMMYFUNCTION("IFERROR(VLOOKUP(TRIM(A39),IMPORTRANGE(""15-YcWQKwT7GXCzNpEoDkSlrruglscDYeQTD3uXec8uQ"",""Form Responses 1!B:C""),2,0),"""")"),"")</f>
        <v/>
      </c>
      <c r="Z39" s="70" t="str">
        <f>IFERROR(__xludf.DUMMYFUNCTION("IFERROR(VLOOKUP(TRIM(A39),IMPORTRANGE(""1X2rXjxJaWCoTCv5SRdgsC_V3cXeEyqXGQY3NvE1KDUk"",""Form Responses 1!B:C""),2,0),"""")"),"")</f>
        <v/>
      </c>
      <c r="AA39" s="70" t="str">
        <f>IFERROR(__xludf.DUMMYFUNCTION("IFERROR(VLOOKUP(TRIM(A39),IMPORTRANGE(""1zEJQnPshpdjcOtCVSP0I8nG2EXKbBMH9BJ8IeNFUEV8"",""Form Responses 1!B:C""),2,0),"""")"),"")</f>
        <v/>
      </c>
      <c r="AB39" s="70" t="str">
        <f>IFERROR(__xludf.DUMMYFUNCTION("IFERROR(VLOOKUP(TRIM(A39),IMPORTRANGE(""1JzBbPfIn5kXHe-RuBwssvVRSauekkTw9cwf70DsYix4"",""Form Responses 1!B:C""),2,0),"""")"),"")</f>
        <v/>
      </c>
      <c r="AC39" s="70" t="str">
        <f>IFERROR(__xludf.DUMMYFUNCTION("IFERROR(VLOOKUP(TRIM(A39),IMPORTRANGE(""1JbcCdZBzu6Yag8PuyvlbtYmdvUYYQNraxAgoikGBi5w"",""Form Responses 1!B:C""),2,0),"""")"),"")</f>
        <v/>
      </c>
      <c r="AD39" s="70" t="str">
        <f>IFERROR(__xludf.DUMMYFUNCTION("IFERROR(VLOOKUP(TRIM(A39),IMPORTRANGE(""15-YcWQKwT7GXCzNpEoDkSlrruglscDYeQTD3uXec8uQ"",""Form Responses 1!B:C""),2,0),"""")"),"")</f>
        <v/>
      </c>
      <c r="AE39" s="70" t="str">
        <f>IFERROR(__xludf.DUMMYFUNCTION("IFERROR(VLOOKUP(TRIM(A39),IMPORTRANGE(""1X2rXjxJaWCoTCv5SRdgsC_V3cXeEyqXGQY3NvE1KDUk"",""Form Responses 1!B:C""),2,0),"""")"),"")</f>
        <v/>
      </c>
      <c r="AF39" s="70" t="str">
        <f>IFERROR(__xludf.DUMMYFUNCTION("IFERROR(VLOOKUP(TRIM(A39),IMPORTRANGE(""1zEJQnPshpdjcOtCVSP0I8nG2EXKbBMH9BJ8IeNFUEV8"",""Form Responses 1!B:C""),2,0),"""")"),"")</f>
        <v/>
      </c>
      <c r="AG39" s="70"/>
      <c r="AH39" s="70"/>
      <c r="AI39" s="70"/>
      <c r="AJ39" s="70"/>
      <c r="AK39" s="70"/>
      <c r="AL39" s="70"/>
      <c r="AM39" s="70"/>
      <c r="AN39" s="70"/>
      <c r="AO39" s="70"/>
      <c r="AP39" s="70"/>
      <c r="AQ39" s="70"/>
      <c r="AR39" s="70"/>
      <c r="AS39" s="70"/>
      <c r="AT39" s="70"/>
      <c r="AU39" s="70"/>
    </row>
    <row r="40">
      <c r="A40" s="39" t="s">
        <v>290</v>
      </c>
      <c r="B40" s="70" t="str">
        <f>IFERROR(__xludf.DUMMYFUNCTION("IFERROR(IF(COUNTIF(IMPORTRANGE(""1RTcwEJsI_0aJRebhNwO_H_AoKl9r46k7hWYbtciIyM4"",""Form Responses 1!B:B""),A40)&gt;0,10,),0)"),"")</f>
        <v/>
      </c>
      <c r="C40" s="70" t="str">
        <f>IFERROR(__xludf.DUMMYFUNCTION("IFERROR(VLOOKUP(A40,IMPORTRANGE(""11i8IUhq_U6RRKRV3CBWIKqYed_fMvFgNUHTq1YDJfp8"",""Form Responses 1!B:C""),2,FALSE),)"),"")</f>
        <v/>
      </c>
      <c r="D40" s="70" t="str">
        <f>IFERROR(__xludf.DUMMYFUNCTION("IFERROR(VLOOKUP(A40,IMPORTRANGE(""1StiHxuxrFhYdrq5WLR2JMORicW0TbnJf3J-oTHeMRtM"",""Form Responses 1!B:C""),2,FALSE),)"),"")</f>
        <v/>
      </c>
      <c r="E40" s="70" t="str">
        <f>IFERROR(__xludf.DUMMYFUNCTION("IFERROR(VLOOKUP(A40,IMPORTRANGE(""1QaxxyUjrDq2kgz300C1Bq1tacFk6e-xX218cSXCQUK0"",""Form Responses 1!B:C""),2,FALSE),)"),"")</f>
        <v/>
      </c>
      <c r="F40" s="70" t="str">
        <f>IFERROR(__xludf.DUMMYFUNCTION("IFERROR(VLOOKUP(A40,IMPORTRANGE(""1fn2ECph_y8Uz78DhjLaiXcwgt6kh3oe-0Le36Uw0noE"",""Form Responses 1!B:C""),2,FALSE),)"),"")</f>
        <v/>
      </c>
      <c r="G40" s="39">
        <f>IFERROR(__xludf.DUMMYFUNCTION("IFERROR(IF(COUNTIF(IMPORTRANGE(""1t6NbzWBtAQKR9pGjBnxm9V-bRaGdRVT_-u2ojrUkYZw"",""Form Responses 1!B:B""),A40)&gt;0,10,),0)"),10.0)</f>
        <v>10</v>
      </c>
      <c r="H40" s="39" t="str">
        <f>IFERROR(__xludf.DUMMYFUNCTION("IFERROR(VLOOKUP(A40,IMPORTRANGE(""1ytv6MYmm-8DwYEf-PC6L-upnzfG4TJT_K2_Q1BobE6k"",""Form Responses 1!B:C""),2,FALSE),)"),"")</f>
        <v/>
      </c>
      <c r="I40" s="39" t="str">
        <f>IFERROR(__xludf.DUMMYFUNCTION("IFERROR(VLOOKUP(A40,IMPORTRANGE(""1LTj0BC6WXgHo3fEDDSQlGOM1HkEYGTw8epmIdU0RnB4"",""Form Responses 1!B:C""),2,FALSE),)"),"")</f>
        <v/>
      </c>
      <c r="J40" s="39" t="str">
        <f>IFERROR(__xludf.DUMMYFUNCTION("IFERROR(VLOOKUP(A40,IMPORTRANGE(""1lBH5Hghbbsr-XV8ZpAW4SFOyMpQX5vY0tEjkjRAJH48"",""Form Responses 1!B:C""),2,FALSE),)"),"")</f>
        <v/>
      </c>
      <c r="K40" s="39" t="str">
        <f>IFERROR(__xludf.DUMMYFUNCTION("IFERROR(IF(COUNTIF(IMPORTRANGE(""11sIXwmK0co7YC01jkeOYS_Q9btyVErtOm8MrXzqLkm8"",""Form Responses 1!B:B""),A40)&gt;0,10,),0)"),"")</f>
        <v/>
      </c>
      <c r="L40" s="70">
        <f>IFERROR(__xludf.DUMMYFUNCTION("IFERROR(IF(COUNTIF(IMPORTRANGE(""1csqG5dOxr6mnQQeHuLyfSoVeWZspfrn9T3cQFX5jhi8"",""Form Responses 1!B:B""),A40)&gt;0,10,),0)"),10.0)</f>
        <v>10</v>
      </c>
      <c r="M40" s="70">
        <f>IFERROR(__xludf.DUMMYFUNCTION("IFERROR(VLOOKUP(A40,IMPORTRANGE(""1C8QMXhp6CypS1pNA-UXlEADxmI-6nbSN9P4kujkvESI"",""Form Responses 1!B:C""),2,FALSE),)"),7.0)</f>
        <v>7</v>
      </c>
      <c r="N40" s="70" t="str">
        <f>IFERROR(__xludf.DUMMYFUNCTION("IFERROR(VLOOKUP(A40,IMPORTRANGE(""1e33dV9wgou_u1lnmBtok6Ato-q97II29uUvmeO7Juhw"",""Form Responses 1!B:C""),2,FALSE),)"),"")</f>
        <v/>
      </c>
      <c r="O40" s="70" t="str">
        <f>IFERROR(__xludf.DUMMYFUNCTION("IFERROR(VLOOKUP(A40,IMPORTRANGE(""15TUXUTXgRTcnnjS-jyDta7Ecw7-lv8-wZMGVKaxe8TY"",""Form Responses 1!B:C""),2,FALSE),)"),"")</f>
        <v/>
      </c>
      <c r="P40" s="70" t="str">
        <f>IFERROR(__xludf.DUMMYFUNCTION("IFERROR(IF(COUNTIF(IMPORTRANGE(""1KFxxroaoSLanJBYtWVxeITrgly-aztutk24Q4y14KKU"",""Form Responses 1!B:B""),A40)&gt;0,10,),0)"),"")</f>
        <v/>
      </c>
      <c r="Q40" s="71" t="str">
        <f>IFERROR(__xludf.DUMMYFUNCTION("IFERROR(VLOOKUP(TRIM(A40),IMPORTRANGE(""1WjiLR_MTMxI_IZUKuvPO4Sg2rTSIqBzP3edakSRXbOA"",""Form Responses 1!B:C""),2,0),"""")"),"")</f>
        <v/>
      </c>
      <c r="R40" s="70" t="str">
        <f>IFERROR(__xludf.DUMMYFUNCTION("IFERROR(VLOOKUP(TRIM(A40),IMPORTRANGE(""1Ixzbal5tEbtWhozsFEppQzOYE6ZSrkNXHg_HW5k3Wt4"",""Form Responses 1!B:C""),2,0),"""")"),"")</f>
        <v/>
      </c>
      <c r="S40" s="70" t="str">
        <f>IFERROR(__xludf.DUMMYFUNCTION("IFERROR(VLOOKUP(TRIM(A40),IMPORTRANGE(""1zxjtEKGvVIJPIDqZdnxENwVpPXYa88EihzyI44hcQUo"",""Form Responses 1!B:C""),2,0),"""")"),"")</f>
        <v/>
      </c>
      <c r="T40" s="70" t="str">
        <f>IFERROR(__xludf.DUMMYFUNCTION("IFERROR(VLOOKUP(TRIM(A40),IMPORTRANGE(""1H3cO01obd5zFULYqaT5NAqecZBFFIHeDFn4CeQLZF3w"",""Form Responses 1!B:C""),2,0),"""")"),"")</f>
        <v/>
      </c>
      <c r="U40" s="70" t="str">
        <f>IFERROR(__xludf.DUMMYFUNCTION("IFERROR(VLOOKUP(TRIM(A40),IMPORTRANGE(""1IG9qoa6PeLdDDFzKpW39lxXshN0-M8Z25a_R1EpsYyg"",""Form Responses 1!B:C""),2,0),"""")"),"")</f>
        <v/>
      </c>
      <c r="V40" s="72"/>
      <c r="W40" s="70" t="str">
        <f>IFERROR(__xludf.DUMMYFUNCTION("IFERROR(VLOOKUP(TRIM(A40),IMPORTRANGE(""1JzBbPfIn5kXHe-RuBwssvVRSauekkTw9cwf70DsYix4"",""Form Responses 1!B:C""),2,0),"""")"),"")</f>
        <v/>
      </c>
      <c r="X40" s="70" t="str">
        <f>IFERROR(__xludf.DUMMYFUNCTION("IFERROR(VLOOKUP(TRIM(A40),IMPORTRANGE(""1JbcCdZBzu6Yag8PuyvlbtYmdvUYYQNraxAgoikGBi5w"",""Form Responses 1!B:C""),2,0),"""")"),"")</f>
        <v/>
      </c>
      <c r="Y40" s="70" t="str">
        <f>IFERROR(__xludf.DUMMYFUNCTION("IFERROR(VLOOKUP(TRIM(A40),IMPORTRANGE(""15-YcWQKwT7GXCzNpEoDkSlrruglscDYeQTD3uXec8uQ"",""Form Responses 1!B:C""),2,0),"""")"),"")</f>
        <v/>
      </c>
      <c r="Z40" s="70" t="str">
        <f>IFERROR(__xludf.DUMMYFUNCTION("IFERROR(VLOOKUP(TRIM(A40),IMPORTRANGE(""1X2rXjxJaWCoTCv5SRdgsC_V3cXeEyqXGQY3NvE1KDUk"",""Form Responses 1!B:C""),2,0),"""")"),"")</f>
        <v/>
      </c>
      <c r="AA40" s="70" t="str">
        <f>IFERROR(__xludf.DUMMYFUNCTION("IFERROR(VLOOKUP(TRIM(A40),IMPORTRANGE(""1zEJQnPshpdjcOtCVSP0I8nG2EXKbBMH9BJ8IeNFUEV8"",""Form Responses 1!B:C""),2,0),"""")"),"")</f>
        <v/>
      </c>
      <c r="AB40" s="70" t="str">
        <f>IFERROR(__xludf.DUMMYFUNCTION("IFERROR(VLOOKUP(TRIM(A40),IMPORTRANGE(""1JzBbPfIn5kXHe-RuBwssvVRSauekkTw9cwf70DsYix4"",""Form Responses 1!B:C""),2,0),"""")"),"")</f>
        <v/>
      </c>
      <c r="AC40" s="70" t="str">
        <f>IFERROR(__xludf.DUMMYFUNCTION("IFERROR(VLOOKUP(TRIM(A40),IMPORTRANGE(""1JbcCdZBzu6Yag8PuyvlbtYmdvUYYQNraxAgoikGBi5w"",""Form Responses 1!B:C""),2,0),"""")"),"")</f>
        <v/>
      </c>
      <c r="AD40" s="70" t="str">
        <f>IFERROR(__xludf.DUMMYFUNCTION("IFERROR(VLOOKUP(TRIM(A40),IMPORTRANGE(""15-YcWQKwT7GXCzNpEoDkSlrruglscDYeQTD3uXec8uQ"",""Form Responses 1!B:C""),2,0),"""")"),"")</f>
        <v/>
      </c>
      <c r="AE40" s="70" t="str">
        <f>IFERROR(__xludf.DUMMYFUNCTION("IFERROR(VLOOKUP(TRIM(A40),IMPORTRANGE(""1X2rXjxJaWCoTCv5SRdgsC_V3cXeEyqXGQY3NvE1KDUk"",""Form Responses 1!B:C""),2,0),"""")"),"")</f>
        <v/>
      </c>
      <c r="AF40" s="70" t="str">
        <f>IFERROR(__xludf.DUMMYFUNCTION("IFERROR(VLOOKUP(TRIM(A40),IMPORTRANGE(""1zEJQnPshpdjcOtCVSP0I8nG2EXKbBMH9BJ8IeNFUEV8"",""Form Responses 1!B:C""),2,0),"""")"),"")</f>
        <v/>
      </c>
      <c r="AG40" s="70"/>
      <c r="AH40" s="70"/>
      <c r="AI40" s="70"/>
      <c r="AJ40" s="70"/>
      <c r="AK40" s="70"/>
      <c r="AL40" s="70"/>
      <c r="AM40" s="70"/>
      <c r="AN40" s="70"/>
      <c r="AO40" s="70"/>
      <c r="AP40" s="70"/>
      <c r="AQ40" s="70"/>
      <c r="AR40" s="70"/>
      <c r="AS40" s="70"/>
      <c r="AT40" s="70"/>
      <c r="AU40" s="70"/>
    </row>
    <row r="41">
      <c r="A41" s="39" t="s">
        <v>291</v>
      </c>
      <c r="B41" s="70">
        <f>IFERROR(__xludf.DUMMYFUNCTION("IFERROR(IF(COUNTIF(IMPORTRANGE(""1RTcwEJsI_0aJRebhNwO_H_AoKl9r46k7hWYbtciIyM4"",""Form Responses 1!B:B""),A41)&gt;0,10,),0)"),10.0)</f>
        <v>10</v>
      </c>
      <c r="C41" s="70">
        <f>IFERROR(__xludf.DUMMYFUNCTION("IFERROR(VLOOKUP(A41,IMPORTRANGE(""11i8IUhq_U6RRKRV3CBWIKqYed_fMvFgNUHTq1YDJfp8"",""Form Responses 1!B:C""),2,FALSE),)"),5.0)</f>
        <v>5</v>
      </c>
      <c r="D41" s="70">
        <f>IFERROR(__xludf.DUMMYFUNCTION("IFERROR(VLOOKUP(A41,IMPORTRANGE(""1StiHxuxrFhYdrq5WLR2JMORicW0TbnJf3J-oTHeMRtM"",""Form Responses 1!B:C""),2,FALSE),)"),5.0)</f>
        <v>5</v>
      </c>
      <c r="E41" s="70" t="str">
        <f>IFERROR(__xludf.DUMMYFUNCTION("IFERROR(VLOOKUP(A41,IMPORTRANGE(""1QaxxyUjrDq2kgz300C1Bq1tacFk6e-xX218cSXCQUK0"",""Form Responses 1!B:C""),2,FALSE),)"),"")</f>
        <v/>
      </c>
      <c r="F41" s="70">
        <f>IFERROR(__xludf.DUMMYFUNCTION("IFERROR(VLOOKUP(A41,IMPORTRANGE(""1fn2ECph_y8Uz78DhjLaiXcwgt6kh3oe-0Le36Uw0noE"",""Form Responses 1!B:C""),2,FALSE),)"),10.0)</f>
        <v>10</v>
      </c>
      <c r="G41" s="39">
        <f>IFERROR(__xludf.DUMMYFUNCTION("IFERROR(IF(COUNTIF(IMPORTRANGE(""1t6NbzWBtAQKR9pGjBnxm9V-bRaGdRVT_-u2ojrUkYZw"",""Form Responses 1!B:B""),A41)&gt;0,10,),0)"),10.0)</f>
        <v>10</v>
      </c>
      <c r="H41" s="39" t="str">
        <f>IFERROR(__xludf.DUMMYFUNCTION("IFERROR(VLOOKUP(A41,IMPORTRANGE(""1ytv6MYmm-8DwYEf-PC6L-upnzfG4TJT_K2_Q1BobE6k"",""Form Responses 1!B:C""),2,FALSE),)"),"")</f>
        <v/>
      </c>
      <c r="I41" s="39">
        <f>IFERROR(__xludf.DUMMYFUNCTION("IFERROR(VLOOKUP(A41,IMPORTRANGE(""1LTj0BC6WXgHo3fEDDSQlGOM1HkEYGTw8epmIdU0RnB4"",""Form Responses 1!B:C""),2,FALSE),)"),10.0)</f>
        <v>10</v>
      </c>
      <c r="J41" s="39" t="str">
        <f>IFERROR(__xludf.DUMMYFUNCTION("IFERROR(VLOOKUP(A41,IMPORTRANGE(""1lBH5Hghbbsr-XV8ZpAW4SFOyMpQX5vY0tEjkjRAJH48"",""Form Responses 1!B:C""),2,FALSE),)"),"")</f>
        <v/>
      </c>
      <c r="K41" s="39" t="str">
        <f>IFERROR(__xludf.DUMMYFUNCTION("IFERROR(IF(COUNTIF(IMPORTRANGE(""11sIXwmK0co7YC01jkeOYS_Q9btyVErtOm8MrXzqLkm8"",""Form Responses 1!B:B""),A41)&gt;0,10,),0)"),"")</f>
        <v/>
      </c>
      <c r="L41" s="70" t="str">
        <f>IFERROR(__xludf.DUMMYFUNCTION("IFERROR(IF(COUNTIF(IMPORTRANGE(""1csqG5dOxr6mnQQeHuLyfSoVeWZspfrn9T3cQFX5jhi8"",""Form Responses 1!B:B""),A41)&gt;0,10,),0)"),"")</f>
        <v/>
      </c>
      <c r="M41" s="70" t="str">
        <f>IFERROR(__xludf.DUMMYFUNCTION("IFERROR(VLOOKUP(A41,IMPORTRANGE(""1C8QMXhp6CypS1pNA-UXlEADxmI-6nbSN9P4kujkvESI"",""Form Responses 1!B:C""),2,FALSE),)"),"")</f>
        <v/>
      </c>
      <c r="N41" s="70" t="str">
        <f>IFERROR(__xludf.DUMMYFUNCTION("IFERROR(VLOOKUP(A41,IMPORTRANGE(""1e33dV9wgou_u1lnmBtok6Ato-q97II29uUvmeO7Juhw"",""Form Responses 1!B:C""),2,FALSE),)"),"")</f>
        <v/>
      </c>
      <c r="O41" s="70" t="str">
        <f>IFERROR(__xludf.DUMMYFUNCTION("IFERROR(VLOOKUP(A41,IMPORTRANGE(""15TUXUTXgRTcnnjS-jyDta7Ecw7-lv8-wZMGVKaxe8TY"",""Form Responses 1!B:C""),2,FALSE),)"),"")</f>
        <v/>
      </c>
      <c r="P41" s="70" t="str">
        <f>IFERROR(__xludf.DUMMYFUNCTION("IFERROR(IF(COUNTIF(IMPORTRANGE(""1KFxxroaoSLanJBYtWVxeITrgly-aztutk24Q4y14KKU"",""Form Responses 1!B:B""),A41)&gt;0,10,),0)"),"")</f>
        <v/>
      </c>
      <c r="Q41" s="71">
        <f>IFERROR(__xludf.DUMMYFUNCTION("IFERROR(VLOOKUP(TRIM(A41),IMPORTRANGE(""1WjiLR_MTMxI_IZUKuvPO4Sg2rTSIqBzP3edakSRXbOA"",""Form Responses 1!B:C""),2,0),"""")"),8.0)</f>
        <v>8</v>
      </c>
      <c r="R41" s="70" t="str">
        <f>IFERROR(__xludf.DUMMYFUNCTION("IFERROR(VLOOKUP(TRIM(A41),IMPORTRANGE(""1Ixzbal5tEbtWhozsFEppQzOYE6ZSrkNXHg_HW5k3Wt4"",""Form Responses 1!B:C""),2,0),"""")"),"")</f>
        <v/>
      </c>
      <c r="S41" s="70" t="str">
        <f>IFERROR(__xludf.DUMMYFUNCTION("IFERROR(VLOOKUP(TRIM(A41),IMPORTRANGE(""1zxjtEKGvVIJPIDqZdnxENwVpPXYa88EihzyI44hcQUo"",""Form Responses 1!B:C""),2,0),"""")"),"")</f>
        <v/>
      </c>
      <c r="T41" s="70" t="str">
        <f>IFERROR(__xludf.DUMMYFUNCTION("IFERROR(VLOOKUP(TRIM(A41),IMPORTRANGE(""1H3cO01obd5zFULYqaT5NAqecZBFFIHeDFn4CeQLZF3w"",""Form Responses 1!B:C""),2,0),"""")"),"")</f>
        <v/>
      </c>
      <c r="U41" s="70" t="str">
        <f>IFERROR(__xludf.DUMMYFUNCTION("IFERROR(VLOOKUP(TRIM(A41),IMPORTRANGE(""1IG9qoa6PeLdDDFzKpW39lxXshN0-M8Z25a_R1EpsYyg"",""Form Responses 1!B:C""),2,0),"""")"),"")</f>
        <v/>
      </c>
      <c r="V41" s="74">
        <v>21.0</v>
      </c>
      <c r="W41" s="70">
        <f>IFERROR(__xludf.DUMMYFUNCTION("IFERROR(VLOOKUP(TRIM(A41),IMPORTRANGE(""1JzBbPfIn5kXHe-RuBwssvVRSauekkTw9cwf70DsYix4"",""Form Responses 1!B:C""),2,0),"""")"),12.0)</f>
        <v>12</v>
      </c>
      <c r="X41" s="70" t="str">
        <f>IFERROR(__xludf.DUMMYFUNCTION("IFERROR(VLOOKUP(TRIM(A41),IMPORTRANGE(""1JbcCdZBzu6Yag8PuyvlbtYmdvUYYQNraxAgoikGBi5w"",""Form Responses 1!B:C""),2,0),"""")"),"")</f>
        <v/>
      </c>
      <c r="Y41" s="70" t="str">
        <f>IFERROR(__xludf.DUMMYFUNCTION("IFERROR(VLOOKUP(TRIM(A41),IMPORTRANGE(""15-YcWQKwT7GXCzNpEoDkSlrruglscDYeQTD3uXec8uQ"",""Form Responses 1!B:C""),2,0),"""")"),"")</f>
        <v/>
      </c>
      <c r="Z41" s="70" t="str">
        <f>IFERROR(__xludf.DUMMYFUNCTION("IFERROR(VLOOKUP(TRIM(A41),IMPORTRANGE(""1X2rXjxJaWCoTCv5SRdgsC_V3cXeEyqXGQY3NvE1KDUk"",""Form Responses 1!B:C""),2,0),"""")"),"")</f>
        <v/>
      </c>
      <c r="AA41" s="70" t="str">
        <f>IFERROR(__xludf.DUMMYFUNCTION("IFERROR(VLOOKUP(TRIM(A41),IMPORTRANGE(""1zEJQnPshpdjcOtCVSP0I8nG2EXKbBMH9BJ8IeNFUEV8"",""Form Responses 1!B:C""),2,0),"""")"),"")</f>
        <v/>
      </c>
      <c r="AB41" s="70">
        <f>IFERROR(__xludf.DUMMYFUNCTION("IFERROR(VLOOKUP(TRIM(A41),IMPORTRANGE(""1JzBbPfIn5kXHe-RuBwssvVRSauekkTw9cwf70DsYix4"",""Form Responses 1!B:C""),2,0),"""")"),12.0)</f>
        <v>12</v>
      </c>
      <c r="AC41" s="70" t="str">
        <f>IFERROR(__xludf.DUMMYFUNCTION("IFERROR(VLOOKUP(TRIM(A41),IMPORTRANGE(""1JbcCdZBzu6Yag8PuyvlbtYmdvUYYQNraxAgoikGBi5w"",""Form Responses 1!B:C""),2,0),"""")"),"")</f>
        <v/>
      </c>
      <c r="AD41" s="70" t="str">
        <f>IFERROR(__xludf.DUMMYFUNCTION("IFERROR(VLOOKUP(TRIM(A41),IMPORTRANGE(""15-YcWQKwT7GXCzNpEoDkSlrruglscDYeQTD3uXec8uQ"",""Form Responses 1!B:C""),2,0),"""")"),"")</f>
        <v/>
      </c>
      <c r="AE41" s="70" t="str">
        <f>IFERROR(__xludf.DUMMYFUNCTION("IFERROR(VLOOKUP(TRIM(A41),IMPORTRANGE(""1X2rXjxJaWCoTCv5SRdgsC_V3cXeEyqXGQY3NvE1KDUk"",""Form Responses 1!B:C""),2,0),"""")"),"")</f>
        <v/>
      </c>
      <c r="AF41" s="70" t="str">
        <f>IFERROR(__xludf.DUMMYFUNCTION("IFERROR(VLOOKUP(TRIM(A41),IMPORTRANGE(""1zEJQnPshpdjcOtCVSP0I8nG2EXKbBMH9BJ8IeNFUEV8"",""Form Responses 1!B:C""),2,0),"""")"),"")</f>
        <v/>
      </c>
      <c r="AG41" s="70"/>
      <c r="AH41" s="70"/>
      <c r="AI41" s="70"/>
      <c r="AJ41" s="70"/>
      <c r="AK41" s="70"/>
      <c r="AL41" s="70"/>
      <c r="AM41" s="70"/>
      <c r="AN41" s="70"/>
      <c r="AO41" s="70"/>
      <c r="AP41" s="70"/>
      <c r="AQ41" s="70"/>
      <c r="AR41" s="70"/>
      <c r="AS41" s="70"/>
      <c r="AT41" s="70"/>
      <c r="AU41" s="70"/>
    </row>
    <row r="42">
      <c r="A42" s="39" t="s">
        <v>292</v>
      </c>
      <c r="B42" s="70">
        <f>IFERROR(__xludf.DUMMYFUNCTION("IFERROR(IF(COUNTIF(IMPORTRANGE(""1RTcwEJsI_0aJRebhNwO_H_AoKl9r46k7hWYbtciIyM4"",""Form Responses 1!B:B""),A42)&gt;0,10,),0)"),10.0)</f>
        <v>10</v>
      </c>
      <c r="C42" s="70">
        <f>IFERROR(__xludf.DUMMYFUNCTION("IFERROR(VLOOKUP(A42,IMPORTRANGE(""11i8IUhq_U6RRKRV3CBWIKqYed_fMvFgNUHTq1YDJfp8"",""Form Responses 1!B:C""),2,FALSE),)"),10.0)</f>
        <v>10</v>
      </c>
      <c r="D42" s="70">
        <f>IFERROR(__xludf.DUMMYFUNCTION("IFERROR(VLOOKUP(A42,IMPORTRANGE(""1StiHxuxrFhYdrq5WLR2JMORicW0TbnJf3J-oTHeMRtM"",""Form Responses 1!B:C""),2,FALSE),)"),2.0)</f>
        <v>2</v>
      </c>
      <c r="E42" s="70" t="str">
        <f>IFERROR(__xludf.DUMMYFUNCTION("IFERROR(VLOOKUP(A42,IMPORTRANGE(""1QaxxyUjrDq2kgz300C1Bq1tacFk6e-xX218cSXCQUK0"",""Form Responses 1!B:C""),2,FALSE),)"),"")</f>
        <v/>
      </c>
      <c r="F42" s="70" t="str">
        <f>IFERROR(__xludf.DUMMYFUNCTION("IFERROR(VLOOKUP(A42,IMPORTRANGE(""1fn2ECph_y8Uz78DhjLaiXcwgt6kh3oe-0Le36Uw0noE"",""Form Responses 1!B:C""),2,FALSE),)"),"")</f>
        <v/>
      </c>
      <c r="G42" s="39">
        <f>IFERROR(__xludf.DUMMYFUNCTION("IFERROR(IF(COUNTIF(IMPORTRANGE(""1t6NbzWBtAQKR9pGjBnxm9V-bRaGdRVT_-u2ojrUkYZw"",""Form Responses 1!B:B""),A42)&gt;0,10,),0)"),10.0)</f>
        <v>10</v>
      </c>
      <c r="H42" s="39">
        <f>IFERROR(__xludf.DUMMYFUNCTION("IFERROR(VLOOKUP(A42,IMPORTRANGE(""1ytv6MYmm-8DwYEf-PC6L-upnzfG4TJT_K2_Q1BobE6k"",""Form Responses 1!B:C""),2,FALSE),)"),7.0)</f>
        <v>7</v>
      </c>
      <c r="I42" s="39" t="str">
        <f>IFERROR(__xludf.DUMMYFUNCTION("IFERROR(VLOOKUP(A42,IMPORTRANGE(""1LTj0BC6WXgHo3fEDDSQlGOM1HkEYGTw8epmIdU0RnB4"",""Form Responses 1!B:C""),2,FALSE),)"),"")</f>
        <v/>
      </c>
      <c r="J42" s="39" t="str">
        <f>IFERROR(__xludf.DUMMYFUNCTION("IFERROR(VLOOKUP(A42,IMPORTRANGE(""1lBH5Hghbbsr-XV8ZpAW4SFOyMpQX5vY0tEjkjRAJH48"",""Form Responses 1!B:C""),2,FALSE),)"),"")</f>
        <v/>
      </c>
      <c r="K42" s="39" t="str">
        <f>IFERROR(__xludf.DUMMYFUNCTION("IFERROR(IF(COUNTIF(IMPORTRANGE(""11sIXwmK0co7YC01jkeOYS_Q9btyVErtOm8MrXzqLkm8"",""Form Responses 1!B:B""),A42)&gt;0,10,),0)"),"")</f>
        <v/>
      </c>
      <c r="L42" s="70" t="str">
        <f>IFERROR(__xludf.DUMMYFUNCTION("IFERROR(IF(COUNTIF(IMPORTRANGE(""1csqG5dOxr6mnQQeHuLyfSoVeWZspfrn9T3cQFX5jhi8"",""Form Responses 1!B:B""),A42)&gt;0,10,),0)"),"")</f>
        <v/>
      </c>
      <c r="M42" s="70" t="str">
        <f>IFERROR(__xludf.DUMMYFUNCTION("IFERROR(VLOOKUP(A42,IMPORTRANGE(""1C8QMXhp6CypS1pNA-UXlEADxmI-6nbSN9P4kujkvESI"",""Form Responses 1!B:C""),2,FALSE),)"),"")</f>
        <v/>
      </c>
      <c r="N42" s="70" t="str">
        <f>IFERROR(__xludf.DUMMYFUNCTION("IFERROR(VLOOKUP(A42,IMPORTRANGE(""1e33dV9wgou_u1lnmBtok6Ato-q97II29uUvmeO7Juhw"",""Form Responses 1!B:C""),2,FALSE),)"),"")</f>
        <v/>
      </c>
      <c r="O42" s="70" t="str">
        <f>IFERROR(__xludf.DUMMYFUNCTION("IFERROR(VLOOKUP(A42,IMPORTRANGE(""15TUXUTXgRTcnnjS-jyDta7Ecw7-lv8-wZMGVKaxe8TY"",""Form Responses 1!B:C""),2,FALSE),)"),"")</f>
        <v/>
      </c>
      <c r="P42" s="70" t="str">
        <f>IFERROR(__xludf.DUMMYFUNCTION("IFERROR(IF(COUNTIF(IMPORTRANGE(""1KFxxroaoSLanJBYtWVxeITrgly-aztutk24Q4y14KKU"",""Form Responses 1!B:B""),A42)&gt;0,10,),0)"),"")</f>
        <v/>
      </c>
      <c r="Q42" s="71" t="str">
        <f>IFERROR(__xludf.DUMMYFUNCTION("IFERROR(VLOOKUP(TRIM(A42),IMPORTRANGE(""1WjiLR_MTMxI_IZUKuvPO4Sg2rTSIqBzP3edakSRXbOA"",""Form Responses 1!B:C""),2,0),"""")"),"")</f>
        <v/>
      </c>
      <c r="R42" s="70" t="str">
        <f>IFERROR(__xludf.DUMMYFUNCTION("IFERROR(VLOOKUP(TRIM(A42),IMPORTRANGE(""1Ixzbal5tEbtWhozsFEppQzOYE6ZSrkNXHg_HW5k3Wt4"",""Form Responses 1!B:C""),2,0),"""")"),"")</f>
        <v/>
      </c>
      <c r="S42" s="70" t="str">
        <f>IFERROR(__xludf.DUMMYFUNCTION("IFERROR(VLOOKUP(TRIM(A42),IMPORTRANGE(""1zxjtEKGvVIJPIDqZdnxENwVpPXYa88EihzyI44hcQUo"",""Form Responses 1!B:C""),2,0),"""")"),"")</f>
        <v/>
      </c>
      <c r="T42" s="70" t="str">
        <f>IFERROR(__xludf.DUMMYFUNCTION("IFERROR(VLOOKUP(TRIM(A42),IMPORTRANGE(""1H3cO01obd5zFULYqaT5NAqecZBFFIHeDFn4CeQLZF3w"",""Form Responses 1!B:C""),2,0),"""")"),"")</f>
        <v/>
      </c>
      <c r="U42" s="70" t="str">
        <f>IFERROR(__xludf.DUMMYFUNCTION("IFERROR(VLOOKUP(TRIM(A42),IMPORTRANGE(""1IG9qoa6PeLdDDFzKpW39lxXshN0-M8Z25a_R1EpsYyg"",""Form Responses 1!B:C""),2,0),"""")"),"")</f>
        <v/>
      </c>
      <c r="V42" s="74">
        <v>20.0</v>
      </c>
      <c r="W42" s="70">
        <f>IFERROR(__xludf.DUMMYFUNCTION("IFERROR(VLOOKUP(TRIM(A42),IMPORTRANGE(""1JzBbPfIn5kXHe-RuBwssvVRSauekkTw9cwf70DsYix4"",""Form Responses 1!B:C""),2,0),"""")"),9.0)</f>
        <v>9</v>
      </c>
      <c r="X42" s="70">
        <f>IFERROR(__xludf.DUMMYFUNCTION("IFERROR(VLOOKUP(TRIM(A42),IMPORTRANGE(""1JbcCdZBzu6Yag8PuyvlbtYmdvUYYQNraxAgoikGBi5w"",""Form Responses 1!B:C""),2,0),"""")"),12.0)</f>
        <v>12</v>
      </c>
      <c r="Y42" s="70" t="str">
        <f>IFERROR(__xludf.DUMMYFUNCTION("IFERROR(VLOOKUP(TRIM(A42),IMPORTRANGE(""15-YcWQKwT7GXCzNpEoDkSlrruglscDYeQTD3uXec8uQ"",""Form Responses 1!B:C""),2,0),"""")"),"")</f>
        <v/>
      </c>
      <c r="Z42" s="70" t="str">
        <f>IFERROR(__xludf.DUMMYFUNCTION("IFERROR(VLOOKUP(TRIM(A42),IMPORTRANGE(""1X2rXjxJaWCoTCv5SRdgsC_V3cXeEyqXGQY3NvE1KDUk"",""Form Responses 1!B:C""),2,0),"""")"),"")</f>
        <v/>
      </c>
      <c r="AA42" s="70" t="str">
        <f>IFERROR(__xludf.DUMMYFUNCTION("IFERROR(VLOOKUP(TRIM(A42),IMPORTRANGE(""1zEJQnPshpdjcOtCVSP0I8nG2EXKbBMH9BJ8IeNFUEV8"",""Form Responses 1!B:C""),2,0),"""")"),"")</f>
        <v/>
      </c>
      <c r="AB42" s="70">
        <f>IFERROR(__xludf.DUMMYFUNCTION("IFERROR(VLOOKUP(TRIM(A42),IMPORTRANGE(""1JzBbPfIn5kXHe-RuBwssvVRSauekkTw9cwf70DsYix4"",""Form Responses 1!B:C""),2,0),"""")"),9.0)</f>
        <v>9</v>
      </c>
      <c r="AC42" s="70">
        <f>IFERROR(__xludf.DUMMYFUNCTION("IFERROR(VLOOKUP(TRIM(A42),IMPORTRANGE(""1JbcCdZBzu6Yag8PuyvlbtYmdvUYYQNraxAgoikGBi5w"",""Form Responses 1!B:C""),2,0),"""")"),12.0)</f>
        <v>12</v>
      </c>
      <c r="AD42" s="70" t="str">
        <f>IFERROR(__xludf.DUMMYFUNCTION("IFERROR(VLOOKUP(TRIM(A42),IMPORTRANGE(""15-YcWQKwT7GXCzNpEoDkSlrruglscDYeQTD3uXec8uQ"",""Form Responses 1!B:C""),2,0),"""")"),"")</f>
        <v/>
      </c>
      <c r="AE42" s="70" t="str">
        <f>IFERROR(__xludf.DUMMYFUNCTION("IFERROR(VLOOKUP(TRIM(A42),IMPORTRANGE(""1X2rXjxJaWCoTCv5SRdgsC_V3cXeEyqXGQY3NvE1KDUk"",""Form Responses 1!B:C""),2,0),"""")"),"")</f>
        <v/>
      </c>
      <c r="AF42" s="70" t="str">
        <f>IFERROR(__xludf.DUMMYFUNCTION("IFERROR(VLOOKUP(TRIM(A42),IMPORTRANGE(""1zEJQnPshpdjcOtCVSP0I8nG2EXKbBMH9BJ8IeNFUEV8"",""Form Responses 1!B:C""),2,0),"""")"),"")</f>
        <v/>
      </c>
      <c r="AG42" s="70"/>
      <c r="AH42" s="70"/>
      <c r="AI42" s="70"/>
      <c r="AJ42" s="70"/>
      <c r="AK42" s="70"/>
      <c r="AL42" s="70"/>
      <c r="AM42" s="70"/>
      <c r="AN42" s="70"/>
      <c r="AO42" s="70"/>
      <c r="AP42" s="70"/>
      <c r="AQ42" s="70"/>
      <c r="AR42" s="70"/>
      <c r="AS42" s="70"/>
      <c r="AT42" s="70"/>
      <c r="AU42" s="70"/>
    </row>
    <row r="43">
      <c r="A43" s="39" t="s">
        <v>448</v>
      </c>
      <c r="B43" s="70" t="str">
        <f>IFERROR(__xludf.DUMMYFUNCTION("IFERROR(IF(COUNTIF(IMPORTRANGE(""1RTcwEJsI_0aJRebhNwO_H_AoKl9r46k7hWYbtciIyM4"",""Form Responses 1!B:B""),A43)&gt;0,10,),0)"),"")</f>
        <v/>
      </c>
      <c r="C43" s="70" t="str">
        <f>IFERROR(__xludf.DUMMYFUNCTION("IFERROR(VLOOKUP(A43,IMPORTRANGE(""11i8IUhq_U6RRKRV3CBWIKqYed_fMvFgNUHTq1YDJfp8"",""Form Responses 1!B:C""),2,FALSE),)"),"")</f>
        <v/>
      </c>
      <c r="D43" s="70" t="str">
        <f>IFERROR(__xludf.DUMMYFUNCTION("IFERROR(VLOOKUP(A43,IMPORTRANGE(""1StiHxuxrFhYdrq5WLR2JMORicW0TbnJf3J-oTHeMRtM"",""Form Responses 1!B:C""),2,FALSE),)"),"")</f>
        <v/>
      </c>
      <c r="E43" s="70" t="str">
        <f>IFERROR(__xludf.DUMMYFUNCTION("IFERROR(VLOOKUP(A43,IMPORTRANGE(""1QaxxyUjrDq2kgz300C1Bq1tacFk6e-xX218cSXCQUK0"",""Form Responses 1!B:C""),2,FALSE),)"),"")</f>
        <v/>
      </c>
      <c r="F43" s="70" t="str">
        <f>IFERROR(__xludf.DUMMYFUNCTION("IFERROR(VLOOKUP(A43,IMPORTRANGE(""1fn2ECph_y8Uz78DhjLaiXcwgt6kh3oe-0Le36Uw0noE"",""Form Responses 1!B:C""),2,FALSE),)"),"")</f>
        <v/>
      </c>
      <c r="G43" s="39" t="str">
        <f>IFERROR(__xludf.DUMMYFUNCTION("IFERROR(IF(COUNTIF(IMPORTRANGE(""1t6NbzWBtAQKR9pGjBnxm9V-bRaGdRVT_-u2ojrUkYZw"",""Form Responses 1!B:B""),A43)&gt;0,10,),0)"),"")</f>
        <v/>
      </c>
      <c r="H43" s="39" t="str">
        <f>IFERROR(__xludf.DUMMYFUNCTION("IFERROR(VLOOKUP(A43,IMPORTRANGE(""1ytv6MYmm-8DwYEf-PC6L-upnzfG4TJT_K2_Q1BobE6k"",""Form Responses 1!B:C""),2,FALSE),)"),"")</f>
        <v/>
      </c>
      <c r="I43" s="39" t="str">
        <f>IFERROR(__xludf.DUMMYFUNCTION("IFERROR(VLOOKUP(A43,IMPORTRANGE(""1LTj0BC6WXgHo3fEDDSQlGOM1HkEYGTw8epmIdU0RnB4"",""Form Responses 1!B:C""),2,FALSE),)"),"")</f>
        <v/>
      </c>
      <c r="J43" s="39" t="str">
        <f>IFERROR(__xludf.DUMMYFUNCTION("IFERROR(VLOOKUP(A43,IMPORTRANGE(""1lBH5Hghbbsr-XV8ZpAW4SFOyMpQX5vY0tEjkjRAJH48"",""Form Responses 1!B:C""),2,FALSE),)"),"")</f>
        <v/>
      </c>
      <c r="K43" s="39" t="str">
        <f>IFERROR(__xludf.DUMMYFUNCTION("IFERROR(IF(COUNTIF(IMPORTRANGE(""11sIXwmK0co7YC01jkeOYS_Q9btyVErtOm8MrXzqLkm8"",""Form Responses 1!B:B""),A43)&gt;0,10,),0)"),"")</f>
        <v/>
      </c>
      <c r="L43" s="70" t="str">
        <f>IFERROR(__xludf.DUMMYFUNCTION("IFERROR(IF(COUNTIF(IMPORTRANGE(""1csqG5dOxr6mnQQeHuLyfSoVeWZspfrn9T3cQFX5jhi8"",""Form Responses 1!B:B""),A43)&gt;0,10,),0)"),"")</f>
        <v/>
      </c>
      <c r="M43" s="70" t="str">
        <f>IFERROR(__xludf.DUMMYFUNCTION("IFERROR(VLOOKUP(A43,IMPORTRANGE(""1C8QMXhp6CypS1pNA-UXlEADxmI-6nbSN9P4kujkvESI"",""Form Responses 1!B:C""),2,FALSE),)"),"")</f>
        <v/>
      </c>
      <c r="N43" s="70" t="str">
        <f>IFERROR(__xludf.DUMMYFUNCTION("IFERROR(VLOOKUP(A43,IMPORTRANGE(""1e33dV9wgou_u1lnmBtok6Ato-q97II29uUvmeO7Juhw"",""Form Responses 1!B:C""),2,FALSE),)"),"")</f>
        <v/>
      </c>
      <c r="O43" s="70" t="str">
        <f>IFERROR(__xludf.DUMMYFUNCTION("IFERROR(VLOOKUP(A43,IMPORTRANGE(""15TUXUTXgRTcnnjS-jyDta7Ecw7-lv8-wZMGVKaxe8TY"",""Form Responses 1!B:C""),2,FALSE),)"),"")</f>
        <v/>
      </c>
      <c r="P43" s="70" t="str">
        <f>IFERROR(__xludf.DUMMYFUNCTION("IFERROR(IF(COUNTIF(IMPORTRANGE(""1KFxxroaoSLanJBYtWVxeITrgly-aztutk24Q4y14KKU"",""Form Responses 1!B:B""),A43)&gt;0,10,),0)"),"")</f>
        <v/>
      </c>
      <c r="Q43" s="71" t="str">
        <f>IFERROR(__xludf.DUMMYFUNCTION("IFERROR(VLOOKUP(TRIM(A43),IMPORTRANGE(""1WjiLR_MTMxI_IZUKuvPO4Sg2rTSIqBzP3edakSRXbOA"",""Form Responses 1!B:C""),2,0),"""")"),"")</f>
        <v/>
      </c>
      <c r="R43" s="70" t="str">
        <f>IFERROR(__xludf.DUMMYFUNCTION("IFERROR(VLOOKUP(TRIM(A43),IMPORTRANGE(""1Ixzbal5tEbtWhozsFEppQzOYE6ZSrkNXHg_HW5k3Wt4"",""Form Responses 1!B:C""),2,0),"""")"),"")</f>
        <v/>
      </c>
      <c r="S43" s="70" t="str">
        <f>IFERROR(__xludf.DUMMYFUNCTION("IFERROR(VLOOKUP(TRIM(A43),IMPORTRANGE(""1zxjtEKGvVIJPIDqZdnxENwVpPXYa88EihzyI44hcQUo"",""Form Responses 1!B:C""),2,0),"""")"),"")</f>
        <v/>
      </c>
      <c r="T43" s="70" t="str">
        <f>IFERROR(__xludf.DUMMYFUNCTION("IFERROR(VLOOKUP(TRIM(A43),IMPORTRANGE(""1H3cO01obd5zFULYqaT5NAqecZBFFIHeDFn4CeQLZF3w"",""Form Responses 1!B:C""),2,0),"""")"),"")</f>
        <v/>
      </c>
      <c r="U43" s="70" t="str">
        <f>IFERROR(__xludf.DUMMYFUNCTION("IFERROR(VLOOKUP(TRIM(A43),IMPORTRANGE(""1IG9qoa6PeLdDDFzKpW39lxXshN0-M8Z25a_R1EpsYyg"",""Form Responses 1!B:C""),2,0),"""")"),"")</f>
        <v/>
      </c>
      <c r="V43" s="72"/>
      <c r="W43" s="70" t="str">
        <f>IFERROR(__xludf.DUMMYFUNCTION("IFERROR(VLOOKUP(TRIM(A43),IMPORTRANGE(""1JzBbPfIn5kXHe-RuBwssvVRSauekkTw9cwf70DsYix4"",""Form Responses 1!B:C""),2,0),"""")"),"")</f>
        <v/>
      </c>
      <c r="X43" s="70" t="str">
        <f>IFERROR(__xludf.DUMMYFUNCTION("IFERROR(VLOOKUP(TRIM(A43),IMPORTRANGE(""1JbcCdZBzu6Yag8PuyvlbtYmdvUYYQNraxAgoikGBi5w"",""Form Responses 1!B:C""),2,0),"""")"),"")</f>
        <v/>
      </c>
      <c r="Y43" s="70" t="str">
        <f>IFERROR(__xludf.DUMMYFUNCTION("IFERROR(VLOOKUP(TRIM(A43),IMPORTRANGE(""15-YcWQKwT7GXCzNpEoDkSlrruglscDYeQTD3uXec8uQ"",""Form Responses 1!B:C""),2,0),"""")"),"")</f>
        <v/>
      </c>
      <c r="Z43" s="70" t="str">
        <f>IFERROR(__xludf.DUMMYFUNCTION("IFERROR(VLOOKUP(TRIM(A43),IMPORTRANGE(""1X2rXjxJaWCoTCv5SRdgsC_V3cXeEyqXGQY3NvE1KDUk"",""Form Responses 1!B:C""),2,0),"""")"),"")</f>
        <v/>
      </c>
      <c r="AA43" s="70" t="str">
        <f>IFERROR(__xludf.DUMMYFUNCTION("IFERROR(VLOOKUP(TRIM(A43),IMPORTRANGE(""1zEJQnPshpdjcOtCVSP0I8nG2EXKbBMH9BJ8IeNFUEV8"",""Form Responses 1!B:C""),2,0),"""")"),"")</f>
        <v/>
      </c>
      <c r="AB43" s="70" t="str">
        <f>IFERROR(__xludf.DUMMYFUNCTION("IFERROR(VLOOKUP(TRIM(A43),IMPORTRANGE(""1JzBbPfIn5kXHe-RuBwssvVRSauekkTw9cwf70DsYix4"",""Form Responses 1!B:C""),2,0),"""")"),"")</f>
        <v/>
      </c>
      <c r="AC43" s="70" t="str">
        <f>IFERROR(__xludf.DUMMYFUNCTION("IFERROR(VLOOKUP(TRIM(A43),IMPORTRANGE(""1JbcCdZBzu6Yag8PuyvlbtYmdvUYYQNraxAgoikGBi5w"",""Form Responses 1!B:C""),2,0),"""")"),"")</f>
        <v/>
      </c>
      <c r="AD43" s="70" t="str">
        <f>IFERROR(__xludf.DUMMYFUNCTION("IFERROR(VLOOKUP(TRIM(A43),IMPORTRANGE(""15-YcWQKwT7GXCzNpEoDkSlrruglscDYeQTD3uXec8uQ"",""Form Responses 1!B:C""),2,0),"""")"),"")</f>
        <v/>
      </c>
      <c r="AE43" s="70" t="str">
        <f>IFERROR(__xludf.DUMMYFUNCTION("IFERROR(VLOOKUP(TRIM(A43),IMPORTRANGE(""1X2rXjxJaWCoTCv5SRdgsC_V3cXeEyqXGQY3NvE1KDUk"",""Form Responses 1!B:C""),2,0),"""")"),"")</f>
        <v/>
      </c>
      <c r="AF43" s="70" t="str">
        <f>IFERROR(__xludf.DUMMYFUNCTION("IFERROR(VLOOKUP(TRIM(A43),IMPORTRANGE(""1zEJQnPshpdjcOtCVSP0I8nG2EXKbBMH9BJ8IeNFUEV8"",""Form Responses 1!B:C""),2,0),"""")"),"")</f>
        <v/>
      </c>
      <c r="AG43" s="70"/>
      <c r="AH43" s="70"/>
      <c r="AI43" s="70"/>
      <c r="AJ43" s="70"/>
      <c r="AK43" s="70"/>
      <c r="AL43" s="70"/>
      <c r="AM43" s="70"/>
      <c r="AN43" s="70"/>
      <c r="AO43" s="70"/>
      <c r="AP43" s="70"/>
      <c r="AQ43" s="70"/>
      <c r="AR43" s="70"/>
      <c r="AS43" s="70"/>
      <c r="AT43" s="70"/>
      <c r="AU43" s="70"/>
    </row>
    <row r="44">
      <c r="A44" s="39" t="s">
        <v>293</v>
      </c>
      <c r="B44" s="70">
        <f>IFERROR(__xludf.DUMMYFUNCTION("IFERROR(IF(COUNTIF(IMPORTRANGE(""1RTcwEJsI_0aJRebhNwO_H_AoKl9r46k7hWYbtciIyM4"",""Form Responses 1!B:B""),A44)&gt;0,10,),0)"),10.0)</f>
        <v>10</v>
      </c>
      <c r="C44" s="70">
        <f>IFERROR(__xludf.DUMMYFUNCTION("IFERROR(VLOOKUP(A44,IMPORTRANGE(""11i8IUhq_U6RRKRV3CBWIKqYed_fMvFgNUHTq1YDJfp8"",""Form Responses 1!B:C""),2,FALSE),)"),0.0)</f>
        <v>0</v>
      </c>
      <c r="D44" s="70">
        <f>IFERROR(__xludf.DUMMYFUNCTION("IFERROR(VLOOKUP(A44,IMPORTRANGE(""1StiHxuxrFhYdrq5WLR2JMORicW0TbnJf3J-oTHeMRtM"",""Form Responses 1!B:C""),2,FALSE),)"),6.0)</f>
        <v>6</v>
      </c>
      <c r="E44" s="70">
        <f>IFERROR(__xludf.DUMMYFUNCTION("IFERROR(VLOOKUP(A44,IMPORTRANGE(""1QaxxyUjrDq2kgz300C1Bq1tacFk6e-xX218cSXCQUK0"",""Form Responses 1!B:C""),2,FALSE),)"),4.0)</f>
        <v>4</v>
      </c>
      <c r="F44" s="70">
        <f>IFERROR(__xludf.DUMMYFUNCTION("IFERROR(VLOOKUP(A44,IMPORTRANGE(""1fn2ECph_y8Uz78DhjLaiXcwgt6kh3oe-0Le36Uw0noE"",""Form Responses 1!B:C""),2,FALSE),)"),3.0)</f>
        <v>3</v>
      </c>
      <c r="G44" s="39">
        <f>IFERROR(__xludf.DUMMYFUNCTION("IFERROR(IF(COUNTIF(IMPORTRANGE(""1t6NbzWBtAQKR9pGjBnxm9V-bRaGdRVT_-u2ojrUkYZw"",""Form Responses 1!B:B""),A44)&gt;0,10,),0)"),10.0)</f>
        <v>10</v>
      </c>
      <c r="H44" s="39">
        <f>IFERROR(__xludf.DUMMYFUNCTION("IFERROR(VLOOKUP(A44,IMPORTRANGE(""1ytv6MYmm-8DwYEf-PC6L-upnzfG4TJT_K2_Q1BobE6k"",""Form Responses 1!B:C""),2,FALSE),)"),2.0)</f>
        <v>2</v>
      </c>
      <c r="I44" s="39">
        <f>IFERROR(__xludf.DUMMYFUNCTION("IFERROR(VLOOKUP(A44,IMPORTRANGE(""1LTj0BC6WXgHo3fEDDSQlGOM1HkEYGTw8epmIdU0RnB4"",""Form Responses 1!B:C""),2,FALSE),)"),3.0)</f>
        <v>3</v>
      </c>
      <c r="J44" s="39">
        <f>IFERROR(__xludf.DUMMYFUNCTION("IFERROR(VLOOKUP(A44,IMPORTRANGE(""1lBH5Hghbbsr-XV8ZpAW4SFOyMpQX5vY0tEjkjRAJH48"",""Form Responses 1!B:C""),2,FALSE),)"),0.0)</f>
        <v>0</v>
      </c>
      <c r="K44" s="39">
        <f>IFERROR(__xludf.DUMMYFUNCTION("IFERROR(IF(COUNTIF(IMPORTRANGE(""11sIXwmK0co7YC01jkeOYS_Q9btyVErtOm8MrXzqLkm8"",""Form Responses 1!B:B""),A44)&gt;0,10,),0)"),10.0)</f>
        <v>10</v>
      </c>
      <c r="L44" s="70">
        <f>IFERROR(__xludf.DUMMYFUNCTION("IFERROR(IF(COUNTIF(IMPORTRANGE(""1csqG5dOxr6mnQQeHuLyfSoVeWZspfrn9T3cQFX5jhi8"",""Form Responses 1!B:B""),A44)&gt;0,10,),0)"),10.0)</f>
        <v>10</v>
      </c>
      <c r="M44" s="70" t="str">
        <f>IFERROR(__xludf.DUMMYFUNCTION("IFERROR(VLOOKUP(A44,IMPORTRANGE(""1C8QMXhp6CypS1pNA-UXlEADxmI-6nbSN9P4kujkvESI"",""Form Responses 1!B:C""),2,FALSE),)"),"")</f>
        <v/>
      </c>
      <c r="N44" s="70">
        <f>IFERROR(__xludf.DUMMYFUNCTION("IFERROR(VLOOKUP(A44,IMPORTRANGE(""1e33dV9wgou_u1lnmBtok6Ato-q97II29uUvmeO7Juhw"",""Form Responses 1!B:C""),2,FALSE),)"),0.0)</f>
        <v>0</v>
      </c>
      <c r="O44" s="70" t="str">
        <f>IFERROR(__xludf.DUMMYFUNCTION("IFERROR(VLOOKUP(A44,IMPORTRANGE(""15TUXUTXgRTcnnjS-jyDta7Ecw7-lv8-wZMGVKaxe8TY"",""Form Responses 1!B:C""),2,FALSE),)"),"")</f>
        <v/>
      </c>
      <c r="P44" s="70" t="str">
        <f>IFERROR(__xludf.DUMMYFUNCTION("IFERROR(IF(COUNTIF(IMPORTRANGE(""1KFxxroaoSLanJBYtWVxeITrgly-aztutk24Q4y14KKU"",""Form Responses 1!B:B""),A44)&gt;0,10,),0)"),"")</f>
        <v/>
      </c>
      <c r="Q44" s="71" t="str">
        <f>IFERROR(__xludf.DUMMYFUNCTION("IFERROR(VLOOKUP(TRIM(A44),IMPORTRANGE(""1WjiLR_MTMxI_IZUKuvPO4Sg2rTSIqBzP3edakSRXbOA"",""Form Responses 1!B:C""),2,0),"""")"),"")</f>
        <v/>
      </c>
      <c r="R44" s="70" t="str">
        <f>IFERROR(__xludf.DUMMYFUNCTION("IFERROR(VLOOKUP(TRIM(A44),IMPORTRANGE(""1Ixzbal5tEbtWhozsFEppQzOYE6ZSrkNXHg_HW5k3Wt4"",""Form Responses 1!B:C""),2,0),"""")"),"")</f>
        <v/>
      </c>
      <c r="S44" s="70" t="str">
        <f>IFERROR(__xludf.DUMMYFUNCTION("IFERROR(VLOOKUP(TRIM(A44),IMPORTRANGE(""1zxjtEKGvVIJPIDqZdnxENwVpPXYa88EihzyI44hcQUo"",""Form Responses 1!B:C""),2,0),"""")"),"")</f>
        <v/>
      </c>
      <c r="T44" s="70" t="str">
        <f>IFERROR(__xludf.DUMMYFUNCTION("IFERROR(VLOOKUP(TRIM(A44),IMPORTRANGE(""1H3cO01obd5zFULYqaT5NAqecZBFFIHeDFn4CeQLZF3w"",""Form Responses 1!B:C""),2,0),"""")"),"")</f>
        <v/>
      </c>
      <c r="U44" s="70" t="str">
        <f>IFERROR(__xludf.DUMMYFUNCTION("IFERROR(VLOOKUP(TRIM(A44),IMPORTRANGE(""1IG9qoa6PeLdDDFzKpW39lxXshN0-M8Z25a_R1EpsYyg"",""Form Responses 1!B:C""),2,0),"""")"),"")</f>
        <v/>
      </c>
      <c r="V44" s="74">
        <v>13.0</v>
      </c>
      <c r="W44" s="70">
        <f>IFERROR(__xludf.DUMMYFUNCTION("IFERROR(VLOOKUP(TRIM(A44),IMPORTRANGE(""1JzBbPfIn5kXHe-RuBwssvVRSauekkTw9cwf70DsYix4"",""Form Responses 1!B:C""),2,0),"""")"),12.0)</f>
        <v>12</v>
      </c>
      <c r="X44" s="70" t="str">
        <f>IFERROR(__xludf.DUMMYFUNCTION("IFERROR(VLOOKUP(TRIM(A44),IMPORTRANGE(""1JbcCdZBzu6Yag8PuyvlbtYmdvUYYQNraxAgoikGBi5w"",""Form Responses 1!B:C""),2,0),"""")"),"")</f>
        <v/>
      </c>
      <c r="Y44" s="70" t="str">
        <f>IFERROR(__xludf.DUMMYFUNCTION("IFERROR(VLOOKUP(TRIM(A44),IMPORTRANGE(""15-YcWQKwT7GXCzNpEoDkSlrruglscDYeQTD3uXec8uQ"",""Form Responses 1!B:C""),2,0),"""")"),"")</f>
        <v/>
      </c>
      <c r="Z44" s="70" t="str">
        <f>IFERROR(__xludf.DUMMYFUNCTION("IFERROR(VLOOKUP(TRIM(A44),IMPORTRANGE(""1X2rXjxJaWCoTCv5SRdgsC_V3cXeEyqXGQY3NvE1KDUk"",""Form Responses 1!B:C""),2,0),"""")"),"")</f>
        <v/>
      </c>
      <c r="AA44" s="70" t="str">
        <f>IFERROR(__xludf.DUMMYFUNCTION("IFERROR(VLOOKUP(TRIM(A44),IMPORTRANGE(""1zEJQnPshpdjcOtCVSP0I8nG2EXKbBMH9BJ8IeNFUEV8"",""Form Responses 1!B:C""),2,0),"""")"),"")</f>
        <v/>
      </c>
      <c r="AB44" s="70">
        <f>IFERROR(__xludf.DUMMYFUNCTION("IFERROR(VLOOKUP(TRIM(A44),IMPORTRANGE(""1JzBbPfIn5kXHe-RuBwssvVRSauekkTw9cwf70DsYix4"",""Form Responses 1!B:C""),2,0),"""")"),12.0)</f>
        <v>12</v>
      </c>
      <c r="AC44" s="70" t="str">
        <f>IFERROR(__xludf.DUMMYFUNCTION("IFERROR(VLOOKUP(TRIM(A44),IMPORTRANGE(""1JbcCdZBzu6Yag8PuyvlbtYmdvUYYQNraxAgoikGBi5w"",""Form Responses 1!B:C""),2,0),"""")"),"")</f>
        <v/>
      </c>
      <c r="AD44" s="70" t="str">
        <f>IFERROR(__xludf.DUMMYFUNCTION("IFERROR(VLOOKUP(TRIM(A44),IMPORTRANGE(""15-YcWQKwT7GXCzNpEoDkSlrruglscDYeQTD3uXec8uQ"",""Form Responses 1!B:C""),2,0),"""")"),"")</f>
        <v/>
      </c>
      <c r="AE44" s="70" t="str">
        <f>IFERROR(__xludf.DUMMYFUNCTION("IFERROR(VLOOKUP(TRIM(A44),IMPORTRANGE(""1X2rXjxJaWCoTCv5SRdgsC_V3cXeEyqXGQY3NvE1KDUk"",""Form Responses 1!B:C""),2,0),"""")"),"")</f>
        <v/>
      </c>
      <c r="AF44" s="70" t="str">
        <f>IFERROR(__xludf.DUMMYFUNCTION("IFERROR(VLOOKUP(TRIM(A44),IMPORTRANGE(""1zEJQnPshpdjcOtCVSP0I8nG2EXKbBMH9BJ8IeNFUEV8"",""Form Responses 1!B:C""),2,0),"""")"),"")</f>
        <v/>
      </c>
      <c r="AG44" s="70"/>
      <c r="AH44" s="70"/>
      <c r="AI44" s="70"/>
      <c r="AJ44" s="70"/>
      <c r="AK44" s="70"/>
      <c r="AL44" s="70"/>
      <c r="AM44" s="70"/>
      <c r="AN44" s="70"/>
      <c r="AO44" s="70"/>
      <c r="AP44" s="70"/>
      <c r="AQ44" s="70"/>
      <c r="AR44" s="70"/>
      <c r="AS44" s="70"/>
      <c r="AT44" s="70"/>
      <c r="AU44" s="70"/>
    </row>
    <row r="45">
      <c r="A45" s="39" t="s">
        <v>294</v>
      </c>
      <c r="B45" s="70">
        <f>IFERROR(__xludf.DUMMYFUNCTION("IFERROR(IF(COUNTIF(IMPORTRANGE(""1RTcwEJsI_0aJRebhNwO_H_AoKl9r46k7hWYbtciIyM4"",""Form Responses 1!B:B""),A45)&gt;0,10,),0)"),10.0)</f>
        <v>10</v>
      </c>
      <c r="C45" s="70" t="str">
        <f>IFERROR(__xludf.DUMMYFUNCTION("IFERROR(VLOOKUP(A45,IMPORTRANGE(""11i8IUhq_U6RRKRV3CBWIKqYed_fMvFgNUHTq1YDJfp8"",""Form Responses 1!B:C""),2,FALSE),)"),"")</f>
        <v/>
      </c>
      <c r="D45" s="70" t="str">
        <f>IFERROR(__xludf.DUMMYFUNCTION("IFERROR(VLOOKUP(A45,IMPORTRANGE(""1StiHxuxrFhYdrq5WLR2JMORicW0TbnJf3J-oTHeMRtM"",""Form Responses 1!B:C""),2,FALSE),)"),"")</f>
        <v/>
      </c>
      <c r="E45" s="70" t="str">
        <f>IFERROR(__xludf.DUMMYFUNCTION("IFERROR(VLOOKUP(A45,IMPORTRANGE(""1QaxxyUjrDq2kgz300C1Bq1tacFk6e-xX218cSXCQUK0"",""Form Responses 1!B:C""),2,FALSE),)"),"")</f>
        <v/>
      </c>
      <c r="F45" s="70" t="str">
        <f>IFERROR(__xludf.DUMMYFUNCTION("IFERROR(VLOOKUP(A45,IMPORTRANGE(""1fn2ECph_y8Uz78DhjLaiXcwgt6kh3oe-0Le36Uw0noE"",""Form Responses 1!B:C""),2,FALSE),)"),"")</f>
        <v/>
      </c>
      <c r="G45" s="39" t="str">
        <f>IFERROR(__xludf.DUMMYFUNCTION("IFERROR(IF(COUNTIF(IMPORTRANGE(""1t6NbzWBtAQKR9pGjBnxm9V-bRaGdRVT_-u2ojrUkYZw"",""Form Responses 1!B:B""),A45)&gt;0,10,),0)"),"")</f>
        <v/>
      </c>
      <c r="H45" s="39" t="str">
        <f>IFERROR(__xludf.DUMMYFUNCTION("IFERROR(VLOOKUP(A45,IMPORTRANGE(""1ytv6MYmm-8DwYEf-PC6L-upnzfG4TJT_K2_Q1BobE6k"",""Form Responses 1!B:C""),2,FALSE),)"),"")</f>
        <v/>
      </c>
      <c r="I45" s="39" t="str">
        <f>IFERROR(__xludf.DUMMYFUNCTION("IFERROR(VLOOKUP(A45,IMPORTRANGE(""1LTj0BC6WXgHo3fEDDSQlGOM1HkEYGTw8epmIdU0RnB4"",""Form Responses 1!B:C""),2,FALSE),)"),"")</f>
        <v/>
      </c>
      <c r="J45" s="39" t="str">
        <f>IFERROR(__xludf.DUMMYFUNCTION("IFERROR(VLOOKUP(A45,IMPORTRANGE(""1lBH5Hghbbsr-XV8ZpAW4SFOyMpQX5vY0tEjkjRAJH48"",""Form Responses 1!B:C""),2,FALSE),)"),"")</f>
        <v/>
      </c>
      <c r="K45" s="39" t="str">
        <f>IFERROR(__xludf.DUMMYFUNCTION("IFERROR(IF(COUNTIF(IMPORTRANGE(""11sIXwmK0co7YC01jkeOYS_Q9btyVErtOm8MrXzqLkm8"",""Form Responses 1!B:B""),A45)&gt;0,10,),0)"),"")</f>
        <v/>
      </c>
      <c r="L45" s="70">
        <f>IFERROR(__xludf.DUMMYFUNCTION("IFERROR(IF(COUNTIF(IMPORTRANGE(""1csqG5dOxr6mnQQeHuLyfSoVeWZspfrn9T3cQFX5jhi8"",""Form Responses 1!B:B""),A45)&gt;0,10,),0)"),10.0)</f>
        <v>10</v>
      </c>
      <c r="M45" s="70" t="str">
        <f>IFERROR(__xludf.DUMMYFUNCTION("IFERROR(VLOOKUP(A45,IMPORTRANGE(""1C8QMXhp6CypS1pNA-UXlEADxmI-6nbSN9P4kujkvESI"",""Form Responses 1!B:C""),2,FALSE),)"),"")</f>
        <v/>
      </c>
      <c r="N45" s="70" t="str">
        <f>IFERROR(__xludf.DUMMYFUNCTION("IFERROR(VLOOKUP(A45,IMPORTRANGE(""1e33dV9wgou_u1lnmBtok6Ato-q97II29uUvmeO7Juhw"",""Form Responses 1!B:C""),2,FALSE),)"),"")</f>
        <v/>
      </c>
      <c r="O45" s="70" t="str">
        <f>IFERROR(__xludf.DUMMYFUNCTION("IFERROR(VLOOKUP(A45,IMPORTRANGE(""15TUXUTXgRTcnnjS-jyDta7Ecw7-lv8-wZMGVKaxe8TY"",""Form Responses 1!B:C""),2,FALSE),)"),"")</f>
        <v/>
      </c>
      <c r="P45" s="70" t="str">
        <f>IFERROR(__xludf.DUMMYFUNCTION("IFERROR(IF(COUNTIF(IMPORTRANGE(""1KFxxroaoSLanJBYtWVxeITrgly-aztutk24Q4y14KKU"",""Form Responses 1!B:B""),A45)&gt;0,10,),0)"),"")</f>
        <v/>
      </c>
      <c r="Q45" s="71" t="str">
        <f>IFERROR(__xludf.DUMMYFUNCTION("IFERROR(VLOOKUP(TRIM(A45),IMPORTRANGE(""1WjiLR_MTMxI_IZUKuvPO4Sg2rTSIqBzP3edakSRXbOA"",""Form Responses 1!B:C""),2,0),"""")"),"")</f>
        <v/>
      </c>
      <c r="R45" s="70" t="str">
        <f>IFERROR(__xludf.DUMMYFUNCTION("IFERROR(VLOOKUP(TRIM(A45),IMPORTRANGE(""1Ixzbal5tEbtWhozsFEppQzOYE6ZSrkNXHg_HW5k3Wt4"",""Form Responses 1!B:C""),2,0),"""")"),"")</f>
        <v/>
      </c>
      <c r="S45" s="70" t="str">
        <f>IFERROR(__xludf.DUMMYFUNCTION("IFERROR(VLOOKUP(TRIM(A45),IMPORTRANGE(""1zxjtEKGvVIJPIDqZdnxENwVpPXYa88EihzyI44hcQUo"",""Form Responses 1!B:C""),2,0),"""")"),"")</f>
        <v/>
      </c>
      <c r="T45" s="70" t="str">
        <f>IFERROR(__xludf.DUMMYFUNCTION("IFERROR(VLOOKUP(TRIM(A45),IMPORTRANGE(""1H3cO01obd5zFULYqaT5NAqecZBFFIHeDFn4CeQLZF3w"",""Form Responses 1!B:C""),2,0),"""")"),"")</f>
        <v/>
      </c>
      <c r="U45" s="70" t="str">
        <f>IFERROR(__xludf.DUMMYFUNCTION("IFERROR(VLOOKUP(TRIM(A45),IMPORTRANGE(""1IG9qoa6PeLdDDFzKpW39lxXshN0-M8Z25a_R1EpsYyg"",""Form Responses 1!B:C""),2,0),"""")"),"")</f>
        <v/>
      </c>
      <c r="V45" s="72"/>
      <c r="W45" s="70">
        <f>IFERROR(__xludf.DUMMYFUNCTION("IFERROR(VLOOKUP(TRIM(A45),IMPORTRANGE(""1JzBbPfIn5kXHe-RuBwssvVRSauekkTw9cwf70DsYix4"",""Form Responses 1!B:C""),2,0),"""")"),8.0)</f>
        <v>8</v>
      </c>
      <c r="X45" s="70" t="str">
        <f>IFERROR(__xludf.DUMMYFUNCTION("IFERROR(VLOOKUP(TRIM(A45),IMPORTRANGE(""1JbcCdZBzu6Yag8PuyvlbtYmdvUYYQNraxAgoikGBi5w"",""Form Responses 1!B:C""),2,0),"""")"),"")</f>
        <v/>
      </c>
      <c r="Y45" s="70" t="str">
        <f>IFERROR(__xludf.DUMMYFUNCTION("IFERROR(VLOOKUP(TRIM(A45),IMPORTRANGE(""15-YcWQKwT7GXCzNpEoDkSlrruglscDYeQTD3uXec8uQ"",""Form Responses 1!B:C""),2,0),"""")"),"")</f>
        <v/>
      </c>
      <c r="Z45" s="70" t="str">
        <f>IFERROR(__xludf.DUMMYFUNCTION("IFERROR(VLOOKUP(TRIM(A45),IMPORTRANGE(""1X2rXjxJaWCoTCv5SRdgsC_V3cXeEyqXGQY3NvE1KDUk"",""Form Responses 1!B:C""),2,0),"""")"),"")</f>
        <v/>
      </c>
      <c r="AA45" s="70" t="str">
        <f>IFERROR(__xludf.DUMMYFUNCTION("IFERROR(VLOOKUP(TRIM(A45),IMPORTRANGE(""1zEJQnPshpdjcOtCVSP0I8nG2EXKbBMH9BJ8IeNFUEV8"",""Form Responses 1!B:C""),2,0),"""")"),"")</f>
        <v/>
      </c>
      <c r="AB45" s="70">
        <f>IFERROR(__xludf.DUMMYFUNCTION("IFERROR(VLOOKUP(TRIM(A45),IMPORTRANGE(""1JzBbPfIn5kXHe-RuBwssvVRSauekkTw9cwf70DsYix4"",""Form Responses 1!B:C""),2,0),"""")"),8.0)</f>
        <v>8</v>
      </c>
      <c r="AC45" s="70" t="str">
        <f>IFERROR(__xludf.DUMMYFUNCTION("IFERROR(VLOOKUP(TRIM(A45),IMPORTRANGE(""1JbcCdZBzu6Yag8PuyvlbtYmdvUYYQNraxAgoikGBi5w"",""Form Responses 1!B:C""),2,0),"""")"),"")</f>
        <v/>
      </c>
      <c r="AD45" s="70" t="str">
        <f>IFERROR(__xludf.DUMMYFUNCTION("IFERROR(VLOOKUP(TRIM(A45),IMPORTRANGE(""15-YcWQKwT7GXCzNpEoDkSlrruglscDYeQTD3uXec8uQ"",""Form Responses 1!B:C""),2,0),"""")"),"")</f>
        <v/>
      </c>
      <c r="AE45" s="70" t="str">
        <f>IFERROR(__xludf.DUMMYFUNCTION("IFERROR(VLOOKUP(TRIM(A45),IMPORTRANGE(""1X2rXjxJaWCoTCv5SRdgsC_V3cXeEyqXGQY3NvE1KDUk"",""Form Responses 1!B:C""),2,0),"""")"),"")</f>
        <v/>
      </c>
      <c r="AF45" s="70" t="str">
        <f>IFERROR(__xludf.DUMMYFUNCTION("IFERROR(VLOOKUP(TRIM(A45),IMPORTRANGE(""1zEJQnPshpdjcOtCVSP0I8nG2EXKbBMH9BJ8IeNFUEV8"",""Form Responses 1!B:C""),2,0),"""")"),"")</f>
        <v/>
      </c>
      <c r="AG45" s="70"/>
      <c r="AH45" s="70"/>
      <c r="AI45" s="70"/>
      <c r="AJ45" s="70"/>
      <c r="AK45" s="70"/>
      <c r="AL45" s="70"/>
      <c r="AM45" s="70"/>
      <c r="AN45" s="70"/>
      <c r="AO45" s="70"/>
      <c r="AP45" s="70"/>
      <c r="AQ45" s="70"/>
      <c r="AR45" s="70"/>
      <c r="AS45" s="70"/>
      <c r="AT45" s="70"/>
      <c r="AU45" s="70"/>
    </row>
    <row r="46">
      <c r="A46" s="39" t="s">
        <v>295</v>
      </c>
      <c r="B46" s="70">
        <f>IFERROR(__xludf.DUMMYFUNCTION("IFERROR(IF(COUNTIF(IMPORTRANGE(""1RTcwEJsI_0aJRebhNwO_H_AoKl9r46k7hWYbtciIyM4"",""Form Responses 1!B:B""),A46)&gt;0,10,),0)"),10.0)</f>
        <v>10</v>
      </c>
      <c r="C46" s="70">
        <f>IFERROR(__xludf.DUMMYFUNCTION("IFERROR(VLOOKUP(A46,IMPORTRANGE(""11i8IUhq_U6RRKRV3CBWIKqYed_fMvFgNUHTq1YDJfp8"",""Form Responses 1!B:C""),2,FALSE),)"),4.0)</f>
        <v>4</v>
      </c>
      <c r="D46" s="70">
        <f>IFERROR(__xludf.DUMMYFUNCTION("IFERROR(VLOOKUP(A46,IMPORTRANGE(""1StiHxuxrFhYdrq5WLR2JMORicW0TbnJf3J-oTHeMRtM"",""Form Responses 1!B:C""),2,FALSE),)"),3.0)</f>
        <v>3</v>
      </c>
      <c r="E46" s="70">
        <f>IFERROR(__xludf.DUMMYFUNCTION("IFERROR(VLOOKUP(A46,IMPORTRANGE(""1QaxxyUjrDq2kgz300C1Bq1tacFk6e-xX218cSXCQUK0"",""Form Responses 1!B:C""),2,FALSE),)"),4.0)</f>
        <v>4</v>
      </c>
      <c r="F46" s="70">
        <f>IFERROR(__xludf.DUMMYFUNCTION("IFERROR(VLOOKUP(A46,IMPORTRANGE(""1fn2ECph_y8Uz78DhjLaiXcwgt6kh3oe-0Le36Uw0noE"",""Form Responses 1!B:C""),2,FALSE),)"),0.0)</f>
        <v>0</v>
      </c>
      <c r="G46" s="39">
        <f>IFERROR(__xludf.DUMMYFUNCTION("IFERROR(IF(COUNTIF(IMPORTRANGE(""1t6NbzWBtAQKR9pGjBnxm9V-bRaGdRVT_-u2ojrUkYZw"",""Form Responses 1!B:B""),A46)&gt;0,10,),0)"),10.0)</f>
        <v>10</v>
      </c>
      <c r="H46" s="39">
        <f>IFERROR(__xludf.DUMMYFUNCTION("IFERROR(VLOOKUP(A46,IMPORTRANGE(""1ytv6MYmm-8DwYEf-PC6L-upnzfG4TJT_K2_Q1BobE6k"",""Form Responses 1!B:C""),2,FALSE),)"),2.0)</f>
        <v>2</v>
      </c>
      <c r="I46" s="39">
        <f>IFERROR(__xludf.DUMMYFUNCTION("IFERROR(VLOOKUP(A46,IMPORTRANGE(""1LTj0BC6WXgHo3fEDDSQlGOM1HkEYGTw8epmIdU0RnB4"",""Form Responses 1!B:C""),2,FALSE),)"),2.0)</f>
        <v>2</v>
      </c>
      <c r="J46" s="39" t="str">
        <f>IFERROR(__xludf.DUMMYFUNCTION("IFERROR(VLOOKUP(A46,IMPORTRANGE(""1lBH5Hghbbsr-XV8ZpAW4SFOyMpQX5vY0tEjkjRAJH48"",""Form Responses 1!B:C""),2,FALSE),)"),"")</f>
        <v/>
      </c>
      <c r="K46" s="39">
        <f>IFERROR(__xludf.DUMMYFUNCTION("IFERROR(IF(COUNTIF(IMPORTRANGE(""11sIXwmK0co7YC01jkeOYS_Q9btyVErtOm8MrXzqLkm8"",""Form Responses 1!B:B""),A46)&gt;0,10,),0)"),10.0)</f>
        <v>10</v>
      </c>
      <c r="L46" s="70" t="str">
        <f>IFERROR(__xludf.DUMMYFUNCTION("IFERROR(IF(COUNTIF(IMPORTRANGE(""1csqG5dOxr6mnQQeHuLyfSoVeWZspfrn9T3cQFX5jhi8"",""Form Responses 1!B:B""),A46)&gt;0,10,),0)"),"")</f>
        <v/>
      </c>
      <c r="M46" s="70">
        <f>IFERROR(__xludf.DUMMYFUNCTION("IFERROR(VLOOKUP(A46,IMPORTRANGE(""1C8QMXhp6CypS1pNA-UXlEADxmI-6nbSN9P4kujkvESI"",""Form Responses 1!B:C""),2,FALSE),)"),6.0)</f>
        <v>6</v>
      </c>
      <c r="N46" s="70" t="str">
        <f>IFERROR(__xludf.DUMMYFUNCTION("IFERROR(VLOOKUP(A46,IMPORTRANGE(""1e33dV9wgou_u1lnmBtok6Ato-q97II29uUvmeO7Juhw"",""Form Responses 1!B:C""),2,FALSE),)"),"")</f>
        <v/>
      </c>
      <c r="O46" s="70" t="str">
        <f>IFERROR(__xludf.DUMMYFUNCTION("IFERROR(VLOOKUP(A46,IMPORTRANGE(""15TUXUTXgRTcnnjS-jyDta7Ecw7-lv8-wZMGVKaxe8TY"",""Form Responses 1!B:C""),2,FALSE),)"),"")</f>
        <v/>
      </c>
      <c r="P46" s="70" t="str">
        <f>IFERROR(__xludf.DUMMYFUNCTION("IFERROR(IF(COUNTIF(IMPORTRANGE(""1KFxxroaoSLanJBYtWVxeITrgly-aztutk24Q4y14KKU"",""Form Responses 1!B:B""),A46)&gt;0,10,),0)"),"")</f>
        <v/>
      </c>
      <c r="Q46" s="71">
        <f>IFERROR(__xludf.DUMMYFUNCTION("IFERROR(VLOOKUP(TRIM(A46),IMPORTRANGE(""1WjiLR_MTMxI_IZUKuvPO4Sg2rTSIqBzP3edakSRXbOA"",""Form Responses 1!B:C""),2,0),"""")"),2.0)</f>
        <v>2</v>
      </c>
      <c r="R46" s="70" t="str">
        <f>IFERROR(__xludf.DUMMYFUNCTION("IFERROR(VLOOKUP(TRIM(A46),IMPORTRANGE(""1Ixzbal5tEbtWhozsFEppQzOYE6ZSrkNXHg_HW5k3Wt4"",""Form Responses 1!B:C""),2,0),"""")"),"")</f>
        <v/>
      </c>
      <c r="S46" s="70" t="str">
        <f>IFERROR(__xludf.DUMMYFUNCTION("IFERROR(VLOOKUP(TRIM(A46),IMPORTRANGE(""1zxjtEKGvVIJPIDqZdnxENwVpPXYa88EihzyI44hcQUo"",""Form Responses 1!B:C""),2,0),"""")"),"")</f>
        <v/>
      </c>
      <c r="T46" s="70" t="str">
        <f>IFERROR(__xludf.DUMMYFUNCTION("IFERROR(VLOOKUP(TRIM(A46),IMPORTRANGE(""1H3cO01obd5zFULYqaT5NAqecZBFFIHeDFn4CeQLZF3w"",""Form Responses 1!B:C""),2,0),"""")"),"")</f>
        <v/>
      </c>
      <c r="U46" s="70" t="str">
        <f>IFERROR(__xludf.DUMMYFUNCTION("IFERROR(VLOOKUP(TRIM(A46),IMPORTRANGE(""1IG9qoa6PeLdDDFzKpW39lxXshN0-M8Z25a_R1EpsYyg"",""Form Responses 1!B:C""),2,0),"""")"),"")</f>
        <v/>
      </c>
      <c r="V46" s="72"/>
      <c r="W46" s="70">
        <f>IFERROR(__xludf.DUMMYFUNCTION("IFERROR(VLOOKUP(TRIM(A46),IMPORTRANGE(""1JzBbPfIn5kXHe-RuBwssvVRSauekkTw9cwf70DsYix4"",""Form Responses 1!B:C""),2,0),"""")"),12.0)</f>
        <v>12</v>
      </c>
      <c r="X46" s="70">
        <f>IFERROR(__xludf.DUMMYFUNCTION("IFERROR(VLOOKUP(TRIM(A46),IMPORTRANGE(""1JbcCdZBzu6Yag8PuyvlbtYmdvUYYQNraxAgoikGBi5w"",""Form Responses 1!B:C""),2,0),"""")"),14.0)</f>
        <v>14</v>
      </c>
      <c r="Y46" s="70">
        <f>IFERROR(__xludf.DUMMYFUNCTION("IFERROR(VLOOKUP(TRIM(A46),IMPORTRANGE(""15-YcWQKwT7GXCzNpEoDkSlrruglscDYeQTD3uXec8uQ"",""Form Responses 1!B:C""),2,0),"""")"),21.0)</f>
        <v>21</v>
      </c>
      <c r="Z46" s="70">
        <f>IFERROR(__xludf.DUMMYFUNCTION("IFERROR(VLOOKUP(TRIM(A46),IMPORTRANGE(""1X2rXjxJaWCoTCv5SRdgsC_V3cXeEyqXGQY3NvE1KDUk"",""Form Responses 1!B:C""),2,0),"""")"),24.0)</f>
        <v>24</v>
      </c>
      <c r="AA46" s="70" t="str">
        <f>IFERROR(__xludf.DUMMYFUNCTION("IFERROR(VLOOKUP(TRIM(A46),IMPORTRANGE(""1zEJQnPshpdjcOtCVSP0I8nG2EXKbBMH9BJ8IeNFUEV8"",""Form Responses 1!B:C""),2,0),"""")"),"")</f>
        <v/>
      </c>
      <c r="AB46" s="70">
        <f>IFERROR(__xludf.DUMMYFUNCTION("IFERROR(VLOOKUP(TRIM(A46),IMPORTRANGE(""1JzBbPfIn5kXHe-RuBwssvVRSauekkTw9cwf70DsYix4"",""Form Responses 1!B:C""),2,0),"""")"),12.0)</f>
        <v>12</v>
      </c>
      <c r="AC46" s="70">
        <f>IFERROR(__xludf.DUMMYFUNCTION("IFERROR(VLOOKUP(TRIM(A46),IMPORTRANGE(""1JbcCdZBzu6Yag8PuyvlbtYmdvUYYQNraxAgoikGBi5w"",""Form Responses 1!B:C""),2,0),"""")"),14.0)</f>
        <v>14</v>
      </c>
      <c r="AD46" s="70">
        <f>IFERROR(__xludf.DUMMYFUNCTION("IFERROR(VLOOKUP(TRIM(A46),IMPORTRANGE(""15-YcWQKwT7GXCzNpEoDkSlrruglscDYeQTD3uXec8uQ"",""Form Responses 1!B:C""),2,0),"""")"),21.0)</f>
        <v>21</v>
      </c>
      <c r="AE46" s="70">
        <f>IFERROR(__xludf.DUMMYFUNCTION("IFERROR(VLOOKUP(TRIM(A46),IMPORTRANGE(""1X2rXjxJaWCoTCv5SRdgsC_V3cXeEyqXGQY3NvE1KDUk"",""Form Responses 1!B:C""),2,0),"""")"),24.0)</f>
        <v>24</v>
      </c>
      <c r="AF46" s="70" t="str">
        <f>IFERROR(__xludf.DUMMYFUNCTION("IFERROR(VLOOKUP(TRIM(A46),IMPORTRANGE(""1zEJQnPshpdjcOtCVSP0I8nG2EXKbBMH9BJ8IeNFUEV8"",""Form Responses 1!B:C""),2,0),"""")"),"")</f>
        <v/>
      </c>
      <c r="AG46" s="70"/>
      <c r="AH46" s="70"/>
      <c r="AI46" s="70"/>
      <c r="AJ46" s="70"/>
      <c r="AK46" s="70"/>
      <c r="AL46" s="70"/>
      <c r="AM46" s="70"/>
      <c r="AN46" s="70"/>
      <c r="AO46" s="70"/>
      <c r="AP46" s="70"/>
      <c r="AQ46" s="70"/>
      <c r="AR46" s="70"/>
      <c r="AS46" s="70"/>
      <c r="AT46" s="70"/>
      <c r="AU46" s="70"/>
    </row>
    <row r="47">
      <c r="A47" s="39" t="s">
        <v>296</v>
      </c>
      <c r="B47" s="70">
        <f>IFERROR(__xludf.DUMMYFUNCTION("IFERROR(IF(COUNTIF(IMPORTRANGE(""1RTcwEJsI_0aJRebhNwO_H_AoKl9r46k7hWYbtciIyM4"",""Form Responses 1!B:B""),A47)&gt;0,10,),0)"),10.0)</f>
        <v>10</v>
      </c>
      <c r="C47" s="70">
        <f>IFERROR(__xludf.DUMMYFUNCTION("IFERROR(VLOOKUP(A47,IMPORTRANGE(""11i8IUhq_U6RRKRV3CBWIKqYed_fMvFgNUHTq1YDJfp8"",""Form Responses 1!B:C""),2,FALSE),)"),2.0)</f>
        <v>2</v>
      </c>
      <c r="D47" s="70">
        <f>IFERROR(__xludf.DUMMYFUNCTION("IFERROR(VLOOKUP(A47,IMPORTRANGE(""1StiHxuxrFhYdrq5WLR2JMORicW0TbnJf3J-oTHeMRtM"",""Form Responses 1!B:C""),2,FALSE),)"),5.0)</f>
        <v>5</v>
      </c>
      <c r="E47" s="70" t="str">
        <f>IFERROR(__xludf.DUMMYFUNCTION("IFERROR(VLOOKUP(A47,IMPORTRANGE(""1QaxxyUjrDq2kgz300C1Bq1tacFk6e-xX218cSXCQUK0"",""Form Responses 1!B:C""),2,FALSE),)"),"")</f>
        <v/>
      </c>
      <c r="F47" s="70" t="str">
        <f>IFERROR(__xludf.DUMMYFUNCTION("IFERROR(VLOOKUP(A47,IMPORTRANGE(""1fn2ECph_y8Uz78DhjLaiXcwgt6kh3oe-0Le36Uw0noE"",""Form Responses 1!B:C""),2,FALSE),)"),"")</f>
        <v/>
      </c>
      <c r="G47" s="39">
        <f>IFERROR(__xludf.DUMMYFUNCTION("IFERROR(IF(COUNTIF(IMPORTRANGE(""1t6NbzWBtAQKR9pGjBnxm9V-bRaGdRVT_-u2ojrUkYZw"",""Form Responses 1!B:B""),A47)&gt;0,10,),0)"),10.0)</f>
        <v>10</v>
      </c>
      <c r="H47" s="39">
        <f>IFERROR(__xludf.DUMMYFUNCTION("IFERROR(VLOOKUP(A47,IMPORTRANGE(""1ytv6MYmm-8DwYEf-PC6L-upnzfG4TJT_K2_Q1BobE6k"",""Form Responses 1!B:C""),2,FALSE),)"),6.0)</f>
        <v>6</v>
      </c>
      <c r="I47" s="39">
        <f>IFERROR(__xludf.DUMMYFUNCTION("IFERROR(VLOOKUP(A47,IMPORTRANGE(""1LTj0BC6WXgHo3fEDDSQlGOM1HkEYGTw8epmIdU0RnB4"",""Form Responses 1!B:C""),2,FALSE),)"),5.0)</f>
        <v>5</v>
      </c>
      <c r="J47" s="39">
        <f>IFERROR(__xludf.DUMMYFUNCTION("IFERROR(VLOOKUP(A47,IMPORTRANGE(""1lBH5Hghbbsr-XV8ZpAW4SFOyMpQX5vY0tEjkjRAJH48"",""Form Responses 1!B:C""),2,FALSE),)"),0.0)</f>
        <v>0</v>
      </c>
      <c r="K47" s="39" t="str">
        <f>IFERROR(__xludf.DUMMYFUNCTION("IFERROR(IF(COUNTIF(IMPORTRANGE(""11sIXwmK0co7YC01jkeOYS_Q9btyVErtOm8MrXzqLkm8"",""Form Responses 1!B:B""),A47)&gt;0,10,),0)"),"")</f>
        <v/>
      </c>
      <c r="L47" s="70">
        <f>IFERROR(__xludf.DUMMYFUNCTION("IFERROR(IF(COUNTIF(IMPORTRANGE(""1csqG5dOxr6mnQQeHuLyfSoVeWZspfrn9T3cQFX5jhi8"",""Form Responses 1!B:B""),A47)&gt;0,10,),0)"),10.0)</f>
        <v>10</v>
      </c>
      <c r="M47" s="70" t="str">
        <f>IFERROR(__xludf.DUMMYFUNCTION("IFERROR(VLOOKUP(A47,IMPORTRANGE(""1C8QMXhp6CypS1pNA-UXlEADxmI-6nbSN9P4kujkvESI"",""Form Responses 1!B:C""),2,FALSE),)"),"")</f>
        <v/>
      </c>
      <c r="N47" s="70" t="str">
        <f>IFERROR(__xludf.DUMMYFUNCTION("IFERROR(VLOOKUP(A47,IMPORTRANGE(""1e33dV9wgou_u1lnmBtok6Ato-q97II29uUvmeO7Juhw"",""Form Responses 1!B:C""),2,FALSE),)"),"")</f>
        <v/>
      </c>
      <c r="O47" s="70" t="str">
        <f>IFERROR(__xludf.DUMMYFUNCTION("IFERROR(VLOOKUP(A47,IMPORTRANGE(""15TUXUTXgRTcnnjS-jyDta7Ecw7-lv8-wZMGVKaxe8TY"",""Form Responses 1!B:C""),2,FALSE),)"),"")</f>
        <v/>
      </c>
      <c r="P47" s="70" t="str">
        <f>IFERROR(__xludf.DUMMYFUNCTION("IFERROR(IF(COUNTIF(IMPORTRANGE(""1KFxxroaoSLanJBYtWVxeITrgly-aztutk24Q4y14KKU"",""Form Responses 1!B:B""),A47)&gt;0,10,),0)"),"")</f>
        <v/>
      </c>
      <c r="Q47" s="71" t="str">
        <f>IFERROR(__xludf.DUMMYFUNCTION("IFERROR(VLOOKUP(TRIM(A47),IMPORTRANGE(""1WjiLR_MTMxI_IZUKuvPO4Sg2rTSIqBzP3edakSRXbOA"",""Form Responses 1!B:C""),2,0),"""")"),"")</f>
        <v/>
      </c>
      <c r="R47" s="70" t="str">
        <f>IFERROR(__xludf.DUMMYFUNCTION("IFERROR(VLOOKUP(TRIM(A47),IMPORTRANGE(""1Ixzbal5tEbtWhozsFEppQzOYE6ZSrkNXHg_HW5k3Wt4"",""Form Responses 1!B:C""),2,0),"""")"),"")</f>
        <v/>
      </c>
      <c r="S47" s="70" t="str">
        <f>IFERROR(__xludf.DUMMYFUNCTION("IFERROR(VLOOKUP(TRIM(A47),IMPORTRANGE(""1zxjtEKGvVIJPIDqZdnxENwVpPXYa88EihzyI44hcQUo"",""Form Responses 1!B:C""),2,0),"""")"),"")</f>
        <v/>
      </c>
      <c r="T47" s="70" t="str">
        <f>IFERROR(__xludf.DUMMYFUNCTION("IFERROR(VLOOKUP(TRIM(A47),IMPORTRANGE(""1H3cO01obd5zFULYqaT5NAqecZBFFIHeDFn4CeQLZF3w"",""Form Responses 1!B:C""),2,0),"""")"),"")</f>
        <v/>
      </c>
      <c r="U47" s="70" t="str">
        <f>IFERROR(__xludf.DUMMYFUNCTION("IFERROR(VLOOKUP(TRIM(A47),IMPORTRANGE(""1IG9qoa6PeLdDDFzKpW39lxXshN0-M8Z25a_R1EpsYyg"",""Form Responses 1!B:C""),2,0),"""")"),"")</f>
        <v/>
      </c>
      <c r="V47" s="74">
        <v>17.0</v>
      </c>
      <c r="W47" s="70">
        <f>IFERROR(__xludf.DUMMYFUNCTION("IFERROR(VLOOKUP(TRIM(A47),IMPORTRANGE(""1JzBbPfIn5kXHe-RuBwssvVRSauekkTw9cwf70DsYix4"",""Form Responses 1!B:C""),2,0),"""")"),12.0)</f>
        <v>12</v>
      </c>
      <c r="X47" s="70" t="str">
        <f>IFERROR(__xludf.DUMMYFUNCTION("IFERROR(VLOOKUP(TRIM(A47),IMPORTRANGE(""1JbcCdZBzu6Yag8PuyvlbtYmdvUYYQNraxAgoikGBi5w"",""Form Responses 1!B:C""),2,0),"""")"),"")</f>
        <v/>
      </c>
      <c r="Y47" s="70" t="str">
        <f>IFERROR(__xludf.DUMMYFUNCTION("IFERROR(VLOOKUP(TRIM(A47),IMPORTRANGE(""15-YcWQKwT7GXCzNpEoDkSlrruglscDYeQTD3uXec8uQ"",""Form Responses 1!B:C""),2,0),"""")"),"")</f>
        <v/>
      </c>
      <c r="Z47" s="70" t="str">
        <f>IFERROR(__xludf.DUMMYFUNCTION("IFERROR(VLOOKUP(TRIM(A47),IMPORTRANGE(""1X2rXjxJaWCoTCv5SRdgsC_V3cXeEyqXGQY3NvE1KDUk"",""Form Responses 1!B:C""),2,0),"""")"),"")</f>
        <v/>
      </c>
      <c r="AA47" s="70" t="str">
        <f>IFERROR(__xludf.DUMMYFUNCTION("IFERROR(VLOOKUP(TRIM(A47),IMPORTRANGE(""1zEJQnPshpdjcOtCVSP0I8nG2EXKbBMH9BJ8IeNFUEV8"",""Form Responses 1!B:C""),2,0),"""")"),"")</f>
        <v/>
      </c>
      <c r="AB47" s="70">
        <f>IFERROR(__xludf.DUMMYFUNCTION("IFERROR(VLOOKUP(TRIM(A47),IMPORTRANGE(""1JzBbPfIn5kXHe-RuBwssvVRSauekkTw9cwf70DsYix4"",""Form Responses 1!B:C""),2,0),"""")"),12.0)</f>
        <v>12</v>
      </c>
      <c r="AC47" s="70" t="str">
        <f>IFERROR(__xludf.DUMMYFUNCTION("IFERROR(VLOOKUP(TRIM(A47),IMPORTRANGE(""1JbcCdZBzu6Yag8PuyvlbtYmdvUYYQNraxAgoikGBi5w"",""Form Responses 1!B:C""),2,0),"""")"),"")</f>
        <v/>
      </c>
      <c r="AD47" s="70" t="str">
        <f>IFERROR(__xludf.DUMMYFUNCTION("IFERROR(VLOOKUP(TRIM(A47),IMPORTRANGE(""15-YcWQKwT7GXCzNpEoDkSlrruglscDYeQTD3uXec8uQ"",""Form Responses 1!B:C""),2,0),"""")"),"")</f>
        <v/>
      </c>
      <c r="AE47" s="70" t="str">
        <f>IFERROR(__xludf.DUMMYFUNCTION("IFERROR(VLOOKUP(TRIM(A47),IMPORTRANGE(""1X2rXjxJaWCoTCv5SRdgsC_V3cXeEyqXGQY3NvE1KDUk"",""Form Responses 1!B:C""),2,0),"""")"),"")</f>
        <v/>
      </c>
      <c r="AF47" s="70" t="str">
        <f>IFERROR(__xludf.DUMMYFUNCTION("IFERROR(VLOOKUP(TRIM(A47),IMPORTRANGE(""1zEJQnPshpdjcOtCVSP0I8nG2EXKbBMH9BJ8IeNFUEV8"",""Form Responses 1!B:C""),2,0),"""")"),"")</f>
        <v/>
      </c>
      <c r="AG47" s="70"/>
      <c r="AH47" s="70"/>
      <c r="AI47" s="70"/>
      <c r="AJ47" s="70"/>
      <c r="AK47" s="70"/>
      <c r="AL47" s="70"/>
      <c r="AM47" s="70"/>
      <c r="AN47" s="70"/>
      <c r="AO47" s="70"/>
      <c r="AP47" s="70"/>
      <c r="AQ47" s="70"/>
      <c r="AR47" s="70"/>
      <c r="AS47" s="70"/>
      <c r="AT47" s="70"/>
      <c r="AU47" s="70"/>
    </row>
    <row r="48">
      <c r="A48" s="39" t="s">
        <v>297</v>
      </c>
      <c r="B48" s="70">
        <f>IFERROR(__xludf.DUMMYFUNCTION("IFERROR(IF(COUNTIF(IMPORTRANGE(""1RTcwEJsI_0aJRebhNwO_H_AoKl9r46k7hWYbtciIyM4"",""Form Responses 1!B:B""),A48)&gt;0,10,),0)"),10.0)</f>
        <v>10</v>
      </c>
      <c r="C48" s="70">
        <f>IFERROR(__xludf.DUMMYFUNCTION("IFERROR(VLOOKUP(A48,IMPORTRANGE(""11i8IUhq_U6RRKRV3CBWIKqYed_fMvFgNUHTq1YDJfp8"",""Form Responses 1!B:C""),2,FALSE),)"),7.0)</f>
        <v>7</v>
      </c>
      <c r="D48" s="70">
        <f>IFERROR(__xludf.DUMMYFUNCTION("IFERROR(VLOOKUP(A48,IMPORTRANGE(""1StiHxuxrFhYdrq5WLR2JMORicW0TbnJf3J-oTHeMRtM"",""Form Responses 1!B:C""),2,FALSE),)"),10.0)</f>
        <v>10</v>
      </c>
      <c r="E48" s="70">
        <f>IFERROR(__xludf.DUMMYFUNCTION("IFERROR(VLOOKUP(A48,IMPORTRANGE(""1QaxxyUjrDq2kgz300C1Bq1tacFk6e-xX218cSXCQUK0"",""Form Responses 1!B:C""),2,FALSE),)"),4.0)</f>
        <v>4</v>
      </c>
      <c r="F48" s="70">
        <f>IFERROR(__xludf.DUMMYFUNCTION("IFERROR(VLOOKUP(A48,IMPORTRANGE(""1fn2ECph_y8Uz78DhjLaiXcwgt6kh3oe-0Le36Uw0noE"",""Form Responses 1!B:C""),2,FALSE),)"),10.0)</f>
        <v>10</v>
      </c>
      <c r="G48" s="39">
        <f>IFERROR(__xludf.DUMMYFUNCTION("IFERROR(IF(COUNTIF(IMPORTRANGE(""1t6NbzWBtAQKR9pGjBnxm9V-bRaGdRVT_-u2ojrUkYZw"",""Form Responses 1!B:B""),A48)&gt;0,10,),0)"),10.0)</f>
        <v>10</v>
      </c>
      <c r="H48" s="39">
        <f>IFERROR(__xludf.DUMMYFUNCTION("IFERROR(VLOOKUP(A48,IMPORTRANGE(""1ytv6MYmm-8DwYEf-PC6L-upnzfG4TJT_K2_Q1BobE6k"",""Form Responses 1!B:C""),2,FALSE),)"),4.0)</f>
        <v>4</v>
      </c>
      <c r="I48" s="39">
        <f>IFERROR(__xludf.DUMMYFUNCTION("IFERROR(VLOOKUP(A48,IMPORTRANGE(""1LTj0BC6WXgHo3fEDDSQlGOM1HkEYGTw8epmIdU0RnB4"",""Form Responses 1!B:C""),2,FALSE),)"),10.0)</f>
        <v>10</v>
      </c>
      <c r="J48" s="39" t="str">
        <f>IFERROR(__xludf.DUMMYFUNCTION("IFERROR(VLOOKUP(A48,IMPORTRANGE(""1lBH5Hghbbsr-XV8ZpAW4SFOyMpQX5vY0tEjkjRAJH48"",""Form Responses 1!B:C""),2,FALSE),)"),"")</f>
        <v/>
      </c>
      <c r="K48" s="39" t="str">
        <f>IFERROR(__xludf.DUMMYFUNCTION("IFERROR(IF(COUNTIF(IMPORTRANGE(""11sIXwmK0co7YC01jkeOYS_Q9btyVErtOm8MrXzqLkm8"",""Form Responses 1!B:B""),A48)&gt;0,10,),0)"),"")</f>
        <v/>
      </c>
      <c r="L48" s="70">
        <f>IFERROR(__xludf.DUMMYFUNCTION("IFERROR(IF(COUNTIF(IMPORTRANGE(""1csqG5dOxr6mnQQeHuLyfSoVeWZspfrn9T3cQFX5jhi8"",""Form Responses 1!B:B""),A48)&gt;0,10,),0)"),10.0)</f>
        <v>10</v>
      </c>
      <c r="M48" s="70">
        <f>IFERROR(__xludf.DUMMYFUNCTION("IFERROR(VLOOKUP(A48,IMPORTRANGE(""1C8QMXhp6CypS1pNA-UXlEADxmI-6nbSN9P4kujkvESI"",""Form Responses 1!B:C""),2,FALSE),)"),17.0)</f>
        <v>17</v>
      </c>
      <c r="N48" s="70" t="str">
        <f>IFERROR(__xludf.DUMMYFUNCTION("IFERROR(VLOOKUP(A48,IMPORTRANGE(""1e33dV9wgou_u1lnmBtok6Ato-q97II29uUvmeO7Juhw"",""Form Responses 1!B:C""),2,FALSE),)"),"")</f>
        <v/>
      </c>
      <c r="O48" s="70" t="str">
        <f>IFERROR(__xludf.DUMMYFUNCTION("IFERROR(VLOOKUP(A48,IMPORTRANGE(""15TUXUTXgRTcnnjS-jyDta7Ecw7-lv8-wZMGVKaxe8TY"",""Form Responses 1!B:C""),2,FALSE),)"),"")</f>
        <v/>
      </c>
      <c r="P48" s="70" t="str">
        <f>IFERROR(__xludf.DUMMYFUNCTION("IFERROR(IF(COUNTIF(IMPORTRANGE(""1KFxxroaoSLanJBYtWVxeITrgly-aztutk24Q4y14KKU"",""Form Responses 1!B:B""),A48)&gt;0,10,),0)"),"")</f>
        <v/>
      </c>
      <c r="Q48" s="71">
        <f>IFERROR(__xludf.DUMMYFUNCTION("IFERROR(VLOOKUP(TRIM(A48),IMPORTRANGE(""1WjiLR_MTMxI_IZUKuvPO4Sg2rTSIqBzP3edakSRXbOA"",""Form Responses 1!B:C""),2,0),"""")"),10.0)</f>
        <v>10</v>
      </c>
      <c r="R48" s="70">
        <f>IFERROR(__xludf.DUMMYFUNCTION("IFERROR(VLOOKUP(TRIM(A48),IMPORTRANGE(""1Ixzbal5tEbtWhozsFEppQzOYE6ZSrkNXHg_HW5k3Wt4"",""Form Responses 1!B:C""),2,0),"""")"),9.0)</f>
        <v>9</v>
      </c>
      <c r="S48" s="70">
        <f>IFERROR(__xludf.DUMMYFUNCTION("IFERROR(VLOOKUP(TRIM(A48),IMPORTRANGE(""1zxjtEKGvVIJPIDqZdnxENwVpPXYa88EihzyI44hcQUo"",""Form Responses 1!B:C""),2,0),"""")"),6.0)</f>
        <v>6</v>
      </c>
      <c r="T48" s="70" t="str">
        <f>IFERROR(__xludf.DUMMYFUNCTION("IFERROR(VLOOKUP(TRIM(A48),IMPORTRANGE(""1H3cO01obd5zFULYqaT5NAqecZBFFIHeDFn4CeQLZF3w"",""Form Responses 1!B:C""),2,0),"""")"),"")</f>
        <v/>
      </c>
      <c r="U48" s="70">
        <f>IFERROR(__xludf.DUMMYFUNCTION("IFERROR(VLOOKUP(TRIM(A48),IMPORTRANGE(""1IG9qoa6PeLdDDFzKpW39lxXshN0-M8Z25a_R1EpsYyg"",""Form Responses 1!B:C""),2,0),"""")"),4.0)</f>
        <v>4</v>
      </c>
      <c r="V48" s="74">
        <v>32.0</v>
      </c>
      <c r="W48" s="70">
        <f>IFERROR(__xludf.DUMMYFUNCTION("IFERROR(VLOOKUP(TRIM(A48),IMPORTRANGE(""1JzBbPfIn5kXHe-RuBwssvVRSauekkTw9cwf70DsYix4"",""Form Responses 1!B:C""),2,0),"""")"),9.0)</f>
        <v>9</v>
      </c>
      <c r="X48" s="70">
        <f>IFERROR(__xludf.DUMMYFUNCTION("IFERROR(VLOOKUP(TRIM(A48),IMPORTRANGE(""1JbcCdZBzu6Yag8PuyvlbtYmdvUYYQNraxAgoikGBi5w"",""Form Responses 1!B:C""),2,0),"""")"),20.0)</f>
        <v>20</v>
      </c>
      <c r="Y48" s="70">
        <f>IFERROR(__xludf.DUMMYFUNCTION("IFERROR(VLOOKUP(TRIM(A48),IMPORTRANGE(""15-YcWQKwT7GXCzNpEoDkSlrruglscDYeQTD3uXec8uQ"",""Form Responses 1!B:C""),2,0),"""")"),21.0)</f>
        <v>21</v>
      </c>
      <c r="Z48" s="70" t="str">
        <f>IFERROR(__xludf.DUMMYFUNCTION("IFERROR(VLOOKUP(TRIM(A48),IMPORTRANGE(""1X2rXjxJaWCoTCv5SRdgsC_V3cXeEyqXGQY3NvE1KDUk"",""Form Responses 1!B:C""),2,0),"""")"),"")</f>
        <v/>
      </c>
      <c r="AA48" s="70">
        <f>IFERROR(__xludf.DUMMYFUNCTION("IFERROR(VLOOKUP(TRIM(A48),IMPORTRANGE(""1zEJQnPshpdjcOtCVSP0I8nG2EXKbBMH9BJ8IeNFUEV8"",""Form Responses 1!B:C""),2,0),"""")"),21.0)</f>
        <v>21</v>
      </c>
      <c r="AB48" s="70">
        <f>IFERROR(__xludf.DUMMYFUNCTION("IFERROR(VLOOKUP(TRIM(A48),IMPORTRANGE(""1JzBbPfIn5kXHe-RuBwssvVRSauekkTw9cwf70DsYix4"",""Form Responses 1!B:C""),2,0),"""")"),9.0)</f>
        <v>9</v>
      </c>
      <c r="AC48" s="70">
        <f>IFERROR(__xludf.DUMMYFUNCTION("IFERROR(VLOOKUP(TRIM(A48),IMPORTRANGE(""1JbcCdZBzu6Yag8PuyvlbtYmdvUYYQNraxAgoikGBi5w"",""Form Responses 1!B:C""),2,0),"""")"),20.0)</f>
        <v>20</v>
      </c>
      <c r="AD48" s="70">
        <f>IFERROR(__xludf.DUMMYFUNCTION("IFERROR(VLOOKUP(TRIM(A48),IMPORTRANGE(""15-YcWQKwT7GXCzNpEoDkSlrruglscDYeQTD3uXec8uQ"",""Form Responses 1!B:C""),2,0),"""")"),21.0)</f>
        <v>21</v>
      </c>
      <c r="AE48" s="70" t="str">
        <f>IFERROR(__xludf.DUMMYFUNCTION("IFERROR(VLOOKUP(TRIM(A48),IMPORTRANGE(""1X2rXjxJaWCoTCv5SRdgsC_V3cXeEyqXGQY3NvE1KDUk"",""Form Responses 1!B:C""),2,0),"""")"),"")</f>
        <v/>
      </c>
      <c r="AF48" s="70">
        <f>IFERROR(__xludf.DUMMYFUNCTION("IFERROR(VLOOKUP(TRIM(A48),IMPORTRANGE(""1zEJQnPshpdjcOtCVSP0I8nG2EXKbBMH9BJ8IeNFUEV8"",""Form Responses 1!B:C""),2,0),"""")"),21.0)</f>
        <v>21</v>
      </c>
      <c r="AG48" s="70"/>
      <c r="AH48" s="70"/>
      <c r="AI48" s="70"/>
      <c r="AJ48" s="70"/>
      <c r="AK48" s="70"/>
      <c r="AL48" s="70"/>
      <c r="AM48" s="70"/>
      <c r="AN48" s="70"/>
      <c r="AO48" s="70"/>
      <c r="AP48" s="70"/>
      <c r="AQ48" s="70"/>
      <c r="AR48" s="70"/>
      <c r="AS48" s="70"/>
      <c r="AT48" s="70"/>
      <c r="AU48" s="70"/>
    </row>
    <row r="49">
      <c r="A49" s="39" t="s">
        <v>298</v>
      </c>
      <c r="B49" s="70">
        <f>IFERROR(__xludf.DUMMYFUNCTION("IFERROR(IF(COUNTIF(IMPORTRANGE(""1RTcwEJsI_0aJRebhNwO_H_AoKl9r46k7hWYbtciIyM4"",""Form Responses 1!B:B""),A49)&gt;0,10,),0)"),10.0)</f>
        <v>10</v>
      </c>
      <c r="C49" s="70" t="str">
        <f>IFERROR(__xludf.DUMMYFUNCTION("IFERROR(VLOOKUP(A49,IMPORTRANGE(""11i8IUhq_U6RRKRV3CBWIKqYed_fMvFgNUHTq1YDJfp8"",""Form Responses 1!B:C""),2,FALSE),)"),"")</f>
        <v/>
      </c>
      <c r="D49" s="70" t="str">
        <f>IFERROR(__xludf.DUMMYFUNCTION("IFERROR(VLOOKUP(A49,IMPORTRANGE(""1StiHxuxrFhYdrq5WLR2JMORicW0TbnJf3J-oTHeMRtM"",""Form Responses 1!B:C""),2,FALSE),)"),"")</f>
        <v/>
      </c>
      <c r="E49" s="70" t="str">
        <f>IFERROR(__xludf.DUMMYFUNCTION("IFERROR(VLOOKUP(A49,IMPORTRANGE(""1QaxxyUjrDq2kgz300C1Bq1tacFk6e-xX218cSXCQUK0"",""Form Responses 1!B:C""),2,FALSE),)"),"")</f>
        <v/>
      </c>
      <c r="F49" s="70" t="str">
        <f>IFERROR(__xludf.DUMMYFUNCTION("IFERROR(VLOOKUP(A49,IMPORTRANGE(""1fn2ECph_y8Uz78DhjLaiXcwgt6kh3oe-0Le36Uw0noE"",""Form Responses 1!B:C""),2,FALSE),)"),"")</f>
        <v/>
      </c>
      <c r="G49" s="39">
        <f>IFERROR(__xludf.DUMMYFUNCTION("IFERROR(IF(COUNTIF(IMPORTRANGE(""1t6NbzWBtAQKR9pGjBnxm9V-bRaGdRVT_-u2ojrUkYZw"",""Form Responses 1!B:B""),A49)&gt;0,10,),0)"),10.0)</f>
        <v>10</v>
      </c>
      <c r="H49" s="39" t="str">
        <f>IFERROR(__xludf.DUMMYFUNCTION("IFERROR(VLOOKUP(A49,IMPORTRANGE(""1ytv6MYmm-8DwYEf-PC6L-upnzfG4TJT_K2_Q1BobE6k"",""Form Responses 1!B:C""),2,FALSE),)"),"")</f>
        <v/>
      </c>
      <c r="I49" s="39" t="str">
        <f>IFERROR(__xludf.DUMMYFUNCTION("IFERROR(VLOOKUP(A49,IMPORTRANGE(""1LTj0BC6WXgHo3fEDDSQlGOM1HkEYGTw8epmIdU0RnB4"",""Form Responses 1!B:C""),2,FALSE),)"),"")</f>
        <v/>
      </c>
      <c r="J49" s="39" t="str">
        <f>IFERROR(__xludf.DUMMYFUNCTION("IFERROR(VLOOKUP(A49,IMPORTRANGE(""1lBH5Hghbbsr-XV8ZpAW4SFOyMpQX5vY0tEjkjRAJH48"",""Form Responses 1!B:C""),2,FALSE),)"),"")</f>
        <v/>
      </c>
      <c r="K49" s="39" t="str">
        <f>IFERROR(__xludf.DUMMYFUNCTION("IFERROR(IF(COUNTIF(IMPORTRANGE(""11sIXwmK0co7YC01jkeOYS_Q9btyVErtOm8MrXzqLkm8"",""Form Responses 1!B:B""),A49)&gt;0,10,),0)"),"")</f>
        <v/>
      </c>
      <c r="L49" s="70" t="str">
        <f>IFERROR(__xludf.DUMMYFUNCTION("IFERROR(IF(COUNTIF(IMPORTRANGE(""1csqG5dOxr6mnQQeHuLyfSoVeWZspfrn9T3cQFX5jhi8"",""Form Responses 1!B:B""),A49)&gt;0,10,),0)"),"")</f>
        <v/>
      </c>
      <c r="M49" s="70" t="str">
        <f>IFERROR(__xludf.DUMMYFUNCTION("IFERROR(VLOOKUP(A49,IMPORTRANGE(""1C8QMXhp6CypS1pNA-UXlEADxmI-6nbSN9P4kujkvESI"",""Form Responses 1!B:C""),2,FALSE),)"),"")</f>
        <v/>
      </c>
      <c r="N49" s="70" t="str">
        <f>IFERROR(__xludf.DUMMYFUNCTION("IFERROR(VLOOKUP(A49,IMPORTRANGE(""1e33dV9wgou_u1lnmBtok6Ato-q97II29uUvmeO7Juhw"",""Form Responses 1!B:C""),2,FALSE),)"),"")</f>
        <v/>
      </c>
      <c r="O49" s="70" t="str">
        <f>IFERROR(__xludf.DUMMYFUNCTION("IFERROR(VLOOKUP(A49,IMPORTRANGE(""15TUXUTXgRTcnnjS-jyDta7Ecw7-lv8-wZMGVKaxe8TY"",""Form Responses 1!B:C""),2,FALSE),)"),"")</f>
        <v/>
      </c>
      <c r="P49" s="70" t="str">
        <f>IFERROR(__xludf.DUMMYFUNCTION("IFERROR(IF(COUNTIF(IMPORTRANGE(""1KFxxroaoSLanJBYtWVxeITrgly-aztutk24Q4y14KKU"",""Form Responses 1!B:B""),A49)&gt;0,10,),0)"),"")</f>
        <v/>
      </c>
      <c r="Q49" s="71" t="str">
        <f>IFERROR(__xludf.DUMMYFUNCTION("IFERROR(VLOOKUP(TRIM(A49),IMPORTRANGE(""1WjiLR_MTMxI_IZUKuvPO4Sg2rTSIqBzP3edakSRXbOA"",""Form Responses 1!B:C""),2,0),"""")"),"")</f>
        <v/>
      </c>
      <c r="R49" s="70" t="str">
        <f>IFERROR(__xludf.DUMMYFUNCTION("IFERROR(VLOOKUP(TRIM(A49),IMPORTRANGE(""1Ixzbal5tEbtWhozsFEppQzOYE6ZSrkNXHg_HW5k3Wt4"",""Form Responses 1!B:C""),2,0),"""")"),"")</f>
        <v/>
      </c>
      <c r="S49" s="70" t="str">
        <f>IFERROR(__xludf.DUMMYFUNCTION("IFERROR(VLOOKUP(TRIM(A49),IMPORTRANGE(""1zxjtEKGvVIJPIDqZdnxENwVpPXYa88EihzyI44hcQUo"",""Form Responses 1!B:C""),2,0),"""")"),"")</f>
        <v/>
      </c>
      <c r="T49" s="70" t="str">
        <f>IFERROR(__xludf.DUMMYFUNCTION("IFERROR(VLOOKUP(TRIM(A49),IMPORTRANGE(""1H3cO01obd5zFULYqaT5NAqecZBFFIHeDFn4CeQLZF3w"",""Form Responses 1!B:C""),2,0),"""")"),"")</f>
        <v/>
      </c>
      <c r="U49" s="70" t="str">
        <f>IFERROR(__xludf.DUMMYFUNCTION("IFERROR(VLOOKUP(TRIM(A49),IMPORTRANGE(""1IG9qoa6PeLdDDFzKpW39lxXshN0-M8Z25a_R1EpsYyg"",""Form Responses 1!B:C""),2,0),"""")"),"")</f>
        <v/>
      </c>
      <c r="V49" s="74">
        <v>9.0</v>
      </c>
      <c r="W49" s="70" t="str">
        <f>IFERROR(__xludf.DUMMYFUNCTION("IFERROR(VLOOKUP(TRIM(A49),IMPORTRANGE(""1JzBbPfIn5kXHe-RuBwssvVRSauekkTw9cwf70DsYix4"",""Form Responses 1!B:C""),2,0),"""")"),"")</f>
        <v/>
      </c>
      <c r="X49" s="70" t="str">
        <f>IFERROR(__xludf.DUMMYFUNCTION("IFERROR(VLOOKUP(TRIM(A49),IMPORTRANGE(""1JbcCdZBzu6Yag8PuyvlbtYmdvUYYQNraxAgoikGBi5w"",""Form Responses 1!B:C""),2,0),"""")"),"")</f>
        <v/>
      </c>
      <c r="Y49" s="70" t="str">
        <f>IFERROR(__xludf.DUMMYFUNCTION("IFERROR(VLOOKUP(TRIM(A49),IMPORTRANGE(""15-YcWQKwT7GXCzNpEoDkSlrruglscDYeQTD3uXec8uQ"",""Form Responses 1!B:C""),2,0),"""")"),"")</f>
        <v/>
      </c>
      <c r="Z49" s="70" t="str">
        <f>IFERROR(__xludf.DUMMYFUNCTION("IFERROR(VLOOKUP(TRIM(A49),IMPORTRANGE(""1X2rXjxJaWCoTCv5SRdgsC_V3cXeEyqXGQY3NvE1KDUk"",""Form Responses 1!B:C""),2,0),"""")"),"")</f>
        <v/>
      </c>
      <c r="AA49" s="70" t="str">
        <f>IFERROR(__xludf.DUMMYFUNCTION("IFERROR(VLOOKUP(TRIM(A49),IMPORTRANGE(""1zEJQnPshpdjcOtCVSP0I8nG2EXKbBMH9BJ8IeNFUEV8"",""Form Responses 1!B:C""),2,0),"""")"),"")</f>
        <v/>
      </c>
      <c r="AB49" s="70" t="str">
        <f>IFERROR(__xludf.DUMMYFUNCTION("IFERROR(VLOOKUP(TRIM(A49),IMPORTRANGE(""1JzBbPfIn5kXHe-RuBwssvVRSauekkTw9cwf70DsYix4"",""Form Responses 1!B:C""),2,0),"""")"),"")</f>
        <v/>
      </c>
      <c r="AC49" s="70" t="str">
        <f>IFERROR(__xludf.DUMMYFUNCTION("IFERROR(VLOOKUP(TRIM(A49),IMPORTRANGE(""1JbcCdZBzu6Yag8PuyvlbtYmdvUYYQNraxAgoikGBi5w"",""Form Responses 1!B:C""),2,0),"""")"),"")</f>
        <v/>
      </c>
      <c r="AD49" s="70" t="str">
        <f>IFERROR(__xludf.DUMMYFUNCTION("IFERROR(VLOOKUP(TRIM(A49),IMPORTRANGE(""15-YcWQKwT7GXCzNpEoDkSlrruglscDYeQTD3uXec8uQ"",""Form Responses 1!B:C""),2,0),"""")"),"")</f>
        <v/>
      </c>
      <c r="AE49" s="70" t="str">
        <f>IFERROR(__xludf.DUMMYFUNCTION("IFERROR(VLOOKUP(TRIM(A49),IMPORTRANGE(""1X2rXjxJaWCoTCv5SRdgsC_V3cXeEyqXGQY3NvE1KDUk"",""Form Responses 1!B:C""),2,0),"""")"),"")</f>
        <v/>
      </c>
      <c r="AF49" s="70" t="str">
        <f>IFERROR(__xludf.DUMMYFUNCTION("IFERROR(VLOOKUP(TRIM(A49),IMPORTRANGE(""1zEJQnPshpdjcOtCVSP0I8nG2EXKbBMH9BJ8IeNFUEV8"",""Form Responses 1!B:C""),2,0),"""")"),"")</f>
        <v/>
      </c>
      <c r="AG49" s="70"/>
      <c r="AH49" s="70"/>
      <c r="AI49" s="70"/>
      <c r="AJ49" s="70"/>
      <c r="AK49" s="70"/>
      <c r="AL49" s="70"/>
      <c r="AM49" s="70"/>
      <c r="AN49" s="70"/>
      <c r="AO49" s="70"/>
      <c r="AP49" s="70"/>
      <c r="AQ49" s="70"/>
      <c r="AR49" s="70"/>
      <c r="AS49" s="70"/>
      <c r="AT49" s="70"/>
      <c r="AU49" s="70"/>
    </row>
    <row r="50">
      <c r="A50" s="39" t="s">
        <v>299</v>
      </c>
      <c r="B50" s="70" t="str">
        <f>IFERROR(__xludf.DUMMYFUNCTION("IFERROR(IF(COUNTIF(IMPORTRANGE(""1RTcwEJsI_0aJRebhNwO_H_AoKl9r46k7hWYbtciIyM4"",""Form Responses 1!B:B""),A50)&gt;0,10,),0)"),"")</f>
        <v/>
      </c>
      <c r="C50" s="70" t="str">
        <f>IFERROR(__xludf.DUMMYFUNCTION("IFERROR(VLOOKUP(A50,IMPORTRANGE(""11i8IUhq_U6RRKRV3CBWIKqYed_fMvFgNUHTq1YDJfp8"",""Form Responses 1!B:C""),2,FALSE),)"),"")</f>
        <v/>
      </c>
      <c r="D50" s="70" t="str">
        <f>IFERROR(__xludf.DUMMYFUNCTION("IFERROR(VLOOKUP(A50,IMPORTRANGE(""1StiHxuxrFhYdrq5WLR2JMORicW0TbnJf3J-oTHeMRtM"",""Form Responses 1!B:C""),2,FALSE),)"),"")</f>
        <v/>
      </c>
      <c r="E50" s="70" t="str">
        <f>IFERROR(__xludf.DUMMYFUNCTION("IFERROR(VLOOKUP(A50,IMPORTRANGE(""1QaxxyUjrDq2kgz300C1Bq1tacFk6e-xX218cSXCQUK0"",""Form Responses 1!B:C""),2,FALSE),)"),"")</f>
        <v/>
      </c>
      <c r="F50" s="70" t="str">
        <f>IFERROR(__xludf.DUMMYFUNCTION("IFERROR(VLOOKUP(A50,IMPORTRANGE(""1fn2ECph_y8Uz78DhjLaiXcwgt6kh3oe-0Le36Uw0noE"",""Form Responses 1!B:C""),2,FALSE),)"),"")</f>
        <v/>
      </c>
      <c r="G50" s="39">
        <f>IFERROR(__xludf.DUMMYFUNCTION("IFERROR(IF(COUNTIF(IMPORTRANGE(""1t6NbzWBtAQKR9pGjBnxm9V-bRaGdRVT_-u2ojrUkYZw"",""Form Responses 1!B:B""),A50)&gt;0,10,),0)"),10.0)</f>
        <v>10</v>
      </c>
      <c r="H50" s="39" t="str">
        <f>IFERROR(__xludf.DUMMYFUNCTION("IFERROR(VLOOKUP(A50,IMPORTRANGE(""1ytv6MYmm-8DwYEf-PC6L-upnzfG4TJT_K2_Q1BobE6k"",""Form Responses 1!B:C""),2,FALSE),)"),"")</f>
        <v/>
      </c>
      <c r="I50" s="39" t="str">
        <f>IFERROR(__xludf.DUMMYFUNCTION("IFERROR(VLOOKUP(A50,IMPORTRANGE(""1LTj0BC6WXgHo3fEDDSQlGOM1HkEYGTw8epmIdU0RnB4"",""Form Responses 1!B:C""),2,FALSE),)"),"")</f>
        <v/>
      </c>
      <c r="J50" s="39" t="str">
        <f>IFERROR(__xludf.DUMMYFUNCTION("IFERROR(VLOOKUP(A50,IMPORTRANGE(""1lBH5Hghbbsr-XV8ZpAW4SFOyMpQX5vY0tEjkjRAJH48"",""Form Responses 1!B:C""),2,FALSE),)"),"")</f>
        <v/>
      </c>
      <c r="K50" s="39" t="str">
        <f>IFERROR(__xludf.DUMMYFUNCTION("IFERROR(IF(COUNTIF(IMPORTRANGE(""11sIXwmK0co7YC01jkeOYS_Q9btyVErtOm8MrXzqLkm8"",""Form Responses 1!B:B""),A50)&gt;0,10,),0)"),"")</f>
        <v/>
      </c>
      <c r="L50" s="70">
        <f>IFERROR(__xludf.DUMMYFUNCTION("IFERROR(IF(COUNTIF(IMPORTRANGE(""1csqG5dOxr6mnQQeHuLyfSoVeWZspfrn9T3cQFX5jhi8"",""Form Responses 1!B:B""),A50)&gt;0,10,),0)"),10.0)</f>
        <v>10</v>
      </c>
      <c r="M50" s="70" t="str">
        <f>IFERROR(__xludf.DUMMYFUNCTION("IFERROR(VLOOKUP(A50,IMPORTRANGE(""1C8QMXhp6CypS1pNA-UXlEADxmI-6nbSN9P4kujkvESI"",""Form Responses 1!B:C""),2,FALSE),)"),"")</f>
        <v/>
      </c>
      <c r="N50" s="70">
        <f>IFERROR(__xludf.DUMMYFUNCTION("IFERROR(VLOOKUP(A50,IMPORTRANGE(""1e33dV9wgou_u1lnmBtok6Ato-q97II29uUvmeO7Juhw"",""Form Responses 1!B:C""),2,FALSE),)"),4.0)</f>
        <v>4</v>
      </c>
      <c r="O50" s="70" t="str">
        <f>IFERROR(__xludf.DUMMYFUNCTION("IFERROR(VLOOKUP(A50,IMPORTRANGE(""15TUXUTXgRTcnnjS-jyDta7Ecw7-lv8-wZMGVKaxe8TY"",""Form Responses 1!B:C""),2,FALSE),)"),"")</f>
        <v/>
      </c>
      <c r="P50" s="70">
        <f>IFERROR(__xludf.DUMMYFUNCTION("IFERROR(IF(COUNTIF(IMPORTRANGE(""1KFxxroaoSLanJBYtWVxeITrgly-aztutk24Q4y14KKU"",""Form Responses 1!B:B""),A50)&gt;0,10,),0)"),10.0)</f>
        <v>10</v>
      </c>
      <c r="Q50" s="71">
        <f>IFERROR(__xludf.DUMMYFUNCTION("IFERROR(VLOOKUP(TRIM(A50),IMPORTRANGE(""1WjiLR_MTMxI_IZUKuvPO4Sg2rTSIqBzP3edakSRXbOA"",""Form Responses 1!B:C""),2,0),"""")"),2.0)</f>
        <v>2</v>
      </c>
      <c r="R50" s="70">
        <f>IFERROR(__xludf.DUMMYFUNCTION("IFERROR(VLOOKUP(TRIM(A50),IMPORTRANGE(""1Ixzbal5tEbtWhozsFEppQzOYE6ZSrkNXHg_HW5k3Wt4"",""Form Responses 1!B:C""),2,0),"""")"),4.0)</f>
        <v>4</v>
      </c>
      <c r="S50" s="70">
        <f>IFERROR(__xludf.DUMMYFUNCTION("IFERROR(VLOOKUP(TRIM(A50),IMPORTRANGE(""1zxjtEKGvVIJPIDqZdnxENwVpPXYa88EihzyI44hcQUo"",""Form Responses 1!B:C""),2,0),"""")"),2.0)</f>
        <v>2</v>
      </c>
      <c r="T50" s="70">
        <f>IFERROR(__xludf.DUMMYFUNCTION("IFERROR(VLOOKUP(TRIM(A50),IMPORTRANGE(""1H3cO01obd5zFULYqaT5NAqecZBFFIHeDFn4CeQLZF3w"",""Form Responses 1!B:C""),2,0),"""")"),0.0)</f>
        <v>0</v>
      </c>
      <c r="U50" s="70">
        <f>IFERROR(__xludf.DUMMYFUNCTION("IFERROR(VLOOKUP(TRIM(A50),IMPORTRANGE(""1IG9qoa6PeLdDDFzKpW39lxXshN0-M8Z25a_R1EpsYyg"",""Form Responses 1!B:C""),2,0),"""")"),4.0)</f>
        <v>4</v>
      </c>
      <c r="V50" s="72"/>
      <c r="W50" s="70">
        <f>IFERROR(__xludf.DUMMYFUNCTION("IFERROR(VLOOKUP(TRIM(A50),IMPORTRANGE(""1JzBbPfIn5kXHe-RuBwssvVRSauekkTw9cwf70DsYix4"",""Form Responses 1!B:C""),2,0),"""")"),9.0)</f>
        <v>9</v>
      </c>
      <c r="X50" s="70">
        <f>IFERROR(__xludf.DUMMYFUNCTION("IFERROR(VLOOKUP(TRIM(A50),IMPORTRANGE(""1JbcCdZBzu6Yag8PuyvlbtYmdvUYYQNraxAgoikGBi5w"",""Form Responses 1!B:C""),2,0),"""")"),16.0)</f>
        <v>16</v>
      </c>
      <c r="Y50" s="70">
        <f>IFERROR(__xludf.DUMMYFUNCTION("IFERROR(VLOOKUP(TRIM(A50),IMPORTRANGE(""15-YcWQKwT7GXCzNpEoDkSlrruglscDYeQTD3uXec8uQ"",""Form Responses 1!B:C""),2,0),"""")"),15.0)</f>
        <v>15</v>
      </c>
      <c r="Z50" s="70" t="str">
        <f>IFERROR(__xludf.DUMMYFUNCTION("IFERROR(VLOOKUP(TRIM(A50),IMPORTRANGE(""1X2rXjxJaWCoTCv5SRdgsC_V3cXeEyqXGQY3NvE1KDUk"",""Form Responses 1!B:C""),2,0),"""")"),"")</f>
        <v/>
      </c>
      <c r="AA50" s="70" t="str">
        <f>IFERROR(__xludf.DUMMYFUNCTION("IFERROR(VLOOKUP(TRIM(A50),IMPORTRANGE(""1zEJQnPshpdjcOtCVSP0I8nG2EXKbBMH9BJ8IeNFUEV8"",""Form Responses 1!B:C""),2,0),"""")"),"")</f>
        <v/>
      </c>
      <c r="AB50" s="70">
        <f>IFERROR(__xludf.DUMMYFUNCTION("IFERROR(VLOOKUP(TRIM(A50),IMPORTRANGE(""1JzBbPfIn5kXHe-RuBwssvVRSauekkTw9cwf70DsYix4"",""Form Responses 1!B:C""),2,0),"""")"),9.0)</f>
        <v>9</v>
      </c>
      <c r="AC50" s="70">
        <f>IFERROR(__xludf.DUMMYFUNCTION("IFERROR(VLOOKUP(TRIM(A50),IMPORTRANGE(""1JbcCdZBzu6Yag8PuyvlbtYmdvUYYQNraxAgoikGBi5w"",""Form Responses 1!B:C""),2,0),"""")"),16.0)</f>
        <v>16</v>
      </c>
      <c r="AD50" s="70">
        <f>IFERROR(__xludf.DUMMYFUNCTION("IFERROR(VLOOKUP(TRIM(A50),IMPORTRANGE(""15-YcWQKwT7GXCzNpEoDkSlrruglscDYeQTD3uXec8uQ"",""Form Responses 1!B:C""),2,0),"""")"),15.0)</f>
        <v>15</v>
      </c>
      <c r="AE50" s="70" t="str">
        <f>IFERROR(__xludf.DUMMYFUNCTION("IFERROR(VLOOKUP(TRIM(A50),IMPORTRANGE(""1X2rXjxJaWCoTCv5SRdgsC_V3cXeEyqXGQY3NvE1KDUk"",""Form Responses 1!B:C""),2,0),"""")"),"")</f>
        <v/>
      </c>
      <c r="AF50" s="70" t="str">
        <f>IFERROR(__xludf.DUMMYFUNCTION("IFERROR(VLOOKUP(TRIM(A50),IMPORTRANGE(""1zEJQnPshpdjcOtCVSP0I8nG2EXKbBMH9BJ8IeNFUEV8"",""Form Responses 1!B:C""),2,0),"""")"),"")</f>
        <v/>
      </c>
      <c r="AG50" s="70"/>
      <c r="AH50" s="70"/>
      <c r="AI50" s="70"/>
      <c r="AJ50" s="70"/>
      <c r="AK50" s="70"/>
      <c r="AL50" s="70"/>
      <c r="AM50" s="70"/>
      <c r="AN50" s="70"/>
      <c r="AO50" s="70"/>
      <c r="AP50" s="70"/>
      <c r="AQ50" s="70"/>
      <c r="AR50" s="70"/>
      <c r="AS50" s="70"/>
      <c r="AT50" s="70"/>
      <c r="AU50" s="70"/>
    </row>
    <row r="51">
      <c r="A51" s="39" t="s">
        <v>300</v>
      </c>
      <c r="B51" s="70" t="str">
        <f>IFERROR(__xludf.DUMMYFUNCTION("IFERROR(IF(COUNTIF(IMPORTRANGE(""1RTcwEJsI_0aJRebhNwO_H_AoKl9r46k7hWYbtciIyM4"",""Form Responses 1!B:B""),A51)&gt;0,10,),0)"),"")</f>
        <v/>
      </c>
      <c r="C51" s="70" t="str">
        <f>IFERROR(__xludf.DUMMYFUNCTION("IFERROR(VLOOKUP(A51,IMPORTRANGE(""11i8IUhq_U6RRKRV3CBWIKqYed_fMvFgNUHTq1YDJfp8"",""Form Responses 1!B:C""),2,FALSE),)"),"")</f>
        <v/>
      </c>
      <c r="D51" s="70" t="str">
        <f>IFERROR(__xludf.DUMMYFUNCTION("IFERROR(VLOOKUP(A51,IMPORTRANGE(""1StiHxuxrFhYdrq5WLR2JMORicW0TbnJf3J-oTHeMRtM"",""Form Responses 1!B:C""),2,FALSE),)"),"")</f>
        <v/>
      </c>
      <c r="E51" s="70" t="str">
        <f>IFERROR(__xludf.DUMMYFUNCTION("IFERROR(VLOOKUP(A51,IMPORTRANGE(""1QaxxyUjrDq2kgz300C1Bq1tacFk6e-xX218cSXCQUK0"",""Form Responses 1!B:C""),2,FALSE),)"),"")</f>
        <v/>
      </c>
      <c r="F51" s="70" t="str">
        <f>IFERROR(__xludf.DUMMYFUNCTION("IFERROR(VLOOKUP(A51,IMPORTRANGE(""1fn2ECph_y8Uz78DhjLaiXcwgt6kh3oe-0Le36Uw0noE"",""Form Responses 1!B:C""),2,FALSE),)"),"")</f>
        <v/>
      </c>
      <c r="G51" s="39" t="str">
        <f>IFERROR(__xludf.DUMMYFUNCTION("IFERROR(IF(COUNTIF(IMPORTRANGE(""1t6NbzWBtAQKR9pGjBnxm9V-bRaGdRVT_-u2ojrUkYZw"",""Form Responses 1!B:B""),A51)&gt;0,10,),0)"),"")</f>
        <v/>
      </c>
      <c r="H51" s="39" t="str">
        <f>IFERROR(__xludf.DUMMYFUNCTION("IFERROR(VLOOKUP(A51,IMPORTRANGE(""1ytv6MYmm-8DwYEf-PC6L-upnzfG4TJT_K2_Q1BobE6k"",""Form Responses 1!B:C""),2,FALSE),)"),"")</f>
        <v/>
      </c>
      <c r="I51" s="39" t="str">
        <f>IFERROR(__xludf.DUMMYFUNCTION("IFERROR(VLOOKUP(A51,IMPORTRANGE(""1LTj0BC6WXgHo3fEDDSQlGOM1HkEYGTw8epmIdU0RnB4"",""Form Responses 1!B:C""),2,FALSE),)"),"")</f>
        <v/>
      </c>
      <c r="J51" s="39" t="str">
        <f>IFERROR(__xludf.DUMMYFUNCTION("IFERROR(VLOOKUP(A51,IMPORTRANGE(""1lBH5Hghbbsr-XV8ZpAW4SFOyMpQX5vY0tEjkjRAJH48"",""Form Responses 1!B:C""),2,FALSE),)"),"")</f>
        <v/>
      </c>
      <c r="K51" s="39" t="str">
        <f>IFERROR(__xludf.DUMMYFUNCTION("IFERROR(IF(COUNTIF(IMPORTRANGE(""11sIXwmK0co7YC01jkeOYS_Q9btyVErtOm8MrXzqLkm8"",""Form Responses 1!B:B""),A51)&gt;0,10,),0)"),"")</f>
        <v/>
      </c>
      <c r="L51" s="70" t="str">
        <f>IFERROR(__xludf.DUMMYFUNCTION("IFERROR(IF(COUNTIF(IMPORTRANGE(""1csqG5dOxr6mnQQeHuLyfSoVeWZspfrn9T3cQFX5jhi8"",""Form Responses 1!B:B""),A51)&gt;0,10,),0)"),"")</f>
        <v/>
      </c>
      <c r="M51" s="70" t="str">
        <f>IFERROR(__xludf.DUMMYFUNCTION("IFERROR(VLOOKUP(A51,IMPORTRANGE(""1C8QMXhp6CypS1pNA-UXlEADxmI-6nbSN9P4kujkvESI"",""Form Responses 1!B:C""),2,FALSE),)"),"")</f>
        <v/>
      </c>
      <c r="N51" s="70" t="str">
        <f>IFERROR(__xludf.DUMMYFUNCTION("IFERROR(VLOOKUP(A51,IMPORTRANGE(""1e33dV9wgou_u1lnmBtok6Ato-q97II29uUvmeO7Juhw"",""Form Responses 1!B:C""),2,FALSE),)"),"")</f>
        <v/>
      </c>
      <c r="O51" s="70" t="str">
        <f>IFERROR(__xludf.DUMMYFUNCTION("IFERROR(VLOOKUP(A51,IMPORTRANGE(""15TUXUTXgRTcnnjS-jyDta7Ecw7-lv8-wZMGVKaxe8TY"",""Form Responses 1!B:C""),2,FALSE),)"),"")</f>
        <v/>
      </c>
      <c r="P51" s="70" t="str">
        <f>IFERROR(__xludf.DUMMYFUNCTION("IFERROR(IF(COUNTIF(IMPORTRANGE(""1KFxxroaoSLanJBYtWVxeITrgly-aztutk24Q4y14KKU"",""Form Responses 1!B:B""),A51)&gt;0,10,),0)"),"")</f>
        <v/>
      </c>
      <c r="Q51" s="71" t="str">
        <f>IFERROR(__xludf.DUMMYFUNCTION("IFERROR(VLOOKUP(TRIM(A51),IMPORTRANGE(""1WjiLR_MTMxI_IZUKuvPO4Sg2rTSIqBzP3edakSRXbOA"",""Form Responses 1!B:C""),2,0),"""")"),"")</f>
        <v/>
      </c>
      <c r="R51" s="70" t="str">
        <f>IFERROR(__xludf.DUMMYFUNCTION("IFERROR(VLOOKUP(TRIM(A51),IMPORTRANGE(""1Ixzbal5tEbtWhozsFEppQzOYE6ZSrkNXHg_HW5k3Wt4"",""Form Responses 1!B:C""),2,0),"""")"),"")</f>
        <v/>
      </c>
      <c r="S51" s="70" t="str">
        <f>IFERROR(__xludf.DUMMYFUNCTION("IFERROR(VLOOKUP(TRIM(A51),IMPORTRANGE(""1zxjtEKGvVIJPIDqZdnxENwVpPXYa88EihzyI44hcQUo"",""Form Responses 1!B:C""),2,0),"""")"),"")</f>
        <v/>
      </c>
      <c r="T51" s="70" t="str">
        <f>IFERROR(__xludf.DUMMYFUNCTION("IFERROR(VLOOKUP(TRIM(A51),IMPORTRANGE(""1H3cO01obd5zFULYqaT5NAqecZBFFIHeDFn4CeQLZF3w"",""Form Responses 1!B:C""),2,0),"""")"),"")</f>
        <v/>
      </c>
      <c r="U51" s="70" t="str">
        <f>IFERROR(__xludf.DUMMYFUNCTION("IFERROR(VLOOKUP(TRIM(A51),IMPORTRANGE(""1IG9qoa6PeLdDDFzKpW39lxXshN0-M8Z25a_R1EpsYyg"",""Form Responses 1!B:C""),2,0),"""")"),"")</f>
        <v/>
      </c>
      <c r="V51" s="72"/>
      <c r="W51" s="70" t="str">
        <f>IFERROR(__xludf.DUMMYFUNCTION("IFERROR(VLOOKUP(TRIM(A51),IMPORTRANGE(""1JzBbPfIn5kXHe-RuBwssvVRSauekkTw9cwf70DsYix4"",""Form Responses 1!B:C""),2,0),"""")"),"")</f>
        <v/>
      </c>
      <c r="X51" s="70" t="str">
        <f>IFERROR(__xludf.DUMMYFUNCTION("IFERROR(VLOOKUP(TRIM(A51),IMPORTRANGE(""1JbcCdZBzu6Yag8PuyvlbtYmdvUYYQNraxAgoikGBi5w"",""Form Responses 1!B:C""),2,0),"""")"),"")</f>
        <v/>
      </c>
      <c r="Y51" s="70" t="str">
        <f>IFERROR(__xludf.DUMMYFUNCTION("IFERROR(VLOOKUP(TRIM(A51),IMPORTRANGE(""15-YcWQKwT7GXCzNpEoDkSlrruglscDYeQTD3uXec8uQ"",""Form Responses 1!B:C""),2,0),"""")"),"")</f>
        <v/>
      </c>
      <c r="Z51" s="70" t="str">
        <f>IFERROR(__xludf.DUMMYFUNCTION("IFERROR(VLOOKUP(TRIM(A51),IMPORTRANGE(""1X2rXjxJaWCoTCv5SRdgsC_V3cXeEyqXGQY3NvE1KDUk"",""Form Responses 1!B:C""),2,0),"""")"),"")</f>
        <v/>
      </c>
      <c r="AA51" s="70" t="str">
        <f>IFERROR(__xludf.DUMMYFUNCTION("IFERROR(VLOOKUP(TRIM(A51),IMPORTRANGE(""1zEJQnPshpdjcOtCVSP0I8nG2EXKbBMH9BJ8IeNFUEV8"",""Form Responses 1!B:C""),2,0),"""")"),"")</f>
        <v/>
      </c>
      <c r="AB51" s="70" t="str">
        <f>IFERROR(__xludf.DUMMYFUNCTION("IFERROR(VLOOKUP(TRIM(A51),IMPORTRANGE(""1JzBbPfIn5kXHe-RuBwssvVRSauekkTw9cwf70DsYix4"",""Form Responses 1!B:C""),2,0),"""")"),"")</f>
        <v/>
      </c>
      <c r="AC51" s="70" t="str">
        <f>IFERROR(__xludf.DUMMYFUNCTION("IFERROR(VLOOKUP(TRIM(A51),IMPORTRANGE(""1JbcCdZBzu6Yag8PuyvlbtYmdvUYYQNraxAgoikGBi5w"",""Form Responses 1!B:C""),2,0),"""")"),"")</f>
        <v/>
      </c>
      <c r="AD51" s="70" t="str">
        <f>IFERROR(__xludf.DUMMYFUNCTION("IFERROR(VLOOKUP(TRIM(A51),IMPORTRANGE(""15-YcWQKwT7GXCzNpEoDkSlrruglscDYeQTD3uXec8uQ"",""Form Responses 1!B:C""),2,0),"""")"),"")</f>
        <v/>
      </c>
      <c r="AE51" s="70" t="str">
        <f>IFERROR(__xludf.DUMMYFUNCTION("IFERROR(VLOOKUP(TRIM(A51),IMPORTRANGE(""1X2rXjxJaWCoTCv5SRdgsC_V3cXeEyqXGQY3NvE1KDUk"",""Form Responses 1!B:C""),2,0),"""")"),"")</f>
        <v/>
      </c>
      <c r="AF51" s="70" t="str">
        <f>IFERROR(__xludf.DUMMYFUNCTION("IFERROR(VLOOKUP(TRIM(A51),IMPORTRANGE(""1zEJQnPshpdjcOtCVSP0I8nG2EXKbBMH9BJ8IeNFUEV8"",""Form Responses 1!B:C""),2,0),"""")"),"")</f>
        <v/>
      </c>
      <c r="AG51" s="70"/>
      <c r="AH51" s="70"/>
      <c r="AI51" s="70"/>
      <c r="AJ51" s="70"/>
      <c r="AK51" s="70"/>
      <c r="AL51" s="70"/>
      <c r="AM51" s="70"/>
      <c r="AN51" s="70"/>
      <c r="AO51" s="70"/>
      <c r="AP51" s="70"/>
      <c r="AQ51" s="70"/>
      <c r="AR51" s="70"/>
      <c r="AS51" s="70"/>
      <c r="AT51" s="70"/>
      <c r="AU51" s="70"/>
    </row>
    <row r="52">
      <c r="A52" s="39" t="s">
        <v>301</v>
      </c>
      <c r="B52" s="70" t="str">
        <f>IFERROR(__xludf.DUMMYFUNCTION("IFERROR(IF(COUNTIF(IMPORTRANGE(""1RTcwEJsI_0aJRebhNwO_H_AoKl9r46k7hWYbtciIyM4"",""Form Responses 1!B:B""),A52)&gt;0,10,),0)"),"")</f>
        <v/>
      </c>
      <c r="C52" s="70" t="str">
        <f>IFERROR(__xludf.DUMMYFUNCTION("IFERROR(VLOOKUP(A52,IMPORTRANGE(""11i8IUhq_U6RRKRV3CBWIKqYed_fMvFgNUHTq1YDJfp8"",""Form Responses 1!B:C""),2,FALSE),)"),"")</f>
        <v/>
      </c>
      <c r="D52" s="70" t="str">
        <f>IFERROR(__xludf.DUMMYFUNCTION("IFERROR(VLOOKUP(A52,IMPORTRANGE(""1StiHxuxrFhYdrq5WLR2JMORicW0TbnJf3J-oTHeMRtM"",""Form Responses 1!B:C""),2,FALSE),)"),"")</f>
        <v/>
      </c>
      <c r="E52" s="70" t="str">
        <f>IFERROR(__xludf.DUMMYFUNCTION("IFERROR(VLOOKUP(A52,IMPORTRANGE(""1QaxxyUjrDq2kgz300C1Bq1tacFk6e-xX218cSXCQUK0"",""Form Responses 1!B:C""),2,FALSE),)"),"")</f>
        <v/>
      </c>
      <c r="F52" s="70" t="str">
        <f>IFERROR(__xludf.DUMMYFUNCTION("IFERROR(VLOOKUP(A52,IMPORTRANGE(""1fn2ECph_y8Uz78DhjLaiXcwgt6kh3oe-0Le36Uw0noE"",""Form Responses 1!B:C""),2,FALSE),)"),"")</f>
        <v/>
      </c>
      <c r="G52" s="39" t="str">
        <f>IFERROR(__xludf.DUMMYFUNCTION("IFERROR(IF(COUNTIF(IMPORTRANGE(""1t6NbzWBtAQKR9pGjBnxm9V-bRaGdRVT_-u2ojrUkYZw"",""Form Responses 1!B:B""),A52)&gt;0,10,),0)"),"")</f>
        <v/>
      </c>
      <c r="H52" s="39" t="str">
        <f>IFERROR(__xludf.DUMMYFUNCTION("IFERROR(VLOOKUP(A52,IMPORTRANGE(""1ytv6MYmm-8DwYEf-PC6L-upnzfG4TJT_K2_Q1BobE6k"",""Form Responses 1!B:C""),2,FALSE),)"),"")</f>
        <v/>
      </c>
      <c r="I52" s="39" t="str">
        <f>IFERROR(__xludf.DUMMYFUNCTION("IFERROR(VLOOKUP(A52,IMPORTRANGE(""1LTj0BC6WXgHo3fEDDSQlGOM1HkEYGTw8epmIdU0RnB4"",""Form Responses 1!B:C""),2,FALSE),)"),"")</f>
        <v/>
      </c>
      <c r="J52" s="39" t="str">
        <f>IFERROR(__xludf.DUMMYFUNCTION("IFERROR(VLOOKUP(A52,IMPORTRANGE(""1lBH5Hghbbsr-XV8ZpAW4SFOyMpQX5vY0tEjkjRAJH48"",""Form Responses 1!B:C""),2,FALSE),)"),"")</f>
        <v/>
      </c>
      <c r="K52" s="39" t="str">
        <f>IFERROR(__xludf.DUMMYFUNCTION("IFERROR(IF(COUNTIF(IMPORTRANGE(""11sIXwmK0co7YC01jkeOYS_Q9btyVErtOm8MrXzqLkm8"",""Form Responses 1!B:B""),A52)&gt;0,10,),0)"),"")</f>
        <v/>
      </c>
      <c r="L52" s="70" t="str">
        <f>IFERROR(__xludf.DUMMYFUNCTION("IFERROR(IF(COUNTIF(IMPORTRANGE(""1csqG5dOxr6mnQQeHuLyfSoVeWZspfrn9T3cQFX5jhi8"",""Form Responses 1!B:B""),A52)&gt;0,10,),0)"),"")</f>
        <v/>
      </c>
      <c r="M52" s="70" t="str">
        <f>IFERROR(__xludf.DUMMYFUNCTION("IFERROR(VLOOKUP(A52,IMPORTRANGE(""1C8QMXhp6CypS1pNA-UXlEADxmI-6nbSN9P4kujkvESI"",""Form Responses 1!B:C""),2,FALSE),)"),"")</f>
        <v/>
      </c>
      <c r="N52" s="70" t="str">
        <f>IFERROR(__xludf.DUMMYFUNCTION("IFERROR(VLOOKUP(A52,IMPORTRANGE(""1e33dV9wgou_u1lnmBtok6Ato-q97II29uUvmeO7Juhw"",""Form Responses 1!B:C""),2,FALSE),)"),"")</f>
        <v/>
      </c>
      <c r="O52" s="70" t="str">
        <f>IFERROR(__xludf.DUMMYFUNCTION("IFERROR(VLOOKUP(A52,IMPORTRANGE(""15TUXUTXgRTcnnjS-jyDta7Ecw7-lv8-wZMGVKaxe8TY"",""Form Responses 1!B:C""),2,FALSE),)"),"")</f>
        <v/>
      </c>
      <c r="P52" s="70" t="str">
        <f>IFERROR(__xludf.DUMMYFUNCTION("IFERROR(IF(COUNTIF(IMPORTRANGE(""1KFxxroaoSLanJBYtWVxeITrgly-aztutk24Q4y14KKU"",""Form Responses 1!B:B""),A52)&gt;0,10,),0)"),"")</f>
        <v/>
      </c>
      <c r="Q52" s="71" t="str">
        <f>IFERROR(__xludf.DUMMYFUNCTION("IFERROR(VLOOKUP(TRIM(A52),IMPORTRANGE(""1WjiLR_MTMxI_IZUKuvPO4Sg2rTSIqBzP3edakSRXbOA"",""Form Responses 1!B:C""),2,0),"""")"),"")</f>
        <v/>
      </c>
      <c r="R52" s="70" t="str">
        <f>IFERROR(__xludf.DUMMYFUNCTION("IFERROR(VLOOKUP(TRIM(A52),IMPORTRANGE(""1Ixzbal5tEbtWhozsFEppQzOYE6ZSrkNXHg_HW5k3Wt4"",""Form Responses 1!B:C""),2,0),"""")"),"")</f>
        <v/>
      </c>
      <c r="S52" s="70" t="str">
        <f>IFERROR(__xludf.DUMMYFUNCTION("IFERROR(VLOOKUP(TRIM(A52),IMPORTRANGE(""1zxjtEKGvVIJPIDqZdnxENwVpPXYa88EihzyI44hcQUo"",""Form Responses 1!B:C""),2,0),"""")"),"")</f>
        <v/>
      </c>
      <c r="T52" s="70" t="str">
        <f>IFERROR(__xludf.DUMMYFUNCTION("IFERROR(VLOOKUP(TRIM(A52),IMPORTRANGE(""1H3cO01obd5zFULYqaT5NAqecZBFFIHeDFn4CeQLZF3w"",""Form Responses 1!B:C""),2,0),"""")"),"")</f>
        <v/>
      </c>
      <c r="U52" s="70" t="str">
        <f>IFERROR(__xludf.DUMMYFUNCTION("IFERROR(VLOOKUP(TRIM(A52),IMPORTRANGE(""1IG9qoa6PeLdDDFzKpW39lxXshN0-M8Z25a_R1EpsYyg"",""Form Responses 1!B:C""),2,0),"""")"),"")</f>
        <v/>
      </c>
      <c r="V52" s="72"/>
      <c r="W52" s="70" t="str">
        <f>IFERROR(__xludf.DUMMYFUNCTION("IFERROR(VLOOKUP(TRIM(A52),IMPORTRANGE(""1JzBbPfIn5kXHe-RuBwssvVRSauekkTw9cwf70DsYix4"",""Form Responses 1!B:C""),2,0),"""")"),"")</f>
        <v/>
      </c>
      <c r="X52" s="70" t="str">
        <f>IFERROR(__xludf.DUMMYFUNCTION("IFERROR(VLOOKUP(TRIM(A52),IMPORTRANGE(""1JbcCdZBzu6Yag8PuyvlbtYmdvUYYQNraxAgoikGBi5w"",""Form Responses 1!B:C""),2,0),"""")"),"")</f>
        <v/>
      </c>
      <c r="Y52" s="70" t="str">
        <f>IFERROR(__xludf.DUMMYFUNCTION("IFERROR(VLOOKUP(TRIM(A52),IMPORTRANGE(""15-YcWQKwT7GXCzNpEoDkSlrruglscDYeQTD3uXec8uQ"",""Form Responses 1!B:C""),2,0),"""")"),"")</f>
        <v/>
      </c>
      <c r="Z52" s="70" t="str">
        <f>IFERROR(__xludf.DUMMYFUNCTION("IFERROR(VLOOKUP(TRIM(A52),IMPORTRANGE(""1X2rXjxJaWCoTCv5SRdgsC_V3cXeEyqXGQY3NvE1KDUk"",""Form Responses 1!B:C""),2,0),"""")"),"")</f>
        <v/>
      </c>
      <c r="AA52" s="70" t="str">
        <f>IFERROR(__xludf.DUMMYFUNCTION("IFERROR(VLOOKUP(TRIM(A52),IMPORTRANGE(""1zEJQnPshpdjcOtCVSP0I8nG2EXKbBMH9BJ8IeNFUEV8"",""Form Responses 1!B:C""),2,0),"""")"),"")</f>
        <v/>
      </c>
      <c r="AB52" s="70" t="str">
        <f>IFERROR(__xludf.DUMMYFUNCTION("IFERROR(VLOOKUP(TRIM(A52),IMPORTRANGE(""1JzBbPfIn5kXHe-RuBwssvVRSauekkTw9cwf70DsYix4"",""Form Responses 1!B:C""),2,0),"""")"),"")</f>
        <v/>
      </c>
      <c r="AC52" s="70" t="str">
        <f>IFERROR(__xludf.DUMMYFUNCTION("IFERROR(VLOOKUP(TRIM(A52),IMPORTRANGE(""1JbcCdZBzu6Yag8PuyvlbtYmdvUYYQNraxAgoikGBi5w"",""Form Responses 1!B:C""),2,0),"""")"),"")</f>
        <v/>
      </c>
      <c r="AD52" s="70" t="str">
        <f>IFERROR(__xludf.DUMMYFUNCTION("IFERROR(VLOOKUP(TRIM(A52),IMPORTRANGE(""15-YcWQKwT7GXCzNpEoDkSlrruglscDYeQTD3uXec8uQ"",""Form Responses 1!B:C""),2,0),"""")"),"")</f>
        <v/>
      </c>
      <c r="AE52" s="70" t="str">
        <f>IFERROR(__xludf.DUMMYFUNCTION("IFERROR(VLOOKUP(TRIM(A52),IMPORTRANGE(""1X2rXjxJaWCoTCv5SRdgsC_V3cXeEyqXGQY3NvE1KDUk"",""Form Responses 1!B:C""),2,0),"""")"),"")</f>
        <v/>
      </c>
      <c r="AF52" s="70" t="str">
        <f>IFERROR(__xludf.DUMMYFUNCTION("IFERROR(VLOOKUP(TRIM(A52),IMPORTRANGE(""1zEJQnPshpdjcOtCVSP0I8nG2EXKbBMH9BJ8IeNFUEV8"",""Form Responses 1!B:C""),2,0),"""")"),"")</f>
        <v/>
      </c>
      <c r="AG52" s="70"/>
      <c r="AH52" s="70"/>
      <c r="AI52" s="70"/>
      <c r="AJ52" s="70"/>
      <c r="AK52" s="70"/>
      <c r="AL52" s="70"/>
      <c r="AM52" s="70"/>
      <c r="AN52" s="70"/>
      <c r="AO52" s="70"/>
      <c r="AP52" s="70"/>
      <c r="AQ52" s="70"/>
      <c r="AR52" s="70"/>
      <c r="AS52" s="70"/>
      <c r="AT52" s="70"/>
      <c r="AU52" s="70"/>
    </row>
    <row r="53">
      <c r="A53" s="39" t="s">
        <v>302</v>
      </c>
      <c r="B53" s="70">
        <f>IFERROR(__xludf.DUMMYFUNCTION("IFERROR(IF(COUNTIF(IMPORTRANGE(""1RTcwEJsI_0aJRebhNwO_H_AoKl9r46k7hWYbtciIyM4"",""Form Responses 1!B:B""),A53)&gt;0,10,),0)"),10.0)</f>
        <v>10</v>
      </c>
      <c r="C53" s="70">
        <f>IFERROR(__xludf.DUMMYFUNCTION("IFERROR(VLOOKUP(A53,IMPORTRANGE(""11i8IUhq_U6RRKRV3CBWIKqYed_fMvFgNUHTq1YDJfp8"",""Form Responses 1!B:C""),2,FALSE),)"),10.0)</f>
        <v>10</v>
      </c>
      <c r="D53" s="70">
        <f>IFERROR(__xludf.DUMMYFUNCTION("IFERROR(VLOOKUP(A53,IMPORTRANGE(""1StiHxuxrFhYdrq5WLR2JMORicW0TbnJf3J-oTHeMRtM"",""Form Responses 1!B:C""),2,FALSE),)"),5.0)</f>
        <v>5</v>
      </c>
      <c r="E53" s="70" t="str">
        <f>IFERROR(__xludf.DUMMYFUNCTION("IFERROR(VLOOKUP(A53,IMPORTRANGE(""1QaxxyUjrDq2kgz300C1Bq1tacFk6e-xX218cSXCQUK0"",""Form Responses 1!B:C""),2,FALSE),)"),"")</f>
        <v/>
      </c>
      <c r="F53" s="70">
        <f>IFERROR(__xludf.DUMMYFUNCTION("IFERROR(VLOOKUP(A53,IMPORTRANGE(""1fn2ECph_y8Uz78DhjLaiXcwgt6kh3oe-0Le36Uw0noE"",""Form Responses 1!B:C""),2,FALSE),)"),4.0)</f>
        <v>4</v>
      </c>
      <c r="G53" s="39">
        <f>IFERROR(__xludf.DUMMYFUNCTION("IFERROR(IF(COUNTIF(IMPORTRANGE(""1t6NbzWBtAQKR9pGjBnxm9V-bRaGdRVT_-u2ojrUkYZw"",""Form Responses 1!B:B""),A53)&gt;0,10,),0)"),10.0)</f>
        <v>10</v>
      </c>
      <c r="H53" s="39">
        <f>IFERROR(__xludf.DUMMYFUNCTION("IFERROR(VLOOKUP(A53,IMPORTRANGE(""1ytv6MYmm-8DwYEf-PC6L-upnzfG4TJT_K2_Q1BobE6k"",""Form Responses 1!B:C""),2,FALSE),)"),6.0)</f>
        <v>6</v>
      </c>
      <c r="I53" s="39">
        <f>IFERROR(__xludf.DUMMYFUNCTION("IFERROR(VLOOKUP(A53,IMPORTRANGE(""1LTj0BC6WXgHo3fEDDSQlGOM1HkEYGTw8epmIdU0RnB4"",""Form Responses 1!B:C""),2,FALSE),)"),5.0)</f>
        <v>5</v>
      </c>
      <c r="J53" s="39" t="str">
        <f>IFERROR(__xludf.DUMMYFUNCTION("IFERROR(VLOOKUP(A53,IMPORTRANGE(""1lBH5Hghbbsr-XV8ZpAW4SFOyMpQX5vY0tEjkjRAJH48"",""Form Responses 1!B:C""),2,FALSE),)"),"")</f>
        <v/>
      </c>
      <c r="K53" s="39" t="str">
        <f>IFERROR(__xludf.DUMMYFUNCTION("IFERROR(IF(COUNTIF(IMPORTRANGE(""11sIXwmK0co7YC01jkeOYS_Q9btyVErtOm8MrXzqLkm8"",""Form Responses 1!B:B""),A53)&gt;0,10,),0)"),"")</f>
        <v/>
      </c>
      <c r="L53" s="70">
        <f>IFERROR(__xludf.DUMMYFUNCTION("IFERROR(IF(COUNTIF(IMPORTRANGE(""1csqG5dOxr6mnQQeHuLyfSoVeWZspfrn9T3cQFX5jhi8"",""Form Responses 1!B:B""),A53)&gt;0,10,),0)"),10.0)</f>
        <v>10</v>
      </c>
      <c r="M53" s="70" t="str">
        <f>IFERROR(__xludf.DUMMYFUNCTION("IFERROR(VLOOKUP(A53,IMPORTRANGE(""1C8QMXhp6CypS1pNA-UXlEADxmI-6nbSN9P4kujkvESI"",""Form Responses 1!B:C""),2,FALSE),)"),"")</f>
        <v/>
      </c>
      <c r="N53" s="70" t="str">
        <f>IFERROR(__xludf.DUMMYFUNCTION("IFERROR(VLOOKUP(A53,IMPORTRANGE(""1e33dV9wgou_u1lnmBtok6Ato-q97II29uUvmeO7Juhw"",""Form Responses 1!B:C""),2,FALSE),)"),"")</f>
        <v/>
      </c>
      <c r="O53" s="70" t="str">
        <f>IFERROR(__xludf.DUMMYFUNCTION("IFERROR(VLOOKUP(A53,IMPORTRANGE(""15TUXUTXgRTcnnjS-jyDta7Ecw7-lv8-wZMGVKaxe8TY"",""Form Responses 1!B:C""),2,FALSE),)"),"")</f>
        <v/>
      </c>
      <c r="P53" s="70" t="str">
        <f>IFERROR(__xludf.DUMMYFUNCTION("IFERROR(IF(COUNTIF(IMPORTRANGE(""1KFxxroaoSLanJBYtWVxeITrgly-aztutk24Q4y14KKU"",""Form Responses 1!B:B""),A53)&gt;0,10,),0)"),"")</f>
        <v/>
      </c>
      <c r="Q53" s="71" t="str">
        <f>IFERROR(__xludf.DUMMYFUNCTION("IFERROR(VLOOKUP(TRIM(A53),IMPORTRANGE(""1WjiLR_MTMxI_IZUKuvPO4Sg2rTSIqBzP3edakSRXbOA"",""Form Responses 1!B:C""),2,0),"""")"),"")</f>
        <v/>
      </c>
      <c r="R53" s="70" t="str">
        <f>IFERROR(__xludf.DUMMYFUNCTION("IFERROR(VLOOKUP(TRIM(A53),IMPORTRANGE(""1Ixzbal5tEbtWhozsFEppQzOYE6ZSrkNXHg_HW5k3Wt4"",""Form Responses 1!B:C""),2,0),"""")"),"")</f>
        <v/>
      </c>
      <c r="S53" s="70" t="str">
        <f>IFERROR(__xludf.DUMMYFUNCTION("IFERROR(VLOOKUP(TRIM(A53),IMPORTRANGE(""1zxjtEKGvVIJPIDqZdnxENwVpPXYa88EihzyI44hcQUo"",""Form Responses 1!B:C""),2,0),"""")"),"")</f>
        <v/>
      </c>
      <c r="T53" s="70" t="str">
        <f>IFERROR(__xludf.DUMMYFUNCTION("IFERROR(VLOOKUP(TRIM(A53),IMPORTRANGE(""1H3cO01obd5zFULYqaT5NAqecZBFFIHeDFn4CeQLZF3w"",""Form Responses 1!B:C""),2,0),"""")"),"")</f>
        <v/>
      </c>
      <c r="U53" s="70" t="str">
        <f>IFERROR(__xludf.DUMMYFUNCTION("IFERROR(VLOOKUP(TRIM(A53),IMPORTRANGE(""1IG9qoa6PeLdDDFzKpW39lxXshN0-M8Z25a_R1EpsYyg"",""Form Responses 1!B:C""),2,0),"""")"),"")</f>
        <v/>
      </c>
      <c r="V53" s="74">
        <v>7.0</v>
      </c>
      <c r="W53" s="70">
        <f>IFERROR(__xludf.DUMMYFUNCTION("IFERROR(VLOOKUP(TRIM(A53),IMPORTRANGE(""1JzBbPfIn5kXHe-RuBwssvVRSauekkTw9cwf70DsYix4"",""Form Responses 1!B:C""),2,0),"""")"),12.0)</f>
        <v>12</v>
      </c>
      <c r="X53" s="70" t="str">
        <f>IFERROR(__xludf.DUMMYFUNCTION("IFERROR(VLOOKUP(TRIM(A53),IMPORTRANGE(""1JbcCdZBzu6Yag8PuyvlbtYmdvUYYQNraxAgoikGBi5w"",""Form Responses 1!B:C""),2,0),"""")"),"")</f>
        <v/>
      </c>
      <c r="Y53" s="70" t="str">
        <f>IFERROR(__xludf.DUMMYFUNCTION("IFERROR(VLOOKUP(TRIM(A53),IMPORTRANGE(""15-YcWQKwT7GXCzNpEoDkSlrruglscDYeQTD3uXec8uQ"",""Form Responses 1!B:C""),2,0),"""")"),"")</f>
        <v/>
      </c>
      <c r="Z53" s="70" t="str">
        <f>IFERROR(__xludf.DUMMYFUNCTION("IFERROR(VLOOKUP(TRIM(A53),IMPORTRANGE(""1X2rXjxJaWCoTCv5SRdgsC_V3cXeEyqXGQY3NvE1KDUk"",""Form Responses 1!B:C""),2,0),"""")"),"")</f>
        <v/>
      </c>
      <c r="AA53" s="70" t="str">
        <f>IFERROR(__xludf.DUMMYFUNCTION("IFERROR(VLOOKUP(TRIM(A53),IMPORTRANGE(""1zEJQnPshpdjcOtCVSP0I8nG2EXKbBMH9BJ8IeNFUEV8"",""Form Responses 1!B:C""),2,0),"""")"),"")</f>
        <v/>
      </c>
      <c r="AB53" s="70">
        <f>IFERROR(__xludf.DUMMYFUNCTION("IFERROR(VLOOKUP(TRIM(A53),IMPORTRANGE(""1JzBbPfIn5kXHe-RuBwssvVRSauekkTw9cwf70DsYix4"",""Form Responses 1!B:C""),2,0),"""")"),12.0)</f>
        <v>12</v>
      </c>
      <c r="AC53" s="70" t="str">
        <f>IFERROR(__xludf.DUMMYFUNCTION("IFERROR(VLOOKUP(TRIM(A53),IMPORTRANGE(""1JbcCdZBzu6Yag8PuyvlbtYmdvUYYQNraxAgoikGBi5w"",""Form Responses 1!B:C""),2,0),"""")"),"")</f>
        <v/>
      </c>
      <c r="AD53" s="70" t="str">
        <f>IFERROR(__xludf.DUMMYFUNCTION("IFERROR(VLOOKUP(TRIM(A53),IMPORTRANGE(""15-YcWQKwT7GXCzNpEoDkSlrruglscDYeQTD3uXec8uQ"",""Form Responses 1!B:C""),2,0),"""")"),"")</f>
        <v/>
      </c>
      <c r="AE53" s="70" t="str">
        <f>IFERROR(__xludf.DUMMYFUNCTION("IFERROR(VLOOKUP(TRIM(A53),IMPORTRANGE(""1X2rXjxJaWCoTCv5SRdgsC_V3cXeEyqXGQY3NvE1KDUk"",""Form Responses 1!B:C""),2,0),"""")"),"")</f>
        <v/>
      </c>
      <c r="AF53" s="70" t="str">
        <f>IFERROR(__xludf.DUMMYFUNCTION("IFERROR(VLOOKUP(TRIM(A53),IMPORTRANGE(""1zEJQnPshpdjcOtCVSP0I8nG2EXKbBMH9BJ8IeNFUEV8"",""Form Responses 1!B:C""),2,0),"""")"),"")</f>
        <v/>
      </c>
      <c r="AG53" s="70"/>
      <c r="AH53" s="70"/>
      <c r="AI53" s="70"/>
      <c r="AJ53" s="70"/>
      <c r="AK53" s="70"/>
      <c r="AL53" s="70"/>
      <c r="AM53" s="70"/>
      <c r="AN53" s="70"/>
      <c r="AO53" s="70"/>
      <c r="AP53" s="70"/>
      <c r="AQ53" s="70"/>
      <c r="AR53" s="70"/>
      <c r="AS53" s="70"/>
      <c r="AT53" s="70"/>
      <c r="AU53" s="70"/>
    </row>
    <row r="54">
      <c r="A54" s="39" t="s">
        <v>303</v>
      </c>
      <c r="B54" s="70" t="str">
        <f>IFERROR(__xludf.DUMMYFUNCTION("IFERROR(IF(COUNTIF(IMPORTRANGE(""1RTcwEJsI_0aJRebhNwO_H_AoKl9r46k7hWYbtciIyM4"",""Form Responses 1!B:B""),A54)&gt;0,10,),0)"),"")</f>
        <v/>
      </c>
      <c r="C54" s="70" t="str">
        <f>IFERROR(__xludf.DUMMYFUNCTION("IFERROR(VLOOKUP(A54,IMPORTRANGE(""11i8IUhq_U6RRKRV3CBWIKqYed_fMvFgNUHTq1YDJfp8"",""Form Responses 1!B:C""),2,FALSE),)"),"")</f>
        <v/>
      </c>
      <c r="D54" s="70" t="str">
        <f>IFERROR(__xludf.DUMMYFUNCTION("IFERROR(VLOOKUP(A54,IMPORTRANGE(""1StiHxuxrFhYdrq5WLR2JMORicW0TbnJf3J-oTHeMRtM"",""Form Responses 1!B:C""),2,FALSE),)"),"")</f>
        <v/>
      </c>
      <c r="E54" s="70" t="str">
        <f>IFERROR(__xludf.DUMMYFUNCTION("IFERROR(VLOOKUP(A54,IMPORTRANGE(""1QaxxyUjrDq2kgz300C1Bq1tacFk6e-xX218cSXCQUK0"",""Form Responses 1!B:C""),2,FALSE),)"),"")</f>
        <v/>
      </c>
      <c r="F54" s="70" t="str">
        <f>IFERROR(__xludf.DUMMYFUNCTION("IFERROR(VLOOKUP(A54,IMPORTRANGE(""1fn2ECph_y8Uz78DhjLaiXcwgt6kh3oe-0Le36Uw0noE"",""Form Responses 1!B:C""),2,FALSE),)"),"")</f>
        <v/>
      </c>
      <c r="G54" s="39" t="str">
        <f>IFERROR(__xludf.DUMMYFUNCTION("IFERROR(IF(COUNTIF(IMPORTRANGE(""1t6NbzWBtAQKR9pGjBnxm9V-bRaGdRVT_-u2ojrUkYZw"",""Form Responses 1!B:B""),A54)&gt;0,10,),0)"),"")</f>
        <v/>
      </c>
      <c r="H54" s="39" t="str">
        <f>IFERROR(__xludf.DUMMYFUNCTION("IFERROR(VLOOKUP(A54,IMPORTRANGE(""1ytv6MYmm-8DwYEf-PC6L-upnzfG4TJT_K2_Q1BobE6k"",""Form Responses 1!B:C""),2,FALSE),)"),"")</f>
        <v/>
      </c>
      <c r="I54" s="39" t="str">
        <f>IFERROR(__xludf.DUMMYFUNCTION("IFERROR(VLOOKUP(A54,IMPORTRANGE(""1LTj0BC6WXgHo3fEDDSQlGOM1HkEYGTw8epmIdU0RnB4"",""Form Responses 1!B:C""),2,FALSE),)"),"")</f>
        <v/>
      </c>
      <c r="J54" s="39" t="str">
        <f>IFERROR(__xludf.DUMMYFUNCTION("IFERROR(VLOOKUP(A54,IMPORTRANGE(""1lBH5Hghbbsr-XV8ZpAW4SFOyMpQX5vY0tEjkjRAJH48"",""Form Responses 1!B:C""),2,FALSE),)"),"")</f>
        <v/>
      </c>
      <c r="K54" s="39" t="str">
        <f>IFERROR(__xludf.DUMMYFUNCTION("IFERROR(IF(COUNTIF(IMPORTRANGE(""11sIXwmK0co7YC01jkeOYS_Q9btyVErtOm8MrXzqLkm8"",""Form Responses 1!B:B""),A54)&gt;0,10,),0)"),"")</f>
        <v/>
      </c>
      <c r="L54" s="70" t="str">
        <f>IFERROR(__xludf.DUMMYFUNCTION("IFERROR(IF(COUNTIF(IMPORTRANGE(""1csqG5dOxr6mnQQeHuLyfSoVeWZspfrn9T3cQFX5jhi8"",""Form Responses 1!B:B""),A54)&gt;0,10,),0)"),"")</f>
        <v/>
      </c>
      <c r="M54" s="70" t="str">
        <f>IFERROR(__xludf.DUMMYFUNCTION("IFERROR(VLOOKUP(A54,IMPORTRANGE(""1C8QMXhp6CypS1pNA-UXlEADxmI-6nbSN9P4kujkvESI"",""Form Responses 1!B:C""),2,FALSE),)"),"")</f>
        <v/>
      </c>
      <c r="N54" s="70" t="str">
        <f>IFERROR(__xludf.DUMMYFUNCTION("IFERROR(VLOOKUP(A54,IMPORTRANGE(""1e33dV9wgou_u1lnmBtok6Ato-q97II29uUvmeO7Juhw"",""Form Responses 1!B:C""),2,FALSE),)"),"")</f>
        <v/>
      </c>
      <c r="O54" s="70" t="str">
        <f>IFERROR(__xludf.DUMMYFUNCTION("IFERROR(VLOOKUP(A54,IMPORTRANGE(""15TUXUTXgRTcnnjS-jyDta7Ecw7-lv8-wZMGVKaxe8TY"",""Form Responses 1!B:C""),2,FALSE),)"),"")</f>
        <v/>
      </c>
      <c r="P54" s="70" t="str">
        <f>IFERROR(__xludf.DUMMYFUNCTION("IFERROR(IF(COUNTIF(IMPORTRANGE(""1KFxxroaoSLanJBYtWVxeITrgly-aztutk24Q4y14KKU"",""Form Responses 1!B:B""),A54)&gt;0,10,),0)"),"")</f>
        <v/>
      </c>
      <c r="Q54" s="71" t="str">
        <f>IFERROR(__xludf.DUMMYFUNCTION("IFERROR(VLOOKUP(TRIM(A54),IMPORTRANGE(""1WjiLR_MTMxI_IZUKuvPO4Sg2rTSIqBzP3edakSRXbOA"",""Form Responses 1!B:C""),2,0),"""")"),"")</f>
        <v/>
      </c>
      <c r="R54" s="70" t="str">
        <f>IFERROR(__xludf.DUMMYFUNCTION("IFERROR(VLOOKUP(TRIM(A54),IMPORTRANGE(""1Ixzbal5tEbtWhozsFEppQzOYE6ZSrkNXHg_HW5k3Wt4"",""Form Responses 1!B:C""),2,0),"""")"),"")</f>
        <v/>
      </c>
      <c r="S54" s="70" t="str">
        <f>IFERROR(__xludf.DUMMYFUNCTION("IFERROR(VLOOKUP(TRIM(A54),IMPORTRANGE(""1zxjtEKGvVIJPIDqZdnxENwVpPXYa88EihzyI44hcQUo"",""Form Responses 1!B:C""),2,0),"""")"),"")</f>
        <v/>
      </c>
      <c r="T54" s="70" t="str">
        <f>IFERROR(__xludf.DUMMYFUNCTION("IFERROR(VLOOKUP(TRIM(A54),IMPORTRANGE(""1H3cO01obd5zFULYqaT5NAqecZBFFIHeDFn4CeQLZF3w"",""Form Responses 1!B:C""),2,0),"""")"),"")</f>
        <v/>
      </c>
      <c r="U54" s="70" t="str">
        <f>IFERROR(__xludf.DUMMYFUNCTION("IFERROR(VLOOKUP(TRIM(A54),IMPORTRANGE(""1IG9qoa6PeLdDDFzKpW39lxXshN0-M8Z25a_R1EpsYyg"",""Form Responses 1!B:C""),2,0),"""")"),"")</f>
        <v/>
      </c>
      <c r="V54" s="72"/>
      <c r="W54" s="70" t="str">
        <f>IFERROR(__xludf.DUMMYFUNCTION("IFERROR(VLOOKUP(TRIM(A54),IMPORTRANGE(""1JzBbPfIn5kXHe-RuBwssvVRSauekkTw9cwf70DsYix4"",""Form Responses 1!B:C""),2,0),"""")"),"")</f>
        <v/>
      </c>
      <c r="X54" s="70" t="str">
        <f>IFERROR(__xludf.DUMMYFUNCTION("IFERROR(VLOOKUP(TRIM(A54),IMPORTRANGE(""1JbcCdZBzu6Yag8PuyvlbtYmdvUYYQNraxAgoikGBi5w"",""Form Responses 1!B:C""),2,0),"""")"),"")</f>
        <v/>
      </c>
      <c r="Y54" s="70" t="str">
        <f>IFERROR(__xludf.DUMMYFUNCTION("IFERROR(VLOOKUP(TRIM(A54),IMPORTRANGE(""15-YcWQKwT7GXCzNpEoDkSlrruglscDYeQTD3uXec8uQ"",""Form Responses 1!B:C""),2,0),"""")"),"")</f>
        <v/>
      </c>
      <c r="Z54" s="70" t="str">
        <f>IFERROR(__xludf.DUMMYFUNCTION("IFERROR(VLOOKUP(TRIM(A54),IMPORTRANGE(""1X2rXjxJaWCoTCv5SRdgsC_V3cXeEyqXGQY3NvE1KDUk"",""Form Responses 1!B:C""),2,0),"""")"),"")</f>
        <v/>
      </c>
      <c r="AA54" s="70" t="str">
        <f>IFERROR(__xludf.DUMMYFUNCTION("IFERROR(VLOOKUP(TRIM(A54),IMPORTRANGE(""1zEJQnPshpdjcOtCVSP0I8nG2EXKbBMH9BJ8IeNFUEV8"",""Form Responses 1!B:C""),2,0),"""")"),"")</f>
        <v/>
      </c>
      <c r="AB54" s="70" t="str">
        <f>IFERROR(__xludf.DUMMYFUNCTION("IFERROR(VLOOKUP(TRIM(A54),IMPORTRANGE(""1JzBbPfIn5kXHe-RuBwssvVRSauekkTw9cwf70DsYix4"",""Form Responses 1!B:C""),2,0),"""")"),"")</f>
        <v/>
      </c>
      <c r="AC54" s="70" t="str">
        <f>IFERROR(__xludf.DUMMYFUNCTION("IFERROR(VLOOKUP(TRIM(A54),IMPORTRANGE(""1JbcCdZBzu6Yag8PuyvlbtYmdvUYYQNraxAgoikGBi5w"",""Form Responses 1!B:C""),2,0),"""")"),"")</f>
        <v/>
      </c>
      <c r="AD54" s="70" t="str">
        <f>IFERROR(__xludf.DUMMYFUNCTION("IFERROR(VLOOKUP(TRIM(A54),IMPORTRANGE(""15-YcWQKwT7GXCzNpEoDkSlrruglscDYeQTD3uXec8uQ"",""Form Responses 1!B:C""),2,0),"""")"),"")</f>
        <v/>
      </c>
      <c r="AE54" s="70" t="str">
        <f>IFERROR(__xludf.DUMMYFUNCTION("IFERROR(VLOOKUP(TRIM(A54),IMPORTRANGE(""1X2rXjxJaWCoTCv5SRdgsC_V3cXeEyqXGQY3NvE1KDUk"",""Form Responses 1!B:C""),2,0),"""")"),"")</f>
        <v/>
      </c>
      <c r="AF54" s="70" t="str">
        <f>IFERROR(__xludf.DUMMYFUNCTION("IFERROR(VLOOKUP(TRIM(A54),IMPORTRANGE(""1zEJQnPshpdjcOtCVSP0I8nG2EXKbBMH9BJ8IeNFUEV8"",""Form Responses 1!B:C""),2,0),"""")"),"")</f>
        <v/>
      </c>
      <c r="AG54" s="70"/>
      <c r="AH54" s="70"/>
      <c r="AI54" s="70"/>
      <c r="AJ54" s="70"/>
      <c r="AK54" s="70"/>
      <c r="AL54" s="70"/>
      <c r="AM54" s="70"/>
      <c r="AN54" s="70"/>
      <c r="AO54" s="70"/>
      <c r="AP54" s="70"/>
      <c r="AQ54" s="70"/>
      <c r="AR54" s="70"/>
      <c r="AS54" s="70"/>
      <c r="AT54" s="70"/>
      <c r="AU54" s="70"/>
    </row>
    <row r="55">
      <c r="A55" s="39" t="s">
        <v>304</v>
      </c>
      <c r="B55" s="70">
        <f>IFERROR(__xludf.DUMMYFUNCTION("IFERROR(IF(COUNTIF(IMPORTRANGE(""1RTcwEJsI_0aJRebhNwO_H_AoKl9r46k7hWYbtciIyM4"",""Form Responses 1!B:B""),A55)&gt;0,10,),0)"),10.0)</f>
        <v>10</v>
      </c>
      <c r="C55" s="70">
        <f>IFERROR(__xludf.DUMMYFUNCTION("IFERROR(VLOOKUP(A55,IMPORTRANGE(""11i8IUhq_U6RRKRV3CBWIKqYed_fMvFgNUHTq1YDJfp8"",""Form Responses 1!B:C""),2,FALSE),)"),4.0)</f>
        <v>4</v>
      </c>
      <c r="D55" s="70">
        <f>IFERROR(__xludf.DUMMYFUNCTION("IFERROR(VLOOKUP(A55,IMPORTRANGE(""1StiHxuxrFhYdrq5WLR2JMORicW0TbnJf3J-oTHeMRtM"",""Form Responses 1!B:C""),2,FALSE),)"),6.0)</f>
        <v>6</v>
      </c>
      <c r="E55" s="70">
        <f>IFERROR(__xludf.DUMMYFUNCTION("IFERROR(VLOOKUP(A55,IMPORTRANGE(""1QaxxyUjrDq2kgz300C1Bq1tacFk6e-xX218cSXCQUK0"",""Form Responses 1!B:C""),2,FALSE),)"),4.0)</f>
        <v>4</v>
      </c>
      <c r="F55" s="70">
        <f>IFERROR(__xludf.DUMMYFUNCTION("IFERROR(VLOOKUP(A55,IMPORTRANGE(""1fn2ECph_y8Uz78DhjLaiXcwgt6kh3oe-0Le36Uw0noE"",""Form Responses 1!B:C""),2,FALSE),)"),7.0)</f>
        <v>7</v>
      </c>
      <c r="G55" s="39">
        <f>IFERROR(__xludf.DUMMYFUNCTION("IFERROR(IF(COUNTIF(IMPORTRANGE(""1t6NbzWBtAQKR9pGjBnxm9V-bRaGdRVT_-u2ojrUkYZw"",""Form Responses 1!B:B""),A55)&gt;0,10,),0)"),10.0)</f>
        <v>10</v>
      </c>
      <c r="H55" s="39">
        <f>IFERROR(__xludf.DUMMYFUNCTION("IFERROR(VLOOKUP(A55,IMPORTRANGE(""1ytv6MYmm-8DwYEf-PC6L-upnzfG4TJT_K2_Q1BobE6k"",""Form Responses 1!B:C""),2,FALSE),)"),11.0)</f>
        <v>11</v>
      </c>
      <c r="I55" s="39">
        <f>IFERROR(__xludf.DUMMYFUNCTION("IFERROR(VLOOKUP(A55,IMPORTRANGE(""1LTj0BC6WXgHo3fEDDSQlGOM1HkEYGTw8epmIdU0RnB4"",""Form Responses 1!B:C""),2,FALSE),)"),10.0)</f>
        <v>10</v>
      </c>
      <c r="J55" s="39">
        <f>IFERROR(__xludf.DUMMYFUNCTION("IFERROR(VLOOKUP(A55,IMPORTRANGE(""1lBH5Hghbbsr-XV8ZpAW4SFOyMpQX5vY0tEjkjRAJH48"",""Form Responses 1!B:C""),2,FALSE),)"),0.0)</f>
        <v>0</v>
      </c>
      <c r="K55" s="39">
        <f>IFERROR(__xludf.DUMMYFUNCTION("IFERROR(IF(COUNTIF(IMPORTRANGE(""11sIXwmK0co7YC01jkeOYS_Q9btyVErtOm8MrXzqLkm8"",""Form Responses 1!B:B""),A55)&gt;0,10,),0)"),10.0)</f>
        <v>10</v>
      </c>
      <c r="L55" s="70">
        <f>IFERROR(__xludf.DUMMYFUNCTION("IFERROR(IF(COUNTIF(IMPORTRANGE(""1csqG5dOxr6mnQQeHuLyfSoVeWZspfrn9T3cQFX5jhi8"",""Form Responses 1!B:B""),A55)&gt;0,10,),0)"),10.0)</f>
        <v>10</v>
      </c>
      <c r="M55" s="70">
        <f>IFERROR(__xludf.DUMMYFUNCTION("IFERROR(VLOOKUP(A55,IMPORTRANGE(""1C8QMXhp6CypS1pNA-UXlEADxmI-6nbSN9P4kujkvESI"",""Form Responses 1!B:C""),2,FALSE),)"),20.0)</f>
        <v>20</v>
      </c>
      <c r="N55" s="70">
        <f>IFERROR(__xludf.DUMMYFUNCTION("IFERROR(VLOOKUP(A55,IMPORTRANGE(""1e33dV9wgou_u1lnmBtok6Ato-q97II29uUvmeO7Juhw"",""Form Responses 1!B:C""),2,FALSE),)"),16.0)</f>
        <v>16</v>
      </c>
      <c r="O55" s="70">
        <f>IFERROR(__xludf.DUMMYFUNCTION("IFERROR(VLOOKUP(A55,IMPORTRANGE(""15TUXUTXgRTcnnjS-jyDta7Ecw7-lv8-wZMGVKaxe8TY"",""Form Responses 1!B:C""),2,FALSE),)"),15.0)</f>
        <v>15</v>
      </c>
      <c r="P55" s="70">
        <f>IFERROR(__xludf.DUMMYFUNCTION("IFERROR(IF(COUNTIF(IMPORTRANGE(""1KFxxroaoSLanJBYtWVxeITrgly-aztutk24Q4y14KKU"",""Form Responses 1!B:B""),A55)&gt;0,10,),0)"),10.0)</f>
        <v>10</v>
      </c>
      <c r="Q55" s="71">
        <f>IFERROR(__xludf.DUMMYFUNCTION("IFERROR(VLOOKUP(TRIM(A55),IMPORTRANGE(""1WjiLR_MTMxI_IZUKuvPO4Sg2rTSIqBzP3edakSRXbOA"",""Form Responses 1!B:C""),2,0),"""")"),10.0)</f>
        <v>10</v>
      </c>
      <c r="R55" s="70">
        <f>IFERROR(__xludf.DUMMYFUNCTION("IFERROR(VLOOKUP(TRIM(A55),IMPORTRANGE(""1Ixzbal5tEbtWhozsFEppQzOYE6ZSrkNXHg_HW5k3Wt4"",""Form Responses 1!B:C""),2,0),"""")"),9.0)</f>
        <v>9</v>
      </c>
      <c r="S55" s="70">
        <f>IFERROR(__xludf.DUMMYFUNCTION("IFERROR(VLOOKUP(TRIM(A55),IMPORTRANGE(""1zxjtEKGvVIJPIDqZdnxENwVpPXYa88EihzyI44hcQUo"",""Form Responses 1!B:C""),2,0),"""")"),9.0)</f>
        <v>9</v>
      </c>
      <c r="T55" s="70">
        <f>IFERROR(__xludf.DUMMYFUNCTION("IFERROR(VLOOKUP(TRIM(A55),IMPORTRANGE(""1H3cO01obd5zFULYqaT5NAqecZBFFIHeDFn4CeQLZF3w"",""Form Responses 1!B:C""),2,0),"""")"),5.0)</f>
        <v>5</v>
      </c>
      <c r="U55" s="70" t="str">
        <f>IFERROR(__xludf.DUMMYFUNCTION("IFERROR(VLOOKUP(TRIM(A55),IMPORTRANGE(""1IG9qoa6PeLdDDFzKpW39lxXshN0-M8Z25a_R1EpsYyg"",""Form Responses 1!B:C""),2,0),"""")"),"")</f>
        <v/>
      </c>
      <c r="V55" s="72"/>
      <c r="W55" s="70">
        <f>IFERROR(__xludf.DUMMYFUNCTION("IFERROR(VLOOKUP(TRIM(A55),IMPORTRANGE(""1JzBbPfIn5kXHe-RuBwssvVRSauekkTw9cwf70DsYix4"",""Form Responses 1!B:C""),2,0),"""")"),12.0)</f>
        <v>12</v>
      </c>
      <c r="X55" s="70">
        <f>IFERROR(__xludf.DUMMYFUNCTION("IFERROR(VLOOKUP(TRIM(A55),IMPORTRANGE(""1JbcCdZBzu6Yag8PuyvlbtYmdvUYYQNraxAgoikGBi5w"",""Form Responses 1!B:C""),2,0),"""")"),20.0)</f>
        <v>20</v>
      </c>
      <c r="Y55" s="70">
        <f>IFERROR(__xludf.DUMMYFUNCTION("IFERROR(VLOOKUP(TRIM(A55),IMPORTRANGE(""15-YcWQKwT7GXCzNpEoDkSlrruglscDYeQTD3uXec8uQ"",""Form Responses 1!B:C""),2,0),"""")"),21.0)</f>
        <v>21</v>
      </c>
      <c r="Z55" s="70">
        <f>IFERROR(__xludf.DUMMYFUNCTION("IFERROR(VLOOKUP(TRIM(A55),IMPORTRANGE(""1X2rXjxJaWCoTCv5SRdgsC_V3cXeEyqXGQY3NvE1KDUk"",""Form Responses 1!B:C""),2,0),"""")"),25.0)</f>
        <v>25</v>
      </c>
      <c r="AA55" s="70">
        <f>IFERROR(__xludf.DUMMYFUNCTION("IFERROR(VLOOKUP(TRIM(A55),IMPORTRANGE(""1zEJQnPshpdjcOtCVSP0I8nG2EXKbBMH9BJ8IeNFUEV8"",""Form Responses 1!B:C""),2,0),"""")"),19.0)</f>
        <v>19</v>
      </c>
      <c r="AB55" s="70">
        <f>IFERROR(__xludf.DUMMYFUNCTION("IFERROR(VLOOKUP(TRIM(A55),IMPORTRANGE(""1JzBbPfIn5kXHe-RuBwssvVRSauekkTw9cwf70DsYix4"",""Form Responses 1!B:C""),2,0),"""")"),12.0)</f>
        <v>12</v>
      </c>
      <c r="AC55" s="70">
        <f>IFERROR(__xludf.DUMMYFUNCTION("IFERROR(VLOOKUP(TRIM(A55),IMPORTRANGE(""1JbcCdZBzu6Yag8PuyvlbtYmdvUYYQNraxAgoikGBi5w"",""Form Responses 1!B:C""),2,0),"""")"),20.0)</f>
        <v>20</v>
      </c>
      <c r="AD55" s="70">
        <f>IFERROR(__xludf.DUMMYFUNCTION("IFERROR(VLOOKUP(TRIM(A55),IMPORTRANGE(""15-YcWQKwT7GXCzNpEoDkSlrruglscDYeQTD3uXec8uQ"",""Form Responses 1!B:C""),2,0),"""")"),21.0)</f>
        <v>21</v>
      </c>
      <c r="AE55" s="70">
        <f>IFERROR(__xludf.DUMMYFUNCTION("IFERROR(VLOOKUP(TRIM(A55),IMPORTRANGE(""1X2rXjxJaWCoTCv5SRdgsC_V3cXeEyqXGQY3NvE1KDUk"",""Form Responses 1!B:C""),2,0),"""")"),25.0)</f>
        <v>25</v>
      </c>
      <c r="AF55" s="70">
        <f>IFERROR(__xludf.DUMMYFUNCTION("IFERROR(VLOOKUP(TRIM(A55),IMPORTRANGE(""1zEJQnPshpdjcOtCVSP0I8nG2EXKbBMH9BJ8IeNFUEV8"",""Form Responses 1!B:C""),2,0),"""")"),19.0)</f>
        <v>19</v>
      </c>
      <c r="AG55" s="70"/>
      <c r="AH55" s="70"/>
      <c r="AI55" s="70"/>
      <c r="AJ55" s="70"/>
      <c r="AK55" s="70"/>
      <c r="AL55" s="70"/>
      <c r="AM55" s="70"/>
      <c r="AN55" s="70"/>
      <c r="AO55" s="70"/>
      <c r="AP55" s="70"/>
      <c r="AQ55" s="70"/>
      <c r="AR55" s="70"/>
      <c r="AS55" s="70"/>
      <c r="AT55" s="70"/>
      <c r="AU55" s="70"/>
    </row>
    <row r="56">
      <c r="A56" s="39" t="s">
        <v>305</v>
      </c>
      <c r="B56" s="70">
        <f>IFERROR(__xludf.DUMMYFUNCTION("IFERROR(IF(COUNTIF(IMPORTRANGE(""1RTcwEJsI_0aJRebhNwO_H_AoKl9r46k7hWYbtciIyM4"",""Form Responses 1!B:B""),A56)&gt;0,10,),0)"),10.0)</f>
        <v>10</v>
      </c>
      <c r="C56" s="70">
        <f>IFERROR(__xludf.DUMMYFUNCTION("IFERROR(VLOOKUP(A56,IMPORTRANGE(""11i8IUhq_U6RRKRV3CBWIKqYed_fMvFgNUHTq1YDJfp8"",""Form Responses 1!B:C""),2,FALSE),)"),2.0)</f>
        <v>2</v>
      </c>
      <c r="D56" s="70">
        <f>IFERROR(__xludf.DUMMYFUNCTION("IFERROR(VLOOKUP(A56,IMPORTRANGE(""1StiHxuxrFhYdrq5WLR2JMORicW0TbnJf3J-oTHeMRtM"",""Form Responses 1!B:C""),2,FALSE),)"),2.0)</f>
        <v>2</v>
      </c>
      <c r="E56" s="70">
        <f>IFERROR(__xludf.DUMMYFUNCTION("IFERROR(VLOOKUP(A56,IMPORTRANGE(""1QaxxyUjrDq2kgz300C1Bq1tacFk6e-xX218cSXCQUK0"",""Form Responses 1!B:C""),2,FALSE),)"),6.0)</f>
        <v>6</v>
      </c>
      <c r="F56" s="70">
        <f>IFERROR(__xludf.DUMMYFUNCTION("IFERROR(VLOOKUP(A56,IMPORTRANGE(""1fn2ECph_y8Uz78DhjLaiXcwgt6kh3oe-0Le36Uw0noE"",""Form Responses 1!B:C""),2,FALSE),)"),0.0)</f>
        <v>0</v>
      </c>
      <c r="G56" s="39">
        <f>IFERROR(__xludf.DUMMYFUNCTION("IFERROR(IF(COUNTIF(IMPORTRANGE(""1t6NbzWBtAQKR9pGjBnxm9V-bRaGdRVT_-u2ojrUkYZw"",""Form Responses 1!B:B""),A56)&gt;0,10,),0)"),10.0)</f>
        <v>10</v>
      </c>
      <c r="H56" s="39">
        <f>IFERROR(__xludf.DUMMYFUNCTION("IFERROR(VLOOKUP(A56,IMPORTRANGE(""1ytv6MYmm-8DwYEf-PC6L-upnzfG4TJT_K2_Q1BobE6k"",""Form Responses 1!B:C""),2,FALSE),)"),4.0)</f>
        <v>4</v>
      </c>
      <c r="I56" s="39">
        <f>IFERROR(__xludf.DUMMYFUNCTION("IFERROR(VLOOKUP(A56,IMPORTRANGE(""1LTj0BC6WXgHo3fEDDSQlGOM1HkEYGTw8epmIdU0RnB4"",""Form Responses 1!B:C""),2,FALSE),)"),3.0)</f>
        <v>3</v>
      </c>
      <c r="J56" s="39">
        <f>IFERROR(__xludf.DUMMYFUNCTION("IFERROR(VLOOKUP(A56,IMPORTRANGE(""1lBH5Hghbbsr-XV8ZpAW4SFOyMpQX5vY0tEjkjRAJH48"",""Form Responses 1!B:C""),2,FALSE),)"),0.0)</f>
        <v>0</v>
      </c>
      <c r="K56" s="39">
        <f>IFERROR(__xludf.DUMMYFUNCTION("IFERROR(IF(COUNTIF(IMPORTRANGE(""11sIXwmK0co7YC01jkeOYS_Q9btyVErtOm8MrXzqLkm8"",""Form Responses 1!B:B""),A56)&gt;0,10,),0)"),10.0)</f>
        <v>10</v>
      </c>
      <c r="L56" s="70">
        <f>IFERROR(__xludf.DUMMYFUNCTION("IFERROR(IF(COUNTIF(IMPORTRANGE(""1csqG5dOxr6mnQQeHuLyfSoVeWZspfrn9T3cQFX5jhi8"",""Form Responses 1!B:B""),A56)&gt;0,10,),0)"),10.0)</f>
        <v>10</v>
      </c>
      <c r="M56" s="70">
        <f>IFERROR(__xludf.DUMMYFUNCTION("IFERROR(VLOOKUP(A56,IMPORTRANGE(""1C8QMXhp6CypS1pNA-UXlEADxmI-6nbSN9P4kujkvESI"",""Form Responses 1!B:C""),2,FALSE),)"),9.0)</f>
        <v>9</v>
      </c>
      <c r="N56" s="70">
        <f>IFERROR(__xludf.DUMMYFUNCTION("IFERROR(VLOOKUP(A56,IMPORTRANGE(""1e33dV9wgou_u1lnmBtok6Ato-q97II29uUvmeO7Juhw"",""Form Responses 1!B:C""),2,FALSE),)"),26.0)</f>
        <v>26</v>
      </c>
      <c r="O56" s="70">
        <f>IFERROR(__xludf.DUMMYFUNCTION("IFERROR(VLOOKUP(A56,IMPORTRANGE(""15TUXUTXgRTcnnjS-jyDta7Ecw7-lv8-wZMGVKaxe8TY"",""Form Responses 1!B:C""),2,FALSE),)"),26.0)</f>
        <v>26</v>
      </c>
      <c r="P56" s="70">
        <f>IFERROR(__xludf.DUMMYFUNCTION("IFERROR(IF(COUNTIF(IMPORTRANGE(""1KFxxroaoSLanJBYtWVxeITrgly-aztutk24Q4y14KKU"",""Form Responses 1!B:B""),A56)&gt;0,10,),0)"),10.0)</f>
        <v>10</v>
      </c>
      <c r="Q56" s="71">
        <f>IFERROR(__xludf.DUMMYFUNCTION("IFERROR(VLOOKUP(TRIM(A56),IMPORTRANGE(""1WjiLR_MTMxI_IZUKuvPO4Sg2rTSIqBzP3edakSRXbOA"",""Form Responses 1!B:C""),2,0),"""")"),6.0)</f>
        <v>6</v>
      </c>
      <c r="R56" s="70">
        <f>IFERROR(__xludf.DUMMYFUNCTION("IFERROR(VLOOKUP(TRIM(A56),IMPORTRANGE(""1Ixzbal5tEbtWhozsFEppQzOYE6ZSrkNXHg_HW5k3Wt4"",""Form Responses 1!B:C""),2,0),"""")"),2.0)</f>
        <v>2</v>
      </c>
      <c r="S56" s="70">
        <f>IFERROR(__xludf.DUMMYFUNCTION("IFERROR(VLOOKUP(TRIM(A56),IMPORTRANGE(""1zxjtEKGvVIJPIDqZdnxENwVpPXYa88EihzyI44hcQUo"",""Form Responses 1!B:C""),2,0),"""")"),4.0)</f>
        <v>4</v>
      </c>
      <c r="T56" s="70">
        <f>IFERROR(__xludf.DUMMYFUNCTION("IFERROR(VLOOKUP(TRIM(A56),IMPORTRANGE(""1H3cO01obd5zFULYqaT5NAqecZBFFIHeDFn4CeQLZF3w"",""Form Responses 1!B:C""),2,0),"""")"),5.0)</f>
        <v>5</v>
      </c>
      <c r="U56" s="70">
        <f>IFERROR(__xludf.DUMMYFUNCTION("IFERROR(VLOOKUP(TRIM(A56),IMPORTRANGE(""1IG9qoa6PeLdDDFzKpW39lxXshN0-M8Z25a_R1EpsYyg"",""Form Responses 1!B:C""),2,0),"""")"),4.0)</f>
        <v>4</v>
      </c>
      <c r="V56" s="74">
        <v>22.0</v>
      </c>
      <c r="W56" s="70">
        <f>IFERROR(__xludf.DUMMYFUNCTION("IFERROR(VLOOKUP(TRIM(A56),IMPORTRANGE(""1JzBbPfIn5kXHe-RuBwssvVRSauekkTw9cwf70DsYix4"",""Form Responses 1!B:C""),2,0),"""")"),9.0)</f>
        <v>9</v>
      </c>
      <c r="X56" s="70">
        <f>IFERROR(__xludf.DUMMYFUNCTION("IFERROR(VLOOKUP(TRIM(A56),IMPORTRANGE(""1JbcCdZBzu6Yag8PuyvlbtYmdvUYYQNraxAgoikGBi5w"",""Form Responses 1!B:C""),2,0),"""")"),10.0)</f>
        <v>10</v>
      </c>
      <c r="Y56" s="70">
        <f>IFERROR(__xludf.DUMMYFUNCTION("IFERROR(VLOOKUP(TRIM(A56),IMPORTRANGE(""15-YcWQKwT7GXCzNpEoDkSlrruglscDYeQTD3uXec8uQ"",""Form Responses 1!B:C""),2,0),"""")"),21.0)</f>
        <v>21</v>
      </c>
      <c r="Z56" s="70">
        <f>IFERROR(__xludf.DUMMYFUNCTION("IFERROR(VLOOKUP(TRIM(A56),IMPORTRANGE(""1X2rXjxJaWCoTCv5SRdgsC_V3cXeEyqXGQY3NvE1KDUk"",""Form Responses 1!B:C""),2,0),"""")"),21.0)</f>
        <v>21</v>
      </c>
      <c r="AA56" s="70">
        <f>IFERROR(__xludf.DUMMYFUNCTION("IFERROR(VLOOKUP(TRIM(A56),IMPORTRANGE(""1zEJQnPshpdjcOtCVSP0I8nG2EXKbBMH9BJ8IeNFUEV8"",""Form Responses 1!B:C""),2,0),"""")"),16.0)</f>
        <v>16</v>
      </c>
      <c r="AB56" s="70">
        <f>IFERROR(__xludf.DUMMYFUNCTION("IFERROR(VLOOKUP(TRIM(A56),IMPORTRANGE(""1JzBbPfIn5kXHe-RuBwssvVRSauekkTw9cwf70DsYix4"",""Form Responses 1!B:C""),2,0),"""")"),9.0)</f>
        <v>9</v>
      </c>
      <c r="AC56" s="70">
        <f>IFERROR(__xludf.DUMMYFUNCTION("IFERROR(VLOOKUP(TRIM(A56),IMPORTRANGE(""1JbcCdZBzu6Yag8PuyvlbtYmdvUYYQNraxAgoikGBi5w"",""Form Responses 1!B:C""),2,0),"""")"),10.0)</f>
        <v>10</v>
      </c>
      <c r="AD56" s="70">
        <f>IFERROR(__xludf.DUMMYFUNCTION("IFERROR(VLOOKUP(TRIM(A56),IMPORTRANGE(""15-YcWQKwT7GXCzNpEoDkSlrruglscDYeQTD3uXec8uQ"",""Form Responses 1!B:C""),2,0),"""")"),21.0)</f>
        <v>21</v>
      </c>
      <c r="AE56" s="70">
        <f>IFERROR(__xludf.DUMMYFUNCTION("IFERROR(VLOOKUP(TRIM(A56),IMPORTRANGE(""1X2rXjxJaWCoTCv5SRdgsC_V3cXeEyqXGQY3NvE1KDUk"",""Form Responses 1!B:C""),2,0),"""")"),21.0)</f>
        <v>21</v>
      </c>
      <c r="AF56" s="70">
        <f>IFERROR(__xludf.DUMMYFUNCTION("IFERROR(VLOOKUP(TRIM(A56),IMPORTRANGE(""1zEJQnPshpdjcOtCVSP0I8nG2EXKbBMH9BJ8IeNFUEV8"",""Form Responses 1!B:C""),2,0),"""")"),16.0)</f>
        <v>16</v>
      </c>
      <c r="AG56" s="70"/>
      <c r="AH56" s="70"/>
      <c r="AI56" s="70"/>
      <c r="AJ56" s="70"/>
      <c r="AK56" s="70"/>
      <c r="AL56" s="70"/>
      <c r="AM56" s="70"/>
      <c r="AN56" s="70"/>
      <c r="AO56" s="70"/>
      <c r="AP56" s="70"/>
      <c r="AQ56" s="70"/>
      <c r="AR56" s="70"/>
      <c r="AS56" s="70"/>
      <c r="AT56" s="70"/>
      <c r="AU56" s="70"/>
    </row>
    <row r="57">
      <c r="A57" s="39" t="s">
        <v>306</v>
      </c>
      <c r="B57" s="70">
        <f>IFERROR(__xludf.DUMMYFUNCTION("IFERROR(IF(COUNTIF(IMPORTRANGE(""1RTcwEJsI_0aJRebhNwO_H_AoKl9r46k7hWYbtciIyM4"",""Form Responses 1!B:B""),A57)&gt;0,10,),0)"),10.0)</f>
        <v>10</v>
      </c>
      <c r="C57" s="70">
        <f>IFERROR(__xludf.DUMMYFUNCTION("IFERROR(VLOOKUP(A57,IMPORTRANGE(""11i8IUhq_U6RRKRV3CBWIKqYed_fMvFgNUHTq1YDJfp8"",""Form Responses 1!B:C""),2,FALSE),)"),4.0)</f>
        <v>4</v>
      </c>
      <c r="D57" s="70">
        <f>IFERROR(__xludf.DUMMYFUNCTION("IFERROR(VLOOKUP(A57,IMPORTRANGE(""1StiHxuxrFhYdrq5WLR2JMORicW0TbnJf3J-oTHeMRtM"",""Form Responses 1!B:C""),2,FALSE),)"),3.0)</f>
        <v>3</v>
      </c>
      <c r="E57" s="70">
        <f>IFERROR(__xludf.DUMMYFUNCTION("IFERROR(VLOOKUP(A57,IMPORTRANGE(""1QaxxyUjrDq2kgz300C1Bq1tacFk6e-xX218cSXCQUK0"",""Form Responses 1!B:C""),2,FALSE),)"),2.0)</f>
        <v>2</v>
      </c>
      <c r="F57" s="70">
        <f>IFERROR(__xludf.DUMMYFUNCTION("IFERROR(VLOOKUP(A57,IMPORTRANGE(""1fn2ECph_y8Uz78DhjLaiXcwgt6kh3oe-0Le36Uw0noE"",""Form Responses 1!B:C""),2,FALSE),)"),4.0)</f>
        <v>4</v>
      </c>
      <c r="G57" s="39">
        <f>IFERROR(__xludf.DUMMYFUNCTION("IFERROR(IF(COUNTIF(IMPORTRANGE(""1t6NbzWBtAQKR9pGjBnxm9V-bRaGdRVT_-u2ojrUkYZw"",""Form Responses 1!B:B""),A57)&gt;0,10,),0)"),10.0)</f>
        <v>10</v>
      </c>
      <c r="H57" s="39">
        <f>IFERROR(__xludf.DUMMYFUNCTION("IFERROR(VLOOKUP(A57,IMPORTRANGE(""1ytv6MYmm-8DwYEf-PC6L-upnzfG4TJT_K2_Q1BobE6k"",""Form Responses 1!B:C""),2,FALSE),)"),5.0)</f>
        <v>5</v>
      </c>
      <c r="I57" s="39">
        <f>IFERROR(__xludf.DUMMYFUNCTION("IFERROR(VLOOKUP(A57,IMPORTRANGE(""1LTj0BC6WXgHo3fEDDSQlGOM1HkEYGTw8epmIdU0RnB4"",""Form Responses 1!B:C""),2,FALSE),)"),3.0)</f>
        <v>3</v>
      </c>
      <c r="J57" s="39">
        <f>IFERROR(__xludf.DUMMYFUNCTION("IFERROR(VLOOKUP(A57,IMPORTRANGE(""1lBH5Hghbbsr-XV8ZpAW4SFOyMpQX5vY0tEjkjRAJH48"",""Form Responses 1!B:C""),2,FALSE),)"),0.0)</f>
        <v>0</v>
      </c>
      <c r="K57" s="39">
        <f>IFERROR(__xludf.DUMMYFUNCTION("IFERROR(IF(COUNTIF(IMPORTRANGE(""11sIXwmK0co7YC01jkeOYS_Q9btyVErtOm8MrXzqLkm8"",""Form Responses 1!B:B""),A57)&gt;0,10,),0)"),10.0)</f>
        <v>10</v>
      </c>
      <c r="L57" s="70" t="str">
        <f>IFERROR(__xludf.DUMMYFUNCTION("IFERROR(IF(COUNTIF(IMPORTRANGE(""1csqG5dOxr6mnQQeHuLyfSoVeWZspfrn9T3cQFX5jhi8"",""Form Responses 1!B:B""),A57)&gt;0,10,),0)"),"")</f>
        <v/>
      </c>
      <c r="M57" s="70" t="str">
        <f>IFERROR(__xludf.DUMMYFUNCTION("IFERROR(VLOOKUP(A57,IMPORTRANGE(""1C8QMXhp6CypS1pNA-UXlEADxmI-6nbSN9P4kujkvESI"",""Form Responses 1!B:C""),2,FALSE),)"),"")</f>
        <v/>
      </c>
      <c r="N57" s="70" t="str">
        <f>IFERROR(__xludf.DUMMYFUNCTION("IFERROR(VLOOKUP(A57,IMPORTRANGE(""1e33dV9wgou_u1lnmBtok6Ato-q97II29uUvmeO7Juhw"",""Form Responses 1!B:C""),2,FALSE),)"),"")</f>
        <v/>
      </c>
      <c r="O57" s="70" t="str">
        <f>IFERROR(__xludf.DUMMYFUNCTION("IFERROR(VLOOKUP(A57,IMPORTRANGE(""15TUXUTXgRTcnnjS-jyDta7Ecw7-lv8-wZMGVKaxe8TY"",""Form Responses 1!B:C""),2,FALSE),)"),"")</f>
        <v/>
      </c>
      <c r="P57" s="70" t="str">
        <f>IFERROR(__xludf.DUMMYFUNCTION("IFERROR(IF(COUNTIF(IMPORTRANGE(""1KFxxroaoSLanJBYtWVxeITrgly-aztutk24Q4y14KKU"",""Form Responses 1!B:B""),A57)&gt;0,10,),0)"),"")</f>
        <v/>
      </c>
      <c r="Q57" s="71" t="str">
        <f>IFERROR(__xludf.DUMMYFUNCTION("IFERROR(VLOOKUP(TRIM(A57),IMPORTRANGE(""1WjiLR_MTMxI_IZUKuvPO4Sg2rTSIqBzP3edakSRXbOA"",""Form Responses 1!B:C""),2,0),"""")"),"")</f>
        <v/>
      </c>
      <c r="R57" s="70" t="str">
        <f>IFERROR(__xludf.DUMMYFUNCTION("IFERROR(VLOOKUP(TRIM(A57),IMPORTRANGE(""1Ixzbal5tEbtWhozsFEppQzOYE6ZSrkNXHg_HW5k3Wt4"",""Form Responses 1!B:C""),2,0),"""")"),"")</f>
        <v/>
      </c>
      <c r="S57" s="70" t="str">
        <f>IFERROR(__xludf.DUMMYFUNCTION("IFERROR(VLOOKUP(TRIM(A57),IMPORTRANGE(""1zxjtEKGvVIJPIDqZdnxENwVpPXYa88EihzyI44hcQUo"",""Form Responses 1!B:C""),2,0),"""")"),"")</f>
        <v/>
      </c>
      <c r="T57" s="70" t="str">
        <f>IFERROR(__xludf.DUMMYFUNCTION("IFERROR(VLOOKUP(TRIM(A57),IMPORTRANGE(""1H3cO01obd5zFULYqaT5NAqecZBFFIHeDFn4CeQLZF3w"",""Form Responses 1!B:C""),2,0),"""")"),"")</f>
        <v/>
      </c>
      <c r="U57" s="70" t="str">
        <f>IFERROR(__xludf.DUMMYFUNCTION("IFERROR(VLOOKUP(TRIM(A57),IMPORTRANGE(""1IG9qoa6PeLdDDFzKpW39lxXshN0-M8Z25a_R1EpsYyg"",""Form Responses 1!B:C""),2,0),"""")"),"")</f>
        <v/>
      </c>
      <c r="V57" s="72"/>
      <c r="W57" s="70">
        <f>IFERROR(__xludf.DUMMYFUNCTION("IFERROR(VLOOKUP(TRIM(A57),IMPORTRANGE(""1JzBbPfIn5kXHe-RuBwssvVRSauekkTw9cwf70DsYix4"",""Form Responses 1!B:C""),2,0),"""")"),9.0)</f>
        <v>9</v>
      </c>
      <c r="X57" s="70">
        <f>IFERROR(__xludf.DUMMYFUNCTION("IFERROR(VLOOKUP(TRIM(A57),IMPORTRANGE(""1JbcCdZBzu6Yag8PuyvlbtYmdvUYYQNraxAgoikGBi5w"",""Form Responses 1!B:C""),2,0),"""")"),13.0)</f>
        <v>13</v>
      </c>
      <c r="Y57" s="70">
        <f>IFERROR(__xludf.DUMMYFUNCTION("IFERROR(VLOOKUP(TRIM(A57),IMPORTRANGE(""15-YcWQKwT7GXCzNpEoDkSlrruglscDYeQTD3uXec8uQ"",""Form Responses 1!B:C""),2,0),"""")"),15.0)</f>
        <v>15</v>
      </c>
      <c r="Z57" s="70" t="str">
        <f>IFERROR(__xludf.DUMMYFUNCTION("IFERROR(VLOOKUP(TRIM(A57),IMPORTRANGE(""1X2rXjxJaWCoTCv5SRdgsC_V3cXeEyqXGQY3NvE1KDUk"",""Form Responses 1!B:C""),2,0),"""")"),"")</f>
        <v/>
      </c>
      <c r="AA57" s="70" t="str">
        <f>IFERROR(__xludf.DUMMYFUNCTION("IFERROR(VLOOKUP(TRIM(A57),IMPORTRANGE(""1zEJQnPshpdjcOtCVSP0I8nG2EXKbBMH9BJ8IeNFUEV8"",""Form Responses 1!B:C""),2,0),"""")"),"")</f>
        <v/>
      </c>
      <c r="AB57" s="70">
        <f>IFERROR(__xludf.DUMMYFUNCTION("IFERROR(VLOOKUP(TRIM(A57),IMPORTRANGE(""1JzBbPfIn5kXHe-RuBwssvVRSauekkTw9cwf70DsYix4"",""Form Responses 1!B:C""),2,0),"""")"),9.0)</f>
        <v>9</v>
      </c>
      <c r="AC57" s="70">
        <f>IFERROR(__xludf.DUMMYFUNCTION("IFERROR(VLOOKUP(TRIM(A57),IMPORTRANGE(""1JbcCdZBzu6Yag8PuyvlbtYmdvUYYQNraxAgoikGBi5w"",""Form Responses 1!B:C""),2,0),"""")"),13.0)</f>
        <v>13</v>
      </c>
      <c r="AD57" s="70">
        <f>IFERROR(__xludf.DUMMYFUNCTION("IFERROR(VLOOKUP(TRIM(A57),IMPORTRANGE(""15-YcWQKwT7GXCzNpEoDkSlrruglscDYeQTD3uXec8uQ"",""Form Responses 1!B:C""),2,0),"""")"),15.0)</f>
        <v>15</v>
      </c>
      <c r="AE57" s="70" t="str">
        <f>IFERROR(__xludf.DUMMYFUNCTION("IFERROR(VLOOKUP(TRIM(A57),IMPORTRANGE(""1X2rXjxJaWCoTCv5SRdgsC_V3cXeEyqXGQY3NvE1KDUk"",""Form Responses 1!B:C""),2,0),"""")"),"")</f>
        <v/>
      </c>
      <c r="AF57" s="70" t="str">
        <f>IFERROR(__xludf.DUMMYFUNCTION("IFERROR(VLOOKUP(TRIM(A57),IMPORTRANGE(""1zEJQnPshpdjcOtCVSP0I8nG2EXKbBMH9BJ8IeNFUEV8"",""Form Responses 1!B:C""),2,0),"""")"),"")</f>
        <v/>
      </c>
      <c r="AG57" s="70"/>
      <c r="AH57" s="70"/>
      <c r="AI57" s="70"/>
      <c r="AJ57" s="70"/>
      <c r="AK57" s="70"/>
      <c r="AL57" s="70"/>
      <c r="AM57" s="70"/>
      <c r="AN57" s="70"/>
      <c r="AO57" s="70"/>
      <c r="AP57" s="70"/>
      <c r="AQ57" s="70"/>
      <c r="AR57" s="70"/>
      <c r="AS57" s="70"/>
      <c r="AT57" s="70"/>
      <c r="AU57" s="70"/>
    </row>
    <row r="58">
      <c r="A58" s="39" t="s">
        <v>307</v>
      </c>
      <c r="B58" s="70">
        <f>IFERROR(__xludf.DUMMYFUNCTION("IFERROR(IF(COUNTIF(IMPORTRANGE(""1RTcwEJsI_0aJRebhNwO_H_AoKl9r46k7hWYbtciIyM4"",""Form Responses 1!B:B""),A58)&gt;0,10,),0)"),10.0)</f>
        <v>10</v>
      </c>
      <c r="C58" s="70">
        <f>IFERROR(__xludf.DUMMYFUNCTION("IFERROR(VLOOKUP(A58,IMPORTRANGE(""11i8IUhq_U6RRKRV3CBWIKqYed_fMvFgNUHTq1YDJfp8"",""Form Responses 1!B:C""),2,FALSE),)"),7.0)</f>
        <v>7</v>
      </c>
      <c r="D58" s="70">
        <f>IFERROR(__xludf.DUMMYFUNCTION("IFERROR(VLOOKUP(A58,IMPORTRANGE(""1StiHxuxrFhYdrq5WLR2JMORicW0TbnJf3J-oTHeMRtM"",""Form Responses 1!B:C""),2,FALSE),)"),13.0)</f>
        <v>13</v>
      </c>
      <c r="E58" s="70">
        <f>IFERROR(__xludf.DUMMYFUNCTION("IFERROR(VLOOKUP(A58,IMPORTRANGE(""1QaxxyUjrDq2kgz300C1Bq1tacFk6e-xX218cSXCQUK0"",""Form Responses 1!B:C""),2,FALSE),)"),6.0)</f>
        <v>6</v>
      </c>
      <c r="F58" s="70" t="str">
        <f>IFERROR(__xludf.DUMMYFUNCTION("IFERROR(VLOOKUP(A58,IMPORTRANGE(""1fn2ECph_y8Uz78DhjLaiXcwgt6kh3oe-0Le36Uw0noE"",""Form Responses 1!B:C""),2,FALSE),)"),"")</f>
        <v/>
      </c>
      <c r="G58" s="39">
        <f>IFERROR(__xludf.DUMMYFUNCTION("IFERROR(IF(COUNTIF(IMPORTRANGE(""1t6NbzWBtAQKR9pGjBnxm9V-bRaGdRVT_-u2ojrUkYZw"",""Form Responses 1!B:B""),A58)&gt;0,10,),0)"),10.0)</f>
        <v>10</v>
      </c>
      <c r="H58" s="39">
        <f>IFERROR(__xludf.DUMMYFUNCTION("IFERROR(VLOOKUP(A58,IMPORTRANGE(""1ytv6MYmm-8DwYEf-PC6L-upnzfG4TJT_K2_Q1BobE6k"",""Form Responses 1!B:C""),2,FALSE),)"),11.0)</f>
        <v>11</v>
      </c>
      <c r="I58" s="39">
        <f>IFERROR(__xludf.DUMMYFUNCTION("IFERROR(VLOOKUP(A58,IMPORTRANGE(""1LTj0BC6WXgHo3fEDDSQlGOM1HkEYGTw8epmIdU0RnB4"",""Form Responses 1!B:C""),2,FALSE),)"),10.0)</f>
        <v>10</v>
      </c>
      <c r="J58" s="39">
        <f>IFERROR(__xludf.DUMMYFUNCTION("IFERROR(VLOOKUP(A58,IMPORTRANGE(""1lBH5Hghbbsr-XV8ZpAW4SFOyMpQX5vY0tEjkjRAJH48"",""Form Responses 1!B:C""),2,FALSE),)"),0.0)</f>
        <v>0</v>
      </c>
      <c r="K58" s="39">
        <f>IFERROR(__xludf.DUMMYFUNCTION("IFERROR(IF(COUNTIF(IMPORTRANGE(""11sIXwmK0co7YC01jkeOYS_Q9btyVErtOm8MrXzqLkm8"",""Form Responses 1!B:B""),A58)&gt;0,10,),0)"),10.0)</f>
        <v>10</v>
      </c>
      <c r="L58" s="70">
        <f>IFERROR(__xludf.DUMMYFUNCTION("IFERROR(IF(COUNTIF(IMPORTRANGE(""1csqG5dOxr6mnQQeHuLyfSoVeWZspfrn9T3cQFX5jhi8"",""Form Responses 1!B:B""),A58)&gt;0,10,),0)"),10.0)</f>
        <v>10</v>
      </c>
      <c r="M58" s="70">
        <f>IFERROR(__xludf.DUMMYFUNCTION("IFERROR(VLOOKUP(A58,IMPORTRANGE(""1C8QMXhp6CypS1pNA-UXlEADxmI-6nbSN9P4kujkvESI"",""Form Responses 1!B:C""),2,FALSE),)"),21.0)</f>
        <v>21</v>
      </c>
      <c r="N58" s="70">
        <f>IFERROR(__xludf.DUMMYFUNCTION("IFERROR(VLOOKUP(A58,IMPORTRANGE(""1e33dV9wgou_u1lnmBtok6Ato-q97II29uUvmeO7Juhw"",""Form Responses 1!B:C""),2,FALSE),)"),26.0)</f>
        <v>26</v>
      </c>
      <c r="O58" s="70">
        <f>IFERROR(__xludf.DUMMYFUNCTION("IFERROR(VLOOKUP(A58,IMPORTRANGE(""15TUXUTXgRTcnnjS-jyDta7Ecw7-lv8-wZMGVKaxe8TY"",""Form Responses 1!B:C""),2,FALSE),)"),26.0)</f>
        <v>26</v>
      </c>
      <c r="P58" s="70">
        <f>IFERROR(__xludf.DUMMYFUNCTION("IFERROR(IF(COUNTIF(IMPORTRANGE(""1KFxxroaoSLanJBYtWVxeITrgly-aztutk24Q4y14KKU"",""Form Responses 1!B:B""),A58)&gt;0,10,),0)"),10.0)</f>
        <v>10</v>
      </c>
      <c r="Q58" s="71">
        <f>IFERROR(__xludf.DUMMYFUNCTION("IFERROR(VLOOKUP(TRIM(A58),IMPORTRANGE(""1WjiLR_MTMxI_IZUKuvPO4Sg2rTSIqBzP3edakSRXbOA"",""Form Responses 1!B:C""),2,0),"""")"),10.0)</f>
        <v>10</v>
      </c>
      <c r="R58" s="70" t="str">
        <f>IFERROR(__xludf.DUMMYFUNCTION("IFERROR(VLOOKUP(TRIM(A58),IMPORTRANGE(""1Ixzbal5tEbtWhozsFEppQzOYE6ZSrkNXHg_HW5k3Wt4"",""Form Responses 1!B:C""),2,0),"""")"),"")</f>
        <v/>
      </c>
      <c r="S58" s="70" t="str">
        <f>IFERROR(__xludf.DUMMYFUNCTION("IFERROR(VLOOKUP(TRIM(A58),IMPORTRANGE(""1zxjtEKGvVIJPIDqZdnxENwVpPXYa88EihzyI44hcQUo"",""Form Responses 1!B:C""),2,0),"""")"),"")</f>
        <v/>
      </c>
      <c r="T58" s="70" t="str">
        <f>IFERROR(__xludf.DUMMYFUNCTION("IFERROR(VLOOKUP(TRIM(A58),IMPORTRANGE(""1H3cO01obd5zFULYqaT5NAqecZBFFIHeDFn4CeQLZF3w"",""Form Responses 1!B:C""),2,0),"""")"),"")</f>
        <v/>
      </c>
      <c r="U58" s="70" t="str">
        <f>IFERROR(__xludf.DUMMYFUNCTION("IFERROR(VLOOKUP(TRIM(A58),IMPORTRANGE(""1IG9qoa6PeLdDDFzKpW39lxXshN0-M8Z25a_R1EpsYyg"",""Form Responses 1!B:C""),2,0),"""")"),"")</f>
        <v/>
      </c>
      <c r="V58" s="72"/>
      <c r="W58" s="70" t="str">
        <f>IFERROR(__xludf.DUMMYFUNCTION("IFERROR(VLOOKUP(TRIM(A58),IMPORTRANGE(""1JzBbPfIn5kXHe-RuBwssvVRSauekkTw9cwf70DsYix4"",""Form Responses 1!B:C""),2,0),"""")"),"")</f>
        <v/>
      </c>
      <c r="X58" s="70" t="str">
        <f>IFERROR(__xludf.DUMMYFUNCTION("IFERROR(VLOOKUP(TRIM(A58),IMPORTRANGE(""1JbcCdZBzu6Yag8PuyvlbtYmdvUYYQNraxAgoikGBi5w"",""Form Responses 1!B:C""),2,0),"""")"),"")</f>
        <v/>
      </c>
      <c r="Y58" s="70" t="str">
        <f>IFERROR(__xludf.DUMMYFUNCTION("IFERROR(VLOOKUP(TRIM(A58),IMPORTRANGE(""15-YcWQKwT7GXCzNpEoDkSlrruglscDYeQTD3uXec8uQ"",""Form Responses 1!B:C""),2,0),"""")"),"")</f>
        <v/>
      </c>
      <c r="Z58" s="70" t="str">
        <f>IFERROR(__xludf.DUMMYFUNCTION("IFERROR(VLOOKUP(TRIM(A58),IMPORTRANGE(""1X2rXjxJaWCoTCv5SRdgsC_V3cXeEyqXGQY3NvE1KDUk"",""Form Responses 1!B:C""),2,0),"""")"),"")</f>
        <v/>
      </c>
      <c r="AA58" s="70" t="str">
        <f>IFERROR(__xludf.DUMMYFUNCTION("IFERROR(VLOOKUP(TRIM(A58),IMPORTRANGE(""1zEJQnPshpdjcOtCVSP0I8nG2EXKbBMH9BJ8IeNFUEV8"",""Form Responses 1!B:C""),2,0),"""")"),"")</f>
        <v/>
      </c>
      <c r="AB58" s="70" t="str">
        <f>IFERROR(__xludf.DUMMYFUNCTION("IFERROR(VLOOKUP(TRIM(A58),IMPORTRANGE(""1JzBbPfIn5kXHe-RuBwssvVRSauekkTw9cwf70DsYix4"",""Form Responses 1!B:C""),2,0),"""")"),"")</f>
        <v/>
      </c>
      <c r="AC58" s="70" t="str">
        <f>IFERROR(__xludf.DUMMYFUNCTION("IFERROR(VLOOKUP(TRIM(A58),IMPORTRANGE(""1JbcCdZBzu6Yag8PuyvlbtYmdvUYYQNraxAgoikGBi5w"",""Form Responses 1!B:C""),2,0),"""")"),"")</f>
        <v/>
      </c>
      <c r="AD58" s="70" t="str">
        <f>IFERROR(__xludf.DUMMYFUNCTION("IFERROR(VLOOKUP(TRIM(A58),IMPORTRANGE(""15-YcWQKwT7GXCzNpEoDkSlrruglscDYeQTD3uXec8uQ"",""Form Responses 1!B:C""),2,0),"""")"),"")</f>
        <v/>
      </c>
      <c r="AE58" s="70" t="str">
        <f>IFERROR(__xludf.DUMMYFUNCTION("IFERROR(VLOOKUP(TRIM(A58),IMPORTRANGE(""1X2rXjxJaWCoTCv5SRdgsC_V3cXeEyqXGQY3NvE1KDUk"",""Form Responses 1!B:C""),2,0),"""")"),"")</f>
        <v/>
      </c>
      <c r="AF58" s="70" t="str">
        <f>IFERROR(__xludf.DUMMYFUNCTION("IFERROR(VLOOKUP(TRIM(A58),IMPORTRANGE(""1zEJQnPshpdjcOtCVSP0I8nG2EXKbBMH9BJ8IeNFUEV8"",""Form Responses 1!B:C""),2,0),"""")"),"")</f>
        <v/>
      </c>
      <c r="AG58" s="70"/>
      <c r="AH58" s="70"/>
      <c r="AI58" s="70"/>
      <c r="AJ58" s="70"/>
      <c r="AK58" s="70"/>
      <c r="AL58" s="70"/>
      <c r="AM58" s="70"/>
      <c r="AN58" s="70"/>
      <c r="AO58" s="70"/>
      <c r="AP58" s="70"/>
      <c r="AQ58" s="70"/>
      <c r="AR58" s="70"/>
      <c r="AS58" s="70"/>
      <c r="AT58" s="70"/>
      <c r="AU58" s="70"/>
    </row>
    <row r="59">
      <c r="A59" s="39" t="s">
        <v>308</v>
      </c>
      <c r="B59" s="70">
        <f>IFERROR(__xludf.DUMMYFUNCTION("IFERROR(IF(COUNTIF(IMPORTRANGE(""1RTcwEJsI_0aJRebhNwO_H_AoKl9r46k7hWYbtciIyM4"",""Form Responses 1!B:B""),A59)&gt;0,10,),0)"),10.0)</f>
        <v>10</v>
      </c>
      <c r="C59" s="70">
        <f>IFERROR(__xludf.DUMMYFUNCTION("IFERROR(VLOOKUP(A59,IMPORTRANGE(""11i8IUhq_U6RRKRV3CBWIKqYed_fMvFgNUHTq1YDJfp8"",""Form Responses 1!B:C""),2,FALSE),)"),3.0)</f>
        <v>3</v>
      </c>
      <c r="D59" s="70">
        <f>IFERROR(__xludf.DUMMYFUNCTION("IFERROR(VLOOKUP(A59,IMPORTRANGE(""1StiHxuxrFhYdrq5WLR2JMORicW0TbnJf3J-oTHeMRtM"",""Form Responses 1!B:C""),2,FALSE),)"),3.0)</f>
        <v>3</v>
      </c>
      <c r="E59" s="70">
        <f>IFERROR(__xludf.DUMMYFUNCTION("IFERROR(VLOOKUP(A59,IMPORTRANGE(""1QaxxyUjrDq2kgz300C1Bq1tacFk6e-xX218cSXCQUK0"",""Form Responses 1!B:C""),2,FALSE),)"),4.0)</f>
        <v>4</v>
      </c>
      <c r="F59" s="70">
        <f>IFERROR(__xludf.DUMMYFUNCTION("IFERROR(VLOOKUP(A59,IMPORTRANGE(""1fn2ECph_y8Uz78DhjLaiXcwgt6kh3oe-0Le36Uw0noE"",""Form Responses 1!B:C""),2,FALSE),)"),10.0)</f>
        <v>10</v>
      </c>
      <c r="G59" s="39">
        <f>IFERROR(__xludf.DUMMYFUNCTION("IFERROR(IF(COUNTIF(IMPORTRANGE(""1t6NbzWBtAQKR9pGjBnxm9V-bRaGdRVT_-u2ojrUkYZw"",""Form Responses 1!B:B""),A59)&gt;0,10,),0)"),10.0)</f>
        <v>10</v>
      </c>
      <c r="H59" s="39">
        <f>IFERROR(__xludf.DUMMYFUNCTION("IFERROR(VLOOKUP(A59,IMPORTRANGE(""1ytv6MYmm-8DwYEf-PC6L-upnzfG4TJT_K2_Q1BobE6k"",""Form Responses 1!B:C""),2,FALSE),)"),11.0)</f>
        <v>11</v>
      </c>
      <c r="I59" s="39">
        <f>IFERROR(__xludf.DUMMYFUNCTION("IFERROR(VLOOKUP(A59,IMPORTRANGE(""1LTj0BC6WXgHo3fEDDSQlGOM1HkEYGTw8epmIdU0RnB4"",""Form Responses 1!B:C""),2,FALSE),)"),10.0)</f>
        <v>10</v>
      </c>
      <c r="J59" s="39">
        <f>IFERROR(__xludf.DUMMYFUNCTION("IFERROR(VLOOKUP(A59,IMPORTRANGE(""1lBH5Hghbbsr-XV8ZpAW4SFOyMpQX5vY0tEjkjRAJH48"",""Form Responses 1!B:C""),2,FALSE),)"),0.0)</f>
        <v>0</v>
      </c>
      <c r="K59" s="39">
        <f>IFERROR(__xludf.DUMMYFUNCTION("IFERROR(IF(COUNTIF(IMPORTRANGE(""11sIXwmK0co7YC01jkeOYS_Q9btyVErtOm8MrXzqLkm8"",""Form Responses 1!B:B""),A59)&gt;0,10,),0)"),10.0)</f>
        <v>10</v>
      </c>
      <c r="L59" s="70">
        <f>IFERROR(__xludf.DUMMYFUNCTION("IFERROR(IF(COUNTIF(IMPORTRANGE(""1csqG5dOxr6mnQQeHuLyfSoVeWZspfrn9T3cQFX5jhi8"",""Form Responses 1!B:B""),A59)&gt;0,10,),0)"),10.0)</f>
        <v>10</v>
      </c>
      <c r="M59" s="70" t="str">
        <f>IFERROR(__xludf.DUMMYFUNCTION("IFERROR(VLOOKUP(A59,IMPORTRANGE(""1C8QMXhp6CypS1pNA-UXlEADxmI-6nbSN9P4kujkvESI"",""Form Responses 1!B:C""),2,FALSE),)"),"")</f>
        <v/>
      </c>
      <c r="N59" s="70" t="str">
        <f>IFERROR(__xludf.DUMMYFUNCTION("IFERROR(VLOOKUP(A59,IMPORTRANGE(""1e33dV9wgou_u1lnmBtok6Ato-q97II29uUvmeO7Juhw"",""Form Responses 1!B:C""),2,FALSE),)"),"")</f>
        <v/>
      </c>
      <c r="O59" s="70" t="str">
        <f>IFERROR(__xludf.DUMMYFUNCTION("IFERROR(VLOOKUP(A59,IMPORTRANGE(""15TUXUTXgRTcnnjS-jyDta7Ecw7-lv8-wZMGVKaxe8TY"",""Form Responses 1!B:C""),2,FALSE),)"),"")</f>
        <v/>
      </c>
      <c r="P59" s="70" t="str">
        <f>IFERROR(__xludf.DUMMYFUNCTION("IFERROR(IF(COUNTIF(IMPORTRANGE(""1KFxxroaoSLanJBYtWVxeITrgly-aztutk24Q4y14KKU"",""Form Responses 1!B:B""),A59)&gt;0,10,),0)"),"")</f>
        <v/>
      </c>
      <c r="Q59" s="71" t="str">
        <f>IFERROR(__xludf.DUMMYFUNCTION("IFERROR(VLOOKUP(TRIM(A59),IMPORTRANGE(""1WjiLR_MTMxI_IZUKuvPO4Sg2rTSIqBzP3edakSRXbOA"",""Form Responses 1!B:C""),2,0),"""")"),"")</f>
        <v/>
      </c>
      <c r="R59" s="70" t="str">
        <f>IFERROR(__xludf.DUMMYFUNCTION("IFERROR(VLOOKUP(TRIM(A59),IMPORTRANGE(""1Ixzbal5tEbtWhozsFEppQzOYE6ZSrkNXHg_HW5k3Wt4"",""Form Responses 1!B:C""),2,0),"""")"),"")</f>
        <v/>
      </c>
      <c r="S59" s="70" t="str">
        <f>IFERROR(__xludf.DUMMYFUNCTION("IFERROR(VLOOKUP(TRIM(A59),IMPORTRANGE(""1zxjtEKGvVIJPIDqZdnxENwVpPXYa88EihzyI44hcQUo"",""Form Responses 1!B:C""),2,0),"""")"),"")</f>
        <v/>
      </c>
      <c r="T59" s="70" t="str">
        <f>IFERROR(__xludf.DUMMYFUNCTION("IFERROR(VLOOKUP(TRIM(A59),IMPORTRANGE(""1H3cO01obd5zFULYqaT5NAqecZBFFIHeDFn4CeQLZF3w"",""Form Responses 1!B:C""),2,0),"""")"),"")</f>
        <v/>
      </c>
      <c r="U59" s="70" t="str">
        <f>IFERROR(__xludf.DUMMYFUNCTION("IFERROR(VLOOKUP(TRIM(A59),IMPORTRANGE(""1IG9qoa6PeLdDDFzKpW39lxXshN0-M8Z25a_R1EpsYyg"",""Form Responses 1!B:C""),2,0),"""")"),"")</f>
        <v/>
      </c>
      <c r="V59" s="72"/>
      <c r="W59" s="70">
        <f>IFERROR(__xludf.DUMMYFUNCTION("IFERROR(VLOOKUP(TRIM(A59),IMPORTRANGE(""1JzBbPfIn5kXHe-RuBwssvVRSauekkTw9cwf70DsYix4"",""Form Responses 1!B:C""),2,0),"""")"),12.0)</f>
        <v>12</v>
      </c>
      <c r="X59" s="70">
        <f>IFERROR(__xludf.DUMMYFUNCTION("IFERROR(VLOOKUP(TRIM(A59),IMPORTRANGE(""1JbcCdZBzu6Yag8PuyvlbtYmdvUYYQNraxAgoikGBi5w"",""Form Responses 1!B:C""),2,0),"""")"),20.0)</f>
        <v>20</v>
      </c>
      <c r="Y59" s="70">
        <f>IFERROR(__xludf.DUMMYFUNCTION("IFERROR(VLOOKUP(TRIM(A59),IMPORTRANGE(""15-YcWQKwT7GXCzNpEoDkSlrruglscDYeQTD3uXec8uQ"",""Form Responses 1!B:C""),2,0),"""")"),21.0)</f>
        <v>21</v>
      </c>
      <c r="Z59" s="70">
        <f>IFERROR(__xludf.DUMMYFUNCTION("IFERROR(VLOOKUP(TRIM(A59),IMPORTRANGE(""1X2rXjxJaWCoTCv5SRdgsC_V3cXeEyqXGQY3NvE1KDUk"",""Form Responses 1!B:C""),2,0),"""")"),25.0)</f>
        <v>25</v>
      </c>
      <c r="AA59" s="70" t="str">
        <f>IFERROR(__xludf.DUMMYFUNCTION("IFERROR(VLOOKUP(TRIM(A59),IMPORTRANGE(""1zEJQnPshpdjcOtCVSP0I8nG2EXKbBMH9BJ8IeNFUEV8"",""Form Responses 1!B:C""),2,0),"""")"),"")</f>
        <v/>
      </c>
      <c r="AB59" s="70">
        <f>IFERROR(__xludf.DUMMYFUNCTION("IFERROR(VLOOKUP(TRIM(A59),IMPORTRANGE(""1JzBbPfIn5kXHe-RuBwssvVRSauekkTw9cwf70DsYix4"",""Form Responses 1!B:C""),2,0),"""")"),12.0)</f>
        <v>12</v>
      </c>
      <c r="AC59" s="70">
        <f>IFERROR(__xludf.DUMMYFUNCTION("IFERROR(VLOOKUP(TRIM(A59),IMPORTRANGE(""1JbcCdZBzu6Yag8PuyvlbtYmdvUYYQNraxAgoikGBi5w"",""Form Responses 1!B:C""),2,0),"""")"),20.0)</f>
        <v>20</v>
      </c>
      <c r="AD59" s="70">
        <f>IFERROR(__xludf.DUMMYFUNCTION("IFERROR(VLOOKUP(TRIM(A59),IMPORTRANGE(""15-YcWQKwT7GXCzNpEoDkSlrruglscDYeQTD3uXec8uQ"",""Form Responses 1!B:C""),2,0),"""")"),21.0)</f>
        <v>21</v>
      </c>
      <c r="AE59" s="70">
        <f>IFERROR(__xludf.DUMMYFUNCTION("IFERROR(VLOOKUP(TRIM(A59),IMPORTRANGE(""1X2rXjxJaWCoTCv5SRdgsC_V3cXeEyqXGQY3NvE1KDUk"",""Form Responses 1!B:C""),2,0),"""")"),25.0)</f>
        <v>25</v>
      </c>
      <c r="AF59" s="70" t="str">
        <f>IFERROR(__xludf.DUMMYFUNCTION("IFERROR(VLOOKUP(TRIM(A59),IMPORTRANGE(""1zEJQnPshpdjcOtCVSP0I8nG2EXKbBMH9BJ8IeNFUEV8"",""Form Responses 1!B:C""),2,0),"""")"),"")</f>
        <v/>
      </c>
      <c r="AG59" s="70"/>
      <c r="AH59" s="70"/>
      <c r="AI59" s="70"/>
      <c r="AJ59" s="70"/>
      <c r="AK59" s="70"/>
      <c r="AL59" s="70"/>
      <c r="AM59" s="70"/>
      <c r="AN59" s="70"/>
      <c r="AO59" s="70"/>
      <c r="AP59" s="70"/>
      <c r="AQ59" s="70"/>
      <c r="AR59" s="70"/>
      <c r="AS59" s="70"/>
      <c r="AT59" s="70"/>
      <c r="AU59" s="70"/>
    </row>
    <row r="60">
      <c r="A60" s="39" t="s">
        <v>309</v>
      </c>
      <c r="B60" s="70">
        <f>IFERROR(__xludf.DUMMYFUNCTION("IFERROR(IF(COUNTIF(IMPORTRANGE(""1RTcwEJsI_0aJRebhNwO_H_AoKl9r46k7hWYbtciIyM4"",""Form Responses 1!B:B""),A60)&gt;0,10,),0)"),10.0)</f>
        <v>10</v>
      </c>
      <c r="C60" s="70" t="str">
        <f>IFERROR(__xludf.DUMMYFUNCTION("IFERROR(VLOOKUP(A60,IMPORTRANGE(""11i8IUhq_U6RRKRV3CBWIKqYed_fMvFgNUHTq1YDJfp8"",""Form Responses 1!B:C""),2,FALSE),)"),"")</f>
        <v/>
      </c>
      <c r="D60" s="70" t="str">
        <f>IFERROR(__xludf.DUMMYFUNCTION("IFERROR(VLOOKUP(A60,IMPORTRANGE(""1StiHxuxrFhYdrq5WLR2JMORicW0TbnJf3J-oTHeMRtM"",""Form Responses 1!B:C""),2,FALSE),)"),"")</f>
        <v/>
      </c>
      <c r="E60" s="70" t="str">
        <f>IFERROR(__xludf.DUMMYFUNCTION("IFERROR(VLOOKUP(A60,IMPORTRANGE(""1QaxxyUjrDq2kgz300C1Bq1tacFk6e-xX218cSXCQUK0"",""Form Responses 1!B:C""),2,FALSE),)"),"")</f>
        <v/>
      </c>
      <c r="F60" s="70" t="str">
        <f>IFERROR(__xludf.DUMMYFUNCTION("IFERROR(VLOOKUP(A60,IMPORTRANGE(""1fn2ECph_y8Uz78DhjLaiXcwgt6kh3oe-0Le36Uw0noE"",""Form Responses 1!B:C""),2,FALSE),)"),"")</f>
        <v/>
      </c>
      <c r="G60" s="39" t="str">
        <f>IFERROR(__xludf.DUMMYFUNCTION("IFERROR(IF(COUNTIF(IMPORTRANGE(""1t6NbzWBtAQKR9pGjBnxm9V-bRaGdRVT_-u2ojrUkYZw"",""Form Responses 1!B:B""),A60)&gt;0,10,),0)"),"")</f>
        <v/>
      </c>
      <c r="H60" s="39">
        <f>IFERROR(__xludf.DUMMYFUNCTION("IFERROR(VLOOKUP(A60,IMPORTRANGE(""1ytv6MYmm-8DwYEf-PC6L-upnzfG4TJT_K2_Q1BobE6k"",""Form Responses 1!B:C""),2,FALSE),)"),4.0)</f>
        <v>4</v>
      </c>
      <c r="I60" s="39" t="str">
        <f>IFERROR(__xludf.DUMMYFUNCTION("IFERROR(VLOOKUP(A60,IMPORTRANGE(""1LTj0BC6WXgHo3fEDDSQlGOM1HkEYGTw8epmIdU0RnB4"",""Form Responses 1!B:C""),2,FALSE),)"),"")</f>
        <v/>
      </c>
      <c r="J60" s="39" t="str">
        <f>IFERROR(__xludf.DUMMYFUNCTION("IFERROR(VLOOKUP(A60,IMPORTRANGE(""1lBH5Hghbbsr-XV8ZpAW4SFOyMpQX5vY0tEjkjRAJH48"",""Form Responses 1!B:C""),2,FALSE),)"),"")</f>
        <v/>
      </c>
      <c r="K60" s="39" t="str">
        <f>IFERROR(__xludf.DUMMYFUNCTION("IFERROR(IF(COUNTIF(IMPORTRANGE(""11sIXwmK0co7YC01jkeOYS_Q9btyVErtOm8MrXzqLkm8"",""Form Responses 1!B:B""),A60)&gt;0,10,),0)"),"")</f>
        <v/>
      </c>
      <c r="L60" s="70" t="str">
        <f>IFERROR(__xludf.DUMMYFUNCTION("IFERROR(IF(COUNTIF(IMPORTRANGE(""1csqG5dOxr6mnQQeHuLyfSoVeWZspfrn9T3cQFX5jhi8"",""Form Responses 1!B:B""),A60)&gt;0,10,),0)"),"")</f>
        <v/>
      </c>
      <c r="M60" s="70" t="str">
        <f>IFERROR(__xludf.DUMMYFUNCTION("IFERROR(VLOOKUP(A60,IMPORTRANGE(""1C8QMXhp6CypS1pNA-UXlEADxmI-6nbSN9P4kujkvESI"",""Form Responses 1!B:C""),2,FALSE),)"),"")</f>
        <v/>
      </c>
      <c r="N60" s="70" t="str">
        <f>IFERROR(__xludf.DUMMYFUNCTION("IFERROR(VLOOKUP(A60,IMPORTRANGE(""1e33dV9wgou_u1lnmBtok6Ato-q97II29uUvmeO7Juhw"",""Form Responses 1!B:C""),2,FALSE),)"),"")</f>
        <v/>
      </c>
      <c r="O60" s="70" t="str">
        <f>IFERROR(__xludf.DUMMYFUNCTION("IFERROR(VLOOKUP(A60,IMPORTRANGE(""15TUXUTXgRTcnnjS-jyDta7Ecw7-lv8-wZMGVKaxe8TY"",""Form Responses 1!B:C""),2,FALSE),)"),"")</f>
        <v/>
      </c>
      <c r="P60" s="70" t="str">
        <f>IFERROR(__xludf.DUMMYFUNCTION("IFERROR(IF(COUNTIF(IMPORTRANGE(""1KFxxroaoSLanJBYtWVxeITrgly-aztutk24Q4y14KKU"",""Form Responses 1!B:B""),A60)&gt;0,10,),0)"),"")</f>
        <v/>
      </c>
      <c r="Q60" s="71" t="str">
        <f>IFERROR(__xludf.DUMMYFUNCTION("IFERROR(VLOOKUP(TRIM(A60),IMPORTRANGE(""1WjiLR_MTMxI_IZUKuvPO4Sg2rTSIqBzP3edakSRXbOA"",""Form Responses 1!B:C""),2,0),"""")"),"")</f>
        <v/>
      </c>
      <c r="R60" s="70" t="str">
        <f>IFERROR(__xludf.DUMMYFUNCTION("IFERROR(VLOOKUP(TRIM(A60),IMPORTRANGE(""1Ixzbal5tEbtWhozsFEppQzOYE6ZSrkNXHg_HW5k3Wt4"",""Form Responses 1!B:C""),2,0),"""")"),"")</f>
        <v/>
      </c>
      <c r="S60" s="70" t="str">
        <f>IFERROR(__xludf.DUMMYFUNCTION("IFERROR(VLOOKUP(TRIM(A60),IMPORTRANGE(""1zxjtEKGvVIJPIDqZdnxENwVpPXYa88EihzyI44hcQUo"",""Form Responses 1!B:C""),2,0),"""")"),"")</f>
        <v/>
      </c>
      <c r="T60" s="70" t="str">
        <f>IFERROR(__xludf.DUMMYFUNCTION("IFERROR(VLOOKUP(TRIM(A60),IMPORTRANGE(""1H3cO01obd5zFULYqaT5NAqecZBFFIHeDFn4CeQLZF3w"",""Form Responses 1!B:C""),2,0),"""")"),"")</f>
        <v/>
      </c>
      <c r="U60" s="70" t="str">
        <f>IFERROR(__xludf.DUMMYFUNCTION("IFERROR(VLOOKUP(TRIM(A60),IMPORTRANGE(""1IG9qoa6PeLdDDFzKpW39lxXshN0-M8Z25a_R1EpsYyg"",""Form Responses 1!B:C""),2,0),"""")"),"")</f>
        <v/>
      </c>
      <c r="V60" s="72"/>
      <c r="W60" s="70" t="str">
        <f>IFERROR(__xludf.DUMMYFUNCTION("IFERROR(VLOOKUP(TRIM(A60),IMPORTRANGE(""1JzBbPfIn5kXHe-RuBwssvVRSauekkTw9cwf70DsYix4"",""Form Responses 1!B:C""),2,0),"""")"),"")</f>
        <v/>
      </c>
      <c r="X60" s="70" t="str">
        <f>IFERROR(__xludf.DUMMYFUNCTION("IFERROR(VLOOKUP(TRIM(A60),IMPORTRANGE(""1JbcCdZBzu6Yag8PuyvlbtYmdvUYYQNraxAgoikGBi5w"",""Form Responses 1!B:C""),2,0),"""")"),"")</f>
        <v/>
      </c>
      <c r="Y60" s="70" t="str">
        <f>IFERROR(__xludf.DUMMYFUNCTION("IFERROR(VLOOKUP(TRIM(A60),IMPORTRANGE(""15-YcWQKwT7GXCzNpEoDkSlrruglscDYeQTD3uXec8uQ"",""Form Responses 1!B:C""),2,0),"""")"),"")</f>
        <v/>
      </c>
      <c r="Z60" s="70" t="str">
        <f>IFERROR(__xludf.DUMMYFUNCTION("IFERROR(VLOOKUP(TRIM(A60),IMPORTRANGE(""1X2rXjxJaWCoTCv5SRdgsC_V3cXeEyqXGQY3NvE1KDUk"",""Form Responses 1!B:C""),2,0),"""")"),"")</f>
        <v/>
      </c>
      <c r="AA60" s="70" t="str">
        <f>IFERROR(__xludf.DUMMYFUNCTION("IFERROR(VLOOKUP(TRIM(A60),IMPORTRANGE(""1zEJQnPshpdjcOtCVSP0I8nG2EXKbBMH9BJ8IeNFUEV8"",""Form Responses 1!B:C""),2,0),"""")"),"")</f>
        <v/>
      </c>
      <c r="AB60" s="70" t="str">
        <f>IFERROR(__xludf.DUMMYFUNCTION("IFERROR(VLOOKUP(TRIM(A60),IMPORTRANGE(""1JzBbPfIn5kXHe-RuBwssvVRSauekkTw9cwf70DsYix4"",""Form Responses 1!B:C""),2,0),"""")"),"")</f>
        <v/>
      </c>
      <c r="AC60" s="70" t="str">
        <f>IFERROR(__xludf.DUMMYFUNCTION("IFERROR(VLOOKUP(TRIM(A60),IMPORTRANGE(""1JbcCdZBzu6Yag8PuyvlbtYmdvUYYQNraxAgoikGBi5w"",""Form Responses 1!B:C""),2,0),"""")"),"")</f>
        <v/>
      </c>
      <c r="AD60" s="70" t="str">
        <f>IFERROR(__xludf.DUMMYFUNCTION("IFERROR(VLOOKUP(TRIM(A60),IMPORTRANGE(""15-YcWQKwT7GXCzNpEoDkSlrruglscDYeQTD3uXec8uQ"",""Form Responses 1!B:C""),2,0),"""")"),"")</f>
        <v/>
      </c>
      <c r="AE60" s="70" t="str">
        <f>IFERROR(__xludf.DUMMYFUNCTION("IFERROR(VLOOKUP(TRIM(A60),IMPORTRANGE(""1X2rXjxJaWCoTCv5SRdgsC_V3cXeEyqXGQY3NvE1KDUk"",""Form Responses 1!B:C""),2,0),"""")"),"")</f>
        <v/>
      </c>
      <c r="AF60" s="70" t="str">
        <f>IFERROR(__xludf.DUMMYFUNCTION("IFERROR(VLOOKUP(TRIM(A60),IMPORTRANGE(""1zEJQnPshpdjcOtCVSP0I8nG2EXKbBMH9BJ8IeNFUEV8"",""Form Responses 1!B:C""),2,0),"""")"),"")</f>
        <v/>
      </c>
      <c r="AG60" s="70"/>
      <c r="AH60" s="70"/>
      <c r="AI60" s="70"/>
      <c r="AJ60" s="70"/>
      <c r="AK60" s="70"/>
      <c r="AL60" s="70"/>
      <c r="AM60" s="70"/>
      <c r="AN60" s="70"/>
      <c r="AO60" s="70"/>
      <c r="AP60" s="70"/>
      <c r="AQ60" s="70"/>
      <c r="AR60" s="70"/>
      <c r="AS60" s="70"/>
      <c r="AT60" s="70"/>
      <c r="AU60" s="70"/>
    </row>
    <row r="61">
      <c r="A61" s="39" t="s">
        <v>310</v>
      </c>
      <c r="B61" s="70">
        <f>IFERROR(__xludf.DUMMYFUNCTION("IFERROR(IF(COUNTIF(IMPORTRANGE(""1RTcwEJsI_0aJRebhNwO_H_AoKl9r46k7hWYbtciIyM4"",""Form Responses 1!B:B""),A61)&gt;0,10,),0)"),10.0)</f>
        <v>10</v>
      </c>
      <c r="C61" s="70">
        <f>IFERROR(__xludf.DUMMYFUNCTION("IFERROR(VLOOKUP(A61,IMPORTRANGE(""11i8IUhq_U6RRKRV3CBWIKqYed_fMvFgNUHTq1YDJfp8"",""Form Responses 1!B:C""),2,FALSE),)"),2.0)</f>
        <v>2</v>
      </c>
      <c r="D61" s="70">
        <f>IFERROR(__xludf.DUMMYFUNCTION("IFERROR(VLOOKUP(A61,IMPORTRANGE(""1StiHxuxrFhYdrq5WLR2JMORicW0TbnJf3J-oTHeMRtM"",""Form Responses 1!B:C""),2,FALSE),)"),6.0)</f>
        <v>6</v>
      </c>
      <c r="E61" s="70" t="str">
        <f>IFERROR(__xludf.DUMMYFUNCTION("IFERROR(VLOOKUP(A61,IMPORTRANGE(""1QaxxyUjrDq2kgz300C1Bq1tacFk6e-xX218cSXCQUK0"",""Form Responses 1!B:C""),2,FALSE),)"),"")</f>
        <v/>
      </c>
      <c r="F61" s="70" t="str">
        <f>IFERROR(__xludf.DUMMYFUNCTION("IFERROR(VLOOKUP(A61,IMPORTRANGE(""1fn2ECph_y8Uz78DhjLaiXcwgt6kh3oe-0Le36Uw0noE"",""Form Responses 1!B:C""),2,FALSE),)"),"")</f>
        <v/>
      </c>
      <c r="G61" s="39">
        <f>IFERROR(__xludf.DUMMYFUNCTION("IFERROR(IF(COUNTIF(IMPORTRANGE(""1t6NbzWBtAQKR9pGjBnxm9V-bRaGdRVT_-u2ojrUkYZw"",""Form Responses 1!B:B""),A61)&gt;0,10,),0)"),10.0)</f>
        <v>10</v>
      </c>
      <c r="H61" s="39" t="str">
        <f>IFERROR(__xludf.DUMMYFUNCTION("IFERROR(VLOOKUP(A61,IMPORTRANGE(""1ytv6MYmm-8DwYEf-PC6L-upnzfG4TJT_K2_Q1BobE6k"",""Form Responses 1!B:C""),2,FALSE),)"),"")</f>
        <v/>
      </c>
      <c r="I61" s="39">
        <f>IFERROR(__xludf.DUMMYFUNCTION("IFERROR(VLOOKUP(A61,IMPORTRANGE(""1LTj0BC6WXgHo3fEDDSQlGOM1HkEYGTw8epmIdU0RnB4"",""Form Responses 1!B:C""),2,FALSE),)"),8.0)</f>
        <v>8</v>
      </c>
      <c r="J61" s="39" t="str">
        <f>IFERROR(__xludf.DUMMYFUNCTION("IFERROR(VLOOKUP(A61,IMPORTRANGE(""1lBH5Hghbbsr-XV8ZpAW4SFOyMpQX5vY0tEjkjRAJH48"",""Form Responses 1!B:C""),2,FALSE),)"),"")</f>
        <v/>
      </c>
      <c r="K61" s="39" t="str">
        <f>IFERROR(__xludf.DUMMYFUNCTION("IFERROR(IF(COUNTIF(IMPORTRANGE(""11sIXwmK0co7YC01jkeOYS_Q9btyVErtOm8MrXzqLkm8"",""Form Responses 1!B:B""),A61)&gt;0,10,),0)"),"")</f>
        <v/>
      </c>
      <c r="L61" s="70" t="str">
        <f>IFERROR(__xludf.DUMMYFUNCTION("IFERROR(IF(COUNTIF(IMPORTRANGE(""1csqG5dOxr6mnQQeHuLyfSoVeWZspfrn9T3cQFX5jhi8"",""Form Responses 1!B:B""),A61)&gt;0,10,),0)"),"")</f>
        <v/>
      </c>
      <c r="M61" s="70" t="str">
        <f>IFERROR(__xludf.DUMMYFUNCTION("IFERROR(VLOOKUP(A61,IMPORTRANGE(""1C8QMXhp6CypS1pNA-UXlEADxmI-6nbSN9P4kujkvESI"",""Form Responses 1!B:C""),2,FALSE),)"),"")</f>
        <v/>
      </c>
      <c r="N61" s="70" t="str">
        <f>IFERROR(__xludf.DUMMYFUNCTION("IFERROR(VLOOKUP(A61,IMPORTRANGE(""1e33dV9wgou_u1lnmBtok6Ato-q97II29uUvmeO7Juhw"",""Form Responses 1!B:C""),2,FALSE),)"),"")</f>
        <v/>
      </c>
      <c r="O61" s="70" t="str">
        <f>IFERROR(__xludf.DUMMYFUNCTION("IFERROR(VLOOKUP(A61,IMPORTRANGE(""15TUXUTXgRTcnnjS-jyDta7Ecw7-lv8-wZMGVKaxe8TY"",""Form Responses 1!B:C""),2,FALSE),)"),"")</f>
        <v/>
      </c>
      <c r="P61" s="70" t="str">
        <f>IFERROR(__xludf.DUMMYFUNCTION("IFERROR(IF(COUNTIF(IMPORTRANGE(""1KFxxroaoSLanJBYtWVxeITrgly-aztutk24Q4y14KKU"",""Form Responses 1!B:B""),A61)&gt;0,10,),0)"),"")</f>
        <v/>
      </c>
      <c r="Q61" s="71" t="str">
        <f>IFERROR(__xludf.DUMMYFUNCTION("IFERROR(VLOOKUP(TRIM(A61),IMPORTRANGE(""1WjiLR_MTMxI_IZUKuvPO4Sg2rTSIqBzP3edakSRXbOA"",""Form Responses 1!B:C""),2,0),"""")"),"")</f>
        <v/>
      </c>
      <c r="R61" s="70" t="str">
        <f>IFERROR(__xludf.DUMMYFUNCTION("IFERROR(VLOOKUP(TRIM(A61),IMPORTRANGE(""1Ixzbal5tEbtWhozsFEppQzOYE6ZSrkNXHg_HW5k3Wt4"",""Form Responses 1!B:C""),2,0),"""")"),"")</f>
        <v/>
      </c>
      <c r="S61" s="70" t="str">
        <f>IFERROR(__xludf.DUMMYFUNCTION("IFERROR(VLOOKUP(TRIM(A61),IMPORTRANGE(""1zxjtEKGvVIJPIDqZdnxENwVpPXYa88EihzyI44hcQUo"",""Form Responses 1!B:C""),2,0),"""")"),"")</f>
        <v/>
      </c>
      <c r="T61" s="70" t="str">
        <f>IFERROR(__xludf.DUMMYFUNCTION("IFERROR(VLOOKUP(TRIM(A61),IMPORTRANGE(""1H3cO01obd5zFULYqaT5NAqecZBFFIHeDFn4CeQLZF3w"",""Form Responses 1!B:C""),2,0),"""")"),"")</f>
        <v/>
      </c>
      <c r="U61" s="70" t="str">
        <f>IFERROR(__xludf.DUMMYFUNCTION("IFERROR(VLOOKUP(TRIM(A61),IMPORTRANGE(""1IG9qoa6PeLdDDFzKpW39lxXshN0-M8Z25a_R1EpsYyg"",""Form Responses 1!B:C""),2,0),"""")"),"")</f>
        <v/>
      </c>
      <c r="V61" s="74">
        <v>12.0</v>
      </c>
      <c r="W61" s="70" t="str">
        <f>IFERROR(__xludf.DUMMYFUNCTION("IFERROR(VLOOKUP(TRIM(A61),IMPORTRANGE(""1JzBbPfIn5kXHe-RuBwssvVRSauekkTw9cwf70DsYix4"",""Form Responses 1!B:C""),2,0),"""")"),"")</f>
        <v/>
      </c>
      <c r="X61" s="70" t="str">
        <f>IFERROR(__xludf.DUMMYFUNCTION("IFERROR(VLOOKUP(TRIM(A61),IMPORTRANGE(""1JbcCdZBzu6Yag8PuyvlbtYmdvUYYQNraxAgoikGBi5w"",""Form Responses 1!B:C""),2,0),"""")"),"")</f>
        <v/>
      </c>
      <c r="Y61" s="70" t="str">
        <f>IFERROR(__xludf.DUMMYFUNCTION("IFERROR(VLOOKUP(TRIM(A61),IMPORTRANGE(""15-YcWQKwT7GXCzNpEoDkSlrruglscDYeQTD3uXec8uQ"",""Form Responses 1!B:C""),2,0),"""")"),"")</f>
        <v/>
      </c>
      <c r="Z61" s="70" t="str">
        <f>IFERROR(__xludf.DUMMYFUNCTION("IFERROR(VLOOKUP(TRIM(A61),IMPORTRANGE(""1X2rXjxJaWCoTCv5SRdgsC_V3cXeEyqXGQY3NvE1KDUk"",""Form Responses 1!B:C""),2,0),"""")"),"")</f>
        <v/>
      </c>
      <c r="AA61" s="70" t="str">
        <f>IFERROR(__xludf.DUMMYFUNCTION("IFERROR(VLOOKUP(TRIM(A61),IMPORTRANGE(""1zEJQnPshpdjcOtCVSP0I8nG2EXKbBMH9BJ8IeNFUEV8"",""Form Responses 1!B:C""),2,0),"""")"),"")</f>
        <v/>
      </c>
      <c r="AB61" s="70" t="str">
        <f>IFERROR(__xludf.DUMMYFUNCTION("IFERROR(VLOOKUP(TRIM(A61),IMPORTRANGE(""1JzBbPfIn5kXHe-RuBwssvVRSauekkTw9cwf70DsYix4"",""Form Responses 1!B:C""),2,0),"""")"),"")</f>
        <v/>
      </c>
      <c r="AC61" s="70" t="str">
        <f>IFERROR(__xludf.DUMMYFUNCTION("IFERROR(VLOOKUP(TRIM(A61),IMPORTRANGE(""1JbcCdZBzu6Yag8PuyvlbtYmdvUYYQNraxAgoikGBi5w"",""Form Responses 1!B:C""),2,0),"""")"),"")</f>
        <v/>
      </c>
      <c r="AD61" s="70" t="str">
        <f>IFERROR(__xludf.DUMMYFUNCTION("IFERROR(VLOOKUP(TRIM(A61),IMPORTRANGE(""15-YcWQKwT7GXCzNpEoDkSlrruglscDYeQTD3uXec8uQ"",""Form Responses 1!B:C""),2,0),"""")"),"")</f>
        <v/>
      </c>
      <c r="AE61" s="70" t="str">
        <f>IFERROR(__xludf.DUMMYFUNCTION("IFERROR(VLOOKUP(TRIM(A61),IMPORTRANGE(""1X2rXjxJaWCoTCv5SRdgsC_V3cXeEyqXGQY3NvE1KDUk"",""Form Responses 1!B:C""),2,0),"""")"),"")</f>
        <v/>
      </c>
      <c r="AF61" s="70" t="str">
        <f>IFERROR(__xludf.DUMMYFUNCTION("IFERROR(VLOOKUP(TRIM(A61),IMPORTRANGE(""1zEJQnPshpdjcOtCVSP0I8nG2EXKbBMH9BJ8IeNFUEV8"",""Form Responses 1!B:C""),2,0),"""")"),"")</f>
        <v/>
      </c>
      <c r="AG61" s="70"/>
      <c r="AH61" s="70"/>
      <c r="AI61" s="70"/>
      <c r="AJ61" s="70"/>
      <c r="AK61" s="70"/>
      <c r="AL61" s="70"/>
      <c r="AM61" s="70"/>
      <c r="AN61" s="70"/>
      <c r="AO61" s="70"/>
      <c r="AP61" s="70"/>
      <c r="AQ61" s="70"/>
      <c r="AR61" s="70"/>
      <c r="AS61" s="70"/>
      <c r="AT61" s="70"/>
      <c r="AU61" s="70"/>
    </row>
    <row r="62">
      <c r="A62" s="39" t="s">
        <v>311</v>
      </c>
      <c r="B62" s="70">
        <f>IFERROR(__xludf.DUMMYFUNCTION("IFERROR(IF(COUNTIF(IMPORTRANGE(""1RTcwEJsI_0aJRebhNwO_H_AoKl9r46k7hWYbtciIyM4"",""Form Responses 1!B:B""),A62)&gt;0,10,),0)"),10.0)</f>
        <v>10</v>
      </c>
      <c r="C62" s="70" t="str">
        <f>IFERROR(__xludf.DUMMYFUNCTION("IFERROR(VLOOKUP(A62,IMPORTRANGE(""11i8IUhq_U6RRKRV3CBWIKqYed_fMvFgNUHTq1YDJfp8"",""Form Responses 1!B:C""),2,FALSE),)"),"")</f>
        <v/>
      </c>
      <c r="D62" s="70" t="str">
        <f>IFERROR(__xludf.DUMMYFUNCTION("IFERROR(VLOOKUP(A62,IMPORTRANGE(""1StiHxuxrFhYdrq5WLR2JMORicW0TbnJf3J-oTHeMRtM"",""Form Responses 1!B:C""),2,FALSE),)"),"")</f>
        <v/>
      </c>
      <c r="E62" s="70" t="str">
        <f>IFERROR(__xludf.DUMMYFUNCTION("IFERROR(VLOOKUP(A62,IMPORTRANGE(""1QaxxyUjrDq2kgz300C1Bq1tacFk6e-xX218cSXCQUK0"",""Form Responses 1!B:C""),2,FALSE),)"),"")</f>
        <v/>
      </c>
      <c r="F62" s="70" t="str">
        <f>IFERROR(__xludf.DUMMYFUNCTION("IFERROR(VLOOKUP(A62,IMPORTRANGE(""1fn2ECph_y8Uz78DhjLaiXcwgt6kh3oe-0Le36Uw0noE"",""Form Responses 1!B:C""),2,FALSE),)"),"")</f>
        <v/>
      </c>
      <c r="G62" s="39">
        <f>IFERROR(__xludf.DUMMYFUNCTION("IFERROR(IF(COUNTIF(IMPORTRANGE(""1t6NbzWBtAQKR9pGjBnxm9V-bRaGdRVT_-u2ojrUkYZw"",""Form Responses 1!B:B""),A62)&gt;0,10,),0)"),10.0)</f>
        <v>10</v>
      </c>
      <c r="H62" s="39">
        <f>IFERROR(__xludf.DUMMYFUNCTION("IFERROR(VLOOKUP(A62,IMPORTRANGE(""1ytv6MYmm-8DwYEf-PC6L-upnzfG4TJT_K2_Q1BobE6k"",""Form Responses 1!B:C""),2,FALSE),)"),6.0)</f>
        <v>6</v>
      </c>
      <c r="I62" s="39">
        <f>IFERROR(__xludf.DUMMYFUNCTION("IFERROR(VLOOKUP(A62,IMPORTRANGE(""1LTj0BC6WXgHo3fEDDSQlGOM1HkEYGTw8epmIdU0RnB4"",""Form Responses 1!B:C""),2,FALSE),)"),5.0)</f>
        <v>5</v>
      </c>
      <c r="J62" s="39">
        <f>IFERROR(__xludf.DUMMYFUNCTION("IFERROR(VLOOKUP(A62,IMPORTRANGE(""1lBH5Hghbbsr-XV8ZpAW4SFOyMpQX5vY0tEjkjRAJH48"",""Form Responses 1!B:C""),2,FALSE),)"),0.0)</f>
        <v>0</v>
      </c>
      <c r="K62" s="39">
        <f>IFERROR(__xludf.DUMMYFUNCTION("IFERROR(IF(COUNTIF(IMPORTRANGE(""11sIXwmK0co7YC01jkeOYS_Q9btyVErtOm8MrXzqLkm8"",""Form Responses 1!B:B""),A62)&gt;0,10,),0)"),10.0)</f>
        <v>10</v>
      </c>
      <c r="L62" s="70" t="str">
        <f>IFERROR(__xludf.DUMMYFUNCTION("IFERROR(IF(COUNTIF(IMPORTRANGE(""1csqG5dOxr6mnQQeHuLyfSoVeWZspfrn9T3cQFX5jhi8"",""Form Responses 1!B:B""),A62)&gt;0,10,),0)"),"")</f>
        <v/>
      </c>
      <c r="M62" s="70" t="str">
        <f>IFERROR(__xludf.DUMMYFUNCTION("IFERROR(VLOOKUP(A62,IMPORTRANGE(""1C8QMXhp6CypS1pNA-UXlEADxmI-6nbSN9P4kujkvESI"",""Form Responses 1!B:C""),2,FALSE),)"),"")</f>
        <v/>
      </c>
      <c r="N62" s="70" t="str">
        <f>IFERROR(__xludf.DUMMYFUNCTION("IFERROR(VLOOKUP(A62,IMPORTRANGE(""1e33dV9wgou_u1lnmBtok6Ato-q97II29uUvmeO7Juhw"",""Form Responses 1!B:C""),2,FALSE),)"),"")</f>
        <v/>
      </c>
      <c r="O62" s="70" t="str">
        <f>IFERROR(__xludf.DUMMYFUNCTION("IFERROR(VLOOKUP(A62,IMPORTRANGE(""15TUXUTXgRTcnnjS-jyDta7Ecw7-lv8-wZMGVKaxe8TY"",""Form Responses 1!B:C""),2,FALSE),)"),"")</f>
        <v/>
      </c>
      <c r="P62" s="70" t="str">
        <f>IFERROR(__xludf.DUMMYFUNCTION("IFERROR(IF(COUNTIF(IMPORTRANGE(""1KFxxroaoSLanJBYtWVxeITrgly-aztutk24Q4y14KKU"",""Form Responses 1!B:B""),A62)&gt;0,10,),0)"),"")</f>
        <v/>
      </c>
      <c r="Q62" s="71">
        <f>IFERROR(__xludf.DUMMYFUNCTION("IFERROR(VLOOKUP(TRIM(A62),IMPORTRANGE(""1WjiLR_MTMxI_IZUKuvPO4Sg2rTSIqBzP3edakSRXbOA"",""Form Responses 1!B:C""),2,0),"""")"),6.0)</f>
        <v>6</v>
      </c>
      <c r="R62" s="70">
        <f>IFERROR(__xludf.DUMMYFUNCTION("IFERROR(VLOOKUP(TRIM(A62),IMPORTRANGE(""1Ixzbal5tEbtWhozsFEppQzOYE6ZSrkNXHg_HW5k3Wt4"",""Form Responses 1!B:C""),2,0),"""")"),7.0)</f>
        <v>7</v>
      </c>
      <c r="S62" s="70" t="str">
        <f>IFERROR(__xludf.DUMMYFUNCTION("IFERROR(VLOOKUP(TRIM(A62),IMPORTRANGE(""1zxjtEKGvVIJPIDqZdnxENwVpPXYa88EihzyI44hcQUo"",""Form Responses 1!B:C""),2,0),"""")"),"")</f>
        <v/>
      </c>
      <c r="T62" s="70" t="str">
        <f>IFERROR(__xludf.DUMMYFUNCTION("IFERROR(VLOOKUP(TRIM(A62),IMPORTRANGE(""1H3cO01obd5zFULYqaT5NAqecZBFFIHeDFn4CeQLZF3w"",""Form Responses 1!B:C""),2,0),"""")"),"")</f>
        <v/>
      </c>
      <c r="U62" s="70" t="str">
        <f>IFERROR(__xludf.DUMMYFUNCTION("IFERROR(VLOOKUP(TRIM(A62),IMPORTRANGE(""1IG9qoa6PeLdDDFzKpW39lxXshN0-M8Z25a_R1EpsYyg"",""Form Responses 1!B:C""),2,0),"""")"),"")</f>
        <v/>
      </c>
      <c r="V62" s="72"/>
      <c r="W62" s="70">
        <f>IFERROR(__xludf.DUMMYFUNCTION("IFERROR(VLOOKUP(TRIM(A62),IMPORTRANGE(""1JzBbPfIn5kXHe-RuBwssvVRSauekkTw9cwf70DsYix4"",""Form Responses 1!B:C""),2,0),"""")"),12.0)</f>
        <v>12</v>
      </c>
      <c r="X62" s="70" t="str">
        <f>IFERROR(__xludf.DUMMYFUNCTION("IFERROR(VLOOKUP(TRIM(A62),IMPORTRANGE(""1JbcCdZBzu6Yag8PuyvlbtYmdvUYYQNraxAgoikGBi5w"",""Form Responses 1!B:C""),2,0),"""")"),"")</f>
        <v/>
      </c>
      <c r="Y62" s="70" t="str">
        <f>IFERROR(__xludf.DUMMYFUNCTION("IFERROR(VLOOKUP(TRIM(A62),IMPORTRANGE(""15-YcWQKwT7GXCzNpEoDkSlrruglscDYeQTD3uXec8uQ"",""Form Responses 1!B:C""),2,0),"""")"),"")</f>
        <v/>
      </c>
      <c r="Z62" s="70" t="str">
        <f>IFERROR(__xludf.DUMMYFUNCTION("IFERROR(VLOOKUP(TRIM(A62),IMPORTRANGE(""1X2rXjxJaWCoTCv5SRdgsC_V3cXeEyqXGQY3NvE1KDUk"",""Form Responses 1!B:C""),2,0),"""")"),"")</f>
        <v/>
      </c>
      <c r="AA62" s="70" t="str">
        <f>IFERROR(__xludf.DUMMYFUNCTION("IFERROR(VLOOKUP(TRIM(A62),IMPORTRANGE(""1zEJQnPshpdjcOtCVSP0I8nG2EXKbBMH9BJ8IeNFUEV8"",""Form Responses 1!B:C""),2,0),"""")"),"")</f>
        <v/>
      </c>
      <c r="AB62" s="70">
        <f>IFERROR(__xludf.DUMMYFUNCTION("IFERROR(VLOOKUP(TRIM(A62),IMPORTRANGE(""1JzBbPfIn5kXHe-RuBwssvVRSauekkTw9cwf70DsYix4"",""Form Responses 1!B:C""),2,0),"""")"),12.0)</f>
        <v>12</v>
      </c>
      <c r="AC62" s="70" t="str">
        <f>IFERROR(__xludf.DUMMYFUNCTION("IFERROR(VLOOKUP(TRIM(A62),IMPORTRANGE(""1JbcCdZBzu6Yag8PuyvlbtYmdvUYYQNraxAgoikGBi5w"",""Form Responses 1!B:C""),2,0),"""")"),"")</f>
        <v/>
      </c>
      <c r="AD62" s="70" t="str">
        <f>IFERROR(__xludf.DUMMYFUNCTION("IFERROR(VLOOKUP(TRIM(A62),IMPORTRANGE(""15-YcWQKwT7GXCzNpEoDkSlrruglscDYeQTD3uXec8uQ"",""Form Responses 1!B:C""),2,0),"""")"),"")</f>
        <v/>
      </c>
      <c r="AE62" s="70" t="str">
        <f>IFERROR(__xludf.DUMMYFUNCTION("IFERROR(VLOOKUP(TRIM(A62),IMPORTRANGE(""1X2rXjxJaWCoTCv5SRdgsC_V3cXeEyqXGQY3NvE1KDUk"",""Form Responses 1!B:C""),2,0),"""")"),"")</f>
        <v/>
      </c>
      <c r="AF62" s="70" t="str">
        <f>IFERROR(__xludf.DUMMYFUNCTION("IFERROR(VLOOKUP(TRIM(A62),IMPORTRANGE(""1zEJQnPshpdjcOtCVSP0I8nG2EXKbBMH9BJ8IeNFUEV8"",""Form Responses 1!B:C""),2,0),"""")"),"")</f>
        <v/>
      </c>
      <c r="AG62" s="70"/>
      <c r="AH62" s="70"/>
      <c r="AI62" s="70"/>
      <c r="AJ62" s="70"/>
      <c r="AK62" s="70"/>
      <c r="AL62" s="70"/>
      <c r="AM62" s="70"/>
      <c r="AN62" s="70"/>
      <c r="AO62" s="70"/>
      <c r="AP62" s="70"/>
      <c r="AQ62" s="70"/>
      <c r="AR62" s="70"/>
      <c r="AS62" s="70"/>
      <c r="AT62" s="70"/>
      <c r="AU62" s="70"/>
    </row>
    <row r="63">
      <c r="A63" s="39" t="s">
        <v>312</v>
      </c>
      <c r="B63" s="70">
        <f>IFERROR(__xludf.DUMMYFUNCTION("IFERROR(IF(COUNTIF(IMPORTRANGE(""1RTcwEJsI_0aJRebhNwO_H_AoKl9r46k7hWYbtciIyM4"",""Form Responses 1!B:B""),A63)&gt;0,10,),0)"),10.0)</f>
        <v>10</v>
      </c>
      <c r="C63" s="70">
        <f>IFERROR(__xludf.DUMMYFUNCTION("IFERROR(VLOOKUP(A63,IMPORTRANGE(""11i8IUhq_U6RRKRV3CBWIKqYed_fMvFgNUHTq1YDJfp8"",""Form Responses 1!B:C""),2,FALSE),)"),7.0)</f>
        <v>7</v>
      </c>
      <c r="D63" s="70">
        <f>IFERROR(__xludf.DUMMYFUNCTION("IFERROR(VLOOKUP(A63,IMPORTRANGE(""1StiHxuxrFhYdrq5WLR2JMORicW0TbnJf3J-oTHeMRtM"",""Form Responses 1!B:C""),2,FALSE),)"),13.0)</f>
        <v>13</v>
      </c>
      <c r="E63" s="70" t="str">
        <f>IFERROR(__xludf.DUMMYFUNCTION("IFERROR(VLOOKUP(A63,IMPORTRANGE(""1QaxxyUjrDq2kgz300C1Bq1tacFk6e-xX218cSXCQUK0"",""Form Responses 1!B:C""),2,FALSE),)"),"")</f>
        <v/>
      </c>
      <c r="F63" s="70" t="str">
        <f>IFERROR(__xludf.DUMMYFUNCTION("IFERROR(VLOOKUP(A63,IMPORTRANGE(""1fn2ECph_y8Uz78DhjLaiXcwgt6kh3oe-0Le36Uw0noE"",""Form Responses 1!B:C""),2,FALSE),)"),"")</f>
        <v/>
      </c>
      <c r="G63" s="39">
        <f>IFERROR(__xludf.DUMMYFUNCTION("IFERROR(IF(COUNTIF(IMPORTRANGE(""1t6NbzWBtAQKR9pGjBnxm9V-bRaGdRVT_-u2ojrUkYZw"",""Form Responses 1!B:B""),A63)&gt;0,10,),0)"),10.0)</f>
        <v>10</v>
      </c>
      <c r="H63" s="39">
        <f>IFERROR(__xludf.DUMMYFUNCTION("IFERROR(VLOOKUP(A63,IMPORTRANGE(""1ytv6MYmm-8DwYEf-PC6L-upnzfG4TJT_K2_Q1BobE6k"",""Form Responses 1!B:C""),2,FALSE),)"),9.0)</f>
        <v>9</v>
      </c>
      <c r="I63" s="39">
        <f>IFERROR(__xludf.DUMMYFUNCTION("IFERROR(VLOOKUP(A63,IMPORTRANGE(""1LTj0BC6WXgHo3fEDDSQlGOM1HkEYGTw8epmIdU0RnB4"",""Form Responses 1!B:C""),2,FALSE),)"),0.0)</f>
        <v>0</v>
      </c>
      <c r="J63" s="39" t="str">
        <f>IFERROR(__xludf.DUMMYFUNCTION("IFERROR(VLOOKUP(A63,IMPORTRANGE(""1lBH5Hghbbsr-XV8ZpAW4SFOyMpQX5vY0tEjkjRAJH48"",""Form Responses 1!B:C""),2,FALSE),)"),"")</f>
        <v/>
      </c>
      <c r="K63" s="39" t="str">
        <f>IFERROR(__xludf.DUMMYFUNCTION("IFERROR(IF(COUNTIF(IMPORTRANGE(""11sIXwmK0co7YC01jkeOYS_Q9btyVErtOm8MrXzqLkm8"",""Form Responses 1!B:B""),A63)&gt;0,10,),0)"),"")</f>
        <v/>
      </c>
      <c r="L63" s="70">
        <f>IFERROR(__xludf.DUMMYFUNCTION("IFERROR(IF(COUNTIF(IMPORTRANGE(""1csqG5dOxr6mnQQeHuLyfSoVeWZspfrn9T3cQFX5jhi8"",""Form Responses 1!B:B""),A63)&gt;0,10,),0)"),10.0)</f>
        <v>10</v>
      </c>
      <c r="M63" s="70">
        <f>IFERROR(__xludf.DUMMYFUNCTION("IFERROR(VLOOKUP(A63,IMPORTRANGE(""1C8QMXhp6CypS1pNA-UXlEADxmI-6nbSN9P4kujkvESI"",""Form Responses 1!B:C""),2,FALSE),)"),21.0)</f>
        <v>21</v>
      </c>
      <c r="N63" s="70">
        <f>IFERROR(__xludf.DUMMYFUNCTION("IFERROR(VLOOKUP(A63,IMPORTRANGE(""1e33dV9wgou_u1lnmBtok6Ato-q97II29uUvmeO7Juhw"",""Form Responses 1!B:C""),2,FALSE),)"),26.0)</f>
        <v>26</v>
      </c>
      <c r="O63" s="70" t="str">
        <f>IFERROR(__xludf.DUMMYFUNCTION("IFERROR(VLOOKUP(A63,IMPORTRANGE(""15TUXUTXgRTcnnjS-jyDta7Ecw7-lv8-wZMGVKaxe8TY"",""Form Responses 1!B:C""),2,FALSE),)"),"")</f>
        <v/>
      </c>
      <c r="P63" s="70" t="str">
        <f>IFERROR(__xludf.DUMMYFUNCTION("IFERROR(IF(COUNTIF(IMPORTRANGE(""1KFxxroaoSLanJBYtWVxeITrgly-aztutk24Q4y14KKU"",""Form Responses 1!B:B""),A63)&gt;0,10,),0)"),"")</f>
        <v/>
      </c>
      <c r="Q63" s="71">
        <f>IFERROR(__xludf.DUMMYFUNCTION("IFERROR(VLOOKUP(TRIM(A63),IMPORTRANGE(""1WjiLR_MTMxI_IZUKuvPO4Sg2rTSIqBzP3edakSRXbOA"",""Form Responses 1!B:C""),2,0),"""")"),10.0)</f>
        <v>10</v>
      </c>
      <c r="R63" s="70">
        <f>IFERROR(__xludf.DUMMYFUNCTION("IFERROR(VLOOKUP(TRIM(A63),IMPORTRANGE(""1Ixzbal5tEbtWhozsFEppQzOYE6ZSrkNXHg_HW5k3Wt4"",""Form Responses 1!B:C""),2,0),"""")"),9.0)</f>
        <v>9</v>
      </c>
      <c r="S63" s="70">
        <f>IFERROR(__xludf.DUMMYFUNCTION("IFERROR(VLOOKUP(TRIM(A63),IMPORTRANGE(""1zxjtEKGvVIJPIDqZdnxENwVpPXYa88EihzyI44hcQUo"",""Form Responses 1!B:C""),2,0),"""")"),9.0)</f>
        <v>9</v>
      </c>
      <c r="T63" s="70" t="str">
        <f>IFERROR(__xludf.DUMMYFUNCTION("IFERROR(VLOOKUP(TRIM(A63),IMPORTRANGE(""1H3cO01obd5zFULYqaT5NAqecZBFFIHeDFn4CeQLZF3w"",""Form Responses 1!B:C""),2,0),"""")"),"")</f>
        <v/>
      </c>
      <c r="U63" s="70" t="str">
        <f>IFERROR(__xludf.DUMMYFUNCTION("IFERROR(VLOOKUP(TRIM(A63),IMPORTRANGE(""1IG9qoa6PeLdDDFzKpW39lxXshN0-M8Z25a_R1EpsYyg"",""Form Responses 1!B:C""),2,0),"""")"),"")</f>
        <v/>
      </c>
      <c r="V63" s="74">
        <v>34.0</v>
      </c>
      <c r="W63" s="70">
        <f>IFERROR(__xludf.DUMMYFUNCTION("IFERROR(VLOOKUP(TRIM(A63),IMPORTRANGE(""1JzBbPfIn5kXHe-RuBwssvVRSauekkTw9cwf70DsYix4"",""Form Responses 1!B:C""),2,0),"""")"),12.0)</f>
        <v>12</v>
      </c>
      <c r="X63" s="70">
        <f>IFERROR(__xludf.DUMMYFUNCTION("IFERROR(VLOOKUP(TRIM(A63),IMPORTRANGE(""1JbcCdZBzu6Yag8PuyvlbtYmdvUYYQNraxAgoikGBi5w"",""Form Responses 1!B:C""),2,0),"""")"),16.0)</f>
        <v>16</v>
      </c>
      <c r="Y63" s="70">
        <f>IFERROR(__xludf.DUMMYFUNCTION("IFERROR(VLOOKUP(TRIM(A63),IMPORTRANGE(""15-YcWQKwT7GXCzNpEoDkSlrruglscDYeQTD3uXec8uQ"",""Form Responses 1!B:C""),2,0),"""")"),17.0)</f>
        <v>17</v>
      </c>
      <c r="Z63" s="70" t="str">
        <f>IFERROR(__xludf.DUMMYFUNCTION("IFERROR(VLOOKUP(TRIM(A63),IMPORTRANGE(""1X2rXjxJaWCoTCv5SRdgsC_V3cXeEyqXGQY3NvE1KDUk"",""Form Responses 1!B:C""),2,0),"""")"),"")</f>
        <v/>
      </c>
      <c r="AA63" s="70" t="str">
        <f>IFERROR(__xludf.DUMMYFUNCTION("IFERROR(VLOOKUP(TRIM(A63),IMPORTRANGE(""1zEJQnPshpdjcOtCVSP0I8nG2EXKbBMH9BJ8IeNFUEV8"",""Form Responses 1!B:C""),2,0),"""")"),"")</f>
        <v/>
      </c>
      <c r="AB63" s="70">
        <f>IFERROR(__xludf.DUMMYFUNCTION("IFERROR(VLOOKUP(TRIM(A63),IMPORTRANGE(""1JzBbPfIn5kXHe-RuBwssvVRSauekkTw9cwf70DsYix4"",""Form Responses 1!B:C""),2,0),"""")"),12.0)</f>
        <v>12</v>
      </c>
      <c r="AC63" s="70">
        <f>IFERROR(__xludf.DUMMYFUNCTION("IFERROR(VLOOKUP(TRIM(A63),IMPORTRANGE(""1JbcCdZBzu6Yag8PuyvlbtYmdvUYYQNraxAgoikGBi5w"",""Form Responses 1!B:C""),2,0),"""")"),16.0)</f>
        <v>16</v>
      </c>
      <c r="AD63" s="70">
        <f>IFERROR(__xludf.DUMMYFUNCTION("IFERROR(VLOOKUP(TRIM(A63),IMPORTRANGE(""15-YcWQKwT7GXCzNpEoDkSlrruglscDYeQTD3uXec8uQ"",""Form Responses 1!B:C""),2,0),"""")"),17.0)</f>
        <v>17</v>
      </c>
      <c r="AE63" s="70" t="str">
        <f>IFERROR(__xludf.DUMMYFUNCTION("IFERROR(VLOOKUP(TRIM(A63),IMPORTRANGE(""1X2rXjxJaWCoTCv5SRdgsC_V3cXeEyqXGQY3NvE1KDUk"",""Form Responses 1!B:C""),2,0),"""")"),"")</f>
        <v/>
      </c>
      <c r="AF63" s="70" t="str">
        <f>IFERROR(__xludf.DUMMYFUNCTION("IFERROR(VLOOKUP(TRIM(A63),IMPORTRANGE(""1zEJQnPshpdjcOtCVSP0I8nG2EXKbBMH9BJ8IeNFUEV8"",""Form Responses 1!B:C""),2,0),"""")"),"")</f>
        <v/>
      </c>
      <c r="AG63" s="70"/>
      <c r="AH63" s="70"/>
      <c r="AI63" s="70"/>
      <c r="AJ63" s="70"/>
      <c r="AK63" s="70"/>
      <c r="AL63" s="70"/>
      <c r="AM63" s="70"/>
      <c r="AN63" s="70"/>
      <c r="AO63" s="70"/>
      <c r="AP63" s="70"/>
      <c r="AQ63" s="70"/>
      <c r="AR63" s="70"/>
      <c r="AS63" s="70"/>
      <c r="AT63" s="70"/>
      <c r="AU63" s="70"/>
    </row>
    <row r="64">
      <c r="A64" s="39" t="s">
        <v>313</v>
      </c>
      <c r="B64" s="70" t="str">
        <f>IFERROR(__xludf.DUMMYFUNCTION("IFERROR(IF(COUNTIF(IMPORTRANGE(""1RTcwEJsI_0aJRebhNwO_H_AoKl9r46k7hWYbtciIyM4"",""Form Responses 1!B:B""),A64)&gt;0,10,),0)"),"")</f>
        <v/>
      </c>
      <c r="C64" s="70" t="str">
        <f>IFERROR(__xludf.DUMMYFUNCTION("IFERROR(VLOOKUP(A64,IMPORTRANGE(""11i8IUhq_U6RRKRV3CBWIKqYed_fMvFgNUHTq1YDJfp8"",""Form Responses 1!B:C""),2,FALSE),)"),"")</f>
        <v/>
      </c>
      <c r="D64" s="70" t="str">
        <f>IFERROR(__xludf.DUMMYFUNCTION("IFERROR(VLOOKUP(A64,IMPORTRANGE(""1StiHxuxrFhYdrq5WLR2JMORicW0TbnJf3J-oTHeMRtM"",""Form Responses 1!B:C""),2,FALSE),)"),"")</f>
        <v/>
      </c>
      <c r="E64" s="70" t="str">
        <f>IFERROR(__xludf.DUMMYFUNCTION("IFERROR(VLOOKUP(A64,IMPORTRANGE(""1QaxxyUjrDq2kgz300C1Bq1tacFk6e-xX218cSXCQUK0"",""Form Responses 1!B:C""),2,FALSE),)"),"")</f>
        <v/>
      </c>
      <c r="F64" s="70" t="str">
        <f>IFERROR(__xludf.DUMMYFUNCTION("IFERROR(VLOOKUP(A64,IMPORTRANGE(""1fn2ECph_y8Uz78DhjLaiXcwgt6kh3oe-0Le36Uw0noE"",""Form Responses 1!B:C""),2,FALSE),)"),"")</f>
        <v/>
      </c>
      <c r="G64" s="39" t="str">
        <f>IFERROR(__xludf.DUMMYFUNCTION("IFERROR(IF(COUNTIF(IMPORTRANGE(""1t6NbzWBtAQKR9pGjBnxm9V-bRaGdRVT_-u2ojrUkYZw"",""Form Responses 1!B:B""),A64)&gt;0,10,),0)"),"")</f>
        <v/>
      </c>
      <c r="H64" s="39" t="str">
        <f>IFERROR(__xludf.DUMMYFUNCTION("IFERROR(VLOOKUP(A64,IMPORTRANGE(""1ytv6MYmm-8DwYEf-PC6L-upnzfG4TJT_K2_Q1BobE6k"",""Form Responses 1!B:C""),2,FALSE),)"),"")</f>
        <v/>
      </c>
      <c r="I64" s="39" t="str">
        <f>IFERROR(__xludf.DUMMYFUNCTION("IFERROR(VLOOKUP(A64,IMPORTRANGE(""1LTj0BC6WXgHo3fEDDSQlGOM1HkEYGTw8epmIdU0RnB4"",""Form Responses 1!B:C""),2,FALSE),)"),"")</f>
        <v/>
      </c>
      <c r="J64" s="39" t="str">
        <f>IFERROR(__xludf.DUMMYFUNCTION("IFERROR(VLOOKUP(A64,IMPORTRANGE(""1lBH5Hghbbsr-XV8ZpAW4SFOyMpQX5vY0tEjkjRAJH48"",""Form Responses 1!B:C""),2,FALSE),)"),"")</f>
        <v/>
      </c>
      <c r="K64" s="39" t="str">
        <f>IFERROR(__xludf.DUMMYFUNCTION("IFERROR(IF(COUNTIF(IMPORTRANGE(""11sIXwmK0co7YC01jkeOYS_Q9btyVErtOm8MrXzqLkm8"",""Form Responses 1!B:B""),A64)&gt;0,10,),0)"),"")</f>
        <v/>
      </c>
      <c r="L64" s="70" t="str">
        <f>IFERROR(__xludf.DUMMYFUNCTION("IFERROR(IF(COUNTIF(IMPORTRANGE(""1csqG5dOxr6mnQQeHuLyfSoVeWZspfrn9T3cQFX5jhi8"",""Form Responses 1!B:B""),A64)&gt;0,10,),0)"),"")</f>
        <v/>
      </c>
      <c r="M64" s="70" t="str">
        <f>IFERROR(__xludf.DUMMYFUNCTION("IFERROR(VLOOKUP(A64,IMPORTRANGE(""1C8QMXhp6CypS1pNA-UXlEADxmI-6nbSN9P4kujkvESI"",""Form Responses 1!B:C""),2,FALSE),)"),"")</f>
        <v/>
      </c>
      <c r="N64" s="70" t="str">
        <f>IFERROR(__xludf.DUMMYFUNCTION("IFERROR(VLOOKUP(A64,IMPORTRANGE(""1e33dV9wgou_u1lnmBtok6Ato-q97II29uUvmeO7Juhw"",""Form Responses 1!B:C""),2,FALSE),)"),"")</f>
        <v/>
      </c>
      <c r="O64" s="70" t="str">
        <f>IFERROR(__xludf.DUMMYFUNCTION("IFERROR(VLOOKUP(A64,IMPORTRANGE(""15TUXUTXgRTcnnjS-jyDta7Ecw7-lv8-wZMGVKaxe8TY"",""Form Responses 1!B:C""),2,FALSE),)"),"")</f>
        <v/>
      </c>
      <c r="P64" s="70" t="str">
        <f>IFERROR(__xludf.DUMMYFUNCTION("IFERROR(IF(COUNTIF(IMPORTRANGE(""1KFxxroaoSLanJBYtWVxeITrgly-aztutk24Q4y14KKU"",""Form Responses 1!B:B""),A64)&gt;0,10,),0)"),"")</f>
        <v/>
      </c>
      <c r="Q64" s="71" t="str">
        <f>IFERROR(__xludf.DUMMYFUNCTION("IFERROR(VLOOKUP(TRIM(A64),IMPORTRANGE(""1WjiLR_MTMxI_IZUKuvPO4Sg2rTSIqBzP3edakSRXbOA"",""Form Responses 1!B:C""),2,0),"""")"),"")</f>
        <v/>
      </c>
      <c r="R64" s="70" t="str">
        <f>IFERROR(__xludf.DUMMYFUNCTION("IFERROR(VLOOKUP(TRIM(A64),IMPORTRANGE(""1Ixzbal5tEbtWhozsFEppQzOYE6ZSrkNXHg_HW5k3Wt4"",""Form Responses 1!B:C""),2,0),"""")"),"")</f>
        <v/>
      </c>
      <c r="S64" s="70" t="str">
        <f>IFERROR(__xludf.DUMMYFUNCTION("IFERROR(VLOOKUP(TRIM(A64),IMPORTRANGE(""1zxjtEKGvVIJPIDqZdnxENwVpPXYa88EihzyI44hcQUo"",""Form Responses 1!B:C""),2,0),"""")"),"")</f>
        <v/>
      </c>
      <c r="T64" s="70" t="str">
        <f>IFERROR(__xludf.DUMMYFUNCTION("IFERROR(VLOOKUP(TRIM(A64),IMPORTRANGE(""1H3cO01obd5zFULYqaT5NAqecZBFFIHeDFn4CeQLZF3w"",""Form Responses 1!B:C""),2,0),"""")"),"")</f>
        <v/>
      </c>
      <c r="U64" s="70" t="str">
        <f>IFERROR(__xludf.DUMMYFUNCTION("IFERROR(VLOOKUP(TRIM(A64),IMPORTRANGE(""1IG9qoa6PeLdDDFzKpW39lxXshN0-M8Z25a_R1EpsYyg"",""Form Responses 1!B:C""),2,0),"""")"),"")</f>
        <v/>
      </c>
      <c r="V64" s="72"/>
      <c r="W64" s="70" t="str">
        <f>IFERROR(__xludf.DUMMYFUNCTION("IFERROR(VLOOKUP(TRIM(A64),IMPORTRANGE(""1JzBbPfIn5kXHe-RuBwssvVRSauekkTw9cwf70DsYix4"",""Form Responses 1!B:C""),2,0),"""")"),"")</f>
        <v/>
      </c>
      <c r="X64" s="70" t="str">
        <f>IFERROR(__xludf.DUMMYFUNCTION("IFERROR(VLOOKUP(TRIM(A64),IMPORTRANGE(""1JbcCdZBzu6Yag8PuyvlbtYmdvUYYQNraxAgoikGBi5w"",""Form Responses 1!B:C""),2,0),"""")"),"")</f>
        <v/>
      </c>
      <c r="Y64" s="70" t="str">
        <f>IFERROR(__xludf.DUMMYFUNCTION("IFERROR(VLOOKUP(TRIM(A64),IMPORTRANGE(""15-YcWQKwT7GXCzNpEoDkSlrruglscDYeQTD3uXec8uQ"",""Form Responses 1!B:C""),2,0),"""")"),"")</f>
        <v/>
      </c>
      <c r="Z64" s="70" t="str">
        <f>IFERROR(__xludf.DUMMYFUNCTION("IFERROR(VLOOKUP(TRIM(A64),IMPORTRANGE(""1X2rXjxJaWCoTCv5SRdgsC_V3cXeEyqXGQY3NvE1KDUk"",""Form Responses 1!B:C""),2,0),"""")"),"")</f>
        <v/>
      </c>
      <c r="AA64" s="70" t="str">
        <f>IFERROR(__xludf.DUMMYFUNCTION("IFERROR(VLOOKUP(TRIM(A64),IMPORTRANGE(""1zEJQnPshpdjcOtCVSP0I8nG2EXKbBMH9BJ8IeNFUEV8"",""Form Responses 1!B:C""),2,0),"""")"),"")</f>
        <v/>
      </c>
      <c r="AB64" s="70" t="str">
        <f>IFERROR(__xludf.DUMMYFUNCTION("IFERROR(VLOOKUP(TRIM(A64),IMPORTRANGE(""1JzBbPfIn5kXHe-RuBwssvVRSauekkTw9cwf70DsYix4"",""Form Responses 1!B:C""),2,0),"""")"),"")</f>
        <v/>
      </c>
      <c r="AC64" s="70" t="str">
        <f>IFERROR(__xludf.DUMMYFUNCTION("IFERROR(VLOOKUP(TRIM(A64),IMPORTRANGE(""1JbcCdZBzu6Yag8PuyvlbtYmdvUYYQNraxAgoikGBi5w"",""Form Responses 1!B:C""),2,0),"""")"),"")</f>
        <v/>
      </c>
      <c r="AD64" s="70" t="str">
        <f>IFERROR(__xludf.DUMMYFUNCTION("IFERROR(VLOOKUP(TRIM(A64),IMPORTRANGE(""15-YcWQKwT7GXCzNpEoDkSlrruglscDYeQTD3uXec8uQ"",""Form Responses 1!B:C""),2,0),"""")"),"")</f>
        <v/>
      </c>
      <c r="AE64" s="70" t="str">
        <f>IFERROR(__xludf.DUMMYFUNCTION("IFERROR(VLOOKUP(TRIM(A64),IMPORTRANGE(""1X2rXjxJaWCoTCv5SRdgsC_V3cXeEyqXGQY3NvE1KDUk"",""Form Responses 1!B:C""),2,0),"""")"),"")</f>
        <v/>
      </c>
      <c r="AF64" s="70" t="str">
        <f>IFERROR(__xludf.DUMMYFUNCTION("IFERROR(VLOOKUP(TRIM(A64),IMPORTRANGE(""1zEJQnPshpdjcOtCVSP0I8nG2EXKbBMH9BJ8IeNFUEV8"",""Form Responses 1!B:C""),2,0),"""")"),"")</f>
        <v/>
      </c>
      <c r="AG64" s="70"/>
      <c r="AH64" s="70"/>
      <c r="AI64" s="70"/>
      <c r="AJ64" s="70"/>
      <c r="AK64" s="70"/>
      <c r="AL64" s="70"/>
      <c r="AM64" s="70"/>
      <c r="AN64" s="70"/>
      <c r="AO64" s="70"/>
      <c r="AP64" s="70"/>
      <c r="AQ64" s="70"/>
      <c r="AR64" s="70"/>
      <c r="AS64" s="70"/>
      <c r="AT64" s="70"/>
      <c r="AU64" s="70"/>
    </row>
    <row r="65">
      <c r="A65" s="39" t="s">
        <v>314</v>
      </c>
      <c r="B65" s="70">
        <f>IFERROR(__xludf.DUMMYFUNCTION("IFERROR(IF(COUNTIF(IMPORTRANGE(""1RTcwEJsI_0aJRebhNwO_H_AoKl9r46k7hWYbtciIyM4"",""Form Responses 1!B:B""),A65)&gt;0,10,),0)"),10.0)</f>
        <v>10</v>
      </c>
      <c r="C65" s="70" t="str">
        <f>IFERROR(__xludf.DUMMYFUNCTION("IFERROR(VLOOKUP(A65,IMPORTRANGE(""11i8IUhq_U6RRKRV3CBWIKqYed_fMvFgNUHTq1YDJfp8"",""Form Responses 1!B:C""),2,FALSE),)"),"")</f>
        <v/>
      </c>
      <c r="D65" s="70" t="str">
        <f>IFERROR(__xludf.DUMMYFUNCTION("IFERROR(VLOOKUP(A65,IMPORTRANGE(""1StiHxuxrFhYdrq5WLR2JMORicW0TbnJf3J-oTHeMRtM"",""Form Responses 1!B:C""),2,FALSE),)"),"")</f>
        <v/>
      </c>
      <c r="E65" s="70" t="str">
        <f>IFERROR(__xludf.DUMMYFUNCTION("IFERROR(VLOOKUP(A65,IMPORTRANGE(""1QaxxyUjrDq2kgz300C1Bq1tacFk6e-xX218cSXCQUK0"",""Form Responses 1!B:C""),2,FALSE),)"),"")</f>
        <v/>
      </c>
      <c r="F65" s="70" t="str">
        <f>IFERROR(__xludf.DUMMYFUNCTION("IFERROR(VLOOKUP(A65,IMPORTRANGE(""1fn2ECph_y8Uz78DhjLaiXcwgt6kh3oe-0Le36Uw0noE"",""Form Responses 1!B:C""),2,FALSE),)"),"")</f>
        <v/>
      </c>
      <c r="G65" s="39">
        <f>IFERROR(__xludf.DUMMYFUNCTION("IFERROR(IF(COUNTIF(IMPORTRANGE(""1t6NbzWBtAQKR9pGjBnxm9V-bRaGdRVT_-u2ojrUkYZw"",""Form Responses 1!B:B""),A65)&gt;0,10,),0)"),10.0)</f>
        <v>10</v>
      </c>
      <c r="H65" s="39" t="str">
        <f>IFERROR(__xludf.DUMMYFUNCTION("IFERROR(VLOOKUP(A65,IMPORTRANGE(""1ytv6MYmm-8DwYEf-PC6L-upnzfG4TJT_K2_Q1BobE6k"",""Form Responses 1!B:C""),2,FALSE),)"),"")</f>
        <v/>
      </c>
      <c r="I65" s="39" t="str">
        <f>IFERROR(__xludf.DUMMYFUNCTION("IFERROR(VLOOKUP(A65,IMPORTRANGE(""1LTj0BC6WXgHo3fEDDSQlGOM1HkEYGTw8epmIdU0RnB4"",""Form Responses 1!B:C""),2,FALSE),)"),"")</f>
        <v/>
      </c>
      <c r="J65" s="39" t="str">
        <f>IFERROR(__xludf.DUMMYFUNCTION("IFERROR(VLOOKUP(A65,IMPORTRANGE(""1lBH5Hghbbsr-XV8ZpAW4SFOyMpQX5vY0tEjkjRAJH48"",""Form Responses 1!B:C""),2,FALSE),)"),"")</f>
        <v/>
      </c>
      <c r="K65" s="39" t="str">
        <f>IFERROR(__xludf.DUMMYFUNCTION("IFERROR(IF(COUNTIF(IMPORTRANGE(""11sIXwmK0co7YC01jkeOYS_Q9btyVErtOm8MrXzqLkm8"",""Form Responses 1!B:B""),A65)&gt;0,10,),0)"),"")</f>
        <v/>
      </c>
      <c r="L65" s="70" t="str">
        <f>IFERROR(__xludf.DUMMYFUNCTION("IFERROR(IF(COUNTIF(IMPORTRANGE(""1csqG5dOxr6mnQQeHuLyfSoVeWZspfrn9T3cQFX5jhi8"",""Form Responses 1!B:B""),A65)&gt;0,10,),0)"),"")</f>
        <v/>
      </c>
      <c r="M65" s="70" t="str">
        <f>IFERROR(__xludf.DUMMYFUNCTION("IFERROR(VLOOKUP(A65,IMPORTRANGE(""1C8QMXhp6CypS1pNA-UXlEADxmI-6nbSN9P4kujkvESI"",""Form Responses 1!B:C""),2,FALSE),)"),"")</f>
        <v/>
      </c>
      <c r="N65" s="70" t="str">
        <f>IFERROR(__xludf.DUMMYFUNCTION("IFERROR(VLOOKUP(A65,IMPORTRANGE(""1e33dV9wgou_u1lnmBtok6Ato-q97II29uUvmeO7Juhw"",""Form Responses 1!B:C""),2,FALSE),)"),"")</f>
        <v/>
      </c>
      <c r="O65" s="70" t="str">
        <f>IFERROR(__xludf.DUMMYFUNCTION("IFERROR(VLOOKUP(A65,IMPORTRANGE(""15TUXUTXgRTcnnjS-jyDta7Ecw7-lv8-wZMGVKaxe8TY"",""Form Responses 1!B:C""),2,FALSE),)"),"")</f>
        <v/>
      </c>
      <c r="P65" s="70" t="str">
        <f>IFERROR(__xludf.DUMMYFUNCTION("IFERROR(IF(COUNTIF(IMPORTRANGE(""1KFxxroaoSLanJBYtWVxeITrgly-aztutk24Q4y14KKU"",""Form Responses 1!B:B""),A65)&gt;0,10,),0)"),"")</f>
        <v/>
      </c>
      <c r="Q65" s="71" t="str">
        <f>IFERROR(__xludf.DUMMYFUNCTION("IFERROR(VLOOKUP(TRIM(A65),IMPORTRANGE(""1WjiLR_MTMxI_IZUKuvPO4Sg2rTSIqBzP3edakSRXbOA"",""Form Responses 1!B:C""),2,0),"""")"),"")</f>
        <v/>
      </c>
      <c r="R65" s="70" t="str">
        <f>IFERROR(__xludf.DUMMYFUNCTION("IFERROR(VLOOKUP(TRIM(A65),IMPORTRANGE(""1Ixzbal5tEbtWhozsFEppQzOYE6ZSrkNXHg_HW5k3Wt4"",""Form Responses 1!B:C""),2,0),"""")"),"")</f>
        <v/>
      </c>
      <c r="S65" s="70" t="str">
        <f>IFERROR(__xludf.DUMMYFUNCTION("IFERROR(VLOOKUP(TRIM(A65),IMPORTRANGE(""1zxjtEKGvVIJPIDqZdnxENwVpPXYa88EihzyI44hcQUo"",""Form Responses 1!B:C""),2,0),"""")"),"")</f>
        <v/>
      </c>
      <c r="T65" s="70" t="str">
        <f>IFERROR(__xludf.DUMMYFUNCTION("IFERROR(VLOOKUP(TRIM(A65),IMPORTRANGE(""1H3cO01obd5zFULYqaT5NAqecZBFFIHeDFn4CeQLZF3w"",""Form Responses 1!B:C""),2,0),"""")"),"")</f>
        <v/>
      </c>
      <c r="U65" s="70" t="str">
        <f>IFERROR(__xludf.DUMMYFUNCTION("IFERROR(VLOOKUP(TRIM(A65),IMPORTRANGE(""1IG9qoa6PeLdDDFzKpW39lxXshN0-M8Z25a_R1EpsYyg"",""Form Responses 1!B:C""),2,0),"""")"),"")</f>
        <v/>
      </c>
      <c r="V65" s="72"/>
      <c r="W65" s="70" t="str">
        <f>IFERROR(__xludf.DUMMYFUNCTION("IFERROR(VLOOKUP(TRIM(A65),IMPORTRANGE(""1JzBbPfIn5kXHe-RuBwssvVRSauekkTw9cwf70DsYix4"",""Form Responses 1!B:C""),2,0),"""")"),"")</f>
        <v/>
      </c>
      <c r="X65" s="70" t="str">
        <f>IFERROR(__xludf.DUMMYFUNCTION("IFERROR(VLOOKUP(TRIM(A65),IMPORTRANGE(""1JbcCdZBzu6Yag8PuyvlbtYmdvUYYQNraxAgoikGBi5w"",""Form Responses 1!B:C""),2,0),"""")"),"")</f>
        <v/>
      </c>
      <c r="Y65" s="70" t="str">
        <f>IFERROR(__xludf.DUMMYFUNCTION("IFERROR(VLOOKUP(TRIM(A65),IMPORTRANGE(""15-YcWQKwT7GXCzNpEoDkSlrruglscDYeQTD3uXec8uQ"",""Form Responses 1!B:C""),2,0),"""")"),"")</f>
        <v/>
      </c>
      <c r="Z65" s="70" t="str">
        <f>IFERROR(__xludf.DUMMYFUNCTION("IFERROR(VLOOKUP(TRIM(A65),IMPORTRANGE(""1X2rXjxJaWCoTCv5SRdgsC_V3cXeEyqXGQY3NvE1KDUk"",""Form Responses 1!B:C""),2,0),"""")"),"")</f>
        <v/>
      </c>
      <c r="AA65" s="70" t="str">
        <f>IFERROR(__xludf.DUMMYFUNCTION("IFERROR(VLOOKUP(TRIM(A65),IMPORTRANGE(""1zEJQnPshpdjcOtCVSP0I8nG2EXKbBMH9BJ8IeNFUEV8"",""Form Responses 1!B:C""),2,0),"""")"),"")</f>
        <v/>
      </c>
      <c r="AB65" s="70" t="str">
        <f>IFERROR(__xludf.DUMMYFUNCTION("IFERROR(VLOOKUP(TRIM(A65),IMPORTRANGE(""1JzBbPfIn5kXHe-RuBwssvVRSauekkTw9cwf70DsYix4"",""Form Responses 1!B:C""),2,0),"""")"),"")</f>
        <v/>
      </c>
      <c r="AC65" s="70" t="str">
        <f>IFERROR(__xludf.DUMMYFUNCTION("IFERROR(VLOOKUP(TRIM(A65),IMPORTRANGE(""1JbcCdZBzu6Yag8PuyvlbtYmdvUYYQNraxAgoikGBi5w"",""Form Responses 1!B:C""),2,0),"""")"),"")</f>
        <v/>
      </c>
      <c r="AD65" s="70" t="str">
        <f>IFERROR(__xludf.DUMMYFUNCTION("IFERROR(VLOOKUP(TRIM(A65),IMPORTRANGE(""15-YcWQKwT7GXCzNpEoDkSlrruglscDYeQTD3uXec8uQ"",""Form Responses 1!B:C""),2,0),"""")"),"")</f>
        <v/>
      </c>
      <c r="AE65" s="70" t="str">
        <f>IFERROR(__xludf.DUMMYFUNCTION("IFERROR(VLOOKUP(TRIM(A65),IMPORTRANGE(""1X2rXjxJaWCoTCv5SRdgsC_V3cXeEyqXGQY3NvE1KDUk"",""Form Responses 1!B:C""),2,0),"""")"),"")</f>
        <v/>
      </c>
      <c r="AF65" s="70" t="str">
        <f>IFERROR(__xludf.DUMMYFUNCTION("IFERROR(VLOOKUP(TRIM(A65),IMPORTRANGE(""1zEJQnPshpdjcOtCVSP0I8nG2EXKbBMH9BJ8IeNFUEV8"",""Form Responses 1!B:C""),2,0),"""")"),"")</f>
        <v/>
      </c>
      <c r="AG65" s="70"/>
      <c r="AH65" s="70"/>
      <c r="AI65" s="70"/>
      <c r="AJ65" s="70"/>
      <c r="AK65" s="70"/>
      <c r="AL65" s="70"/>
      <c r="AM65" s="70"/>
      <c r="AN65" s="70"/>
      <c r="AO65" s="70"/>
      <c r="AP65" s="70"/>
      <c r="AQ65" s="70"/>
      <c r="AR65" s="70"/>
      <c r="AS65" s="70"/>
      <c r="AT65" s="70"/>
      <c r="AU65" s="70"/>
    </row>
    <row r="66">
      <c r="A66" s="39" t="s">
        <v>315</v>
      </c>
      <c r="B66" s="70">
        <f>IFERROR(__xludf.DUMMYFUNCTION("IFERROR(IF(COUNTIF(IMPORTRANGE(""1RTcwEJsI_0aJRebhNwO_H_AoKl9r46k7hWYbtciIyM4"",""Form Responses 1!B:B""),A66)&gt;0,10,),0)"),10.0)</f>
        <v>10</v>
      </c>
      <c r="C66" s="70">
        <f>IFERROR(__xludf.DUMMYFUNCTION("IFERROR(VLOOKUP(A66,IMPORTRANGE(""11i8IUhq_U6RRKRV3CBWIKqYed_fMvFgNUHTq1YDJfp8"",""Form Responses 1!B:C""),2,FALSE),)"),10.0)</f>
        <v>10</v>
      </c>
      <c r="D66" s="70">
        <f>IFERROR(__xludf.DUMMYFUNCTION("IFERROR(VLOOKUP(A66,IMPORTRANGE(""1StiHxuxrFhYdrq5WLR2JMORicW0TbnJf3J-oTHeMRtM"",""Form Responses 1!B:C""),2,FALSE),)"),13.0)</f>
        <v>13</v>
      </c>
      <c r="E66" s="70">
        <f>IFERROR(__xludf.DUMMYFUNCTION("IFERROR(VLOOKUP(A66,IMPORTRANGE(""1QaxxyUjrDq2kgz300C1Bq1tacFk6e-xX218cSXCQUK0"",""Form Responses 1!B:C""),2,FALSE),)"),6.0)</f>
        <v>6</v>
      </c>
      <c r="F66" s="70">
        <f>IFERROR(__xludf.DUMMYFUNCTION("IFERROR(VLOOKUP(A66,IMPORTRANGE(""1fn2ECph_y8Uz78DhjLaiXcwgt6kh3oe-0Le36Uw0noE"",""Form Responses 1!B:C""),2,FALSE),)"),10.0)</f>
        <v>10</v>
      </c>
      <c r="G66" s="39">
        <f>IFERROR(__xludf.DUMMYFUNCTION("IFERROR(IF(COUNTIF(IMPORTRANGE(""1t6NbzWBtAQKR9pGjBnxm9V-bRaGdRVT_-u2ojrUkYZw"",""Form Responses 1!B:B""),A66)&gt;0,10,),0)"),10.0)</f>
        <v>10</v>
      </c>
      <c r="H66" s="39">
        <f>IFERROR(__xludf.DUMMYFUNCTION("IFERROR(VLOOKUP(A66,IMPORTRANGE(""1ytv6MYmm-8DwYEf-PC6L-upnzfG4TJT_K2_Q1BobE6k"",""Form Responses 1!B:C""),2,FALSE),)"),13.0)</f>
        <v>13</v>
      </c>
      <c r="I66" s="39">
        <f>IFERROR(__xludf.DUMMYFUNCTION("IFERROR(VLOOKUP(A66,IMPORTRANGE(""1LTj0BC6WXgHo3fEDDSQlGOM1HkEYGTw8epmIdU0RnB4"",""Form Responses 1!B:C""),2,FALSE),)"),10.0)</f>
        <v>10</v>
      </c>
      <c r="J66" s="39">
        <f>IFERROR(__xludf.DUMMYFUNCTION("IFERROR(VLOOKUP(A66,IMPORTRANGE(""1lBH5Hghbbsr-XV8ZpAW4SFOyMpQX5vY0tEjkjRAJH48"",""Form Responses 1!B:C""),2,FALSE),)"),0.0)</f>
        <v>0</v>
      </c>
      <c r="K66" s="39">
        <f>IFERROR(__xludf.DUMMYFUNCTION("IFERROR(IF(COUNTIF(IMPORTRANGE(""11sIXwmK0co7YC01jkeOYS_Q9btyVErtOm8MrXzqLkm8"",""Form Responses 1!B:B""),A66)&gt;0,10,),0)"),10.0)</f>
        <v>10</v>
      </c>
      <c r="L66" s="70">
        <f>IFERROR(__xludf.DUMMYFUNCTION("IFERROR(IF(COUNTIF(IMPORTRANGE(""1csqG5dOxr6mnQQeHuLyfSoVeWZspfrn9T3cQFX5jhi8"",""Form Responses 1!B:B""),A66)&gt;0,10,),0)"),10.0)</f>
        <v>10</v>
      </c>
      <c r="M66" s="70">
        <f>IFERROR(__xludf.DUMMYFUNCTION("IFERROR(VLOOKUP(A66,IMPORTRANGE(""1C8QMXhp6CypS1pNA-UXlEADxmI-6nbSN9P4kujkvESI"",""Form Responses 1!B:C""),2,FALSE),)"),24.0)</f>
        <v>24</v>
      </c>
      <c r="N66" s="70">
        <f>IFERROR(__xludf.DUMMYFUNCTION("IFERROR(VLOOKUP(A66,IMPORTRANGE(""1e33dV9wgou_u1lnmBtok6Ato-q97II29uUvmeO7Juhw"",""Form Responses 1!B:C""),2,FALSE),)"),26.0)</f>
        <v>26</v>
      </c>
      <c r="O66" s="70">
        <f>IFERROR(__xludf.DUMMYFUNCTION("IFERROR(VLOOKUP(A66,IMPORTRANGE(""15TUXUTXgRTcnnjS-jyDta7Ecw7-lv8-wZMGVKaxe8TY"",""Form Responses 1!B:C""),2,FALSE),)"),26.0)</f>
        <v>26</v>
      </c>
      <c r="P66" s="70">
        <f>IFERROR(__xludf.DUMMYFUNCTION("IFERROR(IF(COUNTIF(IMPORTRANGE(""1KFxxroaoSLanJBYtWVxeITrgly-aztutk24Q4y14KKU"",""Form Responses 1!B:B""),A66)&gt;0,10,),0)"),10.0)</f>
        <v>10</v>
      </c>
      <c r="Q66" s="71">
        <f>IFERROR(__xludf.DUMMYFUNCTION("IFERROR(VLOOKUP(TRIM(A66),IMPORTRANGE(""1WjiLR_MTMxI_IZUKuvPO4Sg2rTSIqBzP3edakSRXbOA"",""Form Responses 1!B:C""),2,0),"""")"),10.0)</f>
        <v>10</v>
      </c>
      <c r="R66" s="70">
        <f>IFERROR(__xludf.DUMMYFUNCTION("IFERROR(VLOOKUP(TRIM(A66),IMPORTRANGE(""1Ixzbal5tEbtWhozsFEppQzOYE6ZSrkNXHg_HW5k3Wt4"",""Form Responses 1!B:C""),2,0),"""")"),9.0)</f>
        <v>9</v>
      </c>
      <c r="S66" s="70">
        <f>IFERROR(__xludf.DUMMYFUNCTION("IFERROR(VLOOKUP(TRIM(A66),IMPORTRANGE(""1zxjtEKGvVIJPIDqZdnxENwVpPXYa88EihzyI44hcQUo"",""Form Responses 1!B:C""),2,0),"""")"),9.0)</f>
        <v>9</v>
      </c>
      <c r="T66" s="70" t="str">
        <f>IFERROR(__xludf.DUMMYFUNCTION("IFERROR(VLOOKUP(TRIM(A66),IMPORTRANGE(""1H3cO01obd5zFULYqaT5NAqecZBFFIHeDFn4CeQLZF3w"",""Form Responses 1!B:C""),2,0),"""")"),"")</f>
        <v/>
      </c>
      <c r="U66" s="70">
        <f>IFERROR(__xludf.DUMMYFUNCTION("IFERROR(VLOOKUP(TRIM(A66),IMPORTRANGE(""1IG9qoa6PeLdDDFzKpW39lxXshN0-M8Z25a_R1EpsYyg"",""Form Responses 1!B:C""),2,0),"""")"),4.0)</f>
        <v>4</v>
      </c>
      <c r="V66" s="72"/>
      <c r="W66" s="70">
        <f>IFERROR(__xludf.DUMMYFUNCTION("IFERROR(VLOOKUP(TRIM(A66),IMPORTRANGE(""1JzBbPfIn5kXHe-RuBwssvVRSauekkTw9cwf70DsYix4"",""Form Responses 1!B:C""),2,0),"""")"),12.0)</f>
        <v>12</v>
      </c>
      <c r="X66" s="70">
        <f>IFERROR(__xludf.DUMMYFUNCTION("IFERROR(VLOOKUP(TRIM(A66),IMPORTRANGE(""1JbcCdZBzu6Yag8PuyvlbtYmdvUYYQNraxAgoikGBi5w"",""Form Responses 1!B:C""),2,0),"""")"),20.0)</f>
        <v>20</v>
      </c>
      <c r="Y66" s="70">
        <f>IFERROR(__xludf.DUMMYFUNCTION("IFERROR(VLOOKUP(TRIM(A66),IMPORTRANGE(""15-YcWQKwT7GXCzNpEoDkSlrruglscDYeQTD3uXec8uQ"",""Form Responses 1!B:C""),2,0),"""")"),21.0)</f>
        <v>21</v>
      </c>
      <c r="Z66" s="70">
        <f>IFERROR(__xludf.DUMMYFUNCTION("IFERROR(VLOOKUP(TRIM(A66),IMPORTRANGE(""1X2rXjxJaWCoTCv5SRdgsC_V3cXeEyqXGQY3NvE1KDUk"",""Form Responses 1!B:C""),2,0),"""")"),25.0)</f>
        <v>25</v>
      </c>
      <c r="AA66" s="70">
        <f>IFERROR(__xludf.DUMMYFUNCTION("IFERROR(VLOOKUP(TRIM(A66),IMPORTRANGE(""1zEJQnPshpdjcOtCVSP0I8nG2EXKbBMH9BJ8IeNFUEV8"",""Form Responses 1!B:C""),2,0),"""")"),4.0)</f>
        <v>4</v>
      </c>
      <c r="AB66" s="70">
        <f>IFERROR(__xludf.DUMMYFUNCTION("IFERROR(VLOOKUP(TRIM(A66),IMPORTRANGE(""1JzBbPfIn5kXHe-RuBwssvVRSauekkTw9cwf70DsYix4"",""Form Responses 1!B:C""),2,0),"""")"),12.0)</f>
        <v>12</v>
      </c>
      <c r="AC66" s="70">
        <f>IFERROR(__xludf.DUMMYFUNCTION("IFERROR(VLOOKUP(TRIM(A66),IMPORTRANGE(""1JbcCdZBzu6Yag8PuyvlbtYmdvUYYQNraxAgoikGBi5w"",""Form Responses 1!B:C""),2,0),"""")"),20.0)</f>
        <v>20</v>
      </c>
      <c r="AD66" s="70">
        <f>IFERROR(__xludf.DUMMYFUNCTION("IFERROR(VLOOKUP(TRIM(A66),IMPORTRANGE(""15-YcWQKwT7GXCzNpEoDkSlrruglscDYeQTD3uXec8uQ"",""Form Responses 1!B:C""),2,0),"""")"),21.0)</f>
        <v>21</v>
      </c>
      <c r="AE66" s="70">
        <f>IFERROR(__xludf.DUMMYFUNCTION("IFERROR(VLOOKUP(TRIM(A66),IMPORTRANGE(""1X2rXjxJaWCoTCv5SRdgsC_V3cXeEyqXGQY3NvE1KDUk"",""Form Responses 1!B:C""),2,0),"""")"),25.0)</f>
        <v>25</v>
      </c>
      <c r="AF66" s="70">
        <f>IFERROR(__xludf.DUMMYFUNCTION("IFERROR(VLOOKUP(TRIM(A66),IMPORTRANGE(""1zEJQnPshpdjcOtCVSP0I8nG2EXKbBMH9BJ8IeNFUEV8"",""Form Responses 1!B:C""),2,0),"""")"),4.0)</f>
        <v>4</v>
      </c>
      <c r="AG66" s="70"/>
      <c r="AH66" s="70"/>
      <c r="AI66" s="70"/>
      <c r="AJ66" s="70"/>
      <c r="AK66" s="70"/>
      <c r="AL66" s="70"/>
      <c r="AM66" s="70"/>
      <c r="AN66" s="70"/>
      <c r="AO66" s="70"/>
      <c r="AP66" s="70"/>
      <c r="AQ66" s="70"/>
      <c r="AR66" s="70"/>
      <c r="AS66" s="70"/>
      <c r="AT66" s="70"/>
      <c r="AU66" s="70"/>
    </row>
    <row r="67">
      <c r="A67" s="39" t="s">
        <v>316</v>
      </c>
      <c r="B67" s="70">
        <f>IFERROR(__xludf.DUMMYFUNCTION("IFERROR(IF(COUNTIF(IMPORTRANGE(""1RTcwEJsI_0aJRebhNwO_H_AoKl9r46k7hWYbtciIyM4"",""Form Responses 1!B:B""),A67)&gt;0,10,),0)"),10.0)</f>
        <v>10</v>
      </c>
      <c r="C67" s="70">
        <f>IFERROR(__xludf.DUMMYFUNCTION("IFERROR(VLOOKUP(A67,IMPORTRANGE(""11i8IUhq_U6RRKRV3CBWIKqYed_fMvFgNUHTq1YDJfp8"",""Form Responses 1!B:C""),2,FALSE),)"),5.0)</f>
        <v>5</v>
      </c>
      <c r="D67" s="70">
        <f>IFERROR(__xludf.DUMMYFUNCTION("IFERROR(VLOOKUP(A67,IMPORTRANGE(""1StiHxuxrFhYdrq5WLR2JMORicW0TbnJf3J-oTHeMRtM"",""Form Responses 1!B:C""),2,FALSE),)"),3.0)</f>
        <v>3</v>
      </c>
      <c r="E67" s="70">
        <f>IFERROR(__xludf.DUMMYFUNCTION("IFERROR(VLOOKUP(A67,IMPORTRANGE(""1QaxxyUjrDq2kgz300C1Bq1tacFk6e-xX218cSXCQUK0"",""Form Responses 1!B:C""),2,FALSE),)"),4.0)</f>
        <v>4</v>
      </c>
      <c r="F67" s="70">
        <f>IFERROR(__xludf.DUMMYFUNCTION("IFERROR(VLOOKUP(A67,IMPORTRANGE(""1fn2ECph_y8Uz78DhjLaiXcwgt6kh3oe-0Le36Uw0noE"",""Form Responses 1!B:C""),2,FALSE),)"),7.0)</f>
        <v>7</v>
      </c>
      <c r="G67" s="39">
        <f>IFERROR(__xludf.DUMMYFUNCTION("IFERROR(IF(COUNTIF(IMPORTRANGE(""1t6NbzWBtAQKR9pGjBnxm9V-bRaGdRVT_-u2ojrUkYZw"",""Form Responses 1!B:B""),A67)&gt;0,10,),0)"),10.0)</f>
        <v>10</v>
      </c>
      <c r="H67" s="39">
        <f>IFERROR(__xludf.DUMMYFUNCTION("IFERROR(VLOOKUP(A67,IMPORTRANGE(""1ytv6MYmm-8DwYEf-PC6L-upnzfG4TJT_K2_Q1BobE6k"",""Form Responses 1!B:C""),2,FALSE),)"),13.0)</f>
        <v>13</v>
      </c>
      <c r="I67" s="39">
        <f>IFERROR(__xludf.DUMMYFUNCTION("IFERROR(VLOOKUP(A67,IMPORTRANGE(""1LTj0BC6WXgHo3fEDDSQlGOM1HkEYGTw8epmIdU0RnB4"",""Form Responses 1!B:C""),2,FALSE),)"),10.0)</f>
        <v>10</v>
      </c>
      <c r="J67" s="39">
        <f>IFERROR(__xludf.DUMMYFUNCTION("IFERROR(VLOOKUP(A67,IMPORTRANGE(""1lBH5Hghbbsr-XV8ZpAW4SFOyMpQX5vY0tEjkjRAJH48"",""Form Responses 1!B:C""),2,FALSE),)"),0.0)</f>
        <v>0</v>
      </c>
      <c r="K67" s="39">
        <f>IFERROR(__xludf.DUMMYFUNCTION("IFERROR(IF(COUNTIF(IMPORTRANGE(""11sIXwmK0co7YC01jkeOYS_Q9btyVErtOm8MrXzqLkm8"",""Form Responses 1!B:B""),A67)&gt;0,10,),0)"),10.0)</f>
        <v>10</v>
      </c>
      <c r="L67" s="70">
        <f>IFERROR(__xludf.DUMMYFUNCTION("IFERROR(IF(COUNTIF(IMPORTRANGE(""1csqG5dOxr6mnQQeHuLyfSoVeWZspfrn9T3cQFX5jhi8"",""Form Responses 1!B:B""),A67)&gt;0,10,),0)"),10.0)</f>
        <v>10</v>
      </c>
      <c r="M67" s="70">
        <f>IFERROR(__xludf.DUMMYFUNCTION("IFERROR(VLOOKUP(A67,IMPORTRANGE(""1C8QMXhp6CypS1pNA-UXlEADxmI-6nbSN9P4kujkvESI"",""Form Responses 1!B:C""),2,FALSE),)"),17.0)</f>
        <v>17</v>
      </c>
      <c r="N67" s="70">
        <f>IFERROR(__xludf.DUMMYFUNCTION("IFERROR(VLOOKUP(A67,IMPORTRANGE(""1e33dV9wgou_u1lnmBtok6Ato-q97II29uUvmeO7Juhw"",""Form Responses 1!B:C""),2,FALSE),)"),9.0)</f>
        <v>9</v>
      </c>
      <c r="O67" s="70">
        <f>IFERROR(__xludf.DUMMYFUNCTION("IFERROR(VLOOKUP(A67,IMPORTRANGE(""15TUXUTXgRTcnnjS-jyDta7Ecw7-lv8-wZMGVKaxe8TY"",""Form Responses 1!B:C""),2,FALSE),)"),23.0)</f>
        <v>23</v>
      </c>
      <c r="P67" s="70">
        <f>IFERROR(__xludf.DUMMYFUNCTION("IFERROR(IF(COUNTIF(IMPORTRANGE(""1KFxxroaoSLanJBYtWVxeITrgly-aztutk24Q4y14KKU"",""Form Responses 1!B:B""),A67)&gt;0,10,),0)"),10.0)</f>
        <v>10</v>
      </c>
      <c r="Q67" s="71">
        <f>IFERROR(__xludf.DUMMYFUNCTION("IFERROR(VLOOKUP(TRIM(A67),IMPORTRANGE(""1WjiLR_MTMxI_IZUKuvPO4Sg2rTSIqBzP3edakSRXbOA"",""Form Responses 1!B:C""),2,0),"""")"),10.0)</f>
        <v>10</v>
      </c>
      <c r="R67" s="70">
        <f>IFERROR(__xludf.DUMMYFUNCTION("IFERROR(VLOOKUP(TRIM(A67),IMPORTRANGE(""1Ixzbal5tEbtWhozsFEppQzOYE6ZSrkNXHg_HW5k3Wt4"",""Form Responses 1!B:C""),2,0),"""")"),9.0)</f>
        <v>9</v>
      </c>
      <c r="S67" s="70">
        <f>IFERROR(__xludf.DUMMYFUNCTION("IFERROR(VLOOKUP(TRIM(A67),IMPORTRANGE(""1zxjtEKGvVIJPIDqZdnxENwVpPXYa88EihzyI44hcQUo"",""Form Responses 1!B:C""),2,0),"""")"),9.0)</f>
        <v>9</v>
      </c>
      <c r="T67" s="70">
        <f>IFERROR(__xludf.DUMMYFUNCTION("IFERROR(VLOOKUP(TRIM(A67),IMPORTRANGE(""1H3cO01obd5zFULYqaT5NAqecZBFFIHeDFn4CeQLZF3w"",""Form Responses 1!B:C""),2,0),"""")"),5.0)</f>
        <v>5</v>
      </c>
      <c r="U67" s="70">
        <f>IFERROR(__xludf.DUMMYFUNCTION("IFERROR(VLOOKUP(TRIM(A67),IMPORTRANGE(""1IG9qoa6PeLdDDFzKpW39lxXshN0-M8Z25a_R1EpsYyg"",""Form Responses 1!B:C""),2,0),"""")"),4.0)</f>
        <v>4</v>
      </c>
      <c r="V67" s="72"/>
      <c r="W67" s="70">
        <f>IFERROR(__xludf.DUMMYFUNCTION("IFERROR(VLOOKUP(TRIM(A67),IMPORTRANGE(""1JzBbPfIn5kXHe-RuBwssvVRSauekkTw9cwf70DsYix4"",""Form Responses 1!B:C""),2,0),"""")"),9.0)</f>
        <v>9</v>
      </c>
      <c r="X67" s="70">
        <f>IFERROR(__xludf.DUMMYFUNCTION("IFERROR(VLOOKUP(TRIM(A67),IMPORTRANGE(""1JbcCdZBzu6Yag8PuyvlbtYmdvUYYQNraxAgoikGBi5w"",""Form Responses 1!B:C""),2,0),"""")"),20.0)</f>
        <v>20</v>
      </c>
      <c r="Y67" s="70" t="str">
        <f>IFERROR(__xludf.DUMMYFUNCTION("IFERROR(VLOOKUP(TRIM(A67),IMPORTRANGE(""15-YcWQKwT7GXCzNpEoDkSlrruglscDYeQTD3uXec8uQ"",""Form Responses 1!B:C""),2,0),"""")"),"")</f>
        <v/>
      </c>
      <c r="Z67" s="70">
        <f>IFERROR(__xludf.DUMMYFUNCTION("IFERROR(VLOOKUP(TRIM(A67),IMPORTRANGE(""1X2rXjxJaWCoTCv5SRdgsC_V3cXeEyqXGQY3NvE1KDUk"",""Form Responses 1!B:C""),2,0),"""")"),25.0)</f>
        <v>25</v>
      </c>
      <c r="AA67" s="70">
        <f>IFERROR(__xludf.DUMMYFUNCTION("IFERROR(VLOOKUP(TRIM(A67),IMPORTRANGE(""1zEJQnPshpdjcOtCVSP0I8nG2EXKbBMH9BJ8IeNFUEV8"",""Form Responses 1!B:C""),2,0),"""")"),21.0)</f>
        <v>21</v>
      </c>
      <c r="AB67" s="70">
        <f>IFERROR(__xludf.DUMMYFUNCTION("IFERROR(VLOOKUP(TRIM(A67),IMPORTRANGE(""1JzBbPfIn5kXHe-RuBwssvVRSauekkTw9cwf70DsYix4"",""Form Responses 1!B:C""),2,0),"""")"),9.0)</f>
        <v>9</v>
      </c>
      <c r="AC67" s="70">
        <f>IFERROR(__xludf.DUMMYFUNCTION("IFERROR(VLOOKUP(TRIM(A67),IMPORTRANGE(""1JbcCdZBzu6Yag8PuyvlbtYmdvUYYQNraxAgoikGBi5w"",""Form Responses 1!B:C""),2,0),"""")"),20.0)</f>
        <v>20</v>
      </c>
      <c r="AD67" s="70" t="str">
        <f>IFERROR(__xludf.DUMMYFUNCTION("IFERROR(VLOOKUP(TRIM(A67),IMPORTRANGE(""15-YcWQKwT7GXCzNpEoDkSlrruglscDYeQTD3uXec8uQ"",""Form Responses 1!B:C""),2,0),"""")"),"")</f>
        <v/>
      </c>
      <c r="AE67" s="70">
        <f>IFERROR(__xludf.DUMMYFUNCTION("IFERROR(VLOOKUP(TRIM(A67),IMPORTRANGE(""1X2rXjxJaWCoTCv5SRdgsC_V3cXeEyqXGQY3NvE1KDUk"",""Form Responses 1!B:C""),2,0),"""")"),25.0)</f>
        <v>25</v>
      </c>
      <c r="AF67" s="70">
        <f>IFERROR(__xludf.DUMMYFUNCTION("IFERROR(VLOOKUP(TRIM(A67),IMPORTRANGE(""1zEJQnPshpdjcOtCVSP0I8nG2EXKbBMH9BJ8IeNFUEV8"",""Form Responses 1!B:C""),2,0),"""")"),21.0)</f>
        <v>21</v>
      </c>
      <c r="AG67" s="70"/>
      <c r="AH67" s="70"/>
      <c r="AI67" s="70"/>
      <c r="AJ67" s="70"/>
      <c r="AK67" s="70"/>
      <c r="AL67" s="70"/>
      <c r="AM67" s="70"/>
      <c r="AN67" s="70"/>
      <c r="AO67" s="70"/>
      <c r="AP67" s="70"/>
      <c r="AQ67" s="70"/>
      <c r="AR67" s="70"/>
      <c r="AS67" s="70"/>
      <c r="AT67" s="70"/>
      <c r="AU67" s="70"/>
    </row>
    <row r="68">
      <c r="A68" s="39" t="s">
        <v>317</v>
      </c>
      <c r="B68" s="70">
        <f>IFERROR(__xludf.DUMMYFUNCTION("IFERROR(IF(COUNTIF(IMPORTRANGE(""1RTcwEJsI_0aJRebhNwO_H_AoKl9r46k7hWYbtciIyM4"",""Form Responses 1!B:B""),A68)&gt;0,10,),0)"),10.0)</f>
        <v>10</v>
      </c>
      <c r="C68" s="70">
        <f>IFERROR(__xludf.DUMMYFUNCTION("IFERROR(VLOOKUP(A68,IMPORTRANGE(""11i8IUhq_U6RRKRV3CBWIKqYed_fMvFgNUHTq1YDJfp8"",""Form Responses 1!B:C""),2,FALSE),)"),8.0)</f>
        <v>8</v>
      </c>
      <c r="D68" s="70">
        <f>IFERROR(__xludf.DUMMYFUNCTION("IFERROR(VLOOKUP(A68,IMPORTRANGE(""1StiHxuxrFhYdrq5WLR2JMORicW0TbnJf3J-oTHeMRtM"",""Form Responses 1!B:C""),2,FALSE),)"),0.0)</f>
        <v>0</v>
      </c>
      <c r="E68" s="70">
        <f>IFERROR(__xludf.DUMMYFUNCTION("IFERROR(VLOOKUP(A68,IMPORTRANGE(""1QaxxyUjrDq2kgz300C1Bq1tacFk6e-xX218cSXCQUK0"",""Form Responses 1!B:C""),2,FALSE),)"),2.0)</f>
        <v>2</v>
      </c>
      <c r="F68" s="70">
        <f>IFERROR(__xludf.DUMMYFUNCTION("IFERROR(VLOOKUP(A68,IMPORTRANGE(""1fn2ECph_y8Uz78DhjLaiXcwgt6kh3oe-0Le36Uw0noE"",""Form Responses 1!B:C""),2,FALSE),)"),4.0)</f>
        <v>4</v>
      </c>
      <c r="G68" s="39">
        <f>IFERROR(__xludf.DUMMYFUNCTION("IFERROR(IF(COUNTIF(IMPORTRANGE(""1t6NbzWBtAQKR9pGjBnxm9V-bRaGdRVT_-u2ojrUkYZw"",""Form Responses 1!B:B""),A68)&gt;0,10,),0)"),10.0)</f>
        <v>10</v>
      </c>
      <c r="H68" s="39">
        <f>IFERROR(__xludf.DUMMYFUNCTION("IFERROR(VLOOKUP(A68,IMPORTRANGE(""1ytv6MYmm-8DwYEf-PC6L-upnzfG4TJT_K2_Q1BobE6k"",""Form Responses 1!B:C""),2,FALSE),)"),7.0)</f>
        <v>7</v>
      </c>
      <c r="I68" s="39">
        <f>IFERROR(__xludf.DUMMYFUNCTION("IFERROR(VLOOKUP(A68,IMPORTRANGE(""1LTj0BC6WXgHo3fEDDSQlGOM1HkEYGTw8epmIdU0RnB4"",""Form Responses 1!B:C""),2,FALSE),)"),7.0)</f>
        <v>7</v>
      </c>
      <c r="J68" s="39">
        <f>IFERROR(__xludf.DUMMYFUNCTION("IFERROR(VLOOKUP(A68,IMPORTRANGE(""1lBH5Hghbbsr-XV8ZpAW4SFOyMpQX5vY0tEjkjRAJH48"",""Form Responses 1!B:C""),2,FALSE),)"),0.0)</f>
        <v>0</v>
      </c>
      <c r="K68" s="39">
        <f>IFERROR(__xludf.DUMMYFUNCTION("IFERROR(IF(COUNTIF(IMPORTRANGE(""11sIXwmK0co7YC01jkeOYS_Q9btyVErtOm8MrXzqLkm8"",""Form Responses 1!B:B""),A68)&gt;0,10,),0)"),10.0)</f>
        <v>10</v>
      </c>
      <c r="L68" s="70">
        <f>IFERROR(__xludf.DUMMYFUNCTION("IFERROR(IF(COUNTIF(IMPORTRANGE(""1csqG5dOxr6mnQQeHuLyfSoVeWZspfrn9T3cQFX5jhi8"",""Form Responses 1!B:B""),A68)&gt;0,10,),0)"),10.0)</f>
        <v>10</v>
      </c>
      <c r="M68" s="70" t="str">
        <f>IFERROR(__xludf.DUMMYFUNCTION("IFERROR(VLOOKUP(A68,IMPORTRANGE(""1C8QMXhp6CypS1pNA-UXlEADxmI-6nbSN9P4kujkvESI"",""Form Responses 1!B:C""),2,FALSE),)"),"")</f>
        <v/>
      </c>
      <c r="N68" s="70" t="str">
        <f>IFERROR(__xludf.DUMMYFUNCTION("IFERROR(VLOOKUP(A68,IMPORTRANGE(""1e33dV9wgou_u1lnmBtok6Ato-q97II29uUvmeO7Juhw"",""Form Responses 1!B:C""),2,FALSE),)"),"")</f>
        <v/>
      </c>
      <c r="O68" s="70" t="str">
        <f>IFERROR(__xludf.DUMMYFUNCTION("IFERROR(VLOOKUP(A68,IMPORTRANGE(""15TUXUTXgRTcnnjS-jyDta7Ecw7-lv8-wZMGVKaxe8TY"",""Form Responses 1!B:C""),2,FALSE),)"),"")</f>
        <v/>
      </c>
      <c r="P68" s="70" t="str">
        <f>IFERROR(__xludf.DUMMYFUNCTION("IFERROR(IF(COUNTIF(IMPORTRANGE(""1KFxxroaoSLanJBYtWVxeITrgly-aztutk24Q4y14KKU"",""Form Responses 1!B:B""),A68)&gt;0,10,),0)"),"")</f>
        <v/>
      </c>
      <c r="Q68" s="71" t="str">
        <f>IFERROR(__xludf.DUMMYFUNCTION("IFERROR(VLOOKUP(TRIM(A68),IMPORTRANGE(""1WjiLR_MTMxI_IZUKuvPO4Sg2rTSIqBzP3edakSRXbOA"",""Form Responses 1!B:C""),2,0),"""")"),"")</f>
        <v/>
      </c>
      <c r="R68" s="70" t="str">
        <f>IFERROR(__xludf.DUMMYFUNCTION("IFERROR(VLOOKUP(TRIM(A68),IMPORTRANGE(""1Ixzbal5tEbtWhozsFEppQzOYE6ZSrkNXHg_HW5k3Wt4"",""Form Responses 1!B:C""),2,0),"""")"),"")</f>
        <v/>
      </c>
      <c r="S68" s="70" t="str">
        <f>IFERROR(__xludf.DUMMYFUNCTION("IFERROR(VLOOKUP(TRIM(A68),IMPORTRANGE(""1zxjtEKGvVIJPIDqZdnxENwVpPXYa88EihzyI44hcQUo"",""Form Responses 1!B:C""),2,0),"""")"),"")</f>
        <v/>
      </c>
      <c r="T68" s="70" t="str">
        <f>IFERROR(__xludf.DUMMYFUNCTION("IFERROR(VLOOKUP(TRIM(A68),IMPORTRANGE(""1H3cO01obd5zFULYqaT5NAqecZBFFIHeDFn4CeQLZF3w"",""Form Responses 1!B:C""),2,0),"""")"),"")</f>
        <v/>
      </c>
      <c r="U68" s="70" t="str">
        <f>IFERROR(__xludf.DUMMYFUNCTION("IFERROR(VLOOKUP(TRIM(A68),IMPORTRANGE(""1IG9qoa6PeLdDDFzKpW39lxXshN0-M8Z25a_R1EpsYyg"",""Form Responses 1!B:C""),2,0),"""")"),"")</f>
        <v/>
      </c>
      <c r="V68" s="72"/>
      <c r="W68" s="70">
        <f>IFERROR(__xludf.DUMMYFUNCTION("IFERROR(VLOOKUP(TRIM(A68),IMPORTRANGE(""1JzBbPfIn5kXHe-RuBwssvVRSauekkTw9cwf70DsYix4"",""Form Responses 1!B:C""),2,0),"""")"),12.0)</f>
        <v>12</v>
      </c>
      <c r="X68" s="70" t="str">
        <f>IFERROR(__xludf.DUMMYFUNCTION("IFERROR(VLOOKUP(TRIM(A68),IMPORTRANGE(""1JbcCdZBzu6Yag8PuyvlbtYmdvUYYQNraxAgoikGBi5w"",""Form Responses 1!B:C""),2,0),"""")"),"")</f>
        <v/>
      </c>
      <c r="Y68" s="70" t="str">
        <f>IFERROR(__xludf.DUMMYFUNCTION("IFERROR(VLOOKUP(TRIM(A68),IMPORTRANGE(""15-YcWQKwT7GXCzNpEoDkSlrruglscDYeQTD3uXec8uQ"",""Form Responses 1!B:C""),2,0),"""")"),"")</f>
        <v/>
      </c>
      <c r="Z68" s="70" t="str">
        <f>IFERROR(__xludf.DUMMYFUNCTION("IFERROR(VLOOKUP(TRIM(A68),IMPORTRANGE(""1X2rXjxJaWCoTCv5SRdgsC_V3cXeEyqXGQY3NvE1KDUk"",""Form Responses 1!B:C""),2,0),"""")"),"")</f>
        <v/>
      </c>
      <c r="AA68" s="70" t="str">
        <f>IFERROR(__xludf.DUMMYFUNCTION("IFERROR(VLOOKUP(TRIM(A68),IMPORTRANGE(""1zEJQnPshpdjcOtCVSP0I8nG2EXKbBMH9BJ8IeNFUEV8"",""Form Responses 1!B:C""),2,0),"""")"),"")</f>
        <v/>
      </c>
      <c r="AB68" s="70">
        <f>IFERROR(__xludf.DUMMYFUNCTION("IFERROR(VLOOKUP(TRIM(A68),IMPORTRANGE(""1JzBbPfIn5kXHe-RuBwssvVRSauekkTw9cwf70DsYix4"",""Form Responses 1!B:C""),2,0),"""")"),12.0)</f>
        <v>12</v>
      </c>
      <c r="AC68" s="70" t="str">
        <f>IFERROR(__xludf.DUMMYFUNCTION("IFERROR(VLOOKUP(TRIM(A68),IMPORTRANGE(""1JbcCdZBzu6Yag8PuyvlbtYmdvUYYQNraxAgoikGBi5w"",""Form Responses 1!B:C""),2,0),"""")"),"")</f>
        <v/>
      </c>
      <c r="AD68" s="70" t="str">
        <f>IFERROR(__xludf.DUMMYFUNCTION("IFERROR(VLOOKUP(TRIM(A68),IMPORTRANGE(""15-YcWQKwT7GXCzNpEoDkSlrruglscDYeQTD3uXec8uQ"",""Form Responses 1!B:C""),2,0),"""")"),"")</f>
        <v/>
      </c>
      <c r="AE68" s="70" t="str">
        <f>IFERROR(__xludf.DUMMYFUNCTION("IFERROR(VLOOKUP(TRIM(A68),IMPORTRANGE(""1X2rXjxJaWCoTCv5SRdgsC_V3cXeEyqXGQY3NvE1KDUk"",""Form Responses 1!B:C""),2,0),"""")"),"")</f>
        <v/>
      </c>
      <c r="AF68" s="70" t="str">
        <f>IFERROR(__xludf.DUMMYFUNCTION("IFERROR(VLOOKUP(TRIM(A68),IMPORTRANGE(""1zEJQnPshpdjcOtCVSP0I8nG2EXKbBMH9BJ8IeNFUEV8"",""Form Responses 1!B:C""),2,0),"""")"),"")</f>
        <v/>
      </c>
      <c r="AG68" s="70"/>
      <c r="AH68" s="70"/>
      <c r="AI68" s="70"/>
      <c r="AJ68" s="70"/>
      <c r="AK68" s="70"/>
      <c r="AL68" s="70"/>
      <c r="AM68" s="70"/>
      <c r="AN68" s="70"/>
      <c r="AO68" s="70"/>
      <c r="AP68" s="70"/>
      <c r="AQ68" s="70"/>
      <c r="AR68" s="70"/>
      <c r="AS68" s="70"/>
      <c r="AT68" s="70"/>
      <c r="AU68" s="70"/>
    </row>
    <row r="69">
      <c r="A69" s="39" t="s">
        <v>318</v>
      </c>
      <c r="B69" s="70">
        <f>IFERROR(__xludf.DUMMYFUNCTION("IFERROR(IF(COUNTIF(IMPORTRANGE(""1RTcwEJsI_0aJRebhNwO_H_AoKl9r46k7hWYbtciIyM4"",""Form Responses 1!B:B""),A69)&gt;0,10,),0)"),10.0)</f>
        <v>10</v>
      </c>
      <c r="C69" s="70">
        <f>IFERROR(__xludf.DUMMYFUNCTION("IFERROR(VLOOKUP(A69,IMPORTRANGE(""11i8IUhq_U6RRKRV3CBWIKqYed_fMvFgNUHTq1YDJfp8"",""Form Responses 1!B:C""),2,FALSE),)"),7.0)</f>
        <v>7</v>
      </c>
      <c r="D69" s="70">
        <f>IFERROR(__xludf.DUMMYFUNCTION("IFERROR(VLOOKUP(A69,IMPORTRANGE(""1StiHxuxrFhYdrq5WLR2JMORicW0TbnJf3J-oTHeMRtM"",""Form Responses 1!B:C""),2,FALSE),)"),5.0)</f>
        <v>5</v>
      </c>
      <c r="E69" s="70" t="str">
        <f>IFERROR(__xludf.DUMMYFUNCTION("IFERROR(VLOOKUP(A69,IMPORTRANGE(""1QaxxyUjrDq2kgz300C1Bq1tacFk6e-xX218cSXCQUK0"",""Form Responses 1!B:C""),2,FALSE),)"),"")</f>
        <v/>
      </c>
      <c r="F69" s="70" t="str">
        <f>IFERROR(__xludf.DUMMYFUNCTION("IFERROR(VLOOKUP(A69,IMPORTRANGE(""1fn2ECph_y8Uz78DhjLaiXcwgt6kh3oe-0Le36Uw0noE"",""Form Responses 1!B:C""),2,FALSE),)"),"")</f>
        <v/>
      </c>
      <c r="G69" s="39">
        <f>IFERROR(__xludf.DUMMYFUNCTION("IFERROR(IF(COUNTIF(IMPORTRANGE(""1t6NbzWBtAQKR9pGjBnxm9V-bRaGdRVT_-u2ojrUkYZw"",""Form Responses 1!B:B""),A69)&gt;0,10,),0)"),10.0)</f>
        <v>10</v>
      </c>
      <c r="H69" s="39">
        <f>IFERROR(__xludf.DUMMYFUNCTION("IFERROR(VLOOKUP(A69,IMPORTRANGE(""1ytv6MYmm-8DwYEf-PC6L-upnzfG4TJT_K2_Q1BobE6k"",""Form Responses 1!B:C""),2,FALSE),)"),8.0)</f>
        <v>8</v>
      </c>
      <c r="I69" s="39">
        <f>IFERROR(__xludf.DUMMYFUNCTION("IFERROR(VLOOKUP(A69,IMPORTRANGE(""1LTj0BC6WXgHo3fEDDSQlGOM1HkEYGTw8epmIdU0RnB4"",""Form Responses 1!B:C""),2,FALSE),)"),2.0)</f>
        <v>2</v>
      </c>
      <c r="J69" s="39" t="str">
        <f>IFERROR(__xludf.DUMMYFUNCTION("IFERROR(VLOOKUP(A69,IMPORTRANGE(""1lBH5Hghbbsr-XV8ZpAW4SFOyMpQX5vY0tEjkjRAJH48"",""Form Responses 1!B:C""),2,FALSE),)"),"")</f>
        <v/>
      </c>
      <c r="K69" s="39">
        <f>IFERROR(__xludf.DUMMYFUNCTION("IFERROR(IF(COUNTIF(IMPORTRANGE(""11sIXwmK0co7YC01jkeOYS_Q9btyVErtOm8MrXzqLkm8"",""Form Responses 1!B:B""),A69)&gt;0,10,),0)"),10.0)</f>
        <v>10</v>
      </c>
      <c r="L69" s="70">
        <f>IFERROR(__xludf.DUMMYFUNCTION("IFERROR(IF(COUNTIF(IMPORTRANGE(""1csqG5dOxr6mnQQeHuLyfSoVeWZspfrn9T3cQFX5jhi8"",""Form Responses 1!B:B""),A69)&gt;0,10,),0)"),10.0)</f>
        <v>10</v>
      </c>
      <c r="M69" s="70" t="str">
        <f>IFERROR(__xludf.DUMMYFUNCTION("IFERROR(VLOOKUP(A69,IMPORTRANGE(""1C8QMXhp6CypS1pNA-UXlEADxmI-6nbSN9P4kujkvESI"",""Form Responses 1!B:C""),2,FALSE),)"),"")</f>
        <v/>
      </c>
      <c r="N69" s="70" t="str">
        <f>IFERROR(__xludf.DUMMYFUNCTION("IFERROR(VLOOKUP(A69,IMPORTRANGE(""1e33dV9wgou_u1lnmBtok6Ato-q97II29uUvmeO7Juhw"",""Form Responses 1!B:C""),2,FALSE),)"),"")</f>
        <v/>
      </c>
      <c r="O69" s="70" t="str">
        <f>IFERROR(__xludf.DUMMYFUNCTION("IFERROR(VLOOKUP(A69,IMPORTRANGE(""15TUXUTXgRTcnnjS-jyDta7Ecw7-lv8-wZMGVKaxe8TY"",""Form Responses 1!B:C""),2,FALSE),)"),"")</f>
        <v/>
      </c>
      <c r="P69" s="70" t="str">
        <f>IFERROR(__xludf.DUMMYFUNCTION("IFERROR(IF(COUNTIF(IMPORTRANGE(""1KFxxroaoSLanJBYtWVxeITrgly-aztutk24Q4y14KKU"",""Form Responses 1!B:B""),A69)&gt;0,10,),0)"),"")</f>
        <v/>
      </c>
      <c r="Q69" s="71" t="str">
        <f>IFERROR(__xludf.DUMMYFUNCTION("IFERROR(VLOOKUP(TRIM(A69),IMPORTRANGE(""1WjiLR_MTMxI_IZUKuvPO4Sg2rTSIqBzP3edakSRXbOA"",""Form Responses 1!B:C""),2,0),"""")"),"")</f>
        <v/>
      </c>
      <c r="R69" s="70" t="str">
        <f>IFERROR(__xludf.DUMMYFUNCTION("IFERROR(VLOOKUP(TRIM(A69),IMPORTRANGE(""1Ixzbal5tEbtWhozsFEppQzOYE6ZSrkNXHg_HW5k3Wt4"",""Form Responses 1!B:C""),2,0),"""")"),"")</f>
        <v/>
      </c>
      <c r="S69" s="70" t="str">
        <f>IFERROR(__xludf.DUMMYFUNCTION("IFERROR(VLOOKUP(TRIM(A69),IMPORTRANGE(""1zxjtEKGvVIJPIDqZdnxENwVpPXYa88EihzyI44hcQUo"",""Form Responses 1!B:C""),2,0),"""")"),"")</f>
        <v/>
      </c>
      <c r="T69" s="70" t="str">
        <f>IFERROR(__xludf.DUMMYFUNCTION("IFERROR(VLOOKUP(TRIM(A69),IMPORTRANGE(""1H3cO01obd5zFULYqaT5NAqecZBFFIHeDFn4CeQLZF3w"",""Form Responses 1!B:C""),2,0),"""")"),"")</f>
        <v/>
      </c>
      <c r="U69" s="70" t="str">
        <f>IFERROR(__xludf.DUMMYFUNCTION("IFERROR(VLOOKUP(TRIM(A69),IMPORTRANGE(""1IG9qoa6PeLdDDFzKpW39lxXshN0-M8Z25a_R1EpsYyg"",""Form Responses 1!B:C""),2,0),"""")"),"")</f>
        <v/>
      </c>
      <c r="V69" s="74">
        <v>21.0</v>
      </c>
      <c r="W69" s="70" t="str">
        <f>IFERROR(__xludf.DUMMYFUNCTION("IFERROR(VLOOKUP(TRIM(A69),IMPORTRANGE(""1JzBbPfIn5kXHe-RuBwssvVRSauekkTw9cwf70DsYix4"",""Form Responses 1!B:C""),2,0),"""")"),"")</f>
        <v/>
      </c>
      <c r="X69" s="70" t="str">
        <f>IFERROR(__xludf.DUMMYFUNCTION("IFERROR(VLOOKUP(TRIM(A69),IMPORTRANGE(""1JbcCdZBzu6Yag8PuyvlbtYmdvUYYQNraxAgoikGBi5w"",""Form Responses 1!B:C""),2,0),"""")"),"")</f>
        <v/>
      </c>
      <c r="Y69" s="70" t="str">
        <f>IFERROR(__xludf.DUMMYFUNCTION("IFERROR(VLOOKUP(TRIM(A69),IMPORTRANGE(""15-YcWQKwT7GXCzNpEoDkSlrruglscDYeQTD3uXec8uQ"",""Form Responses 1!B:C""),2,0),"""")"),"")</f>
        <v/>
      </c>
      <c r="Z69" s="70" t="str">
        <f>IFERROR(__xludf.DUMMYFUNCTION("IFERROR(VLOOKUP(TRIM(A69),IMPORTRANGE(""1X2rXjxJaWCoTCv5SRdgsC_V3cXeEyqXGQY3NvE1KDUk"",""Form Responses 1!B:C""),2,0),"""")"),"")</f>
        <v/>
      </c>
      <c r="AA69" s="70" t="str">
        <f>IFERROR(__xludf.DUMMYFUNCTION("IFERROR(VLOOKUP(TRIM(A69),IMPORTRANGE(""1zEJQnPshpdjcOtCVSP0I8nG2EXKbBMH9BJ8IeNFUEV8"",""Form Responses 1!B:C""),2,0),"""")"),"")</f>
        <v/>
      </c>
      <c r="AB69" s="70" t="str">
        <f>IFERROR(__xludf.DUMMYFUNCTION("IFERROR(VLOOKUP(TRIM(A69),IMPORTRANGE(""1JzBbPfIn5kXHe-RuBwssvVRSauekkTw9cwf70DsYix4"",""Form Responses 1!B:C""),2,0),"""")"),"")</f>
        <v/>
      </c>
      <c r="AC69" s="70" t="str">
        <f>IFERROR(__xludf.DUMMYFUNCTION("IFERROR(VLOOKUP(TRIM(A69),IMPORTRANGE(""1JbcCdZBzu6Yag8PuyvlbtYmdvUYYQNraxAgoikGBi5w"",""Form Responses 1!B:C""),2,0),"""")"),"")</f>
        <v/>
      </c>
      <c r="AD69" s="70" t="str">
        <f>IFERROR(__xludf.DUMMYFUNCTION("IFERROR(VLOOKUP(TRIM(A69),IMPORTRANGE(""15-YcWQKwT7GXCzNpEoDkSlrruglscDYeQTD3uXec8uQ"",""Form Responses 1!B:C""),2,0),"""")"),"")</f>
        <v/>
      </c>
      <c r="AE69" s="70" t="str">
        <f>IFERROR(__xludf.DUMMYFUNCTION("IFERROR(VLOOKUP(TRIM(A69),IMPORTRANGE(""1X2rXjxJaWCoTCv5SRdgsC_V3cXeEyqXGQY3NvE1KDUk"",""Form Responses 1!B:C""),2,0),"""")"),"")</f>
        <v/>
      </c>
      <c r="AF69" s="70" t="str">
        <f>IFERROR(__xludf.DUMMYFUNCTION("IFERROR(VLOOKUP(TRIM(A69),IMPORTRANGE(""1zEJQnPshpdjcOtCVSP0I8nG2EXKbBMH9BJ8IeNFUEV8"",""Form Responses 1!B:C""),2,0),"""")"),"")</f>
        <v/>
      </c>
      <c r="AG69" s="70"/>
      <c r="AH69" s="70"/>
      <c r="AI69" s="70"/>
      <c r="AJ69" s="70"/>
      <c r="AK69" s="70"/>
      <c r="AL69" s="70"/>
      <c r="AM69" s="70"/>
      <c r="AN69" s="70"/>
      <c r="AO69" s="70"/>
      <c r="AP69" s="70"/>
      <c r="AQ69" s="70"/>
      <c r="AR69" s="70"/>
      <c r="AS69" s="70"/>
      <c r="AT69" s="70"/>
      <c r="AU69" s="70"/>
    </row>
    <row r="70">
      <c r="B70" s="70" t="str">
        <f>IFERROR(__xludf.DUMMYFUNCTION("IFERROR(IF(COUNTIF(IMPORTRANGE(""1RTcwEJsI_0aJRebhNwO_H_AoKl9r46k7hWYbtciIyM4"",""Form Responses 1!B:B""),A70)&gt;0,10,),0)"),"")</f>
        <v/>
      </c>
      <c r="C70" s="70" t="str">
        <f>IFERROR(__xludf.DUMMYFUNCTION("IFERROR(VLOOKUP(A70,IMPORTRANGE(""11i8IUhq_U6RRKRV3CBWIKqYed_fMvFgNUHTq1YDJfp8"",""Form Responses 1!B:C""),2,FALSE),)"),"")</f>
        <v/>
      </c>
      <c r="D70" s="70" t="str">
        <f>IFERROR(__xludf.DUMMYFUNCTION("IFERROR(VLOOKUP(A70,IMPORTRANGE(""1StiHxuxrFhYdrq5WLR2JMORicW0TbnJf3J-oTHeMRtM"",""Form Responses 1!B:C""),2,FALSE),)"),"")</f>
        <v/>
      </c>
      <c r="E70" s="70" t="str">
        <f>IFERROR(__xludf.DUMMYFUNCTION("IFERROR(VLOOKUP(A70,IMPORTRANGE(""1QaxxyUjrDq2kgz300C1Bq1tacFk6e-xX218cSXCQUK0"",""Form Responses 1!B:C""),2,FALSE),)"),"")</f>
        <v/>
      </c>
      <c r="F70" s="70" t="str">
        <f>IFERROR(__xludf.DUMMYFUNCTION("IFERROR(VLOOKUP(A70,IMPORTRANGE(""1fn2ECph_y8Uz78DhjLaiXcwgt6kh3oe-0Le36Uw0noE"",""Form Responses 1!B:C""),2,FALSE),)"),"")</f>
        <v/>
      </c>
      <c r="G70" s="70"/>
      <c r="H70" s="70"/>
      <c r="I70" s="70"/>
      <c r="J70" s="70"/>
      <c r="K70" s="70"/>
      <c r="L70" s="70"/>
      <c r="M70" s="70"/>
      <c r="N70" s="70"/>
      <c r="O70" s="70"/>
      <c r="P70" s="70"/>
      <c r="Q70" s="71" t="str">
        <f>IFERROR(__xludf.DUMMYFUNCTION("IFERROR(VLOOKUP(TRIM(A70),IMPORTRANGE(""1WjiLR_MTMxI_IZUKuvPO4Sg2rTSIqBzP3edakSRXbOA"",""Form Responses 1!B:C""),2,0),"""")"),"")</f>
        <v/>
      </c>
      <c r="R70" s="70" t="str">
        <f>IFERROR(__xludf.DUMMYFUNCTION("IFERROR(VLOOKUP(TRIM(A70),IMPORTRANGE(""1Ixzbal5tEbtWhozsFEppQzOYE6ZSrkNXHg_HW5k3Wt4"",""Form Responses 1!B:C""),2,0),"""")"),"")</f>
        <v/>
      </c>
      <c r="S70" s="70" t="str">
        <f>IFERROR(__xludf.DUMMYFUNCTION("IFERROR(VLOOKUP(TRIM(A70),IMPORTRANGE(""1zxjtEKGvVIJPIDqZdnxENwVpPXYa88EihzyI44hcQUo"",""Form Responses 1!B:C""),2,0),"""")"),"")</f>
        <v/>
      </c>
      <c r="T70" s="70" t="str">
        <f>IFERROR(__xludf.DUMMYFUNCTION("IFERROR(VLOOKUP(TRIM(A70),IMPORTRANGE(""1H3cO01obd5zFULYqaT5NAqecZBFFIHeDFn4CeQLZF3w"",""Form Responses 1!B:C""),2,0),"""")"),"")</f>
        <v/>
      </c>
      <c r="U70" s="70" t="str">
        <f>IFERROR(__xludf.DUMMYFUNCTION("IFERROR(VLOOKUP(TRIM(A70),IMPORTRANGE(""1IG9qoa6PeLdDDFzKpW39lxXshN0-M8Z25a_R1EpsYyg"",""Form Responses 1!B:C""),2,0),"""")"),"")</f>
        <v/>
      </c>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row>
    <row r="71">
      <c r="B71" s="70" t="str">
        <f>IFERROR(__xludf.DUMMYFUNCTION("IFERROR(IF(COUNTIF(IMPORTRANGE(""1RTcwEJsI_0aJRebhNwO_H_AoKl9r46k7hWYbtciIyM4"",""Form Responses 1!B:B""),A71)&gt;0,10,),0)"),"")</f>
        <v/>
      </c>
      <c r="C71" s="70" t="str">
        <f>IFERROR(__xludf.DUMMYFUNCTION("IFERROR(VLOOKUP(A71,IMPORTRANGE(""11i8IUhq_U6RRKRV3CBWIKqYed_fMvFgNUHTq1YDJfp8"",""Form Responses 1!B:C""),2,FALSE),)"),"")</f>
        <v/>
      </c>
      <c r="D71" s="70" t="str">
        <f>IFERROR(__xludf.DUMMYFUNCTION("IFERROR(VLOOKUP(A71,IMPORTRANGE(""1StiHxuxrFhYdrq5WLR2JMORicW0TbnJf3J-oTHeMRtM"",""Form Responses 1!B:C""),2,FALSE),)"),"")</f>
        <v/>
      </c>
      <c r="E71" s="70" t="str">
        <f>IFERROR(__xludf.DUMMYFUNCTION("IFERROR(VLOOKUP(A71,IMPORTRANGE(""1QaxxyUjrDq2kgz300C1Bq1tacFk6e-xX218cSXCQUK0"",""Form Responses 1!B:C""),2,FALSE),)"),"")</f>
        <v/>
      </c>
      <c r="F71" s="70" t="str">
        <f>IFERROR(__xludf.DUMMYFUNCTION("IFERROR(VLOOKUP(A71,IMPORTRANGE(""1fn2ECph_y8Uz78DhjLaiXcwgt6kh3oe-0Le36Uw0noE"",""Form Responses 1!B:C""),2,FALSE),)"),"")</f>
        <v/>
      </c>
      <c r="G71" s="70"/>
      <c r="H71" s="70"/>
      <c r="I71" s="70"/>
      <c r="J71" s="70"/>
      <c r="K71" s="70"/>
      <c r="L71" s="70"/>
      <c r="M71" s="70"/>
      <c r="N71" s="70"/>
      <c r="O71" s="70"/>
      <c r="P71" s="70"/>
      <c r="Q71" s="71" t="str">
        <f>IFERROR(__xludf.DUMMYFUNCTION("IFERROR(VLOOKUP(TRIM(A71),IMPORTRANGE(""1WjiLR_MTMxI_IZUKuvPO4Sg2rTSIqBzP3edakSRXbOA"",""Form Responses 1!B:C""),2,0),"""")"),"")</f>
        <v/>
      </c>
      <c r="R71" s="70" t="str">
        <f>IFERROR(__xludf.DUMMYFUNCTION("IFERROR(VLOOKUP(TRIM(A71),IMPORTRANGE(""1Ixzbal5tEbtWhozsFEppQzOYE6ZSrkNXHg_HW5k3Wt4"",""Form Responses 1!B:C""),2,0),"""")"),"")</f>
        <v/>
      </c>
      <c r="S71" s="70" t="str">
        <f>IFERROR(__xludf.DUMMYFUNCTION("IFERROR(VLOOKUP(TRIM(A71),IMPORTRANGE(""1zxjtEKGvVIJPIDqZdnxENwVpPXYa88EihzyI44hcQUo"",""Form Responses 1!B:C""),2,0),"""")"),"")</f>
        <v/>
      </c>
      <c r="T71" s="70" t="str">
        <f>IFERROR(__xludf.DUMMYFUNCTION("IFERROR(VLOOKUP(TRIM(A71),IMPORTRANGE(""1H3cO01obd5zFULYqaT5NAqecZBFFIHeDFn4CeQLZF3w"",""Form Responses 1!B:C""),2,0),"""")"),"")</f>
        <v/>
      </c>
      <c r="U71" s="70" t="str">
        <f>IFERROR(__xludf.DUMMYFUNCTION("IFERROR(VLOOKUP(TRIM(A71),IMPORTRANGE(""1IG9qoa6PeLdDDFzKpW39lxXshN0-M8Z25a_R1EpsYyg"",""Form Responses 1!B:C""),2,0),"""")"),"")</f>
        <v/>
      </c>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row>
    <row r="72">
      <c r="B72" s="70" t="str">
        <f>IFERROR(__xludf.DUMMYFUNCTION("IFERROR(IF(COUNTIF(IMPORTRANGE(""1RTcwEJsI_0aJRebhNwO_H_AoKl9r46k7hWYbtciIyM4"",""Form Responses 1!B:B""),A72)&gt;0,10,),0)"),"")</f>
        <v/>
      </c>
      <c r="C72" s="70" t="str">
        <f>IFERROR(__xludf.DUMMYFUNCTION("IFERROR(VLOOKUP(A72,IMPORTRANGE(""11i8IUhq_U6RRKRV3CBWIKqYed_fMvFgNUHTq1YDJfp8"",""Form Responses 1!B:C""),2,FALSE),)"),"")</f>
        <v/>
      </c>
      <c r="D72" s="70" t="str">
        <f>IFERROR(__xludf.DUMMYFUNCTION("IFERROR(VLOOKUP(A72,IMPORTRANGE(""1StiHxuxrFhYdrq5WLR2JMORicW0TbnJf3J-oTHeMRtM"",""Form Responses 1!B:C""),2,FALSE),)"),"")</f>
        <v/>
      </c>
      <c r="E72" s="70" t="str">
        <f>IFERROR(__xludf.DUMMYFUNCTION("IFERROR(VLOOKUP(A72,IMPORTRANGE(""1QaxxyUjrDq2kgz300C1Bq1tacFk6e-xX218cSXCQUK0"",""Form Responses 1!B:C""),2,FALSE),)"),"")</f>
        <v/>
      </c>
      <c r="F72" s="70" t="str">
        <f>IFERROR(__xludf.DUMMYFUNCTION("IFERROR(VLOOKUP(A72,IMPORTRANGE(""1fn2ECph_y8Uz78DhjLaiXcwgt6kh3oe-0Le36Uw0noE"",""Form Responses 1!B:C""),2,FALSE),)"),"")</f>
        <v/>
      </c>
      <c r="G72" s="70"/>
      <c r="H72" s="70"/>
      <c r="I72" s="70"/>
      <c r="J72" s="70"/>
      <c r="K72" s="70"/>
      <c r="L72" s="70"/>
      <c r="M72" s="70"/>
      <c r="N72" s="70"/>
      <c r="O72" s="70"/>
      <c r="P72" s="70"/>
      <c r="Q72" s="71" t="str">
        <f>IFERROR(__xludf.DUMMYFUNCTION("IFERROR(VLOOKUP(TRIM(A72),IMPORTRANGE(""1WjiLR_MTMxI_IZUKuvPO4Sg2rTSIqBzP3edakSRXbOA"",""Form Responses 1!B:C""),2,0),"""")"),"")</f>
        <v/>
      </c>
      <c r="R72" s="70" t="str">
        <f>IFERROR(__xludf.DUMMYFUNCTION("IFERROR(VLOOKUP(TRIM(A72),IMPORTRANGE(""1Ixzbal5tEbtWhozsFEppQzOYE6ZSrkNXHg_HW5k3Wt4"",""Form Responses 1!B:C""),2,0),"""")"),"")</f>
        <v/>
      </c>
      <c r="S72" s="70" t="str">
        <f>IFERROR(__xludf.DUMMYFUNCTION("IFERROR(VLOOKUP(TRIM(A72),IMPORTRANGE(""1zxjtEKGvVIJPIDqZdnxENwVpPXYa88EihzyI44hcQUo"",""Form Responses 1!B:C""),2,0),"""")"),"")</f>
        <v/>
      </c>
      <c r="T72" s="70" t="str">
        <f>IFERROR(__xludf.DUMMYFUNCTION("IFERROR(VLOOKUP(TRIM(A72),IMPORTRANGE(""1H3cO01obd5zFULYqaT5NAqecZBFFIHeDFn4CeQLZF3w"",""Form Responses 1!B:C""),2,0),"""")"),"")</f>
        <v/>
      </c>
      <c r="U72" s="70" t="str">
        <f>IFERROR(__xludf.DUMMYFUNCTION("IFERROR(VLOOKUP(TRIM(A72),IMPORTRANGE(""1IG9qoa6PeLdDDFzKpW39lxXshN0-M8Z25a_R1EpsYyg"",""Form Responses 1!B:C""),2,0),"""")"),"")</f>
        <v/>
      </c>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row>
    <row r="73">
      <c r="B73" s="70" t="str">
        <f>IFERROR(__xludf.DUMMYFUNCTION("IFERROR(IF(COUNTIF(IMPORTRANGE(""1RTcwEJsI_0aJRebhNwO_H_AoKl9r46k7hWYbtciIyM4"",""Form Responses 1!B:B""),A73)&gt;0,10,),0)"),"")</f>
        <v/>
      </c>
      <c r="C73" s="70" t="str">
        <f>IFERROR(__xludf.DUMMYFUNCTION("IFERROR(VLOOKUP(A73,IMPORTRANGE(""11i8IUhq_U6RRKRV3CBWIKqYed_fMvFgNUHTq1YDJfp8"",""Form Responses 1!B:C""),2,FALSE),)"),"")</f>
        <v/>
      </c>
      <c r="D73" s="70" t="str">
        <f>IFERROR(__xludf.DUMMYFUNCTION("IFERROR(VLOOKUP(A73,IMPORTRANGE(""1StiHxuxrFhYdrq5WLR2JMORicW0TbnJf3J-oTHeMRtM"",""Form Responses 1!B:C""),2,FALSE),)"),"")</f>
        <v/>
      </c>
      <c r="E73" s="70" t="str">
        <f>IFERROR(__xludf.DUMMYFUNCTION("IFERROR(VLOOKUP(A73,IMPORTRANGE(""1QaxxyUjrDq2kgz300C1Bq1tacFk6e-xX218cSXCQUK0"",""Form Responses 1!B:C""),2,FALSE),)"),"")</f>
        <v/>
      </c>
      <c r="F73" s="70" t="str">
        <f>IFERROR(__xludf.DUMMYFUNCTION("IFERROR(VLOOKUP(A73,IMPORTRANGE(""1fn2ECph_y8Uz78DhjLaiXcwgt6kh3oe-0Le36Uw0noE"",""Form Responses 1!B:C""),2,FALSE),)"),"")</f>
        <v/>
      </c>
      <c r="G73" s="70"/>
      <c r="H73" s="70"/>
      <c r="I73" s="70"/>
      <c r="J73" s="70"/>
      <c r="K73" s="70"/>
      <c r="L73" s="70"/>
      <c r="M73" s="70"/>
      <c r="N73" s="70"/>
      <c r="O73" s="70"/>
      <c r="P73" s="70"/>
      <c r="Q73" s="71" t="str">
        <f>IFERROR(__xludf.DUMMYFUNCTION("IFERROR(VLOOKUP(TRIM(A73),IMPORTRANGE(""1WjiLR_MTMxI_IZUKuvPO4Sg2rTSIqBzP3edakSRXbOA"",""Form Responses 1!B:C""),2,0),"""")"),"")</f>
        <v/>
      </c>
      <c r="R73" s="70" t="str">
        <f>IFERROR(__xludf.DUMMYFUNCTION("IFERROR(VLOOKUP(TRIM(A73),IMPORTRANGE(""1Ixzbal5tEbtWhozsFEppQzOYE6ZSrkNXHg_HW5k3Wt4"",""Form Responses 1!B:C""),2,0),"""")"),"")</f>
        <v/>
      </c>
      <c r="S73" s="70" t="str">
        <f>IFERROR(__xludf.DUMMYFUNCTION("IFERROR(VLOOKUP(TRIM(A73),IMPORTRANGE(""1zxjtEKGvVIJPIDqZdnxENwVpPXYa88EihzyI44hcQUo"",""Form Responses 1!B:C""),2,0),"""")"),"")</f>
        <v/>
      </c>
      <c r="T73" s="70" t="str">
        <f>IFERROR(__xludf.DUMMYFUNCTION("IFERROR(VLOOKUP(TRIM(A73),IMPORTRANGE(""1H3cO01obd5zFULYqaT5NAqecZBFFIHeDFn4CeQLZF3w"",""Form Responses 1!B:C""),2,0),"""")"),"")</f>
        <v/>
      </c>
      <c r="U73" s="70" t="str">
        <f>IFERROR(__xludf.DUMMYFUNCTION("IFERROR(VLOOKUP(TRIM(A73),IMPORTRANGE(""1IG9qoa6PeLdDDFzKpW39lxXshN0-M8Z25a_R1EpsYyg"",""Form Responses 1!B:C""),2,0),"""")"),"")</f>
        <v/>
      </c>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row>
    <row r="74">
      <c r="B74" s="70" t="str">
        <f>IFERROR(__xludf.DUMMYFUNCTION("IFERROR(IF(COUNTIF(IMPORTRANGE(""1RTcwEJsI_0aJRebhNwO_H_AoKl9r46k7hWYbtciIyM4"",""Form Responses 1!B:B""),A74)&gt;0,10,),0)"),"")</f>
        <v/>
      </c>
      <c r="C74" s="70" t="str">
        <f>IFERROR(__xludf.DUMMYFUNCTION("IFERROR(VLOOKUP(A74,IMPORTRANGE(""11i8IUhq_U6RRKRV3CBWIKqYed_fMvFgNUHTq1YDJfp8"",""Form Responses 1!B:C""),2,FALSE),)"),"")</f>
        <v/>
      </c>
      <c r="D74" s="70" t="str">
        <f>IFERROR(__xludf.DUMMYFUNCTION("IFERROR(VLOOKUP(A74,IMPORTRANGE(""1StiHxuxrFhYdrq5WLR2JMORicW0TbnJf3J-oTHeMRtM"",""Form Responses 1!B:C""),2,FALSE),)"),"")</f>
        <v/>
      </c>
      <c r="E74" s="70" t="str">
        <f>IFERROR(__xludf.DUMMYFUNCTION("IFERROR(VLOOKUP(A74,IMPORTRANGE(""1QaxxyUjrDq2kgz300C1Bq1tacFk6e-xX218cSXCQUK0"",""Form Responses 1!B:C""),2,FALSE),)"),"")</f>
        <v/>
      </c>
      <c r="F74" s="70" t="str">
        <f>IFERROR(__xludf.DUMMYFUNCTION("IFERROR(VLOOKUP(A74,IMPORTRANGE(""1fn2ECph_y8Uz78DhjLaiXcwgt6kh3oe-0Le36Uw0noE"",""Form Responses 1!B:C""),2,FALSE),)"),"")</f>
        <v/>
      </c>
      <c r="G74" s="70"/>
      <c r="H74" s="70"/>
      <c r="I74" s="70"/>
      <c r="J74" s="70"/>
      <c r="K74" s="70"/>
      <c r="L74" s="70"/>
      <c r="M74" s="70"/>
      <c r="N74" s="70"/>
      <c r="O74" s="70"/>
      <c r="P74" s="70"/>
      <c r="Q74" s="71" t="str">
        <f>IFERROR(__xludf.DUMMYFUNCTION("IFERROR(VLOOKUP(TRIM(A74),IMPORTRANGE(""1WjiLR_MTMxI_IZUKuvPO4Sg2rTSIqBzP3edakSRXbOA"",""Form Responses 1!B:C""),2,0),"""")"),"")</f>
        <v/>
      </c>
      <c r="R74" s="70" t="str">
        <f>IFERROR(__xludf.DUMMYFUNCTION("IFERROR(VLOOKUP(TRIM(A74),IMPORTRANGE(""1Ixzbal5tEbtWhozsFEppQzOYE6ZSrkNXHg_HW5k3Wt4"",""Form Responses 1!B:C""),2,0),"""")"),"")</f>
        <v/>
      </c>
      <c r="S74" s="70" t="str">
        <f>IFERROR(__xludf.DUMMYFUNCTION("IFERROR(VLOOKUP(TRIM(A74),IMPORTRANGE(""1zxjtEKGvVIJPIDqZdnxENwVpPXYa88EihzyI44hcQUo"",""Form Responses 1!B:C""),2,0),"""")"),"")</f>
        <v/>
      </c>
      <c r="T74" s="70" t="str">
        <f>IFERROR(__xludf.DUMMYFUNCTION("IFERROR(VLOOKUP(TRIM(A74),IMPORTRANGE(""1H3cO01obd5zFULYqaT5NAqecZBFFIHeDFn4CeQLZF3w"",""Form Responses 1!B:C""),2,0),"""")"),"")</f>
        <v/>
      </c>
      <c r="U74" s="70" t="str">
        <f>IFERROR(__xludf.DUMMYFUNCTION("IFERROR(VLOOKUP(TRIM(A74),IMPORTRANGE(""1IG9qoa6PeLdDDFzKpW39lxXshN0-M8Z25a_R1EpsYyg"",""Form Responses 1!B:C""),2,0),"""")"),"")</f>
        <v/>
      </c>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row>
    <row r="75">
      <c r="B75" s="70" t="str">
        <f>IFERROR(__xludf.DUMMYFUNCTION("IFERROR(IF(COUNTIF(IMPORTRANGE(""1RTcwEJsI_0aJRebhNwO_H_AoKl9r46k7hWYbtciIyM4"",""Form Responses 1!B:B""),A75)&gt;0,10,),0)"),"")</f>
        <v/>
      </c>
      <c r="C75" s="70" t="str">
        <f>IFERROR(__xludf.DUMMYFUNCTION("IFERROR(VLOOKUP(A75,IMPORTRANGE(""11i8IUhq_U6RRKRV3CBWIKqYed_fMvFgNUHTq1YDJfp8"",""Form Responses 1!B:C""),2,FALSE),)"),"")</f>
        <v/>
      </c>
      <c r="D75" s="70" t="str">
        <f>IFERROR(__xludf.DUMMYFUNCTION("IFERROR(VLOOKUP(A75,IMPORTRANGE(""1StiHxuxrFhYdrq5WLR2JMORicW0TbnJf3J-oTHeMRtM"",""Form Responses 1!B:C""),2,FALSE),)"),"")</f>
        <v/>
      </c>
      <c r="E75" s="70" t="str">
        <f>IFERROR(__xludf.DUMMYFUNCTION("IFERROR(VLOOKUP(A75,IMPORTRANGE(""1QaxxyUjrDq2kgz300C1Bq1tacFk6e-xX218cSXCQUK0"",""Form Responses 1!B:C""),2,FALSE),)"),"")</f>
        <v/>
      </c>
      <c r="F75" s="70" t="str">
        <f>IFERROR(__xludf.DUMMYFUNCTION("IFERROR(VLOOKUP(A75,IMPORTRANGE(""1fn2ECph_y8Uz78DhjLaiXcwgt6kh3oe-0Le36Uw0noE"",""Form Responses 1!B:C""),2,FALSE),)"),"")</f>
        <v/>
      </c>
      <c r="G75" s="70"/>
      <c r="H75" s="70"/>
      <c r="I75" s="70"/>
      <c r="J75" s="70"/>
      <c r="K75" s="70"/>
      <c r="L75" s="70"/>
      <c r="M75" s="70"/>
      <c r="N75" s="70"/>
      <c r="O75" s="70"/>
      <c r="P75" s="70"/>
      <c r="Q75" s="71" t="str">
        <f>IFERROR(__xludf.DUMMYFUNCTION("IFERROR(VLOOKUP(TRIM(A75),IMPORTRANGE(""1WjiLR_MTMxI_IZUKuvPO4Sg2rTSIqBzP3edakSRXbOA"",""Form Responses 1!B:C""),2,0),"""")"),"")</f>
        <v/>
      </c>
      <c r="R75" s="70" t="str">
        <f>IFERROR(__xludf.DUMMYFUNCTION("IFERROR(VLOOKUP(TRIM(A75),IMPORTRANGE(""1Ixzbal5tEbtWhozsFEppQzOYE6ZSrkNXHg_HW5k3Wt4"",""Form Responses 1!B:C""),2,0),"""")"),"")</f>
        <v/>
      </c>
      <c r="S75" s="70" t="str">
        <f>IFERROR(__xludf.DUMMYFUNCTION("IFERROR(VLOOKUP(TRIM(A75),IMPORTRANGE(""1zxjtEKGvVIJPIDqZdnxENwVpPXYa88EihzyI44hcQUo"",""Form Responses 1!B:C""),2,0),"""")"),"")</f>
        <v/>
      </c>
      <c r="T75" s="70" t="str">
        <f>IFERROR(__xludf.DUMMYFUNCTION("IFERROR(VLOOKUP(TRIM(A75),IMPORTRANGE(""1H3cO01obd5zFULYqaT5NAqecZBFFIHeDFn4CeQLZF3w"",""Form Responses 1!B:C""),2,0),"""")"),"")</f>
        <v/>
      </c>
      <c r="U75" s="70" t="str">
        <f>IFERROR(__xludf.DUMMYFUNCTION("IFERROR(VLOOKUP(TRIM(A75),IMPORTRANGE(""1IG9qoa6PeLdDDFzKpW39lxXshN0-M8Z25a_R1EpsYyg"",""Form Responses 1!B:C""),2,0),"""")"),"")</f>
        <v/>
      </c>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row>
    <row r="76">
      <c r="B76" s="70" t="str">
        <f>IFERROR(__xludf.DUMMYFUNCTION("IFERROR(IF(COUNTIF(IMPORTRANGE(""1RTcwEJsI_0aJRebhNwO_H_AoKl9r46k7hWYbtciIyM4"",""Form Responses 1!B:B""),A76)&gt;0,10,),0)"),"")</f>
        <v/>
      </c>
      <c r="C76" s="70" t="str">
        <f>IFERROR(__xludf.DUMMYFUNCTION("IFERROR(VLOOKUP(A76,IMPORTRANGE(""11i8IUhq_U6RRKRV3CBWIKqYed_fMvFgNUHTq1YDJfp8"",""Form Responses 1!B:C""),2,FALSE),)"),"")</f>
        <v/>
      </c>
      <c r="D76" s="70" t="str">
        <f>IFERROR(__xludf.DUMMYFUNCTION("IFERROR(VLOOKUP(A76,IMPORTRANGE(""1StiHxuxrFhYdrq5WLR2JMORicW0TbnJf3J-oTHeMRtM"",""Form Responses 1!B:C""),2,FALSE),)"),"")</f>
        <v/>
      </c>
      <c r="E76" s="70" t="str">
        <f>IFERROR(__xludf.DUMMYFUNCTION("IFERROR(VLOOKUP(A76,IMPORTRANGE(""1QaxxyUjrDq2kgz300C1Bq1tacFk6e-xX218cSXCQUK0"",""Form Responses 1!B:C""),2,FALSE),)"),"")</f>
        <v/>
      </c>
      <c r="F76" s="70" t="str">
        <f>IFERROR(__xludf.DUMMYFUNCTION("IFERROR(VLOOKUP(A76,IMPORTRANGE(""1fn2ECph_y8Uz78DhjLaiXcwgt6kh3oe-0Le36Uw0noE"",""Form Responses 1!B:C""),2,FALSE),)"),"")</f>
        <v/>
      </c>
      <c r="G76" s="70"/>
      <c r="H76" s="70"/>
      <c r="I76" s="70"/>
      <c r="J76" s="70"/>
      <c r="K76" s="70"/>
      <c r="L76" s="70"/>
      <c r="M76" s="70"/>
      <c r="N76" s="70"/>
      <c r="O76" s="70"/>
      <c r="P76" s="70"/>
      <c r="Q76" s="71" t="str">
        <f>IFERROR(__xludf.DUMMYFUNCTION("IFERROR(VLOOKUP(TRIM(A76),IMPORTRANGE(""1WjiLR_MTMxI_IZUKuvPO4Sg2rTSIqBzP3edakSRXbOA"",""Form Responses 1!B:C""),2,0),"""")"),"")</f>
        <v/>
      </c>
      <c r="R76" s="70" t="str">
        <f>IFERROR(__xludf.DUMMYFUNCTION("IFERROR(VLOOKUP(TRIM(A76),IMPORTRANGE(""1Ixzbal5tEbtWhozsFEppQzOYE6ZSrkNXHg_HW5k3Wt4"",""Form Responses 1!B:C""),2,0),"""")"),"")</f>
        <v/>
      </c>
      <c r="S76" s="70" t="str">
        <f>IFERROR(__xludf.DUMMYFUNCTION("IFERROR(VLOOKUP(TRIM(A76),IMPORTRANGE(""1zxjtEKGvVIJPIDqZdnxENwVpPXYa88EihzyI44hcQUo"",""Form Responses 1!B:C""),2,0),"""")"),"")</f>
        <v/>
      </c>
      <c r="T76" s="70" t="str">
        <f>IFERROR(__xludf.DUMMYFUNCTION("IFERROR(VLOOKUP(TRIM(A76),IMPORTRANGE(""1H3cO01obd5zFULYqaT5NAqecZBFFIHeDFn4CeQLZF3w"",""Form Responses 1!B:C""),2,0),"""")"),"")</f>
        <v/>
      </c>
      <c r="U76" s="70" t="str">
        <f>IFERROR(__xludf.DUMMYFUNCTION("IFERROR(VLOOKUP(TRIM(A76),IMPORTRANGE(""1IG9qoa6PeLdDDFzKpW39lxXshN0-M8Z25a_R1EpsYyg"",""Form Responses 1!B:C""),2,0),"""")"),"")</f>
        <v/>
      </c>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row>
    <row r="77">
      <c r="B77" s="70" t="str">
        <f>IFERROR(__xludf.DUMMYFUNCTION("IFERROR(IF(COUNTIF(IMPORTRANGE(""1RTcwEJsI_0aJRebhNwO_H_AoKl9r46k7hWYbtciIyM4"",""Form Responses 1!B:B""),A77)&gt;0,10,),0)"),"")</f>
        <v/>
      </c>
      <c r="C77" s="70" t="str">
        <f>IFERROR(__xludf.DUMMYFUNCTION("IFERROR(VLOOKUP(A77,IMPORTRANGE(""11i8IUhq_U6RRKRV3CBWIKqYed_fMvFgNUHTq1YDJfp8"",""Form Responses 1!B:C""),2,FALSE),)"),"")</f>
        <v/>
      </c>
      <c r="D77" s="70" t="str">
        <f>IFERROR(__xludf.DUMMYFUNCTION("IFERROR(VLOOKUP(A77,IMPORTRANGE(""1StiHxuxrFhYdrq5WLR2JMORicW0TbnJf3J-oTHeMRtM"",""Form Responses 1!B:C""),2,FALSE),)"),"")</f>
        <v/>
      </c>
      <c r="E77" s="70" t="str">
        <f>IFERROR(__xludf.DUMMYFUNCTION("IFERROR(VLOOKUP(A77,IMPORTRANGE(""1QaxxyUjrDq2kgz300C1Bq1tacFk6e-xX218cSXCQUK0"",""Form Responses 1!B:C""),2,FALSE),)"),"")</f>
        <v/>
      </c>
      <c r="F77" s="70" t="str">
        <f>IFERROR(__xludf.DUMMYFUNCTION("IFERROR(VLOOKUP(A77,IMPORTRANGE(""1fn2ECph_y8Uz78DhjLaiXcwgt6kh3oe-0Le36Uw0noE"",""Form Responses 1!B:C""),2,FALSE),)"),"")</f>
        <v/>
      </c>
      <c r="G77" s="70"/>
      <c r="H77" s="70"/>
      <c r="I77" s="70"/>
      <c r="J77" s="70"/>
      <c r="K77" s="70"/>
      <c r="L77" s="70"/>
      <c r="M77" s="70"/>
      <c r="N77" s="70"/>
      <c r="O77" s="70"/>
      <c r="P77" s="70"/>
      <c r="Q77" s="71" t="str">
        <f>IFERROR(__xludf.DUMMYFUNCTION("IFERROR(VLOOKUP(TRIM(A77),IMPORTRANGE(""1WjiLR_MTMxI_IZUKuvPO4Sg2rTSIqBzP3edakSRXbOA"",""Form Responses 1!B:C""),2,0),"""")"),"")</f>
        <v/>
      </c>
      <c r="R77" s="70" t="str">
        <f>IFERROR(__xludf.DUMMYFUNCTION("IFERROR(VLOOKUP(TRIM(A77),IMPORTRANGE(""1Ixzbal5tEbtWhozsFEppQzOYE6ZSrkNXHg_HW5k3Wt4"",""Form Responses 1!B:C""),2,0),"""")"),"")</f>
        <v/>
      </c>
      <c r="S77" s="70" t="str">
        <f>IFERROR(__xludf.DUMMYFUNCTION("IFERROR(VLOOKUP(TRIM(A77),IMPORTRANGE(""1zxjtEKGvVIJPIDqZdnxENwVpPXYa88EihzyI44hcQUo"",""Form Responses 1!B:C""),2,0),"""")"),"")</f>
        <v/>
      </c>
      <c r="T77" s="70" t="str">
        <f>IFERROR(__xludf.DUMMYFUNCTION("IFERROR(VLOOKUP(TRIM(A77),IMPORTRANGE(""1H3cO01obd5zFULYqaT5NAqecZBFFIHeDFn4CeQLZF3w"",""Form Responses 1!B:C""),2,0),"""")"),"")</f>
        <v/>
      </c>
      <c r="U77" s="70" t="str">
        <f>IFERROR(__xludf.DUMMYFUNCTION("IFERROR(VLOOKUP(TRIM(A77),IMPORTRANGE(""1IG9qoa6PeLdDDFzKpW39lxXshN0-M8Z25a_R1EpsYyg"",""Form Responses 1!B:C""),2,0),"""")"),"")</f>
        <v/>
      </c>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row>
    <row r="78">
      <c r="B78" s="70" t="str">
        <f>IFERROR(__xludf.DUMMYFUNCTION("IFERROR(IF(COUNTIF(IMPORTRANGE(""1RTcwEJsI_0aJRebhNwO_H_AoKl9r46k7hWYbtciIyM4"",""Form Responses 1!B:B""),A78)&gt;0,10,),0)"),"")</f>
        <v/>
      </c>
      <c r="C78" s="70" t="str">
        <f>IFERROR(__xludf.DUMMYFUNCTION("IFERROR(VLOOKUP(A78,IMPORTRANGE(""11i8IUhq_U6RRKRV3CBWIKqYed_fMvFgNUHTq1YDJfp8"",""Form Responses 1!B:C""),2,FALSE),)"),"")</f>
        <v/>
      </c>
      <c r="D78" s="70" t="str">
        <f>IFERROR(__xludf.DUMMYFUNCTION("IFERROR(VLOOKUP(A78,IMPORTRANGE(""1StiHxuxrFhYdrq5WLR2JMORicW0TbnJf3J-oTHeMRtM"",""Form Responses 1!B:C""),2,FALSE),)"),"")</f>
        <v/>
      </c>
      <c r="E78" s="70" t="str">
        <f>IFERROR(__xludf.DUMMYFUNCTION("IFERROR(VLOOKUP(A78,IMPORTRANGE(""1QaxxyUjrDq2kgz300C1Bq1tacFk6e-xX218cSXCQUK0"",""Form Responses 1!B:C""),2,FALSE),)"),"")</f>
        <v/>
      </c>
      <c r="F78" s="70" t="str">
        <f>IFERROR(__xludf.DUMMYFUNCTION("IFERROR(VLOOKUP(A78,IMPORTRANGE(""1fn2ECph_y8Uz78DhjLaiXcwgt6kh3oe-0Le36Uw0noE"",""Form Responses 1!B:C""),2,FALSE),)"),"")</f>
        <v/>
      </c>
      <c r="G78" s="70"/>
      <c r="H78" s="70"/>
      <c r="I78" s="70"/>
      <c r="J78" s="70"/>
      <c r="K78" s="70"/>
      <c r="L78" s="70"/>
      <c r="M78" s="70"/>
      <c r="N78" s="70"/>
      <c r="O78" s="70"/>
      <c r="P78" s="70"/>
      <c r="Q78" s="71" t="str">
        <f>IFERROR(__xludf.DUMMYFUNCTION("IFERROR(VLOOKUP(TRIM(A78),IMPORTRANGE(""1WjiLR_MTMxI_IZUKuvPO4Sg2rTSIqBzP3edakSRXbOA"",""Form Responses 1!B:C""),2,0),"""")"),"")</f>
        <v/>
      </c>
      <c r="R78" s="70" t="str">
        <f>IFERROR(__xludf.DUMMYFUNCTION("IFERROR(VLOOKUP(TRIM(A78),IMPORTRANGE(""1Ixzbal5tEbtWhozsFEppQzOYE6ZSrkNXHg_HW5k3Wt4"",""Form Responses 1!B:C""),2,0),"""")"),"")</f>
        <v/>
      </c>
      <c r="S78" s="70" t="str">
        <f>IFERROR(__xludf.DUMMYFUNCTION("IFERROR(VLOOKUP(TRIM(A78),IMPORTRANGE(""1zxjtEKGvVIJPIDqZdnxENwVpPXYa88EihzyI44hcQUo"",""Form Responses 1!B:C""),2,0),"""")"),"")</f>
        <v/>
      </c>
      <c r="T78" s="70" t="str">
        <f>IFERROR(__xludf.DUMMYFUNCTION("IFERROR(VLOOKUP(TRIM(A78),IMPORTRANGE(""1H3cO01obd5zFULYqaT5NAqecZBFFIHeDFn4CeQLZF3w"",""Form Responses 1!B:C""),2,0),"""")"),"")</f>
        <v/>
      </c>
      <c r="U78" s="70" t="str">
        <f>IFERROR(__xludf.DUMMYFUNCTION("IFERROR(VLOOKUP(TRIM(A78),IMPORTRANGE(""1IG9qoa6PeLdDDFzKpW39lxXshN0-M8Z25a_R1EpsYyg"",""Form Responses 1!B:C""),2,0),"""")"),"")</f>
        <v/>
      </c>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row>
    <row r="79">
      <c r="B79" s="70" t="str">
        <f>IFERROR(__xludf.DUMMYFUNCTION("IFERROR(IF(COUNTIF(IMPORTRANGE(""1RTcwEJsI_0aJRebhNwO_H_AoKl9r46k7hWYbtciIyM4"",""Form Responses 1!B:B""),A79)&gt;0,10,),0)"),"")</f>
        <v/>
      </c>
      <c r="C79" s="70" t="str">
        <f>IFERROR(__xludf.DUMMYFUNCTION("IFERROR(VLOOKUP(A79,IMPORTRANGE(""11i8IUhq_U6RRKRV3CBWIKqYed_fMvFgNUHTq1YDJfp8"",""Form Responses 1!B:C""),2,FALSE),)"),"")</f>
        <v/>
      </c>
      <c r="D79" s="70" t="str">
        <f>IFERROR(__xludf.DUMMYFUNCTION("IFERROR(VLOOKUP(A79,IMPORTRANGE(""1StiHxuxrFhYdrq5WLR2JMORicW0TbnJf3J-oTHeMRtM"",""Form Responses 1!B:C""),2,FALSE),)"),"")</f>
        <v/>
      </c>
      <c r="E79" s="70" t="str">
        <f>IFERROR(__xludf.DUMMYFUNCTION("IFERROR(VLOOKUP(A79,IMPORTRANGE(""1QaxxyUjrDq2kgz300C1Bq1tacFk6e-xX218cSXCQUK0"",""Form Responses 1!B:C""),2,FALSE),)"),"")</f>
        <v/>
      </c>
      <c r="F79" s="70" t="str">
        <f>IFERROR(__xludf.DUMMYFUNCTION("IFERROR(VLOOKUP(A79,IMPORTRANGE(""1fn2ECph_y8Uz78DhjLaiXcwgt6kh3oe-0Le36Uw0noE"",""Form Responses 1!B:C""),2,FALSE),)"),"")</f>
        <v/>
      </c>
      <c r="G79" s="70"/>
      <c r="H79" s="70"/>
      <c r="I79" s="70"/>
      <c r="J79" s="70"/>
      <c r="K79" s="70"/>
      <c r="L79" s="70"/>
      <c r="M79" s="70"/>
      <c r="N79" s="70"/>
      <c r="O79" s="70"/>
      <c r="P79" s="70"/>
      <c r="Q79" s="71" t="str">
        <f>IFERROR(__xludf.DUMMYFUNCTION("IFERROR(VLOOKUP(TRIM(A79),IMPORTRANGE(""1WjiLR_MTMxI_IZUKuvPO4Sg2rTSIqBzP3edakSRXbOA"",""Form Responses 1!B:C""),2,0),"""")"),"")</f>
        <v/>
      </c>
      <c r="R79" s="70" t="str">
        <f>IFERROR(__xludf.DUMMYFUNCTION("IFERROR(VLOOKUP(TRIM(A79),IMPORTRANGE(""1Ixzbal5tEbtWhozsFEppQzOYE6ZSrkNXHg_HW5k3Wt4"",""Form Responses 1!B:C""),2,0),"""")"),"")</f>
        <v/>
      </c>
      <c r="S79" s="70" t="str">
        <f>IFERROR(__xludf.DUMMYFUNCTION("IFERROR(VLOOKUP(TRIM(A79),IMPORTRANGE(""1zxjtEKGvVIJPIDqZdnxENwVpPXYa88EihzyI44hcQUo"",""Form Responses 1!B:C""),2,0),"""")"),"")</f>
        <v/>
      </c>
      <c r="T79" s="70" t="str">
        <f>IFERROR(__xludf.DUMMYFUNCTION("IFERROR(VLOOKUP(TRIM(A79),IMPORTRANGE(""1H3cO01obd5zFULYqaT5NAqecZBFFIHeDFn4CeQLZF3w"",""Form Responses 1!B:C""),2,0),"""")"),"")</f>
        <v/>
      </c>
      <c r="U79" s="70" t="str">
        <f>IFERROR(__xludf.DUMMYFUNCTION("IFERROR(VLOOKUP(TRIM(A79),IMPORTRANGE(""1IG9qoa6PeLdDDFzKpW39lxXshN0-M8Z25a_R1EpsYyg"",""Form Responses 1!B:C""),2,0),"""")"),"")</f>
        <v/>
      </c>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row>
    <row r="80">
      <c r="B80" s="70" t="str">
        <f>IFERROR(__xludf.DUMMYFUNCTION("IFERROR(IF(COUNTIF(IMPORTRANGE(""1RTcwEJsI_0aJRebhNwO_H_AoKl9r46k7hWYbtciIyM4"",""Form Responses 1!B:B""),A80)&gt;0,10,),0)"),"")</f>
        <v/>
      </c>
      <c r="C80" s="70" t="str">
        <f>IFERROR(__xludf.DUMMYFUNCTION("IFERROR(VLOOKUP(A80,IMPORTRANGE(""11i8IUhq_U6RRKRV3CBWIKqYed_fMvFgNUHTq1YDJfp8"",""Form Responses 1!B:C""),2,FALSE),)"),"")</f>
        <v/>
      </c>
      <c r="D80" s="70" t="str">
        <f>IFERROR(__xludf.DUMMYFUNCTION("IFERROR(VLOOKUP(A80,IMPORTRANGE(""1StiHxuxrFhYdrq5WLR2JMORicW0TbnJf3J-oTHeMRtM"",""Form Responses 1!B:C""),2,FALSE),)"),"")</f>
        <v/>
      </c>
      <c r="E80" s="70" t="str">
        <f>IFERROR(__xludf.DUMMYFUNCTION("IFERROR(VLOOKUP(A80,IMPORTRANGE(""1QaxxyUjrDq2kgz300C1Bq1tacFk6e-xX218cSXCQUK0"",""Form Responses 1!B:C""),2,FALSE),)"),"")</f>
        <v/>
      </c>
      <c r="F80" s="70" t="str">
        <f>IFERROR(__xludf.DUMMYFUNCTION("IFERROR(VLOOKUP(A80,IMPORTRANGE(""1fn2ECph_y8Uz78DhjLaiXcwgt6kh3oe-0Le36Uw0noE"",""Form Responses 1!B:C""),2,FALSE),)"),"")</f>
        <v/>
      </c>
      <c r="G80" s="70"/>
      <c r="H80" s="70"/>
      <c r="I80" s="70"/>
      <c r="J80" s="70"/>
      <c r="K80" s="70"/>
      <c r="L80" s="70"/>
      <c r="M80" s="70"/>
      <c r="N80" s="70"/>
      <c r="O80" s="70"/>
      <c r="P80" s="70"/>
      <c r="Q80" s="71" t="str">
        <f>IFERROR(__xludf.DUMMYFUNCTION("IFERROR(VLOOKUP(TRIM(A80),IMPORTRANGE(""1WjiLR_MTMxI_IZUKuvPO4Sg2rTSIqBzP3edakSRXbOA"",""Form Responses 1!B:C""),2,0),"""")"),"")</f>
        <v/>
      </c>
      <c r="R80" s="70" t="str">
        <f>IFERROR(__xludf.DUMMYFUNCTION("IFERROR(VLOOKUP(TRIM(A80),IMPORTRANGE(""1Ixzbal5tEbtWhozsFEppQzOYE6ZSrkNXHg_HW5k3Wt4"",""Form Responses 1!B:C""),2,0),"""")"),"")</f>
        <v/>
      </c>
      <c r="S80" s="70" t="str">
        <f>IFERROR(__xludf.DUMMYFUNCTION("IFERROR(VLOOKUP(TRIM(A80),IMPORTRANGE(""1zxjtEKGvVIJPIDqZdnxENwVpPXYa88EihzyI44hcQUo"",""Form Responses 1!B:C""),2,0),"""")"),"")</f>
        <v/>
      </c>
      <c r="T80" s="70" t="str">
        <f>IFERROR(__xludf.DUMMYFUNCTION("IFERROR(VLOOKUP(TRIM(A80),IMPORTRANGE(""1H3cO01obd5zFULYqaT5NAqecZBFFIHeDFn4CeQLZF3w"",""Form Responses 1!B:C""),2,0),"""")"),"")</f>
        <v/>
      </c>
      <c r="U80" s="70" t="str">
        <f>IFERROR(__xludf.DUMMYFUNCTION("IFERROR(VLOOKUP(TRIM(A80),IMPORTRANGE(""1IG9qoa6PeLdDDFzKpW39lxXshN0-M8Z25a_R1EpsYyg"",""Form Responses 1!B:C""),2,0),"""")"),"")</f>
        <v/>
      </c>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row>
    <row r="81">
      <c r="B81" s="70" t="str">
        <f>IFERROR(__xludf.DUMMYFUNCTION("IFERROR(IF(COUNTIF(IMPORTRANGE(""1RTcwEJsI_0aJRebhNwO_H_AoKl9r46k7hWYbtciIyM4"",""Form Responses 1!B:B""),A81)&gt;0,10,),0)"),"")</f>
        <v/>
      </c>
      <c r="C81" s="70" t="str">
        <f>IFERROR(__xludf.DUMMYFUNCTION("IFERROR(VLOOKUP(A81,IMPORTRANGE(""11i8IUhq_U6RRKRV3CBWIKqYed_fMvFgNUHTq1YDJfp8"",""Form Responses 1!B:C""),2,FALSE),)"),"")</f>
        <v/>
      </c>
      <c r="D81" s="70" t="str">
        <f>IFERROR(__xludf.DUMMYFUNCTION("IFERROR(VLOOKUP(A81,IMPORTRANGE(""1StiHxuxrFhYdrq5WLR2JMORicW0TbnJf3J-oTHeMRtM"",""Form Responses 1!B:C""),2,FALSE),)"),"")</f>
        <v/>
      </c>
      <c r="E81" s="70" t="str">
        <f>IFERROR(__xludf.DUMMYFUNCTION("IFERROR(VLOOKUP(A81,IMPORTRANGE(""1QaxxyUjrDq2kgz300C1Bq1tacFk6e-xX218cSXCQUK0"",""Form Responses 1!B:C""),2,FALSE),)"),"")</f>
        <v/>
      </c>
      <c r="F81" s="70" t="str">
        <f>IFERROR(__xludf.DUMMYFUNCTION("IFERROR(VLOOKUP(A81,IMPORTRANGE(""1fn2ECph_y8Uz78DhjLaiXcwgt6kh3oe-0Le36Uw0noE"",""Form Responses 1!B:C""),2,FALSE),)"),"")</f>
        <v/>
      </c>
      <c r="G81" s="70"/>
      <c r="H81" s="70"/>
      <c r="I81" s="70"/>
      <c r="J81" s="70"/>
      <c r="K81" s="70"/>
      <c r="L81" s="70"/>
      <c r="M81" s="70"/>
      <c r="N81" s="70"/>
      <c r="O81" s="70"/>
      <c r="P81" s="70"/>
      <c r="Q81" s="71" t="str">
        <f>IFERROR(__xludf.DUMMYFUNCTION("IFERROR(VLOOKUP(TRIM(A81),IMPORTRANGE(""1WjiLR_MTMxI_IZUKuvPO4Sg2rTSIqBzP3edakSRXbOA"",""Form Responses 1!B:C""),2,0),"""")"),"")</f>
        <v/>
      </c>
      <c r="R81" s="70" t="str">
        <f>IFERROR(__xludf.DUMMYFUNCTION("IFERROR(VLOOKUP(TRIM(A81),IMPORTRANGE(""1Ixzbal5tEbtWhozsFEppQzOYE6ZSrkNXHg_HW5k3Wt4"",""Form Responses 1!B:C""),2,0),"""")"),"")</f>
        <v/>
      </c>
      <c r="S81" s="70" t="str">
        <f>IFERROR(__xludf.DUMMYFUNCTION("IFERROR(VLOOKUP(TRIM(A81),IMPORTRANGE(""1zxjtEKGvVIJPIDqZdnxENwVpPXYa88EihzyI44hcQUo"",""Form Responses 1!B:C""),2,0),"""")"),"")</f>
        <v/>
      </c>
      <c r="T81" s="70" t="str">
        <f>IFERROR(__xludf.DUMMYFUNCTION("IFERROR(VLOOKUP(TRIM(A81),IMPORTRANGE(""1H3cO01obd5zFULYqaT5NAqecZBFFIHeDFn4CeQLZF3w"",""Form Responses 1!B:C""),2,0),"""")"),"")</f>
        <v/>
      </c>
      <c r="U81" s="70" t="str">
        <f>IFERROR(__xludf.DUMMYFUNCTION("IFERROR(VLOOKUP(TRIM(A81),IMPORTRANGE(""1IG9qoa6PeLdDDFzKpW39lxXshN0-M8Z25a_R1EpsYyg"",""Form Responses 1!B:C""),2,0),"""")"),"")</f>
        <v/>
      </c>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row>
    <row r="82">
      <c r="B82" s="70" t="str">
        <f>IFERROR(__xludf.DUMMYFUNCTION("IFERROR(IF(COUNTIF(IMPORTRANGE(""1RTcwEJsI_0aJRebhNwO_H_AoKl9r46k7hWYbtciIyM4"",""Form Responses 1!B:B""),A82)&gt;0,10,),0)"),"")</f>
        <v/>
      </c>
      <c r="C82" s="70" t="str">
        <f>IFERROR(__xludf.DUMMYFUNCTION("IFERROR(VLOOKUP(A82,IMPORTRANGE(""11i8IUhq_U6RRKRV3CBWIKqYed_fMvFgNUHTq1YDJfp8"",""Form Responses 1!B:C""),2,FALSE),)"),"")</f>
        <v/>
      </c>
      <c r="D82" s="70" t="str">
        <f>IFERROR(__xludf.DUMMYFUNCTION("IFERROR(VLOOKUP(A82,IMPORTRANGE(""1StiHxuxrFhYdrq5WLR2JMORicW0TbnJf3J-oTHeMRtM"",""Form Responses 1!B:C""),2,FALSE),)"),"")</f>
        <v/>
      </c>
      <c r="E82" s="70" t="str">
        <f>IFERROR(__xludf.DUMMYFUNCTION("IFERROR(VLOOKUP(A82,IMPORTRANGE(""1QaxxyUjrDq2kgz300C1Bq1tacFk6e-xX218cSXCQUK0"",""Form Responses 1!B:C""),2,FALSE),)"),"")</f>
        <v/>
      </c>
      <c r="F82" s="70" t="str">
        <f>IFERROR(__xludf.DUMMYFUNCTION("IFERROR(VLOOKUP(A82,IMPORTRANGE(""1fn2ECph_y8Uz78DhjLaiXcwgt6kh3oe-0Le36Uw0noE"",""Form Responses 1!B:C""),2,FALSE),)"),"")</f>
        <v/>
      </c>
      <c r="G82" s="70"/>
      <c r="H82" s="70"/>
      <c r="I82" s="70"/>
      <c r="J82" s="70"/>
      <c r="K82" s="70"/>
      <c r="L82" s="70"/>
      <c r="M82" s="70"/>
      <c r="N82" s="70"/>
      <c r="O82" s="70"/>
      <c r="P82" s="70"/>
      <c r="Q82" s="71" t="str">
        <f>IFERROR(__xludf.DUMMYFUNCTION("IFERROR(VLOOKUP(TRIM(A82),IMPORTRANGE(""1WjiLR_MTMxI_IZUKuvPO4Sg2rTSIqBzP3edakSRXbOA"",""Form Responses 1!B:C""),2,0),"""")"),"")</f>
        <v/>
      </c>
      <c r="R82" s="70" t="str">
        <f>IFERROR(__xludf.DUMMYFUNCTION("IFERROR(VLOOKUP(TRIM(A82),IMPORTRANGE(""1Ixzbal5tEbtWhozsFEppQzOYE6ZSrkNXHg_HW5k3Wt4"",""Form Responses 1!B:C""),2,0),"""")"),"")</f>
        <v/>
      </c>
      <c r="S82" s="70" t="str">
        <f>IFERROR(__xludf.DUMMYFUNCTION("IFERROR(VLOOKUP(TRIM(A82),IMPORTRANGE(""1zxjtEKGvVIJPIDqZdnxENwVpPXYa88EihzyI44hcQUo"",""Form Responses 1!B:C""),2,0),"""")"),"")</f>
        <v/>
      </c>
      <c r="T82" s="70" t="str">
        <f>IFERROR(__xludf.DUMMYFUNCTION("IFERROR(VLOOKUP(TRIM(A82),IMPORTRANGE(""1H3cO01obd5zFULYqaT5NAqecZBFFIHeDFn4CeQLZF3w"",""Form Responses 1!B:C""),2,0),"""")"),"")</f>
        <v/>
      </c>
      <c r="U82" s="70" t="str">
        <f>IFERROR(__xludf.DUMMYFUNCTION("IFERROR(VLOOKUP(TRIM(A82),IMPORTRANGE(""1IG9qoa6PeLdDDFzKpW39lxXshN0-M8Z25a_R1EpsYyg"",""Form Responses 1!B:C""),2,0),"""")"),"")</f>
        <v/>
      </c>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0"/>
    </row>
    <row r="83">
      <c r="B83" s="70" t="str">
        <f>IFERROR(__xludf.DUMMYFUNCTION("IFERROR(IF(COUNTIF(IMPORTRANGE(""1RTcwEJsI_0aJRebhNwO_H_AoKl9r46k7hWYbtciIyM4"",""Form Responses 1!B:B""),A83)&gt;0,10,),0)"),"")</f>
        <v/>
      </c>
      <c r="C83" s="70" t="str">
        <f>IFERROR(__xludf.DUMMYFUNCTION("IFERROR(VLOOKUP(A83,IMPORTRANGE(""11i8IUhq_U6RRKRV3CBWIKqYed_fMvFgNUHTq1YDJfp8"",""Form Responses 1!B:C""),2,FALSE),)"),"")</f>
        <v/>
      </c>
      <c r="D83" s="70" t="str">
        <f>IFERROR(__xludf.DUMMYFUNCTION("IFERROR(VLOOKUP(A83,IMPORTRANGE(""1StiHxuxrFhYdrq5WLR2JMORicW0TbnJf3J-oTHeMRtM"",""Form Responses 1!B:C""),2,FALSE),)"),"")</f>
        <v/>
      </c>
      <c r="E83" s="70" t="str">
        <f>IFERROR(__xludf.DUMMYFUNCTION("IFERROR(VLOOKUP(A83,IMPORTRANGE(""1QaxxyUjrDq2kgz300C1Bq1tacFk6e-xX218cSXCQUK0"",""Form Responses 1!B:C""),2,FALSE),)"),"")</f>
        <v/>
      </c>
      <c r="F83" s="70" t="str">
        <f>IFERROR(__xludf.DUMMYFUNCTION("IFERROR(VLOOKUP(A83,IMPORTRANGE(""1fn2ECph_y8Uz78DhjLaiXcwgt6kh3oe-0Le36Uw0noE"",""Form Responses 1!B:C""),2,FALSE),)"),"")</f>
        <v/>
      </c>
      <c r="G83" s="70"/>
      <c r="H83" s="70"/>
      <c r="I83" s="70"/>
      <c r="J83" s="70"/>
      <c r="K83" s="70"/>
      <c r="L83" s="70"/>
      <c r="M83" s="70"/>
      <c r="N83" s="70"/>
      <c r="O83" s="70"/>
      <c r="P83" s="70"/>
      <c r="Q83" s="71" t="str">
        <f>IFERROR(__xludf.DUMMYFUNCTION("IFERROR(VLOOKUP(TRIM(A83),IMPORTRANGE(""1WjiLR_MTMxI_IZUKuvPO4Sg2rTSIqBzP3edakSRXbOA"",""Form Responses 1!B:C""),2,0),"""")"),"")</f>
        <v/>
      </c>
      <c r="R83" s="70" t="str">
        <f>IFERROR(__xludf.DUMMYFUNCTION("IFERROR(VLOOKUP(TRIM(A83),IMPORTRANGE(""1Ixzbal5tEbtWhozsFEppQzOYE6ZSrkNXHg_HW5k3Wt4"",""Form Responses 1!B:C""),2,0),"""")"),"")</f>
        <v/>
      </c>
      <c r="S83" s="70" t="str">
        <f>IFERROR(__xludf.DUMMYFUNCTION("IFERROR(VLOOKUP(TRIM(A83),IMPORTRANGE(""1zxjtEKGvVIJPIDqZdnxENwVpPXYa88EihzyI44hcQUo"",""Form Responses 1!B:C""),2,0),"""")"),"")</f>
        <v/>
      </c>
      <c r="T83" s="70" t="str">
        <f>IFERROR(__xludf.DUMMYFUNCTION("IFERROR(VLOOKUP(TRIM(A83),IMPORTRANGE(""1H3cO01obd5zFULYqaT5NAqecZBFFIHeDFn4CeQLZF3w"",""Form Responses 1!B:C""),2,0),"""")"),"")</f>
        <v/>
      </c>
      <c r="U83" s="70" t="str">
        <f>IFERROR(__xludf.DUMMYFUNCTION("IFERROR(VLOOKUP(TRIM(A83),IMPORTRANGE(""1IG9qoa6PeLdDDFzKpW39lxXshN0-M8Z25a_R1EpsYyg"",""Form Responses 1!B:C""),2,0),"""")"),"")</f>
        <v/>
      </c>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0"/>
    </row>
    <row r="84">
      <c r="B84" s="70" t="str">
        <f>IFERROR(__xludf.DUMMYFUNCTION("IFERROR(IF(COUNTIF(IMPORTRANGE(""1RTcwEJsI_0aJRebhNwO_H_AoKl9r46k7hWYbtciIyM4"",""Form Responses 1!B:B""),A84)&gt;0,10,),0)"),"")</f>
        <v/>
      </c>
      <c r="C84" s="70" t="str">
        <f>IFERROR(__xludf.DUMMYFUNCTION("IFERROR(VLOOKUP(A84,IMPORTRANGE(""11i8IUhq_U6RRKRV3CBWIKqYed_fMvFgNUHTq1YDJfp8"",""Form Responses 1!B:C""),2,FALSE),)"),"")</f>
        <v/>
      </c>
      <c r="D84" s="70" t="str">
        <f>IFERROR(__xludf.DUMMYFUNCTION("IFERROR(VLOOKUP(A84,IMPORTRANGE(""1StiHxuxrFhYdrq5WLR2JMORicW0TbnJf3J-oTHeMRtM"",""Form Responses 1!B:C""),2,FALSE),)"),"")</f>
        <v/>
      </c>
      <c r="E84" s="70" t="str">
        <f>IFERROR(__xludf.DUMMYFUNCTION("IFERROR(VLOOKUP(A84,IMPORTRANGE(""1QaxxyUjrDq2kgz300C1Bq1tacFk6e-xX218cSXCQUK0"",""Form Responses 1!B:C""),2,FALSE),)"),"")</f>
        <v/>
      </c>
      <c r="F84" s="70" t="str">
        <f>IFERROR(__xludf.DUMMYFUNCTION("IFERROR(VLOOKUP(A84,IMPORTRANGE(""1fn2ECph_y8Uz78DhjLaiXcwgt6kh3oe-0Le36Uw0noE"",""Form Responses 1!B:C""),2,FALSE),)"),"")</f>
        <v/>
      </c>
      <c r="G84" s="70"/>
      <c r="H84" s="70"/>
      <c r="I84" s="70"/>
      <c r="J84" s="70"/>
      <c r="K84" s="70"/>
      <c r="L84" s="70"/>
      <c r="M84" s="70"/>
      <c r="N84" s="70"/>
      <c r="O84" s="70"/>
      <c r="P84" s="70"/>
      <c r="Q84" s="71" t="str">
        <f>IFERROR(__xludf.DUMMYFUNCTION("IFERROR(VLOOKUP(TRIM(A84),IMPORTRANGE(""1WjiLR_MTMxI_IZUKuvPO4Sg2rTSIqBzP3edakSRXbOA"",""Form Responses 1!B:C""),2,0),"""")"),"")</f>
        <v/>
      </c>
      <c r="R84" s="70" t="str">
        <f>IFERROR(__xludf.DUMMYFUNCTION("IFERROR(VLOOKUP(TRIM(A84),IMPORTRANGE(""1Ixzbal5tEbtWhozsFEppQzOYE6ZSrkNXHg_HW5k3Wt4"",""Form Responses 1!B:C""),2,0),"""")"),"")</f>
        <v/>
      </c>
      <c r="S84" s="70" t="str">
        <f>IFERROR(__xludf.DUMMYFUNCTION("IFERROR(VLOOKUP(TRIM(A84),IMPORTRANGE(""1zxjtEKGvVIJPIDqZdnxENwVpPXYa88EihzyI44hcQUo"",""Form Responses 1!B:C""),2,0),"""")"),"")</f>
        <v/>
      </c>
      <c r="T84" s="70" t="str">
        <f>IFERROR(__xludf.DUMMYFUNCTION("IFERROR(VLOOKUP(TRIM(A84),IMPORTRANGE(""1H3cO01obd5zFULYqaT5NAqecZBFFIHeDFn4CeQLZF3w"",""Form Responses 1!B:C""),2,0),"""")"),"")</f>
        <v/>
      </c>
      <c r="U84" s="70" t="str">
        <f>IFERROR(__xludf.DUMMYFUNCTION("IFERROR(VLOOKUP(TRIM(A84),IMPORTRANGE(""1IG9qoa6PeLdDDFzKpW39lxXshN0-M8Z25a_R1EpsYyg"",""Form Responses 1!B:C""),2,0),"""")"),"")</f>
        <v/>
      </c>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row>
    <row r="85">
      <c r="B85" s="70" t="str">
        <f>IFERROR(__xludf.DUMMYFUNCTION("IFERROR(IF(COUNTIF(IMPORTRANGE(""1RTcwEJsI_0aJRebhNwO_H_AoKl9r46k7hWYbtciIyM4"",""Form Responses 1!B:B""),A85)&gt;0,10,),0)"),"")</f>
        <v/>
      </c>
      <c r="C85" s="70" t="str">
        <f>IFERROR(__xludf.DUMMYFUNCTION("IFERROR(VLOOKUP(A85,IMPORTRANGE(""11i8IUhq_U6RRKRV3CBWIKqYed_fMvFgNUHTq1YDJfp8"",""Form Responses 1!B:C""),2,FALSE),)"),"")</f>
        <v/>
      </c>
      <c r="D85" s="70" t="str">
        <f>IFERROR(__xludf.DUMMYFUNCTION("IFERROR(VLOOKUP(A85,IMPORTRANGE(""1StiHxuxrFhYdrq5WLR2JMORicW0TbnJf3J-oTHeMRtM"",""Form Responses 1!B:C""),2,FALSE),)"),"")</f>
        <v/>
      </c>
      <c r="E85" s="70" t="str">
        <f>IFERROR(__xludf.DUMMYFUNCTION("IFERROR(VLOOKUP(A85,IMPORTRANGE(""1QaxxyUjrDq2kgz300C1Bq1tacFk6e-xX218cSXCQUK0"",""Form Responses 1!B:C""),2,FALSE),)"),"")</f>
        <v/>
      </c>
      <c r="F85" s="70" t="str">
        <f>IFERROR(__xludf.DUMMYFUNCTION("IFERROR(VLOOKUP(A85,IMPORTRANGE(""1fn2ECph_y8Uz78DhjLaiXcwgt6kh3oe-0Le36Uw0noE"",""Form Responses 1!B:C""),2,FALSE),)"),"")</f>
        <v/>
      </c>
      <c r="G85" s="70"/>
      <c r="H85" s="70"/>
      <c r="I85" s="70"/>
      <c r="J85" s="70"/>
      <c r="K85" s="70"/>
      <c r="L85" s="70"/>
      <c r="M85" s="70"/>
      <c r="N85" s="70"/>
      <c r="O85" s="70"/>
      <c r="P85" s="70"/>
      <c r="Q85" s="71" t="str">
        <f>IFERROR(__xludf.DUMMYFUNCTION("IFERROR(VLOOKUP(TRIM(A85),IMPORTRANGE(""1WjiLR_MTMxI_IZUKuvPO4Sg2rTSIqBzP3edakSRXbOA"",""Form Responses 1!B:C""),2,0),"""")"),"")</f>
        <v/>
      </c>
      <c r="R85" s="70" t="str">
        <f>IFERROR(__xludf.DUMMYFUNCTION("IFERROR(VLOOKUP(TRIM(A85),IMPORTRANGE(""1Ixzbal5tEbtWhozsFEppQzOYE6ZSrkNXHg_HW5k3Wt4"",""Form Responses 1!B:C""),2,0),"""")"),"")</f>
        <v/>
      </c>
      <c r="S85" s="70" t="str">
        <f>IFERROR(__xludf.DUMMYFUNCTION("IFERROR(VLOOKUP(TRIM(A85),IMPORTRANGE(""1zxjtEKGvVIJPIDqZdnxENwVpPXYa88EihzyI44hcQUo"",""Form Responses 1!B:C""),2,0),"""")"),"")</f>
        <v/>
      </c>
      <c r="T85" s="70" t="str">
        <f>IFERROR(__xludf.DUMMYFUNCTION("IFERROR(VLOOKUP(TRIM(A85),IMPORTRANGE(""1H3cO01obd5zFULYqaT5NAqecZBFFIHeDFn4CeQLZF3w"",""Form Responses 1!B:C""),2,0),"""")"),"")</f>
        <v/>
      </c>
      <c r="U85" s="70" t="str">
        <f>IFERROR(__xludf.DUMMYFUNCTION("IFERROR(VLOOKUP(TRIM(A85),IMPORTRANGE(""1IG9qoa6PeLdDDFzKpW39lxXshN0-M8Z25a_R1EpsYyg"",""Form Responses 1!B:C""),2,0),"""")"),"")</f>
        <v/>
      </c>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0"/>
    </row>
    <row r="86">
      <c r="B86" s="70" t="str">
        <f>IFERROR(__xludf.DUMMYFUNCTION("IFERROR(IF(COUNTIF(IMPORTRANGE(""1RTcwEJsI_0aJRebhNwO_H_AoKl9r46k7hWYbtciIyM4"",""Form Responses 1!B:B""),A86)&gt;0,10,),0)"),"")</f>
        <v/>
      </c>
      <c r="C86" s="70" t="str">
        <f>IFERROR(__xludf.DUMMYFUNCTION("IFERROR(VLOOKUP(A86,IMPORTRANGE(""11i8IUhq_U6RRKRV3CBWIKqYed_fMvFgNUHTq1YDJfp8"",""Form Responses 1!B:C""),2,FALSE),)"),"")</f>
        <v/>
      </c>
      <c r="D86" s="70" t="str">
        <f>IFERROR(__xludf.DUMMYFUNCTION("IFERROR(VLOOKUP(A86,IMPORTRANGE(""1StiHxuxrFhYdrq5WLR2JMORicW0TbnJf3J-oTHeMRtM"",""Form Responses 1!B:C""),2,FALSE),)"),"")</f>
        <v/>
      </c>
      <c r="E86" s="70" t="str">
        <f>IFERROR(__xludf.DUMMYFUNCTION("IFERROR(VLOOKUP(A86,IMPORTRANGE(""1QaxxyUjrDq2kgz300C1Bq1tacFk6e-xX218cSXCQUK0"",""Form Responses 1!B:C""),2,FALSE),)"),"")</f>
        <v/>
      </c>
      <c r="F86" s="70" t="str">
        <f>IFERROR(__xludf.DUMMYFUNCTION("IFERROR(VLOOKUP(A86,IMPORTRANGE(""1fn2ECph_y8Uz78DhjLaiXcwgt6kh3oe-0Le36Uw0noE"",""Form Responses 1!B:C""),2,FALSE),)"),"")</f>
        <v/>
      </c>
      <c r="G86" s="70"/>
      <c r="H86" s="70"/>
      <c r="I86" s="70"/>
      <c r="J86" s="70"/>
      <c r="K86" s="70"/>
      <c r="L86" s="70"/>
      <c r="M86" s="70"/>
      <c r="N86" s="70"/>
      <c r="O86" s="70"/>
      <c r="P86" s="70"/>
      <c r="Q86" s="71" t="str">
        <f>IFERROR(__xludf.DUMMYFUNCTION("IFERROR(VLOOKUP(TRIM(A86),IMPORTRANGE(""1WjiLR_MTMxI_IZUKuvPO4Sg2rTSIqBzP3edakSRXbOA"",""Form Responses 1!B:C""),2,0),"""")"),"")</f>
        <v/>
      </c>
      <c r="R86" s="70" t="str">
        <f>IFERROR(__xludf.DUMMYFUNCTION("IFERROR(VLOOKUP(TRIM(A86),IMPORTRANGE(""1Ixzbal5tEbtWhozsFEppQzOYE6ZSrkNXHg_HW5k3Wt4"",""Form Responses 1!B:C""),2,0),"""")"),"")</f>
        <v/>
      </c>
      <c r="S86" s="70" t="str">
        <f>IFERROR(__xludf.DUMMYFUNCTION("IFERROR(VLOOKUP(TRIM(A86),IMPORTRANGE(""1zxjtEKGvVIJPIDqZdnxENwVpPXYa88EihzyI44hcQUo"",""Form Responses 1!B:C""),2,0),"""")"),"")</f>
        <v/>
      </c>
      <c r="T86" s="70" t="str">
        <f>IFERROR(__xludf.DUMMYFUNCTION("IFERROR(VLOOKUP(TRIM(A86),IMPORTRANGE(""1H3cO01obd5zFULYqaT5NAqecZBFFIHeDFn4CeQLZF3w"",""Form Responses 1!B:C""),2,0),"""")"),"")</f>
        <v/>
      </c>
      <c r="U86" s="70" t="str">
        <f>IFERROR(__xludf.DUMMYFUNCTION("IFERROR(VLOOKUP(TRIM(A86),IMPORTRANGE(""1IG9qoa6PeLdDDFzKpW39lxXshN0-M8Z25a_R1EpsYyg"",""Form Responses 1!B:C""),2,0),"""")"),"")</f>
        <v/>
      </c>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row>
    <row r="87">
      <c r="B87" s="70" t="str">
        <f>IFERROR(__xludf.DUMMYFUNCTION("IFERROR(IF(COUNTIF(IMPORTRANGE(""1RTcwEJsI_0aJRebhNwO_H_AoKl9r46k7hWYbtciIyM4"",""Form Responses 1!B:B""),A87)&gt;0,10,),0)"),"")</f>
        <v/>
      </c>
      <c r="C87" s="70" t="str">
        <f>IFERROR(__xludf.DUMMYFUNCTION("IFERROR(VLOOKUP(A87,IMPORTRANGE(""11i8IUhq_U6RRKRV3CBWIKqYed_fMvFgNUHTq1YDJfp8"",""Form Responses 1!B:C""),2,FALSE),)"),"")</f>
        <v/>
      </c>
      <c r="D87" s="70" t="str">
        <f>IFERROR(__xludf.DUMMYFUNCTION("IFERROR(VLOOKUP(A87,IMPORTRANGE(""1StiHxuxrFhYdrq5WLR2JMORicW0TbnJf3J-oTHeMRtM"",""Form Responses 1!B:C""),2,FALSE),)"),"")</f>
        <v/>
      </c>
      <c r="E87" s="70" t="str">
        <f>IFERROR(__xludf.DUMMYFUNCTION("IFERROR(VLOOKUP(A87,IMPORTRANGE(""1QaxxyUjrDq2kgz300C1Bq1tacFk6e-xX218cSXCQUK0"",""Form Responses 1!B:C""),2,FALSE),)"),"")</f>
        <v/>
      </c>
      <c r="F87" s="70" t="str">
        <f>IFERROR(__xludf.DUMMYFUNCTION("IFERROR(VLOOKUP(A87,IMPORTRANGE(""1fn2ECph_y8Uz78DhjLaiXcwgt6kh3oe-0Le36Uw0noE"",""Form Responses 1!B:C""),2,FALSE),)"),"")</f>
        <v/>
      </c>
      <c r="G87" s="70"/>
      <c r="H87" s="70"/>
      <c r="I87" s="70"/>
      <c r="J87" s="70"/>
      <c r="K87" s="70"/>
      <c r="L87" s="70"/>
      <c r="M87" s="70"/>
      <c r="N87" s="70"/>
      <c r="O87" s="70"/>
      <c r="P87" s="70"/>
      <c r="Q87" s="71" t="str">
        <f>IFERROR(__xludf.DUMMYFUNCTION("IFERROR(VLOOKUP(TRIM(A87),IMPORTRANGE(""1WjiLR_MTMxI_IZUKuvPO4Sg2rTSIqBzP3edakSRXbOA"",""Form Responses 1!B:C""),2,0),"""")"),"")</f>
        <v/>
      </c>
      <c r="R87" s="70" t="str">
        <f>IFERROR(__xludf.DUMMYFUNCTION("IFERROR(VLOOKUP(TRIM(A87),IMPORTRANGE(""1Ixzbal5tEbtWhozsFEppQzOYE6ZSrkNXHg_HW5k3Wt4"",""Form Responses 1!B:C""),2,0),"""")"),"")</f>
        <v/>
      </c>
      <c r="S87" s="70" t="str">
        <f>IFERROR(__xludf.DUMMYFUNCTION("IFERROR(VLOOKUP(TRIM(A87),IMPORTRANGE(""1zxjtEKGvVIJPIDqZdnxENwVpPXYa88EihzyI44hcQUo"",""Form Responses 1!B:C""),2,0),"""")"),"")</f>
        <v/>
      </c>
      <c r="T87" s="70" t="str">
        <f>IFERROR(__xludf.DUMMYFUNCTION("IFERROR(VLOOKUP(TRIM(A87),IMPORTRANGE(""1H3cO01obd5zFULYqaT5NAqecZBFFIHeDFn4CeQLZF3w"",""Form Responses 1!B:C""),2,0),"""")"),"")</f>
        <v/>
      </c>
      <c r="U87" s="70" t="str">
        <f>IFERROR(__xludf.DUMMYFUNCTION("IFERROR(VLOOKUP(TRIM(A87),IMPORTRANGE(""1IG9qoa6PeLdDDFzKpW39lxXshN0-M8Z25a_R1EpsYyg"",""Form Responses 1!B:C""),2,0),"""")"),"")</f>
        <v/>
      </c>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row>
    <row r="88">
      <c r="B88" s="70" t="str">
        <f>IFERROR(__xludf.DUMMYFUNCTION("IFERROR(IF(COUNTIF(IMPORTRANGE(""1RTcwEJsI_0aJRebhNwO_H_AoKl9r46k7hWYbtciIyM4"",""Form Responses 1!B:B""),A88)&gt;0,10,),0)"),"")</f>
        <v/>
      </c>
      <c r="C88" s="70" t="str">
        <f>IFERROR(__xludf.DUMMYFUNCTION("IFERROR(VLOOKUP(A88,IMPORTRANGE(""11i8IUhq_U6RRKRV3CBWIKqYed_fMvFgNUHTq1YDJfp8"",""Form Responses 1!B:C""),2,FALSE),)"),"")</f>
        <v/>
      </c>
      <c r="D88" s="70" t="str">
        <f>IFERROR(__xludf.DUMMYFUNCTION("IFERROR(VLOOKUP(A88,IMPORTRANGE(""1StiHxuxrFhYdrq5WLR2JMORicW0TbnJf3J-oTHeMRtM"",""Form Responses 1!B:C""),2,FALSE),)"),"")</f>
        <v/>
      </c>
      <c r="E88" s="70" t="str">
        <f>IFERROR(__xludf.DUMMYFUNCTION("IFERROR(VLOOKUP(A88,IMPORTRANGE(""1QaxxyUjrDq2kgz300C1Bq1tacFk6e-xX218cSXCQUK0"",""Form Responses 1!B:C""),2,FALSE),)"),"")</f>
        <v/>
      </c>
      <c r="F88" s="70" t="str">
        <f>IFERROR(__xludf.DUMMYFUNCTION("IFERROR(VLOOKUP(A88,IMPORTRANGE(""1fn2ECph_y8Uz78DhjLaiXcwgt6kh3oe-0Le36Uw0noE"",""Form Responses 1!B:C""),2,FALSE),)"),"")</f>
        <v/>
      </c>
      <c r="G88" s="70"/>
      <c r="H88" s="70"/>
      <c r="I88" s="70"/>
      <c r="J88" s="70"/>
      <c r="K88" s="70"/>
      <c r="L88" s="70"/>
      <c r="M88" s="70"/>
      <c r="N88" s="70"/>
      <c r="O88" s="70"/>
      <c r="P88" s="70"/>
      <c r="Q88" s="71" t="str">
        <f>IFERROR(__xludf.DUMMYFUNCTION("IFERROR(VLOOKUP(TRIM(A88),IMPORTRANGE(""1WjiLR_MTMxI_IZUKuvPO4Sg2rTSIqBzP3edakSRXbOA"",""Form Responses 1!B:C""),2,0),"""")"),"")</f>
        <v/>
      </c>
      <c r="R88" s="70" t="str">
        <f>IFERROR(__xludf.DUMMYFUNCTION("IFERROR(VLOOKUP(TRIM(A88),IMPORTRANGE(""1Ixzbal5tEbtWhozsFEppQzOYE6ZSrkNXHg_HW5k3Wt4"",""Form Responses 1!B:C""),2,0),"""")"),"")</f>
        <v/>
      </c>
      <c r="S88" s="70" t="str">
        <f>IFERROR(__xludf.DUMMYFUNCTION("IFERROR(VLOOKUP(TRIM(A88),IMPORTRANGE(""1zxjtEKGvVIJPIDqZdnxENwVpPXYa88EihzyI44hcQUo"",""Form Responses 1!B:C""),2,0),"""")"),"")</f>
        <v/>
      </c>
      <c r="T88" s="70" t="str">
        <f>IFERROR(__xludf.DUMMYFUNCTION("IFERROR(VLOOKUP(TRIM(A88),IMPORTRANGE(""1H3cO01obd5zFULYqaT5NAqecZBFFIHeDFn4CeQLZF3w"",""Form Responses 1!B:C""),2,0),"""")"),"")</f>
        <v/>
      </c>
      <c r="U88" s="70" t="str">
        <f>IFERROR(__xludf.DUMMYFUNCTION("IFERROR(VLOOKUP(TRIM(A88),IMPORTRANGE(""1IG9qoa6PeLdDDFzKpW39lxXshN0-M8Z25a_R1EpsYyg"",""Form Responses 1!B:C""),2,0),"""")"),"")</f>
        <v/>
      </c>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row>
    <row r="89">
      <c r="B89" s="70" t="str">
        <f>IFERROR(__xludf.DUMMYFUNCTION("IFERROR(IF(COUNTIF(IMPORTRANGE(""1RTcwEJsI_0aJRebhNwO_H_AoKl9r46k7hWYbtciIyM4"",""Form Responses 1!B:B""),A89)&gt;0,10,),0)"),"")</f>
        <v/>
      </c>
      <c r="C89" s="70" t="str">
        <f>IFERROR(__xludf.DUMMYFUNCTION("IFERROR(VLOOKUP(A89,IMPORTRANGE(""11i8IUhq_U6RRKRV3CBWIKqYed_fMvFgNUHTq1YDJfp8"",""Form Responses 1!B:C""),2,FALSE),)"),"")</f>
        <v/>
      </c>
      <c r="D89" s="70" t="str">
        <f>IFERROR(__xludf.DUMMYFUNCTION("IFERROR(VLOOKUP(A89,IMPORTRANGE(""1StiHxuxrFhYdrq5WLR2JMORicW0TbnJf3J-oTHeMRtM"",""Form Responses 1!B:C""),2,FALSE),)"),"")</f>
        <v/>
      </c>
      <c r="E89" s="70" t="str">
        <f>IFERROR(__xludf.DUMMYFUNCTION("IFERROR(VLOOKUP(A89,IMPORTRANGE(""1QaxxyUjrDq2kgz300C1Bq1tacFk6e-xX218cSXCQUK0"",""Form Responses 1!B:C""),2,FALSE),)"),"")</f>
        <v/>
      </c>
      <c r="F89" s="70" t="str">
        <f>IFERROR(__xludf.DUMMYFUNCTION("IFERROR(VLOOKUP(A89,IMPORTRANGE(""1fn2ECph_y8Uz78DhjLaiXcwgt6kh3oe-0Le36Uw0noE"",""Form Responses 1!B:C""),2,FALSE),)"),"")</f>
        <v/>
      </c>
      <c r="G89" s="70"/>
      <c r="H89" s="70"/>
      <c r="I89" s="70"/>
      <c r="J89" s="70"/>
      <c r="K89" s="70"/>
      <c r="L89" s="70"/>
      <c r="M89" s="70"/>
      <c r="N89" s="70"/>
      <c r="O89" s="70"/>
      <c r="P89" s="70"/>
      <c r="Q89" s="71" t="str">
        <f>IFERROR(__xludf.DUMMYFUNCTION("IFERROR(VLOOKUP(TRIM(A89),IMPORTRANGE(""1WjiLR_MTMxI_IZUKuvPO4Sg2rTSIqBzP3edakSRXbOA"",""Form Responses 1!B:C""),2,0),"""")"),"")</f>
        <v/>
      </c>
      <c r="R89" s="70" t="str">
        <f>IFERROR(__xludf.DUMMYFUNCTION("IFERROR(VLOOKUP(TRIM(A89),IMPORTRANGE(""1Ixzbal5tEbtWhozsFEppQzOYE6ZSrkNXHg_HW5k3Wt4"",""Form Responses 1!B:C""),2,0),"""")"),"")</f>
        <v/>
      </c>
      <c r="S89" s="70" t="str">
        <f>IFERROR(__xludf.DUMMYFUNCTION("IFERROR(VLOOKUP(TRIM(A89),IMPORTRANGE(""1zxjtEKGvVIJPIDqZdnxENwVpPXYa88EihzyI44hcQUo"",""Form Responses 1!B:C""),2,0),"""")"),"")</f>
        <v/>
      </c>
      <c r="T89" s="70" t="str">
        <f>IFERROR(__xludf.DUMMYFUNCTION("IFERROR(VLOOKUP(TRIM(A89),IMPORTRANGE(""1H3cO01obd5zFULYqaT5NAqecZBFFIHeDFn4CeQLZF3w"",""Form Responses 1!B:C""),2,0),"""")"),"")</f>
        <v/>
      </c>
      <c r="U89" s="70" t="str">
        <f>IFERROR(__xludf.DUMMYFUNCTION("IFERROR(VLOOKUP(TRIM(A89),IMPORTRANGE(""1IG9qoa6PeLdDDFzKpW39lxXshN0-M8Z25a_R1EpsYyg"",""Form Responses 1!B:C""),2,0),"""")"),"")</f>
        <v/>
      </c>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row>
    <row r="90">
      <c r="B90" s="70" t="str">
        <f>IFERROR(__xludf.DUMMYFUNCTION("IFERROR(IF(COUNTIF(IMPORTRANGE(""1RTcwEJsI_0aJRebhNwO_H_AoKl9r46k7hWYbtciIyM4"",""Form Responses 1!B:B""),A90)&gt;0,10,),0)"),"")</f>
        <v/>
      </c>
      <c r="C90" s="70" t="str">
        <f>IFERROR(__xludf.DUMMYFUNCTION("IFERROR(VLOOKUP(A90,IMPORTRANGE(""11i8IUhq_U6RRKRV3CBWIKqYed_fMvFgNUHTq1YDJfp8"",""Form Responses 1!B:C""),2,FALSE),)"),"")</f>
        <v/>
      </c>
      <c r="D90" s="70" t="str">
        <f>IFERROR(__xludf.DUMMYFUNCTION("IFERROR(VLOOKUP(A90,IMPORTRANGE(""1StiHxuxrFhYdrq5WLR2JMORicW0TbnJf3J-oTHeMRtM"",""Form Responses 1!B:C""),2,FALSE),)"),"")</f>
        <v/>
      </c>
      <c r="E90" s="70" t="str">
        <f>IFERROR(__xludf.DUMMYFUNCTION("IFERROR(VLOOKUP(A90,IMPORTRANGE(""1QaxxyUjrDq2kgz300C1Bq1tacFk6e-xX218cSXCQUK0"",""Form Responses 1!B:C""),2,FALSE),)"),"")</f>
        <v/>
      </c>
      <c r="F90" s="70" t="str">
        <f>IFERROR(__xludf.DUMMYFUNCTION("IFERROR(VLOOKUP(A90,IMPORTRANGE(""1fn2ECph_y8Uz78DhjLaiXcwgt6kh3oe-0Le36Uw0noE"",""Form Responses 1!B:C""),2,FALSE),)"),"")</f>
        <v/>
      </c>
      <c r="G90" s="70"/>
      <c r="H90" s="70"/>
      <c r="I90" s="70"/>
      <c r="J90" s="70"/>
      <c r="K90" s="70"/>
      <c r="L90" s="70"/>
      <c r="M90" s="70"/>
      <c r="N90" s="70"/>
      <c r="O90" s="70"/>
      <c r="P90" s="70"/>
      <c r="Q90" s="71" t="str">
        <f>IFERROR(__xludf.DUMMYFUNCTION("IFERROR(VLOOKUP(TRIM(A90),IMPORTRANGE(""1WjiLR_MTMxI_IZUKuvPO4Sg2rTSIqBzP3edakSRXbOA"",""Form Responses 1!B:C""),2,0),"""")"),"")</f>
        <v/>
      </c>
      <c r="R90" s="70" t="str">
        <f>IFERROR(__xludf.DUMMYFUNCTION("IFERROR(VLOOKUP(TRIM(A90),IMPORTRANGE(""1Ixzbal5tEbtWhozsFEppQzOYE6ZSrkNXHg_HW5k3Wt4"",""Form Responses 1!B:C""),2,0),"""")"),"")</f>
        <v/>
      </c>
      <c r="S90" s="70" t="str">
        <f>IFERROR(__xludf.DUMMYFUNCTION("IFERROR(VLOOKUP(TRIM(A90),IMPORTRANGE(""1zxjtEKGvVIJPIDqZdnxENwVpPXYa88EihzyI44hcQUo"",""Form Responses 1!B:C""),2,0),"""")"),"")</f>
        <v/>
      </c>
      <c r="T90" s="70" t="str">
        <f>IFERROR(__xludf.DUMMYFUNCTION("IFERROR(VLOOKUP(TRIM(A90),IMPORTRANGE(""1H3cO01obd5zFULYqaT5NAqecZBFFIHeDFn4CeQLZF3w"",""Form Responses 1!B:C""),2,0),"""")"),"")</f>
        <v/>
      </c>
      <c r="U90" s="70" t="str">
        <f>IFERROR(__xludf.DUMMYFUNCTION("IFERROR(VLOOKUP(TRIM(A90),IMPORTRANGE(""1IG9qoa6PeLdDDFzKpW39lxXshN0-M8Z25a_R1EpsYyg"",""Form Responses 1!B:C""),2,0),"""")"),"")</f>
        <v/>
      </c>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row>
    <row r="91">
      <c r="B91" s="70" t="str">
        <f>IFERROR(__xludf.DUMMYFUNCTION("IFERROR(IF(COUNTIF(IMPORTRANGE(""1RTcwEJsI_0aJRebhNwO_H_AoKl9r46k7hWYbtciIyM4"",""Form Responses 1!B:B""),A91)&gt;0,10,),0)"),"")</f>
        <v/>
      </c>
      <c r="C91" s="70" t="str">
        <f>IFERROR(__xludf.DUMMYFUNCTION("IFERROR(VLOOKUP(A91,IMPORTRANGE(""11i8IUhq_U6RRKRV3CBWIKqYed_fMvFgNUHTq1YDJfp8"",""Form Responses 1!B:C""),2,FALSE),)"),"")</f>
        <v/>
      </c>
      <c r="D91" s="70" t="str">
        <f>IFERROR(__xludf.DUMMYFUNCTION("IFERROR(VLOOKUP(A91,IMPORTRANGE(""1StiHxuxrFhYdrq5WLR2JMORicW0TbnJf3J-oTHeMRtM"",""Form Responses 1!B:C""),2,FALSE),)"),"")</f>
        <v/>
      </c>
      <c r="E91" s="70" t="str">
        <f>IFERROR(__xludf.DUMMYFUNCTION("IFERROR(VLOOKUP(A91,IMPORTRANGE(""1QaxxyUjrDq2kgz300C1Bq1tacFk6e-xX218cSXCQUK0"",""Form Responses 1!B:C""),2,FALSE),)"),"")</f>
        <v/>
      </c>
      <c r="F91" s="70" t="str">
        <f>IFERROR(__xludf.DUMMYFUNCTION("IFERROR(VLOOKUP(A91,IMPORTRANGE(""1fn2ECph_y8Uz78DhjLaiXcwgt6kh3oe-0Le36Uw0noE"",""Form Responses 1!B:C""),2,FALSE),)"),"")</f>
        <v/>
      </c>
      <c r="G91" s="70"/>
      <c r="H91" s="70"/>
      <c r="I91" s="70"/>
      <c r="J91" s="70"/>
      <c r="K91" s="70"/>
      <c r="L91" s="70"/>
      <c r="M91" s="70"/>
      <c r="N91" s="70"/>
      <c r="O91" s="70"/>
      <c r="P91" s="70"/>
      <c r="Q91" s="71" t="str">
        <f>IFERROR(__xludf.DUMMYFUNCTION("IFERROR(VLOOKUP(TRIM(A91),IMPORTRANGE(""1WjiLR_MTMxI_IZUKuvPO4Sg2rTSIqBzP3edakSRXbOA"",""Form Responses 1!B:C""),2,0),"""")"),"")</f>
        <v/>
      </c>
      <c r="R91" s="70" t="str">
        <f>IFERROR(__xludf.DUMMYFUNCTION("IFERROR(VLOOKUP(TRIM(A91),IMPORTRANGE(""1Ixzbal5tEbtWhozsFEppQzOYE6ZSrkNXHg_HW5k3Wt4"",""Form Responses 1!B:C""),2,0),"""")"),"")</f>
        <v/>
      </c>
      <c r="S91" s="70" t="str">
        <f>IFERROR(__xludf.DUMMYFUNCTION("IFERROR(VLOOKUP(TRIM(A91),IMPORTRANGE(""1zxjtEKGvVIJPIDqZdnxENwVpPXYa88EihzyI44hcQUo"",""Form Responses 1!B:C""),2,0),"""")"),"")</f>
        <v/>
      </c>
      <c r="T91" s="70" t="str">
        <f>IFERROR(__xludf.DUMMYFUNCTION("IFERROR(VLOOKUP(TRIM(A91),IMPORTRANGE(""1H3cO01obd5zFULYqaT5NAqecZBFFIHeDFn4CeQLZF3w"",""Form Responses 1!B:C""),2,0),"""")"),"")</f>
        <v/>
      </c>
      <c r="U91" s="70" t="str">
        <f>IFERROR(__xludf.DUMMYFUNCTION("IFERROR(VLOOKUP(TRIM(A91),IMPORTRANGE(""1IG9qoa6PeLdDDFzKpW39lxXshN0-M8Z25a_R1EpsYyg"",""Form Responses 1!B:C""),2,0),"""")"),"")</f>
        <v/>
      </c>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row>
    <row r="92">
      <c r="B92" s="70" t="str">
        <f>IFERROR(__xludf.DUMMYFUNCTION("IFERROR(IF(COUNTIF(IMPORTRANGE(""1RTcwEJsI_0aJRebhNwO_H_AoKl9r46k7hWYbtciIyM4"",""Form Responses 1!B:B""),A92)&gt;0,10,),0)"),"")</f>
        <v/>
      </c>
      <c r="C92" s="70" t="str">
        <f>IFERROR(__xludf.DUMMYFUNCTION("IFERROR(VLOOKUP(A92,IMPORTRANGE(""11i8IUhq_U6RRKRV3CBWIKqYed_fMvFgNUHTq1YDJfp8"",""Form Responses 1!B:C""),2,FALSE),)"),"")</f>
        <v/>
      </c>
      <c r="D92" s="70" t="str">
        <f>IFERROR(__xludf.DUMMYFUNCTION("IFERROR(VLOOKUP(A92,IMPORTRANGE(""1StiHxuxrFhYdrq5WLR2JMORicW0TbnJf3J-oTHeMRtM"",""Form Responses 1!B:C""),2,FALSE),)"),"")</f>
        <v/>
      </c>
      <c r="E92" s="70" t="str">
        <f>IFERROR(__xludf.DUMMYFUNCTION("IFERROR(VLOOKUP(A92,IMPORTRANGE(""1QaxxyUjrDq2kgz300C1Bq1tacFk6e-xX218cSXCQUK0"",""Form Responses 1!B:C""),2,FALSE),)"),"")</f>
        <v/>
      </c>
      <c r="F92" s="70" t="str">
        <f>IFERROR(__xludf.DUMMYFUNCTION("IFERROR(VLOOKUP(A92,IMPORTRANGE(""1fn2ECph_y8Uz78DhjLaiXcwgt6kh3oe-0Le36Uw0noE"",""Form Responses 1!B:C""),2,FALSE),)"),"")</f>
        <v/>
      </c>
      <c r="G92" s="70"/>
      <c r="H92" s="70"/>
      <c r="I92" s="70"/>
      <c r="J92" s="70"/>
      <c r="K92" s="70"/>
      <c r="L92" s="70"/>
      <c r="M92" s="70"/>
      <c r="N92" s="70"/>
      <c r="O92" s="70"/>
      <c r="P92" s="70"/>
      <c r="Q92" s="71" t="str">
        <f>IFERROR(__xludf.DUMMYFUNCTION("IFERROR(VLOOKUP(TRIM(A92),IMPORTRANGE(""1WjiLR_MTMxI_IZUKuvPO4Sg2rTSIqBzP3edakSRXbOA"",""Form Responses 1!B:C""),2,0),"""")"),"")</f>
        <v/>
      </c>
      <c r="R92" s="70" t="str">
        <f>IFERROR(__xludf.DUMMYFUNCTION("IFERROR(VLOOKUP(TRIM(A92),IMPORTRANGE(""1Ixzbal5tEbtWhozsFEppQzOYE6ZSrkNXHg_HW5k3Wt4"",""Form Responses 1!B:C""),2,0),"""")"),"")</f>
        <v/>
      </c>
      <c r="S92" s="70" t="str">
        <f>IFERROR(__xludf.DUMMYFUNCTION("IFERROR(VLOOKUP(TRIM(A92),IMPORTRANGE(""1zxjtEKGvVIJPIDqZdnxENwVpPXYa88EihzyI44hcQUo"",""Form Responses 1!B:C""),2,0),"""")"),"")</f>
        <v/>
      </c>
      <c r="T92" s="70" t="str">
        <f>IFERROR(__xludf.DUMMYFUNCTION("IFERROR(VLOOKUP(TRIM(A92),IMPORTRANGE(""1H3cO01obd5zFULYqaT5NAqecZBFFIHeDFn4CeQLZF3w"",""Form Responses 1!B:C""),2,0),"""")"),"")</f>
        <v/>
      </c>
      <c r="U92" s="70" t="str">
        <f>IFERROR(__xludf.DUMMYFUNCTION("IFERROR(VLOOKUP(TRIM(A92),IMPORTRANGE(""1IG9qoa6PeLdDDFzKpW39lxXshN0-M8Z25a_R1EpsYyg"",""Form Responses 1!B:C""),2,0),"""")"),"")</f>
        <v/>
      </c>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row>
    <row r="93">
      <c r="B93" s="70" t="str">
        <f>IFERROR(__xludf.DUMMYFUNCTION("IFERROR(IF(COUNTIF(IMPORTRANGE(""1RTcwEJsI_0aJRebhNwO_H_AoKl9r46k7hWYbtciIyM4"",""Form Responses 1!B:B""),A93)&gt;0,10,),0)"),"")</f>
        <v/>
      </c>
      <c r="C93" s="70" t="str">
        <f>IFERROR(__xludf.DUMMYFUNCTION("IFERROR(VLOOKUP(A93,IMPORTRANGE(""11i8IUhq_U6RRKRV3CBWIKqYed_fMvFgNUHTq1YDJfp8"",""Form Responses 1!B:C""),2,FALSE),)"),"")</f>
        <v/>
      </c>
      <c r="D93" s="70" t="str">
        <f>IFERROR(__xludf.DUMMYFUNCTION("IFERROR(VLOOKUP(A93,IMPORTRANGE(""1StiHxuxrFhYdrq5WLR2JMORicW0TbnJf3J-oTHeMRtM"",""Form Responses 1!B:C""),2,FALSE),)"),"")</f>
        <v/>
      </c>
      <c r="E93" s="70" t="str">
        <f>IFERROR(__xludf.DUMMYFUNCTION("IFERROR(VLOOKUP(A93,IMPORTRANGE(""1QaxxyUjrDq2kgz300C1Bq1tacFk6e-xX218cSXCQUK0"",""Form Responses 1!B:C""),2,FALSE),)"),"")</f>
        <v/>
      </c>
      <c r="F93" s="70" t="str">
        <f>IFERROR(__xludf.DUMMYFUNCTION("IFERROR(VLOOKUP(A93,IMPORTRANGE(""1fn2ECph_y8Uz78DhjLaiXcwgt6kh3oe-0Le36Uw0noE"",""Form Responses 1!B:C""),2,FALSE),)"),"")</f>
        <v/>
      </c>
      <c r="G93" s="70"/>
      <c r="H93" s="70"/>
      <c r="I93" s="70"/>
      <c r="J93" s="70"/>
      <c r="K93" s="70"/>
      <c r="L93" s="70"/>
      <c r="M93" s="70"/>
      <c r="N93" s="70"/>
      <c r="O93" s="70"/>
      <c r="P93" s="70"/>
      <c r="Q93" s="71" t="str">
        <f>IFERROR(__xludf.DUMMYFUNCTION("IFERROR(VLOOKUP(TRIM(A93),IMPORTRANGE(""1WjiLR_MTMxI_IZUKuvPO4Sg2rTSIqBzP3edakSRXbOA"",""Form Responses 1!B:C""),2,0),"""")"),"")</f>
        <v/>
      </c>
      <c r="R93" s="70" t="str">
        <f>IFERROR(__xludf.DUMMYFUNCTION("IFERROR(VLOOKUP(TRIM(A93),IMPORTRANGE(""1Ixzbal5tEbtWhozsFEppQzOYE6ZSrkNXHg_HW5k3Wt4"",""Form Responses 1!B:C""),2,0),"""")"),"")</f>
        <v/>
      </c>
      <c r="S93" s="70" t="str">
        <f>IFERROR(__xludf.DUMMYFUNCTION("IFERROR(VLOOKUP(TRIM(A93),IMPORTRANGE(""1zxjtEKGvVIJPIDqZdnxENwVpPXYa88EihzyI44hcQUo"",""Form Responses 1!B:C""),2,0),"""")"),"")</f>
        <v/>
      </c>
      <c r="T93" s="70" t="str">
        <f>IFERROR(__xludf.DUMMYFUNCTION("IFERROR(VLOOKUP(TRIM(A93),IMPORTRANGE(""1H3cO01obd5zFULYqaT5NAqecZBFFIHeDFn4CeQLZF3w"",""Form Responses 1!B:C""),2,0),"""")"),"")</f>
        <v/>
      </c>
      <c r="U93" s="70" t="str">
        <f>IFERROR(__xludf.DUMMYFUNCTION("IFERROR(VLOOKUP(TRIM(A93),IMPORTRANGE(""1IG9qoa6PeLdDDFzKpW39lxXshN0-M8Z25a_R1EpsYyg"",""Form Responses 1!B:C""),2,0),"""")"),"")</f>
        <v/>
      </c>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row>
    <row r="94">
      <c r="B94" s="70" t="str">
        <f>IFERROR(__xludf.DUMMYFUNCTION("IFERROR(IF(COUNTIF(IMPORTRANGE(""1RTcwEJsI_0aJRebhNwO_H_AoKl9r46k7hWYbtciIyM4"",""Form Responses 1!B:B""),A94)&gt;0,10,),0)"),"")</f>
        <v/>
      </c>
      <c r="C94" s="70" t="str">
        <f>IFERROR(__xludf.DUMMYFUNCTION("IFERROR(VLOOKUP(A94,IMPORTRANGE(""11i8IUhq_U6RRKRV3CBWIKqYed_fMvFgNUHTq1YDJfp8"",""Form Responses 1!B:C""),2,FALSE),)"),"")</f>
        <v/>
      </c>
      <c r="D94" s="70" t="str">
        <f>IFERROR(__xludf.DUMMYFUNCTION("IFERROR(VLOOKUP(A94,IMPORTRANGE(""1StiHxuxrFhYdrq5WLR2JMORicW0TbnJf3J-oTHeMRtM"",""Form Responses 1!B:C""),2,FALSE),)"),"")</f>
        <v/>
      </c>
      <c r="E94" s="70" t="str">
        <f>IFERROR(__xludf.DUMMYFUNCTION("IFERROR(VLOOKUP(A94,IMPORTRANGE(""1QaxxyUjrDq2kgz300C1Bq1tacFk6e-xX218cSXCQUK0"",""Form Responses 1!B:C""),2,FALSE),)"),"")</f>
        <v/>
      </c>
      <c r="F94" s="70" t="str">
        <f>IFERROR(__xludf.DUMMYFUNCTION("IFERROR(VLOOKUP(A94,IMPORTRANGE(""1fn2ECph_y8Uz78DhjLaiXcwgt6kh3oe-0Le36Uw0noE"",""Form Responses 1!B:C""),2,FALSE),)"),"")</f>
        <v/>
      </c>
      <c r="G94" s="70"/>
      <c r="H94" s="70"/>
      <c r="I94" s="70"/>
      <c r="J94" s="70"/>
      <c r="K94" s="70"/>
      <c r="L94" s="70"/>
      <c r="M94" s="70"/>
      <c r="N94" s="70"/>
      <c r="O94" s="70"/>
      <c r="P94" s="70"/>
      <c r="Q94" s="71" t="str">
        <f>IFERROR(__xludf.DUMMYFUNCTION("IFERROR(VLOOKUP(TRIM(A94),IMPORTRANGE(""1WjiLR_MTMxI_IZUKuvPO4Sg2rTSIqBzP3edakSRXbOA"",""Form Responses 1!B:C""),2,0),"""")"),"")</f>
        <v/>
      </c>
      <c r="R94" s="70" t="str">
        <f>IFERROR(__xludf.DUMMYFUNCTION("IFERROR(VLOOKUP(TRIM(A94),IMPORTRANGE(""1Ixzbal5tEbtWhozsFEppQzOYE6ZSrkNXHg_HW5k3Wt4"",""Form Responses 1!B:C""),2,0),"""")"),"")</f>
        <v/>
      </c>
      <c r="S94" s="70" t="str">
        <f>IFERROR(__xludf.DUMMYFUNCTION("IFERROR(VLOOKUP(TRIM(A94),IMPORTRANGE(""1zxjtEKGvVIJPIDqZdnxENwVpPXYa88EihzyI44hcQUo"",""Form Responses 1!B:C""),2,0),"""")"),"")</f>
        <v/>
      </c>
      <c r="T94" s="70" t="str">
        <f>IFERROR(__xludf.DUMMYFUNCTION("IFERROR(VLOOKUP(TRIM(A94),IMPORTRANGE(""1H3cO01obd5zFULYqaT5NAqecZBFFIHeDFn4CeQLZF3w"",""Form Responses 1!B:C""),2,0),"""")"),"")</f>
        <v/>
      </c>
      <c r="U94" s="70" t="str">
        <f>IFERROR(__xludf.DUMMYFUNCTION("IFERROR(VLOOKUP(TRIM(A94),IMPORTRANGE(""1IG9qoa6PeLdDDFzKpW39lxXshN0-M8Z25a_R1EpsYyg"",""Form Responses 1!B:C""),2,0),"""")"),"")</f>
        <v/>
      </c>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0"/>
    </row>
    <row r="95">
      <c r="B95" s="70" t="str">
        <f>IFERROR(__xludf.DUMMYFUNCTION("IFERROR(IF(COUNTIF(IMPORTRANGE(""1RTcwEJsI_0aJRebhNwO_H_AoKl9r46k7hWYbtciIyM4"",""Form Responses 1!B:B""),A95)&gt;0,10,),0)"),"")</f>
        <v/>
      </c>
      <c r="C95" s="70" t="str">
        <f>IFERROR(__xludf.DUMMYFUNCTION("IFERROR(VLOOKUP(A95,IMPORTRANGE(""11i8IUhq_U6RRKRV3CBWIKqYed_fMvFgNUHTq1YDJfp8"",""Form Responses 1!B:C""),2,FALSE),)"),"")</f>
        <v/>
      </c>
      <c r="D95" s="70" t="str">
        <f>IFERROR(__xludf.DUMMYFUNCTION("IFERROR(VLOOKUP(A95,IMPORTRANGE(""1StiHxuxrFhYdrq5WLR2JMORicW0TbnJf3J-oTHeMRtM"",""Form Responses 1!B:C""),2,FALSE),)"),"")</f>
        <v/>
      </c>
      <c r="E95" s="70" t="str">
        <f>IFERROR(__xludf.DUMMYFUNCTION("IFERROR(VLOOKUP(A95,IMPORTRANGE(""1QaxxyUjrDq2kgz300C1Bq1tacFk6e-xX218cSXCQUK0"",""Form Responses 1!B:C""),2,FALSE),)"),"")</f>
        <v/>
      </c>
      <c r="F95" s="70" t="str">
        <f>IFERROR(__xludf.DUMMYFUNCTION("IFERROR(VLOOKUP(A95,IMPORTRANGE(""1fn2ECph_y8Uz78DhjLaiXcwgt6kh3oe-0Le36Uw0noE"",""Form Responses 1!B:C""),2,FALSE),)"),"")</f>
        <v/>
      </c>
      <c r="G95" s="70"/>
      <c r="H95" s="70"/>
      <c r="I95" s="70"/>
      <c r="J95" s="70"/>
      <c r="K95" s="70"/>
      <c r="L95" s="70"/>
      <c r="M95" s="70"/>
      <c r="N95" s="70"/>
      <c r="O95" s="70"/>
      <c r="P95" s="70"/>
      <c r="Q95" s="71" t="str">
        <f>IFERROR(__xludf.DUMMYFUNCTION("IFERROR(VLOOKUP(TRIM(A95),IMPORTRANGE(""1WjiLR_MTMxI_IZUKuvPO4Sg2rTSIqBzP3edakSRXbOA"",""Form Responses 1!B:C""),2,0),"""")"),"")</f>
        <v/>
      </c>
      <c r="R95" s="70" t="str">
        <f>IFERROR(__xludf.DUMMYFUNCTION("IFERROR(VLOOKUP(TRIM(A95),IMPORTRANGE(""1Ixzbal5tEbtWhozsFEppQzOYE6ZSrkNXHg_HW5k3Wt4"",""Form Responses 1!B:C""),2,0),"""")"),"")</f>
        <v/>
      </c>
      <c r="S95" s="70" t="str">
        <f>IFERROR(__xludf.DUMMYFUNCTION("IFERROR(VLOOKUP(TRIM(A95),IMPORTRANGE(""1zxjtEKGvVIJPIDqZdnxENwVpPXYa88EihzyI44hcQUo"",""Form Responses 1!B:C""),2,0),"""")"),"")</f>
        <v/>
      </c>
      <c r="T95" s="70" t="str">
        <f>IFERROR(__xludf.DUMMYFUNCTION("IFERROR(VLOOKUP(TRIM(A95),IMPORTRANGE(""1H3cO01obd5zFULYqaT5NAqecZBFFIHeDFn4CeQLZF3w"",""Form Responses 1!B:C""),2,0),"""")"),"")</f>
        <v/>
      </c>
      <c r="U95" s="70" t="str">
        <f>IFERROR(__xludf.DUMMYFUNCTION("IFERROR(VLOOKUP(TRIM(A95),IMPORTRANGE(""1IG9qoa6PeLdDDFzKpW39lxXshN0-M8Z25a_R1EpsYyg"",""Form Responses 1!B:C""),2,0),"""")"),"")</f>
        <v/>
      </c>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0"/>
    </row>
    <row r="96">
      <c r="B96" s="70" t="str">
        <f>IFERROR(__xludf.DUMMYFUNCTION("IFERROR(IF(COUNTIF(IMPORTRANGE(""1RTcwEJsI_0aJRebhNwO_H_AoKl9r46k7hWYbtciIyM4"",""Form Responses 1!B:B""),A96)&gt;0,10,),0)"),"")</f>
        <v/>
      </c>
      <c r="C96" s="70" t="str">
        <f>IFERROR(__xludf.DUMMYFUNCTION("IFERROR(VLOOKUP(A96,IMPORTRANGE(""11i8IUhq_U6RRKRV3CBWIKqYed_fMvFgNUHTq1YDJfp8"",""Form Responses 1!B:C""),2,FALSE),)"),"")</f>
        <v/>
      </c>
      <c r="D96" s="70" t="str">
        <f>IFERROR(__xludf.DUMMYFUNCTION("IFERROR(VLOOKUP(A96,IMPORTRANGE(""1StiHxuxrFhYdrq5WLR2JMORicW0TbnJf3J-oTHeMRtM"",""Form Responses 1!B:C""),2,FALSE),)"),"")</f>
        <v/>
      </c>
      <c r="E96" s="70" t="str">
        <f>IFERROR(__xludf.DUMMYFUNCTION("IFERROR(VLOOKUP(A96,IMPORTRANGE(""1QaxxyUjrDq2kgz300C1Bq1tacFk6e-xX218cSXCQUK0"",""Form Responses 1!B:C""),2,FALSE),)"),"")</f>
        <v/>
      </c>
      <c r="F96" s="70" t="str">
        <f>IFERROR(__xludf.DUMMYFUNCTION("IFERROR(VLOOKUP(A96,IMPORTRANGE(""1fn2ECph_y8Uz78DhjLaiXcwgt6kh3oe-0Le36Uw0noE"",""Form Responses 1!B:C""),2,FALSE),)"),"")</f>
        <v/>
      </c>
      <c r="G96" s="70"/>
      <c r="H96" s="70"/>
      <c r="I96" s="70"/>
      <c r="J96" s="70"/>
      <c r="K96" s="70"/>
      <c r="L96" s="70"/>
      <c r="M96" s="70"/>
      <c r="N96" s="70"/>
      <c r="O96" s="70"/>
      <c r="P96" s="70"/>
      <c r="Q96" s="71" t="str">
        <f>IFERROR(__xludf.DUMMYFUNCTION("IFERROR(VLOOKUP(TRIM(A96),IMPORTRANGE(""1WjiLR_MTMxI_IZUKuvPO4Sg2rTSIqBzP3edakSRXbOA"",""Form Responses 1!B:C""),2,0),"""")"),"")</f>
        <v/>
      </c>
      <c r="R96" s="70" t="str">
        <f>IFERROR(__xludf.DUMMYFUNCTION("IFERROR(VLOOKUP(TRIM(A96),IMPORTRANGE(""1Ixzbal5tEbtWhozsFEppQzOYE6ZSrkNXHg_HW5k3Wt4"",""Form Responses 1!B:C""),2,0),"""")"),"")</f>
        <v/>
      </c>
      <c r="S96" s="70" t="str">
        <f>IFERROR(__xludf.DUMMYFUNCTION("IFERROR(VLOOKUP(TRIM(A96),IMPORTRANGE(""1zxjtEKGvVIJPIDqZdnxENwVpPXYa88EihzyI44hcQUo"",""Form Responses 1!B:C""),2,0),"""")"),"")</f>
        <v/>
      </c>
      <c r="T96" s="70" t="str">
        <f>IFERROR(__xludf.DUMMYFUNCTION("IFERROR(VLOOKUP(TRIM(A96),IMPORTRANGE(""1H3cO01obd5zFULYqaT5NAqecZBFFIHeDFn4CeQLZF3w"",""Form Responses 1!B:C""),2,0),"""")"),"")</f>
        <v/>
      </c>
      <c r="U96" s="70" t="str">
        <f>IFERROR(__xludf.DUMMYFUNCTION("IFERROR(VLOOKUP(TRIM(A96),IMPORTRANGE(""1IG9qoa6PeLdDDFzKpW39lxXshN0-M8Z25a_R1EpsYyg"",""Form Responses 1!B:C""),2,0),"""")"),"")</f>
        <v/>
      </c>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0"/>
    </row>
    <row r="97">
      <c r="B97" s="70" t="str">
        <f>IFERROR(__xludf.DUMMYFUNCTION("IFERROR(IF(COUNTIF(IMPORTRANGE(""1RTcwEJsI_0aJRebhNwO_H_AoKl9r46k7hWYbtciIyM4"",""Form Responses 1!B:B""),A97)&gt;0,10,),0)"),"")</f>
        <v/>
      </c>
      <c r="C97" s="70" t="str">
        <f>IFERROR(__xludf.DUMMYFUNCTION("IFERROR(VLOOKUP(A97,IMPORTRANGE(""11i8IUhq_U6RRKRV3CBWIKqYed_fMvFgNUHTq1YDJfp8"",""Form Responses 1!B:C""),2,FALSE),)"),"")</f>
        <v/>
      </c>
      <c r="D97" s="70" t="str">
        <f>IFERROR(__xludf.DUMMYFUNCTION("IFERROR(VLOOKUP(A97,IMPORTRANGE(""1StiHxuxrFhYdrq5WLR2JMORicW0TbnJf3J-oTHeMRtM"",""Form Responses 1!B:C""),2,FALSE),)"),"")</f>
        <v/>
      </c>
      <c r="E97" s="70" t="str">
        <f>IFERROR(__xludf.DUMMYFUNCTION("IFERROR(VLOOKUP(A97,IMPORTRANGE(""1QaxxyUjrDq2kgz300C1Bq1tacFk6e-xX218cSXCQUK0"",""Form Responses 1!B:C""),2,FALSE),)"),"")</f>
        <v/>
      </c>
      <c r="F97" s="70" t="str">
        <f>IFERROR(__xludf.DUMMYFUNCTION("IFERROR(VLOOKUP(A97,IMPORTRANGE(""1fn2ECph_y8Uz78DhjLaiXcwgt6kh3oe-0Le36Uw0noE"",""Form Responses 1!B:C""),2,FALSE),)"),"")</f>
        <v/>
      </c>
      <c r="G97" s="70"/>
      <c r="H97" s="70"/>
      <c r="I97" s="70"/>
      <c r="J97" s="70"/>
      <c r="K97" s="70"/>
      <c r="L97" s="70"/>
      <c r="M97" s="70"/>
      <c r="N97" s="70"/>
      <c r="O97" s="70"/>
      <c r="P97" s="70"/>
      <c r="Q97" s="71" t="str">
        <f>IFERROR(__xludf.DUMMYFUNCTION("IFERROR(VLOOKUP(TRIM(A97),IMPORTRANGE(""1WjiLR_MTMxI_IZUKuvPO4Sg2rTSIqBzP3edakSRXbOA"",""Form Responses 1!B:C""),2,0),"""")"),"")</f>
        <v/>
      </c>
      <c r="R97" s="70" t="str">
        <f>IFERROR(__xludf.DUMMYFUNCTION("IFERROR(VLOOKUP(TRIM(A97),IMPORTRANGE(""1Ixzbal5tEbtWhozsFEppQzOYE6ZSrkNXHg_HW5k3Wt4"",""Form Responses 1!B:C""),2,0),"""")"),"")</f>
        <v/>
      </c>
      <c r="S97" s="70" t="str">
        <f>IFERROR(__xludf.DUMMYFUNCTION("IFERROR(VLOOKUP(TRIM(A97),IMPORTRANGE(""1zxjtEKGvVIJPIDqZdnxENwVpPXYa88EihzyI44hcQUo"",""Form Responses 1!B:C""),2,0),"""")"),"")</f>
        <v/>
      </c>
      <c r="T97" s="70" t="str">
        <f>IFERROR(__xludf.DUMMYFUNCTION("IFERROR(VLOOKUP(TRIM(A97),IMPORTRANGE(""1H3cO01obd5zFULYqaT5NAqecZBFFIHeDFn4CeQLZF3w"",""Form Responses 1!B:C""),2,0),"""")"),"")</f>
        <v/>
      </c>
      <c r="U97" s="70" t="str">
        <f>IFERROR(__xludf.DUMMYFUNCTION("IFERROR(VLOOKUP(TRIM(A97),IMPORTRANGE(""1IG9qoa6PeLdDDFzKpW39lxXshN0-M8Z25a_R1EpsYyg"",""Form Responses 1!B:C""),2,0),"""")"),"")</f>
        <v/>
      </c>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row>
    <row r="98">
      <c r="B98" s="70" t="str">
        <f>IFERROR(__xludf.DUMMYFUNCTION("IFERROR(IF(COUNTIF(IMPORTRANGE(""1RTcwEJsI_0aJRebhNwO_H_AoKl9r46k7hWYbtciIyM4"",""Form Responses 1!B:B""),A98)&gt;0,10,),0)"),"")</f>
        <v/>
      </c>
      <c r="C98" s="70" t="str">
        <f>IFERROR(__xludf.DUMMYFUNCTION("IFERROR(VLOOKUP(A98,IMPORTRANGE(""11i8IUhq_U6RRKRV3CBWIKqYed_fMvFgNUHTq1YDJfp8"",""Form Responses 1!B:C""),2,FALSE),)"),"")</f>
        <v/>
      </c>
      <c r="D98" s="70" t="str">
        <f>IFERROR(__xludf.DUMMYFUNCTION("IFERROR(VLOOKUP(A98,IMPORTRANGE(""1StiHxuxrFhYdrq5WLR2JMORicW0TbnJf3J-oTHeMRtM"",""Form Responses 1!B:C""),2,FALSE),)"),"")</f>
        <v/>
      </c>
      <c r="E98" s="70" t="str">
        <f>IFERROR(__xludf.DUMMYFUNCTION("IFERROR(VLOOKUP(A98,IMPORTRANGE(""1QaxxyUjrDq2kgz300C1Bq1tacFk6e-xX218cSXCQUK0"",""Form Responses 1!B:C""),2,FALSE),)"),"")</f>
        <v/>
      </c>
      <c r="F98" s="70" t="str">
        <f>IFERROR(__xludf.DUMMYFUNCTION("IFERROR(VLOOKUP(A98,IMPORTRANGE(""1fn2ECph_y8Uz78DhjLaiXcwgt6kh3oe-0Le36Uw0noE"",""Form Responses 1!B:C""),2,FALSE),)"),"")</f>
        <v/>
      </c>
      <c r="G98" s="70"/>
      <c r="H98" s="70"/>
      <c r="I98" s="70"/>
      <c r="J98" s="70"/>
      <c r="K98" s="70"/>
      <c r="L98" s="70"/>
      <c r="M98" s="70"/>
      <c r="N98" s="70"/>
      <c r="O98" s="70"/>
      <c r="P98" s="70"/>
      <c r="Q98" s="71" t="str">
        <f>IFERROR(__xludf.DUMMYFUNCTION("IFERROR(VLOOKUP(TRIM(A98),IMPORTRANGE(""1WjiLR_MTMxI_IZUKuvPO4Sg2rTSIqBzP3edakSRXbOA"",""Form Responses 1!B:C""),2,0),"""")"),"")</f>
        <v/>
      </c>
      <c r="R98" s="70" t="str">
        <f>IFERROR(__xludf.DUMMYFUNCTION("IFERROR(VLOOKUP(TRIM(A98),IMPORTRANGE(""1Ixzbal5tEbtWhozsFEppQzOYE6ZSrkNXHg_HW5k3Wt4"",""Form Responses 1!B:C""),2,0),"""")"),"")</f>
        <v/>
      </c>
      <c r="S98" s="70" t="str">
        <f>IFERROR(__xludf.DUMMYFUNCTION("IFERROR(VLOOKUP(TRIM(A98),IMPORTRANGE(""1zxjtEKGvVIJPIDqZdnxENwVpPXYa88EihzyI44hcQUo"",""Form Responses 1!B:C""),2,0),"""")"),"")</f>
        <v/>
      </c>
      <c r="T98" s="70" t="str">
        <f>IFERROR(__xludf.DUMMYFUNCTION("IFERROR(VLOOKUP(TRIM(A98),IMPORTRANGE(""1H3cO01obd5zFULYqaT5NAqecZBFFIHeDFn4CeQLZF3w"",""Form Responses 1!B:C""),2,0),"""")"),"")</f>
        <v/>
      </c>
      <c r="U98" s="70" t="str">
        <f>IFERROR(__xludf.DUMMYFUNCTION("IFERROR(VLOOKUP(TRIM(A98),IMPORTRANGE(""1IG9qoa6PeLdDDFzKpW39lxXshN0-M8Z25a_R1EpsYyg"",""Form Responses 1!B:C""),2,0),"""")"),"")</f>
        <v/>
      </c>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row>
    <row r="99">
      <c r="B99" s="70" t="str">
        <f>IFERROR(__xludf.DUMMYFUNCTION("IFERROR(IF(COUNTIF(IMPORTRANGE(""1RTcwEJsI_0aJRebhNwO_H_AoKl9r46k7hWYbtciIyM4"",""Form Responses 1!B:B""),A99)&gt;0,10,),0)"),"")</f>
        <v/>
      </c>
      <c r="C99" s="70" t="str">
        <f>IFERROR(__xludf.DUMMYFUNCTION("IFERROR(VLOOKUP(A99,IMPORTRANGE(""11i8IUhq_U6RRKRV3CBWIKqYed_fMvFgNUHTq1YDJfp8"",""Form Responses 1!B:C""),2,FALSE),)"),"")</f>
        <v/>
      </c>
      <c r="D99" s="70" t="str">
        <f>IFERROR(__xludf.DUMMYFUNCTION("IFERROR(VLOOKUP(A99,IMPORTRANGE(""1StiHxuxrFhYdrq5WLR2JMORicW0TbnJf3J-oTHeMRtM"",""Form Responses 1!B:C""),2,FALSE),)"),"")</f>
        <v/>
      </c>
      <c r="E99" s="70" t="str">
        <f>IFERROR(__xludf.DUMMYFUNCTION("IFERROR(VLOOKUP(A99,IMPORTRANGE(""1QaxxyUjrDq2kgz300C1Bq1tacFk6e-xX218cSXCQUK0"",""Form Responses 1!B:C""),2,FALSE),)"),"")</f>
        <v/>
      </c>
      <c r="F99" s="70" t="str">
        <f>IFERROR(__xludf.DUMMYFUNCTION("IFERROR(VLOOKUP(A99,IMPORTRANGE(""1fn2ECph_y8Uz78DhjLaiXcwgt6kh3oe-0Le36Uw0noE"",""Form Responses 1!B:C""),2,FALSE),)"),"")</f>
        <v/>
      </c>
      <c r="G99" s="70"/>
      <c r="H99" s="70"/>
      <c r="I99" s="70"/>
      <c r="J99" s="70"/>
      <c r="K99" s="70"/>
      <c r="L99" s="70"/>
      <c r="M99" s="70"/>
      <c r="N99" s="70"/>
      <c r="O99" s="70"/>
      <c r="P99" s="70"/>
      <c r="Q99" s="71" t="str">
        <f>IFERROR(__xludf.DUMMYFUNCTION("IFERROR(VLOOKUP(TRIM(A99),IMPORTRANGE(""1WjiLR_MTMxI_IZUKuvPO4Sg2rTSIqBzP3edakSRXbOA"",""Form Responses 1!B:C""),2,0),"""")"),"")</f>
        <v/>
      </c>
      <c r="R99" s="70" t="str">
        <f>IFERROR(__xludf.DUMMYFUNCTION("IFERROR(VLOOKUP(TRIM(A99),IMPORTRANGE(""1Ixzbal5tEbtWhozsFEppQzOYE6ZSrkNXHg_HW5k3Wt4"",""Form Responses 1!B:C""),2,0),"""")"),"")</f>
        <v/>
      </c>
      <c r="S99" s="70" t="str">
        <f>IFERROR(__xludf.DUMMYFUNCTION("IFERROR(VLOOKUP(TRIM(A99),IMPORTRANGE(""1zxjtEKGvVIJPIDqZdnxENwVpPXYa88EihzyI44hcQUo"",""Form Responses 1!B:C""),2,0),"""")"),"")</f>
        <v/>
      </c>
      <c r="T99" s="70" t="str">
        <f>IFERROR(__xludf.DUMMYFUNCTION("IFERROR(VLOOKUP(TRIM(A99),IMPORTRANGE(""1H3cO01obd5zFULYqaT5NAqecZBFFIHeDFn4CeQLZF3w"",""Form Responses 1!B:C""),2,0),"""")"),"")</f>
        <v/>
      </c>
      <c r="U99" s="70" t="str">
        <f>IFERROR(__xludf.DUMMYFUNCTION("IFERROR(VLOOKUP(TRIM(A99),IMPORTRANGE(""1IG9qoa6PeLdDDFzKpW39lxXshN0-M8Z25a_R1EpsYyg"",""Form Responses 1!B:C""),2,0),"""")"),"")</f>
        <v/>
      </c>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row>
    <row r="100">
      <c r="B100" s="70" t="str">
        <f>IFERROR(__xludf.DUMMYFUNCTION("IFERROR(IF(COUNTIF(IMPORTRANGE(""1RTcwEJsI_0aJRebhNwO_H_AoKl9r46k7hWYbtciIyM4"",""Form Responses 1!B:B""),A100)&gt;0,10,),0)"),"")</f>
        <v/>
      </c>
      <c r="C100" s="70" t="str">
        <f>IFERROR(__xludf.DUMMYFUNCTION("IFERROR(VLOOKUP(A100,IMPORTRANGE(""11i8IUhq_U6RRKRV3CBWIKqYed_fMvFgNUHTq1YDJfp8"",""Form Responses 1!B:C""),2,FALSE),)"),"")</f>
        <v/>
      </c>
      <c r="D100" s="70" t="str">
        <f>IFERROR(__xludf.DUMMYFUNCTION("IFERROR(VLOOKUP(A100,IMPORTRANGE(""1StiHxuxrFhYdrq5WLR2JMORicW0TbnJf3J-oTHeMRtM"",""Form Responses 1!B:C""),2,FALSE),)"),"")</f>
        <v/>
      </c>
      <c r="E100" s="70" t="str">
        <f>IFERROR(__xludf.DUMMYFUNCTION("IFERROR(VLOOKUP(A100,IMPORTRANGE(""1QaxxyUjrDq2kgz300C1Bq1tacFk6e-xX218cSXCQUK0"",""Form Responses 1!B:C""),2,FALSE),)"),"")</f>
        <v/>
      </c>
      <c r="F100" s="70" t="str">
        <f>IFERROR(__xludf.DUMMYFUNCTION("IFERROR(VLOOKUP(A100,IMPORTRANGE(""1fn2ECph_y8Uz78DhjLaiXcwgt6kh3oe-0Le36Uw0noE"",""Form Responses 1!B:C""),2,FALSE),)"),"")</f>
        <v/>
      </c>
      <c r="G100" s="70"/>
      <c r="H100" s="70"/>
      <c r="I100" s="70"/>
      <c r="J100" s="70"/>
      <c r="K100" s="70"/>
      <c r="L100" s="70"/>
      <c r="M100" s="70"/>
      <c r="N100" s="70"/>
      <c r="O100" s="70"/>
      <c r="P100" s="70"/>
      <c r="Q100" s="70" t="str">
        <f>IFERROR(__xludf.DUMMYFUNCTION("IFERROR(IF(COUNTIF(IMPORTRANGE(""1WjiLR_MTMxI_IZUKuvPO4Sg2rTSIqBzP3edakSRXbOA"",""Form Responses 1!B:B""),F100)&gt;0,10,),0)"),"")</f>
        <v/>
      </c>
      <c r="R100" s="70" t="str">
        <f>IFERROR(__xludf.DUMMYFUNCTION("IFERROR(VALUE(REGEXEXTRACT(QUERY(IMPORTRANGE(""1Ixzbal5tEbtWhozsFEppQzOYE6ZSrkNXHg_HW5k3Wt4"",""Form Responses 1!B:C""),""SELECT Col2 WHERE LOWER(Col1) = '""&amp;LOWER(TRIM(F100))&amp;""' LIMIT 1""),""^(\d+)"")),"""")
"),"")</f>
        <v/>
      </c>
      <c r="S100" s="70" t="str">
        <f>IFERROR(__xludf.DUMMYFUNCTION("IFERROR(VLOOKUP(F100,IMPORTRANGE(""1zxjtEKGvVIJPIDqZdnxENwVpPXYa88EihzyI44hcQUo"",""Form Responses 1!B:C""),2,FALSE),)"),"")</f>
        <v/>
      </c>
      <c r="T100" s="70" t="str">
        <f>IFERROR(__xludf.DUMMYFUNCTION("IFERROR(VLOOKUP(F100,IMPORTRANGE(""1H3cO01obd5zFULYqaT5NAqecZBFFIHeDFn4CeQLZF3w"",""Form Responses 1!B:C""),2,FALSE),)"),"")</f>
        <v/>
      </c>
      <c r="U100" s="70" t="str">
        <f>IFERROR(__xludf.DUMMYFUNCTION("IFERROR(IF(COUNTIF(IMPORTRANGE(""1IG9qoa6PeLdDDFzKpW39lxXshN0-M8Z25a_R1EpsYyg"",""Form Responses 1!B:B""),F100)&gt;0,10,),0)"),"")</f>
        <v/>
      </c>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row>
    <row r="101">
      <c r="B101" s="70" t="str">
        <f>IFERROR(__xludf.DUMMYFUNCTION("IFERROR(IF(COUNTIF(IMPORTRANGE(""1RTcwEJsI_0aJRebhNwO_H_AoKl9r46k7hWYbtciIyM4"",""Form Responses 1!B:B""),A101)&gt;0,10,),0)"),"")</f>
        <v/>
      </c>
      <c r="C101" s="70" t="str">
        <f>IFERROR(__xludf.DUMMYFUNCTION("IFERROR(VLOOKUP(A101,IMPORTRANGE(""11i8IUhq_U6RRKRV3CBWIKqYed_fMvFgNUHTq1YDJfp8"",""Form Responses 1!B:C""),2,FALSE),)"),"")</f>
        <v/>
      </c>
      <c r="D101" s="70" t="str">
        <f>IFERROR(__xludf.DUMMYFUNCTION("IFERROR(VLOOKUP(A101,IMPORTRANGE(""1StiHxuxrFhYdrq5WLR2JMORicW0TbnJf3J-oTHeMRtM"",""Form Responses 1!B:C""),2,FALSE),)"),"")</f>
        <v/>
      </c>
      <c r="E101" s="70" t="str">
        <f>IFERROR(__xludf.DUMMYFUNCTION("IFERROR(VLOOKUP(A101,IMPORTRANGE(""1QaxxyUjrDq2kgz300C1Bq1tacFk6e-xX218cSXCQUK0"",""Form Responses 1!B:C""),2,FALSE),)"),"")</f>
        <v/>
      </c>
      <c r="F101" s="70" t="str">
        <f>IFERROR(__xludf.DUMMYFUNCTION("IFERROR(VLOOKUP(A101,IMPORTRANGE(""1fn2ECph_y8Uz78DhjLaiXcwgt6kh3oe-0Le36Uw0noE"",""Form Responses 1!B:C""),2,FALSE),)"),"")</f>
        <v/>
      </c>
      <c r="G101" s="70"/>
      <c r="H101" s="70"/>
      <c r="I101" s="70"/>
      <c r="J101" s="70"/>
      <c r="K101" s="70"/>
      <c r="L101" s="70"/>
      <c r="M101" s="70"/>
      <c r="N101" s="70"/>
      <c r="O101" s="70"/>
      <c r="P101" s="70"/>
      <c r="Q101" s="70" t="str">
        <f>IFERROR(__xludf.DUMMYFUNCTION("IFERROR(IF(COUNTIF(IMPORTRANGE(""1WjiLR_MTMxI_IZUKuvPO4Sg2rTSIqBzP3edakSRXbOA"",""Form Responses 1!B:B""),F101)&gt;0,10,),0)"),"")</f>
        <v/>
      </c>
      <c r="R101" s="70" t="str">
        <f>IFERROR(__xludf.DUMMYFUNCTION("IFERROR(VALUE(REGEXEXTRACT(QUERY(IMPORTRANGE(""1Ixzbal5tEbtWhozsFEppQzOYE6ZSrkNXHg_HW5k3Wt4"",""Form Responses 1!B:C""),""SELECT Col2 WHERE LOWER(Col1) = '""&amp;LOWER(TRIM(F101))&amp;""' LIMIT 1""),""^(\d+)"")),"""")
"),"")</f>
        <v/>
      </c>
      <c r="S101" s="70" t="str">
        <f>IFERROR(__xludf.DUMMYFUNCTION("IFERROR(VLOOKUP(F101,IMPORTRANGE(""1zxjtEKGvVIJPIDqZdnxENwVpPXYa88EihzyI44hcQUo"",""Form Responses 1!B:C""),2,FALSE),)"),"")</f>
        <v/>
      </c>
      <c r="T101" s="70" t="str">
        <f>IFERROR(__xludf.DUMMYFUNCTION("IFERROR(VLOOKUP(F101,IMPORTRANGE(""1H3cO01obd5zFULYqaT5NAqecZBFFIHeDFn4CeQLZF3w"",""Form Responses 1!B:C""),2,FALSE),)"),"")</f>
        <v/>
      </c>
      <c r="U101" s="70" t="str">
        <f>IFERROR(__xludf.DUMMYFUNCTION("IFERROR(IF(COUNTIF(IMPORTRANGE(""1IG9qoa6PeLdDDFzKpW39lxXshN0-M8Z25a_R1EpsYyg"",""Form Responses 1!B:B""),F101)&gt;0,10,),0)"),"")</f>
        <v/>
      </c>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row>
    <row r="102">
      <c r="B102" s="70" t="str">
        <f>IFERROR(__xludf.DUMMYFUNCTION("IFERROR(IF(COUNTIF(IMPORTRANGE(""1RTcwEJsI_0aJRebhNwO_H_AoKl9r46k7hWYbtciIyM4"",""Form Responses 1!B:B""),A102)&gt;0,10,),0)"),"")</f>
        <v/>
      </c>
      <c r="C102" s="70" t="str">
        <f>IFERROR(__xludf.DUMMYFUNCTION("IFERROR(VLOOKUP(A102,IMPORTRANGE(""11i8IUhq_U6RRKRV3CBWIKqYed_fMvFgNUHTq1YDJfp8"",""Form Responses 1!B:C""),2,FALSE),)"),"")</f>
        <v/>
      </c>
      <c r="D102" s="70" t="str">
        <f>IFERROR(__xludf.DUMMYFUNCTION("IFERROR(VLOOKUP(A102,IMPORTRANGE(""1StiHxuxrFhYdrq5WLR2JMORicW0TbnJf3J-oTHeMRtM"",""Form Responses 1!B:C""),2,FALSE),)"),"")</f>
        <v/>
      </c>
      <c r="E102" s="70" t="str">
        <f>IFERROR(__xludf.DUMMYFUNCTION("IFERROR(VLOOKUP(A102,IMPORTRANGE(""1QaxxyUjrDq2kgz300C1Bq1tacFk6e-xX218cSXCQUK0"",""Form Responses 1!B:C""),2,FALSE),)"),"")</f>
        <v/>
      </c>
      <c r="F102" s="70" t="str">
        <f>IFERROR(__xludf.DUMMYFUNCTION("IFERROR(VLOOKUP(A102,IMPORTRANGE(""1fn2ECph_y8Uz78DhjLaiXcwgt6kh3oe-0Le36Uw0noE"",""Form Responses 1!B:C""),2,FALSE),)"),"")</f>
        <v/>
      </c>
      <c r="G102" s="70"/>
      <c r="H102" s="70"/>
      <c r="I102" s="70"/>
      <c r="J102" s="70"/>
      <c r="K102" s="70"/>
      <c r="L102" s="70"/>
      <c r="M102" s="70"/>
      <c r="N102" s="70"/>
      <c r="O102" s="70"/>
      <c r="P102" s="70"/>
      <c r="Q102" s="70" t="str">
        <f>IFERROR(__xludf.DUMMYFUNCTION("IFERROR(IF(COUNTIF(IMPORTRANGE(""1WjiLR_MTMxI_IZUKuvPO4Sg2rTSIqBzP3edakSRXbOA"",""Form Responses 1!B:B""),F102)&gt;0,10,),0)"),"")</f>
        <v/>
      </c>
      <c r="R102" s="70" t="str">
        <f>IFERROR(__xludf.DUMMYFUNCTION("IFERROR(VLOOKUP(F102,IMPORTRANGE(""1Ixzbal5tEbtWhozsFEppQzOYE6ZSrkNXHg_HW5k3Wt4"",""Form Responses 1!B:C""),2,FALSE),)"),"")</f>
        <v/>
      </c>
      <c r="S102" s="70" t="str">
        <f>IFERROR(__xludf.DUMMYFUNCTION("IFERROR(VLOOKUP(F102,IMPORTRANGE(""1zxjtEKGvVIJPIDqZdnxENwVpPXYa88EihzyI44hcQUo"",""Form Responses 1!B:C""),2,FALSE),)"),"")</f>
        <v/>
      </c>
      <c r="T102" s="70" t="str">
        <f>IFERROR(__xludf.DUMMYFUNCTION("IFERROR(VLOOKUP(F102,IMPORTRANGE(""1H3cO01obd5zFULYqaT5NAqecZBFFIHeDFn4CeQLZF3w"",""Form Responses 1!B:C""),2,FALSE),)"),"")</f>
        <v/>
      </c>
      <c r="U102" s="70" t="str">
        <f>IFERROR(__xludf.DUMMYFUNCTION("IFERROR(IF(COUNTIF(IMPORTRANGE(""1IG9qoa6PeLdDDFzKpW39lxXshN0-M8Z25a_R1EpsYyg"",""Form Responses 1!B:B""),F102)&gt;0,10,),0)"),"")</f>
        <v/>
      </c>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row>
    <row r="103">
      <c r="B103" s="70" t="str">
        <f>IFERROR(__xludf.DUMMYFUNCTION("IFERROR(IF(COUNTIF(IMPORTRANGE(""1RTcwEJsI_0aJRebhNwO_H_AoKl9r46k7hWYbtciIyM4"",""Form Responses 1!B:B""),A103)&gt;0,10,),0)"),"")</f>
        <v/>
      </c>
      <c r="C103" s="70" t="str">
        <f>IFERROR(__xludf.DUMMYFUNCTION("IFERROR(VLOOKUP(A103,IMPORTRANGE(""11i8IUhq_U6RRKRV3CBWIKqYed_fMvFgNUHTq1YDJfp8"",""Form Responses 1!B:C""),2,FALSE),)"),"")</f>
        <v/>
      </c>
      <c r="D103" s="70" t="str">
        <f>IFERROR(__xludf.DUMMYFUNCTION("IFERROR(VLOOKUP(A103,IMPORTRANGE(""1StiHxuxrFhYdrq5WLR2JMORicW0TbnJf3J-oTHeMRtM"",""Form Responses 1!B:C""),2,FALSE),)"),"")</f>
        <v/>
      </c>
      <c r="E103" s="70" t="str">
        <f>IFERROR(__xludf.DUMMYFUNCTION("IFERROR(VLOOKUP(A103,IMPORTRANGE(""1QaxxyUjrDq2kgz300C1Bq1tacFk6e-xX218cSXCQUK0"",""Form Responses 1!B:C""),2,FALSE),)"),"")</f>
        <v/>
      </c>
      <c r="F103" s="70" t="str">
        <f>IFERROR(__xludf.DUMMYFUNCTION("IFERROR(VLOOKUP(A103,IMPORTRANGE(""1fn2ECph_y8Uz78DhjLaiXcwgt6kh3oe-0Le36Uw0noE"",""Form Responses 1!B:C""),2,FALSE),)"),"")</f>
        <v/>
      </c>
      <c r="G103" s="70"/>
      <c r="H103" s="70"/>
      <c r="I103" s="70"/>
      <c r="J103" s="70"/>
      <c r="K103" s="70"/>
      <c r="L103" s="70"/>
      <c r="M103" s="70"/>
      <c r="N103" s="70"/>
      <c r="O103" s="70"/>
      <c r="P103" s="70"/>
      <c r="Q103" s="70" t="str">
        <f>IFERROR(__xludf.DUMMYFUNCTION("IFERROR(IF(COUNTIF(IMPORTRANGE(""1WjiLR_MTMxI_IZUKuvPO4Sg2rTSIqBzP3edakSRXbOA"",""Form Responses 1!B:B""),F103)&gt;0,10,),0)"),"")</f>
        <v/>
      </c>
      <c r="R103" s="70" t="str">
        <f>IFERROR(__xludf.DUMMYFUNCTION("IFERROR(VLOOKUP(F103,IMPORTRANGE(""1Ixzbal5tEbtWhozsFEppQzOYE6ZSrkNXHg_HW5k3Wt4"",""Form Responses 1!B:C""),2,FALSE),)"),"")</f>
        <v/>
      </c>
      <c r="S103" s="70" t="str">
        <f>IFERROR(__xludf.DUMMYFUNCTION("IFERROR(VLOOKUP(F103,IMPORTRANGE(""1zxjtEKGvVIJPIDqZdnxENwVpPXYa88EihzyI44hcQUo"",""Form Responses 1!B:C""),2,FALSE),)"),"")</f>
        <v/>
      </c>
      <c r="T103" s="70" t="str">
        <f>IFERROR(__xludf.DUMMYFUNCTION("IFERROR(VLOOKUP(F103,IMPORTRANGE(""1H3cO01obd5zFULYqaT5NAqecZBFFIHeDFn4CeQLZF3w"",""Form Responses 1!B:C""),2,FALSE),)"),"")</f>
        <v/>
      </c>
      <c r="U103" s="70" t="str">
        <f>IFERROR(__xludf.DUMMYFUNCTION("IFERROR(IF(COUNTIF(IMPORTRANGE(""1IG9qoa6PeLdDDFzKpW39lxXshN0-M8Z25a_R1EpsYyg"",""Form Responses 1!B:B""),F103)&gt;0,10,),0)"),"")</f>
        <v/>
      </c>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row>
    <row r="104">
      <c r="B104" s="70" t="str">
        <f>IFERROR(__xludf.DUMMYFUNCTION("IFERROR(IF(COUNTIF(IMPORTRANGE(""1RTcwEJsI_0aJRebhNwO_H_AoKl9r46k7hWYbtciIyM4"",""Form Responses 1!B:B""),A104)&gt;0,10,),0)"),"")</f>
        <v/>
      </c>
      <c r="C104" s="70" t="str">
        <f>IFERROR(__xludf.DUMMYFUNCTION("IFERROR(VLOOKUP(A104,IMPORTRANGE(""11i8IUhq_U6RRKRV3CBWIKqYed_fMvFgNUHTq1YDJfp8"",""Form Responses 1!B:C""),2,FALSE),)"),"")</f>
        <v/>
      </c>
      <c r="D104" s="70" t="str">
        <f>IFERROR(__xludf.DUMMYFUNCTION("IFERROR(VLOOKUP(A104,IMPORTRANGE(""1StiHxuxrFhYdrq5WLR2JMORicW0TbnJf3J-oTHeMRtM"",""Form Responses 1!B:C""),2,FALSE),)"),"")</f>
        <v/>
      </c>
      <c r="E104" s="70" t="str">
        <f>IFERROR(__xludf.DUMMYFUNCTION("IFERROR(VLOOKUP(A104,IMPORTRANGE(""1QaxxyUjrDq2kgz300C1Bq1tacFk6e-xX218cSXCQUK0"",""Form Responses 1!B:C""),2,FALSE),)"),"")</f>
        <v/>
      </c>
      <c r="F104" s="70" t="str">
        <f>IFERROR(__xludf.DUMMYFUNCTION("IFERROR(VLOOKUP(A104,IMPORTRANGE(""1fn2ECph_y8Uz78DhjLaiXcwgt6kh3oe-0Le36Uw0noE"",""Form Responses 1!B:C""),2,FALSE),)"),"")</f>
        <v/>
      </c>
      <c r="G104" s="70"/>
      <c r="H104" s="70"/>
      <c r="I104" s="70"/>
      <c r="J104" s="70"/>
      <c r="K104" s="70"/>
      <c r="L104" s="70"/>
      <c r="M104" s="70"/>
      <c r="N104" s="70"/>
      <c r="O104" s="70"/>
      <c r="P104" s="70"/>
      <c r="Q104" s="70" t="str">
        <f>IFERROR(__xludf.DUMMYFUNCTION("IFERROR(IF(COUNTIF(IMPORTRANGE(""1WjiLR_MTMxI_IZUKuvPO4Sg2rTSIqBzP3edakSRXbOA"",""Form Responses 1!B:B""),F104)&gt;0,10,),0)"),"")</f>
        <v/>
      </c>
      <c r="R104" s="70" t="str">
        <f>IFERROR(__xludf.DUMMYFUNCTION("IFERROR(VLOOKUP(F104,IMPORTRANGE(""1Ixzbal5tEbtWhozsFEppQzOYE6ZSrkNXHg_HW5k3Wt4"",""Form Responses 1!B:C""),2,FALSE),)"),"")</f>
        <v/>
      </c>
      <c r="S104" s="70" t="str">
        <f>IFERROR(__xludf.DUMMYFUNCTION("IFERROR(VLOOKUP(F104,IMPORTRANGE(""1zxjtEKGvVIJPIDqZdnxENwVpPXYa88EihzyI44hcQUo"",""Form Responses 1!B:C""),2,FALSE),)"),"")</f>
        <v/>
      </c>
      <c r="T104" s="70" t="str">
        <f>IFERROR(__xludf.DUMMYFUNCTION("IFERROR(VLOOKUP(F104,IMPORTRANGE(""1H3cO01obd5zFULYqaT5NAqecZBFFIHeDFn4CeQLZF3w"",""Form Responses 1!B:C""),2,FALSE),)"),"")</f>
        <v/>
      </c>
      <c r="U104" s="70" t="str">
        <f>IFERROR(__xludf.DUMMYFUNCTION("IFERROR(IF(COUNTIF(IMPORTRANGE(""1IG9qoa6PeLdDDFzKpW39lxXshN0-M8Z25a_R1EpsYyg"",""Form Responses 1!B:B""),F104)&gt;0,10,),0)"),"")</f>
        <v/>
      </c>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row>
    <row r="105">
      <c r="B105" s="70" t="str">
        <f>IFERROR(__xludf.DUMMYFUNCTION("IFERROR(IF(COUNTIF(IMPORTRANGE(""1RTcwEJsI_0aJRebhNwO_H_AoKl9r46k7hWYbtciIyM4"",""Form Responses 1!B:B""),A105)&gt;0,10,),0)"),"")</f>
        <v/>
      </c>
      <c r="C105" s="70" t="str">
        <f>IFERROR(__xludf.DUMMYFUNCTION("IFERROR(VLOOKUP(A105,IMPORTRANGE(""11i8IUhq_U6RRKRV3CBWIKqYed_fMvFgNUHTq1YDJfp8"",""Form Responses 1!B:C""),2,FALSE),)"),"")</f>
        <v/>
      </c>
      <c r="D105" s="70" t="str">
        <f>IFERROR(__xludf.DUMMYFUNCTION("IFERROR(VLOOKUP(A105,IMPORTRANGE(""1StiHxuxrFhYdrq5WLR2JMORicW0TbnJf3J-oTHeMRtM"",""Form Responses 1!B:C""),2,FALSE),)"),"")</f>
        <v/>
      </c>
      <c r="E105" s="70" t="str">
        <f>IFERROR(__xludf.DUMMYFUNCTION("IFERROR(VLOOKUP(A105,IMPORTRANGE(""1QaxxyUjrDq2kgz300C1Bq1tacFk6e-xX218cSXCQUK0"",""Form Responses 1!B:C""),2,FALSE),)"),"")</f>
        <v/>
      </c>
      <c r="F105" s="70" t="str">
        <f>IFERROR(__xludf.DUMMYFUNCTION("IFERROR(VLOOKUP(A105,IMPORTRANGE(""1fn2ECph_y8Uz78DhjLaiXcwgt6kh3oe-0Le36Uw0noE"",""Form Responses 1!B:C""),2,FALSE),)"),"")</f>
        <v/>
      </c>
      <c r="G105" s="70"/>
      <c r="H105" s="70"/>
      <c r="I105" s="70"/>
      <c r="J105" s="70"/>
      <c r="K105" s="70"/>
      <c r="L105" s="70"/>
      <c r="M105" s="70"/>
      <c r="N105" s="70"/>
      <c r="O105" s="70"/>
      <c r="P105" s="70"/>
      <c r="Q105" s="70" t="str">
        <f>IFERROR(__xludf.DUMMYFUNCTION("IFERROR(IF(COUNTIF(IMPORTRANGE(""1WjiLR_MTMxI_IZUKuvPO4Sg2rTSIqBzP3edakSRXbOA"",""Form Responses 1!B:B""),F105)&gt;0,10,),0)"),"")</f>
        <v/>
      </c>
      <c r="R105" s="70" t="str">
        <f>IFERROR(__xludf.DUMMYFUNCTION("IFERROR(VLOOKUP(F105,IMPORTRANGE(""1Ixzbal5tEbtWhozsFEppQzOYE6ZSrkNXHg_HW5k3Wt4"",""Form Responses 1!B:C""),2,FALSE),)"),"")</f>
        <v/>
      </c>
      <c r="S105" s="70" t="str">
        <f>IFERROR(__xludf.DUMMYFUNCTION("IFERROR(VLOOKUP(F105,IMPORTRANGE(""1zxjtEKGvVIJPIDqZdnxENwVpPXYa88EihzyI44hcQUo"",""Form Responses 1!B:C""),2,FALSE),)"),"")</f>
        <v/>
      </c>
      <c r="T105" s="70" t="str">
        <f>IFERROR(__xludf.DUMMYFUNCTION("IFERROR(VLOOKUP(F105,IMPORTRANGE(""1H3cO01obd5zFULYqaT5NAqecZBFFIHeDFn4CeQLZF3w"",""Form Responses 1!B:C""),2,FALSE),)"),"")</f>
        <v/>
      </c>
      <c r="U105" s="70" t="str">
        <f>IFERROR(__xludf.DUMMYFUNCTION("IFERROR(IF(COUNTIF(IMPORTRANGE(""1IG9qoa6PeLdDDFzKpW39lxXshN0-M8Z25a_R1EpsYyg"",""Form Responses 1!B:B""),F105)&gt;0,10,),0)"),"")</f>
        <v/>
      </c>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row>
    <row r="106">
      <c r="B106" s="70" t="str">
        <f>IFERROR(__xludf.DUMMYFUNCTION("IFERROR(IF(COUNTIF(IMPORTRANGE(""1RTcwEJsI_0aJRebhNwO_H_AoKl9r46k7hWYbtciIyM4"",""Form Responses 1!B:B""),A106)&gt;0,10,),0)"),"")</f>
        <v/>
      </c>
      <c r="C106" s="70" t="str">
        <f>IFERROR(__xludf.DUMMYFUNCTION("IFERROR(VLOOKUP(A106,IMPORTRANGE(""11i8IUhq_U6RRKRV3CBWIKqYed_fMvFgNUHTq1YDJfp8"",""Form Responses 1!B:C""),2,FALSE),)"),"")</f>
        <v/>
      </c>
      <c r="D106" s="70" t="str">
        <f>IFERROR(__xludf.DUMMYFUNCTION("IFERROR(VLOOKUP(A106,IMPORTRANGE(""1StiHxuxrFhYdrq5WLR2JMORicW0TbnJf3J-oTHeMRtM"",""Form Responses 1!B:C""),2,FALSE),)"),"")</f>
        <v/>
      </c>
      <c r="E106" s="70" t="str">
        <f>IFERROR(__xludf.DUMMYFUNCTION("IFERROR(VLOOKUP(A106,IMPORTRANGE(""1QaxxyUjrDq2kgz300C1Bq1tacFk6e-xX218cSXCQUK0"",""Form Responses 1!B:C""),2,FALSE),)"),"")</f>
        <v/>
      </c>
      <c r="F106" s="70" t="str">
        <f>IFERROR(__xludf.DUMMYFUNCTION("IFERROR(VLOOKUP(A106,IMPORTRANGE(""1fn2ECph_y8Uz78DhjLaiXcwgt6kh3oe-0Le36Uw0noE"",""Form Responses 1!B:C""),2,FALSE),)"),"")</f>
        <v/>
      </c>
      <c r="G106" s="70"/>
      <c r="H106" s="70"/>
      <c r="I106" s="70"/>
      <c r="J106" s="70"/>
      <c r="K106" s="70"/>
      <c r="L106" s="70"/>
      <c r="M106" s="70"/>
      <c r="N106" s="70"/>
      <c r="O106" s="70"/>
      <c r="P106" s="70"/>
      <c r="Q106" s="70" t="str">
        <f>IFERROR(__xludf.DUMMYFUNCTION("IFERROR(IF(COUNTIF(IMPORTRANGE(""1WjiLR_MTMxI_IZUKuvPO4Sg2rTSIqBzP3edakSRXbOA"",""Form Responses 1!B:B""),F106)&gt;0,10,),0)"),"")</f>
        <v/>
      </c>
      <c r="R106" s="70" t="str">
        <f>IFERROR(__xludf.DUMMYFUNCTION("IFERROR(VLOOKUP(F106,IMPORTRANGE(""1Ixzbal5tEbtWhozsFEppQzOYE6ZSrkNXHg_HW5k3Wt4"",""Form Responses 1!B:C""),2,FALSE),)"),"")</f>
        <v/>
      </c>
      <c r="S106" s="70" t="str">
        <f>IFERROR(__xludf.DUMMYFUNCTION("IFERROR(VLOOKUP(F106,IMPORTRANGE(""1zxjtEKGvVIJPIDqZdnxENwVpPXYa88EihzyI44hcQUo"",""Form Responses 1!B:C""),2,FALSE),)"),"")</f>
        <v/>
      </c>
      <c r="T106" s="70" t="str">
        <f>IFERROR(__xludf.DUMMYFUNCTION("IFERROR(VLOOKUP(F106,IMPORTRANGE(""1H3cO01obd5zFULYqaT5NAqecZBFFIHeDFn4CeQLZF3w"",""Form Responses 1!B:C""),2,FALSE),)"),"")</f>
        <v/>
      </c>
      <c r="U106" s="70" t="str">
        <f>IFERROR(__xludf.DUMMYFUNCTION("IFERROR(IF(COUNTIF(IMPORTRANGE(""1IG9qoa6PeLdDDFzKpW39lxXshN0-M8Z25a_R1EpsYyg"",""Form Responses 1!B:B""),F106)&gt;0,10,),0)"),"")</f>
        <v/>
      </c>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row>
    <row r="107">
      <c r="B107" s="70" t="str">
        <f>IFERROR(__xludf.DUMMYFUNCTION("IFERROR(IF(COUNTIF(IMPORTRANGE(""1RTcwEJsI_0aJRebhNwO_H_AoKl9r46k7hWYbtciIyM4"",""Form Responses 1!B:B""),A107)&gt;0,10,),0)"),"")</f>
        <v/>
      </c>
      <c r="C107" s="70" t="str">
        <f>IFERROR(__xludf.DUMMYFUNCTION("IFERROR(VLOOKUP(A107,IMPORTRANGE(""11i8IUhq_U6RRKRV3CBWIKqYed_fMvFgNUHTq1YDJfp8"",""Form Responses 1!B:C""),2,FALSE),)"),"")</f>
        <v/>
      </c>
      <c r="D107" s="70" t="str">
        <f>IFERROR(__xludf.DUMMYFUNCTION("IFERROR(VLOOKUP(A107,IMPORTRANGE(""1StiHxuxrFhYdrq5WLR2JMORicW0TbnJf3J-oTHeMRtM"",""Form Responses 1!B:C""),2,FALSE),)"),"")</f>
        <v/>
      </c>
      <c r="E107" s="70" t="str">
        <f>IFERROR(__xludf.DUMMYFUNCTION("IFERROR(VLOOKUP(A107,IMPORTRANGE(""1QaxxyUjrDq2kgz300C1Bq1tacFk6e-xX218cSXCQUK0"",""Form Responses 1!B:C""),2,FALSE),)"),"")</f>
        <v/>
      </c>
      <c r="F107" s="70" t="str">
        <f>IFERROR(__xludf.DUMMYFUNCTION("IFERROR(VLOOKUP(A107,IMPORTRANGE(""1fn2ECph_y8Uz78DhjLaiXcwgt6kh3oe-0Le36Uw0noE"",""Form Responses 1!B:C""),2,FALSE),)"),"")</f>
        <v/>
      </c>
      <c r="G107" s="70"/>
      <c r="H107" s="70"/>
      <c r="I107" s="70"/>
      <c r="J107" s="70"/>
      <c r="K107" s="70"/>
      <c r="L107" s="70"/>
      <c r="M107" s="70"/>
      <c r="N107" s="70"/>
      <c r="O107" s="70"/>
      <c r="P107" s="70"/>
      <c r="Q107" s="70" t="str">
        <f>IFERROR(__xludf.DUMMYFUNCTION("IFERROR(IF(COUNTIF(IMPORTRANGE(""1WjiLR_MTMxI_IZUKuvPO4Sg2rTSIqBzP3edakSRXbOA"",""Form Responses 1!B:B""),F107)&gt;0,10,),0)"),"")</f>
        <v/>
      </c>
      <c r="R107" s="70" t="str">
        <f>IFERROR(__xludf.DUMMYFUNCTION("IFERROR(VLOOKUP(F107,IMPORTRANGE(""1Ixzbal5tEbtWhozsFEppQzOYE6ZSrkNXHg_HW5k3Wt4"",""Form Responses 1!B:C""),2,FALSE),)"),"")</f>
        <v/>
      </c>
      <c r="S107" s="70" t="str">
        <f>IFERROR(__xludf.DUMMYFUNCTION("IFERROR(VLOOKUP(F107,IMPORTRANGE(""1zxjtEKGvVIJPIDqZdnxENwVpPXYa88EihzyI44hcQUo"",""Form Responses 1!B:C""),2,FALSE),)"),"")</f>
        <v/>
      </c>
      <c r="T107" s="70" t="str">
        <f>IFERROR(__xludf.DUMMYFUNCTION("IFERROR(VLOOKUP(F107,IMPORTRANGE(""1H3cO01obd5zFULYqaT5NAqecZBFFIHeDFn4CeQLZF3w"",""Form Responses 1!B:C""),2,FALSE),)"),"")</f>
        <v/>
      </c>
      <c r="U107" s="70" t="str">
        <f>IFERROR(__xludf.DUMMYFUNCTION("IFERROR(IF(COUNTIF(IMPORTRANGE(""1IG9qoa6PeLdDDFzKpW39lxXshN0-M8Z25a_R1EpsYyg"",""Form Responses 1!B:B""),F107)&gt;0,10,),0)"),"")</f>
        <v/>
      </c>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row>
    <row r="108">
      <c r="B108" s="70" t="str">
        <f>IFERROR(__xludf.DUMMYFUNCTION("IFERROR(IF(COUNTIF(IMPORTRANGE(""1RTcwEJsI_0aJRebhNwO_H_AoKl9r46k7hWYbtciIyM4"",""Form Responses 1!B:B""),A108)&gt;0,10,),0)"),"")</f>
        <v/>
      </c>
      <c r="C108" s="70" t="str">
        <f>IFERROR(__xludf.DUMMYFUNCTION("IFERROR(VLOOKUP(A108,IMPORTRANGE(""11i8IUhq_U6RRKRV3CBWIKqYed_fMvFgNUHTq1YDJfp8"",""Form Responses 1!B:C""),2,FALSE),)"),"")</f>
        <v/>
      </c>
      <c r="D108" s="70" t="str">
        <f>IFERROR(__xludf.DUMMYFUNCTION("IFERROR(VLOOKUP(A108,IMPORTRANGE(""1StiHxuxrFhYdrq5WLR2JMORicW0TbnJf3J-oTHeMRtM"",""Form Responses 1!B:C""),2,FALSE),)"),"")</f>
        <v/>
      </c>
      <c r="E108" s="70" t="str">
        <f>IFERROR(__xludf.DUMMYFUNCTION("IFERROR(VLOOKUP(A108,IMPORTRANGE(""1QaxxyUjrDq2kgz300C1Bq1tacFk6e-xX218cSXCQUK0"",""Form Responses 1!B:C""),2,FALSE),)"),"")</f>
        <v/>
      </c>
      <c r="F108" s="70" t="str">
        <f>IFERROR(__xludf.DUMMYFUNCTION("IFERROR(VLOOKUP(A108,IMPORTRANGE(""1fn2ECph_y8Uz78DhjLaiXcwgt6kh3oe-0Le36Uw0noE"",""Form Responses 1!B:C""),2,FALSE),)"),"")</f>
        <v/>
      </c>
      <c r="G108" s="70"/>
      <c r="H108" s="70"/>
      <c r="I108" s="70"/>
      <c r="J108" s="70"/>
      <c r="K108" s="70"/>
      <c r="L108" s="70"/>
      <c r="M108" s="70"/>
      <c r="N108" s="70"/>
      <c r="O108" s="70"/>
      <c r="P108" s="70"/>
      <c r="Q108" s="70" t="str">
        <f>IFERROR(__xludf.DUMMYFUNCTION("IFERROR(IF(COUNTIF(IMPORTRANGE(""1WjiLR_MTMxI_IZUKuvPO4Sg2rTSIqBzP3edakSRXbOA"",""Form Responses 1!B:B""),F108)&gt;0,10,),0)"),"")</f>
        <v/>
      </c>
      <c r="R108" s="70" t="str">
        <f>IFERROR(__xludf.DUMMYFUNCTION("IFERROR(VLOOKUP(F108,IMPORTRANGE(""1Ixzbal5tEbtWhozsFEppQzOYE6ZSrkNXHg_HW5k3Wt4"",""Form Responses 1!B:C""),2,FALSE),)"),"")</f>
        <v/>
      </c>
      <c r="S108" s="70" t="str">
        <f>IFERROR(__xludf.DUMMYFUNCTION("IFERROR(VLOOKUP(F108,IMPORTRANGE(""1zxjtEKGvVIJPIDqZdnxENwVpPXYa88EihzyI44hcQUo"",""Form Responses 1!B:C""),2,FALSE),)"),"")</f>
        <v/>
      </c>
      <c r="T108" s="70" t="str">
        <f>IFERROR(__xludf.DUMMYFUNCTION("IFERROR(VLOOKUP(F108,IMPORTRANGE(""1H3cO01obd5zFULYqaT5NAqecZBFFIHeDFn4CeQLZF3w"",""Form Responses 1!B:C""),2,FALSE),)"),"")</f>
        <v/>
      </c>
      <c r="U108" s="70" t="str">
        <f>IFERROR(__xludf.DUMMYFUNCTION("IFERROR(IF(COUNTIF(IMPORTRANGE(""1IG9qoa6PeLdDDFzKpW39lxXshN0-M8Z25a_R1EpsYyg"",""Form Responses 1!B:B""),F108)&gt;0,10,),0)"),"")</f>
        <v/>
      </c>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row>
    <row r="109">
      <c r="B109" s="70" t="str">
        <f>IFERROR(__xludf.DUMMYFUNCTION("IFERROR(IF(COUNTIF(IMPORTRANGE(""1RTcwEJsI_0aJRebhNwO_H_AoKl9r46k7hWYbtciIyM4"",""Form Responses 1!B:B""),A109)&gt;0,10,),0)"),"")</f>
        <v/>
      </c>
      <c r="C109" s="70" t="str">
        <f>IFERROR(__xludf.DUMMYFUNCTION("IFERROR(VLOOKUP(A109,IMPORTRANGE(""11i8IUhq_U6RRKRV3CBWIKqYed_fMvFgNUHTq1YDJfp8"",""Form Responses 1!B:C""),2,FALSE),)"),"")</f>
        <v/>
      </c>
      <c r="D109" s="70" t="str">
        <f>IFERROR(__xludf.DUMMYFUNCTION("IFERROR(VLOOKUP(A109,IMPORTRANGE(""1StiHxuxrFhYdrq5WLR2JMORicW0TbnJf3J-oTHeMRtM"",""Form Responses 1!B:C""),2,FALSE),)"),"")</f>
        <v/>
      </c>
      <c r="E109" s="70" t="str">
        <f>IFERROR(__xludf.DUMMYFUNCTION("IFERROR(VLOOKUP(A109,IMPORTRANGE(""1QaxxyUjrDq2kgz300C1Bq1tacFk6e-xX218cSXCQUK0"",""Form Responses 1!B:C""),2,FALSE),)"),"")</f>
        <v/>
      </c>
      <c r="F109" s="70" t="str">
        <f>IFERROR(__xludf.DUMMYFUNCTION("IFERROR(VLOOKUP(A109,IMPORTRANGE(""1fn2ECph_y8Uz78DhjLaiXcwgt6kh3oe-0Le36Uw0noE"",""Form Responses 1!B:C""),2,FALSE),)"),"")</f>
        <v/>
      </c>
      <c r="G109" s="70"/>
      <c r="H109" s="70"/>
      <c r="I109" s="70"/>
      <c r="J109" s="70"/>
      <c r="K109" s="70"/>
      <c r="L109" s="70"/>
      <c r="M109" s="70"/>
      <c r="N109" s="70"/>
      <c r="O109" s="70"/>
      <c r="P109" s="70"/>
      <c r="Q109" s="70" t="str">
        <f>IFERROR(__xludf.DUMMYFUNCTION("IFERROR(IF(COUNTIF(IMPORTRANGE(""1WjiLR_MTMxI_IZUKuvPO4Sg2rTSIqBzP3edakSRXbOA"",""Form Responses 1!B:B""),F109)&gt;0,10,),0)"),"")</f>
        <v/>
      </c>
      <c r="R109" s="70" t="str">
        <f>IFERROR(__xludf.DUMMYFUNCTION("IFERROR(VLOOKUP(F109,IMPORTRANGE(""1Ixzbal5tEbtWhozsFEppQzOYE6ZSrkNXHg_HW5k3Wt4"",""Form Responses 1!B:C""),2,FALSE),)"),"")</f>
        <v/>
      </c>
      <c r="S109" s="70" t="str">
        <f>IFERROR(__xludf.DUMMYFUNCTION("IFERROR(VLOOKUP(F109,IMPORTRANGE(""1zxjtEKGvVIJPIDqZdnxENwVpPXYa88EihzyI44hcQUo"",""Form Responses 1!B:C""),2,FALSE),)"),"")</f>
        <v/>
      </c>
      <c r="T109" s="70" t="str">
        <f>IFERROR(__xludf.DUMMYFUNCTION("IFERROR(VLOOKUP(F109,IMPORTRANGE(""1H3cO01obd5zFULYqaT5NAqecZBFFIHeDFn4CeQLZF3w"",""Form Responses 1!B:C""),2,FALSE),)"),"")</f>
        <v/>
      </c>
      <c r="U109" s="70" t="str">
        <f>IFERROR(__xludf.DUMMYFUNCTION("IFERROR(IF(COUNTIF(IMPORTRANGE(""1IG9qoa6PeLdDDFzKpW39lxXshN0-M8Z25a_R1EpsYyg"",""Form Responses 1!B:B""),F109)&gt;0,10,),0)"),"")</f>
        <v/>
      </c>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row>
    <row r="110">
      <c r="B110" s="70" t="str">
        <f>IFERROR(__xludf.DUMMYFUNCTION("IFERROR(IF(COUNTIF(IMPORTRANGE(""1RTcwEJsI_0aJRebhNwO_H_AoKl9r46k7hWYbtciIyM4"",""Form Responses 1!B:B""),A110)&gt;0,10,),0)"),"")</f>
        <v/>
      </c>
      <c r="C110" s="70" t="str">
        <f>IFERROR(__xludf.DUMMYFUNCTION("IFERROR(VLOOKUP(A110,IMPORTRANGE(""11i8IUhq_U6RRKRV3CBWIKqYed_fMvFgNUHTq1YDJfp8"",""Form Responses 1!B:C""),2,FALSE),)"),"")</f>
        <v/>
      </c>
      <c r="D110" s="70" t="str">
        <f>IFERROR(__xludf.DUMMYFUNCTION("IFERROR(VLOOKUP(A110,IMPORTRANGE(""1StiHxuxrFhYdrq5WLR2JMORicW0TbnJf3J-oTHeMRtM"",""Form Responses 1!B:C""),2,FALSE),)"),"")</f>
        <v/>
      </c>
      <c r="E110" s="70" t="str">
        <f>IFERROR(__xludf.DUMMYFUNCTION("IFERROR(VLOOKUP(A110,IMPORTRANGE(""1QaxxyUjrDq2kgz300C1Bq1tacFk6e-xX218cSXCQUK0"",""Form Responses 1!B:C""),2,FALSE),)"),"")</f>
        <v/>
      </c>
      <c r="F110" s="70" t="str">
        <f>IFERROR(__xludf.DUMMYFUNCTION("IFERROR(VLOOKUP(A110,IMPORTRANGE(""1fn2ECph_y8Uz78DhjLaiXcwgt6kh3oe-0Le36Uw0noE"",""Form Responses 1!B:C""),2,FALSE),)"),"")</f>
        <v/>
      </c>
      <c r="G110" s="70"/>
      <c r="H110" s="70"/>
      <c r="I110" s="70"/>
      <c r="J110" s="70"/>
      <c r="K110" s="70"/>
      <c r="L110" s="70"/>
      <c r="M110" s="70"/>
      <c r="N110" s="70"/>
      <c r="O110" s="70"/>
      <c r="P110" s="70"/>
      <c r="Q110" s="70" t="str">
        <f>IFERROR(__xludf.DUMMYFUNCTION("IFERROR(IF(COUNTIF(IMPORTRANGE(""1WjiLR_MTMxI_IZUKuvPO4Sg2rTSIqBzP3edakSRXbOA"",""Form Responses 1!B:B""),F110)&gt;0,10,),0)"),"")</f>
        <v/>
      </c>
      <c r="R110" s="70" t="str">
        <f>IFERROR(__xludf.DUMMYFUNCTION("IFERROR(VLOOKUP(F110,IMPORTRANGE(""1Ixzbal5tEbtWhozsFEppQzOYE6ZSrkNXHg_HW5k3Wt4"",""Form Responses 1!B:C""),2,FALSE),)"),"")</f>
        <v/>
      </c>
      <c r="S110" s="70" t="str">
        <f>IFERROR(__xludf.DUMMYFUNCTION("IFERROR(VLOOKUP(F110,IMPORTRANGE(""1zxjtEKGvVIJPIDqZdnxENwVpPXYa88EihzyI44hcQUo"",""Form Responses 1!B:C""),2,FALSE),)"),"")</f>
        <v/>
      </c>
      <c r="T110" s="70" t="str">
        <f>IFERROR(__xludf.DUMMYFUNCTION("IFERROR(VLOOKUP(F110,IMPORTRANGE(""1H3cO01obd5zFULYqaT5NAqecZBFFIHeDFn4CeQLZF3w"",""Form Responses 1!B:C""),2,FALSE),)"),"")</f>
        <v/>
      </c>
      <c r="U110" s="70" t="str">
        <f>IFERROR(__xludf.DUMMYFUNCTION("IFERROR(IF(COUNTIF(IMPORTRANGE(""1IG9qoa6PeLdDDFzKpW39lxXshN0-M8Z25a_R1EpsYyg"",""Form Responses 1!B:B""),F110)&gt;0,10,),0)"),"")</f>
        <v/>
      </c>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row>
    <row r="111">
      <c r="B111" s="70" t="str">
        <f>IFERROR(__xludf.DUMMYFUNCTION("IFERROR(IF(COUNTIF(IMPORTRANGE(""1RTcwEJsI_0aJRebhNwO_H_AoKl9r46k7hWYbtciIyM4"",""Form Responses 1!B:B""),A111)&gt;0,10,),0)"),"")</f>
        <v/>
      </c>
      <c r="C111" s="70" t="str">
        <f>IFERROR(__xludf.DUMMYFUNCTION("IFERROR(VLOOKUP(A111,IMPORTRANGE(""11i8IUhq_U6RRKRV3CBWIKqYed_fMvFgNUHTq1YDJfp8"",""Form Responses 1!B:C""),2,FALSE),)"),"")</f>
        <v/>
      </c>
      <c r="D111" s="70" t="str">
        <f>IFERROR(__xludf.DUMMYFUNCTION("IFERROR(VLOOKUP(A111,IMPORTRANGE(""1StiHxuxrFhYdrq5WLR2JMORicW0TbnJf3J-oTHeMRtM"",""Form Responses 1!B:C""),2,FALSE),)"),"")</f>
        <v/>
      </c>
      <c r="E111" s="70" t="str">
        <f>IFERROR(__xludf.DUMMYFUNCTION("IFERROR(VLOOKUP(A111,IMPORTRANGE(""1QaxxyUjrDq2kgz300C1Bq1tacFk6e-xX218cSXCQUK0"",""Form Responses 1!B:C""),2,FALSE),)"),"")</f>
        <v/>
      </c>
      <c r="F111" s="70" t="str">
        <f>IFERROR(__xludf.DUMMYFUNCTION("IFERROR(VLOOKUP(A111,IMPORTRANGE(""1fn2ECph_y8Uz78DhjLaiXcwgt6kh3oe-0Le36Uw0noE"",""Form Responses 1!B:C""),2,FALSE),)"),"")</f>
        <v/>
      </c>
      <c r="G111" s="70"/>
      <c r="H111" s="70"/>
      <c r="I111" s="70"/>
      <c r="J111" s="70"/>
      <c r="K111" s="70"/>
      <c r="L111" s="70"/>
      <c r="M111" s="70"/>
      <c r="N111" s="70"/>
      <c r="O111" s="70"/>
      <c r="P111" s="70"/>
      <c r="Q111" s="70" t="str">
        <f>IFERROR(__xludf.DUMMYFUNCTION("IFERROR(IF(COUNTIF(IMPORTRANGE(""1WjiLR_MTMxI_IZUKuvPO4Sg2rTSIqBzP3edakSRXbOA"",""Form Responses 1!B:B""),F111)&gt;0,10,),0)"),"")</f>
        <v/>
      </c>
      <c r="R111" s="70" t="str">
        <f>IFERROR(__xludf.DUMMYFUNCTION("IFERROR(VLOOKUP(F111,IMPORTRANGE(""1Ixzbal5tEbtWhozsFEppQzOYE6ZSrkNXHg_HW5k3Wt4"",""Form Responses 1!B:C""),2,FALSE),)"),"")</f>
        <v/>
      </c>
      <c r="S111" s="70" t="str">
        <f>IFERROR(__xludf.DUMMYFUNCTION("IFERROR(VLOOKUP(F111,IMPORTRANGE(""1zxjtEKGvVIJPIDqZdnxENwVpPXYa88EihzyI44hcQUo"",""Form Responses 1!B:C""),2,FALSE),)"),"")</f>
        <v/>
      </c>
      <c r="T111" s="70" t="str">
        <f>IFERROR(__xludf.DUMMYFUNCTION("IFERROR(VLOOKUP(F111,IMPORTRANGE(""1H3cO01obd5zFULYqaT5NAqecZBFFIHeDFn4CeQLZF3w"",""Form Responses 1!B:C""),2,FALSE),)"),"")</f>
        <v/>
      </c>
      <c r="U111" s="70" t="str">
        <f>IFERROR(__xludf.DUMMYFUNCTION("IFERROR(IF(COUNTIF(IMPORTRANGE(""1IG9qoa6PeLdDDFzKpW39lxXshN0-M8Z25a_R1EpsYyg"",""Form Responses 1!B:B""),F111)&gt;0,10,),0)"),"")</f>
        <v/>
      </c>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row>
    <row r="112">
      <c r="B112" s="70" t="str">
        <f>IFERROR(__xludf.DUMMYFUNCTION("IFERROR(IF(COUNTIF(IMPORTRANGE(""1RTcwEJsI_0aJRebhNwO_H_AoKl9r46k7hWYbtciIyM4"",""Form Responses 1!B:B""),A112)&gt;0,10,),0)"),"")</f>
        <v/>
      </c>
      <c r="C112" s="70" t="str">
        <f>IFERROR(__xludf.DUMMYFUNCTION("IFERROR(VLOOKUP(A112,IMPORTRANGE(""11i8IUhq_U6RRKRV3CBWIKqYed_fMvFgNUHTq1YDJfp8"",""Form Responses 1!B:C""),2,FALSE),)"),"")</f>
        <v/>
      </c>
      <c r="D112" s="70" t="str">
        <f>IFERROR(__xludf.DUMMYFUNCTION("IFERROR(VLOOKUP(A112,IMPORTRANGE(""1StiHxuxrFhYdrq5WLR2JMORicW0TbnJf3J-oTHeMRtM"",""Form Responses 1!B:C""),2,FALSE),)"),"")</f>
        <v/>
      </c>
      <c r="E112" s="70" t="str">
        <f>IFERROR(__xludf.DUMMYFUNCTION("IFERROR(VLOOKUP(A112,IMPORTRANGE(""1QaxxyUjrDq2kgz300C1Bq1tacFk6e-xX218cSXCQUK0"",""Form Responses 1!B:C""),2,FALSE),)"),"")</f>
        <v/>
      </c>
      <c r="F112" s="70" t="str">
        <f>IFERROR(__xludf.DUMMYFUNCTION("IFERROR(VLOOKUP(A112,IMPORTRANGE(""1fn2ECph_y8Uz78DhjLaiXcwgt6kh3oe-0Le36Uw0noE"",""Form Responses 1!B:C""),2,FALSE),)"),"")</f>
        <v/>
      </c>
      <c r="G112" s="70"/>
      <c r="H112" s="70"/>
      <c r="I112" s="70"/>
      <c r="J112" s="70"/>
      <c r="K112" s="70"/>
      <c r="L112" s="70"/>
      <c r="M112" s="70"/>
      <c r="N112" s="70"/>
      <c r="O112" s="70"/>
      <c r="P112" s="70"/>
      <c r="Q112" s="70" t="str">
        <f>IFERROR(__xludf.DUMMYFUNCTION("IFERROR(IF(COUNTIF(IMPORTRANGE(""1WjiLR_MTMxI_IZUKuvPO4Sg2rTSIqBzP3edakSRXbOA"",""Form Responses 1!B:B""),F112)&gt;0,10,),0)"),"")</f>
        <v/>
      </c>
      <c r="R112" s="70" t="str">
        <f>IFERROR(__xludf.DUMMYFUNCTION("IFERROR(VLOOKUP(F112,IMPORTRANGE(""1Ixzbal5tEbtWhozsFEppQzOYE6ZSrkNXHg_HW5k3Wt4"",""Form Responses 1!B:C""),2,FALSE),)"),"")</f>
        <v/>
      </c>
      <c r="S112" s="70" t="str">
        <f>IFERROR(__xludf.DUMMYFUNCTION("IFERROR(VLOOKUP(F112,IMPORTRANGE(""1zxjtEKGvVIJPIDqZdnxENwVpPXYa88EihzyI44hcQUo"",""Form Responses 1!B:C""),2,FALSE),)"),"")</f>
        <v/>
      </c>
      <c r="T112" s="70" t="str">
        <f>IFERROR(__xludf.DUMMYFUNCTION("IFERROR(VLOOKUP(F112,IMPORTRANGE(""1H3cO01obd5zFULYqaT5NAqecZBFFIHeDFn4CeQLZF3w"",""Form Responses 1!B:C""),2,FALSE),)"),"")</f>
        <v/>
      </c>
      <c r="U112" s="70" t="str">
        <f>IFERROR(__xludf.DUMMYFUNCTION("IFERROR(IF(COUNTIF(IMPORTRANGE(""1IG9qoa6PeLdDDFzKpW39lxXshN0-M8Z25a_R1EpsYyg"",""Form Responses 1!B:B""),F112)&gt;0,10,),0)"),"")</f>
        <v/>
      </c>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0"/>
      <c r="AT112" s="70"/>
      <c r="AU112" s="70"/>
    </row>
    <row r="113">
      <c r="B113" s="70" t="str">
        <f>IFERROR(__xludf.DUMMYFUNCTION("IFERROR(IF(COUNTIF(IMPORTRANGE(""1RTcwEJsI_0aJRebhNwO_H_AoKl9r46k7hWYbtciIyM4"",""Form Responses 1!B:B""),A113)&gt;0,10,),0)"),"")</f>
        <v/>
      </c>
      <c r="C113" s="70" t="str">
        <f>IFERROR(__xludf.DUMMYFUNCTION("IFERROR(VLOOKUP(A113,IMPORTRANGE(""11i8IUhq_U6RRKRV3CBWIKqYed_fMvFgNUHTq1YDJfp8"",""Form Responses 1!B:C""),2,FALSE),)"),"")</f>
        <v/>
      </c>
      <c r="D113" s="70" t="str">
        <f>IFERROR(__xludf.DUMMYFUNCTION("IFERROR(VLOOKUP(A113,IMPORTRANGE(""1StiHxuxrFhYdrq5WLR2JMORicW0TbnJf3J-oTHeMRtM"",""Form Responses 1!B:C""),2,FALSE),)"),"")</f>
        <v/>
      </c>
      <c r="E113" s="70" t="str">
        <f>IFERROR(__xludf.DUMMYFUNCTION("IFERROR(VLOOKUP(A113,IMPORTRANGE(""1QaxxyUjrDq2kgz300C1Bq1tacFk6e-xX218cSXCQUK0"",""Form Responses 1!B:C""),2,FALSE),)"),"")</f>
        <v/>
      </c>
      <c r="F113" s="70" t="str">
        <f>IFERROR(__xludf.DUMMYFUNCTION("IFERROR(VLOOKUP(A113,IMPORTRANGE(""1fn2ECph_y8Uz78DhjLaiXcwgt6kh3oe-0Le36Uw0noE"",""Form Responses 1!B:C""),2,FALSE),)"),"")</f>
        <v/>
      </c>
      <c r="G113" s="70"/>
      <c r="H113" s="70"/>
      <c r="I113" s="70"/>
      <c r="J113" s="70"/>
      <c r="K113" s="70"/>
      <c r="L113" s="70"/>
      <c r="M113" s="70"/>
      <c r="N113" s="70"/>
      <c r="O113" s="70"/>
      <c r="P113" s="70"/>
      <c r="Q113" s="70" t="str">
        <f>IFERROR(__xludf.DUMMYFUNCTION("IFERROR(IF(COUNTIF(IMPORTRANGE(""1WjiLR_MTMxI_IZUKuvPO4Sg2rTSIqBzP3edakSRXbOA"",""Form Responses 1!B:B""),F113)&gt;0,10,),0)"),"")</f>
        <v/>
      </c>
      <c r="R113" s="70" t="str">
        <f>IFERROR(__xludf.DUMMYFUNCTION("IFERROR(VLOOKUP(F113,IMPORTRANGE(""1Ixzbal5tEbtWhozsFEppQzOYE6ZSrkNXHg_HW5k3Wt4"",""Form Responses 1!B:C""),2,FALSE),)"),"")</f>
        <v/>
      </c>
      <c r="S113" s="70" t="str">
        <f>IFERROR(__xludf.DUMMYFUNCTION("IFERROR(VLOOKUP(F113,IMPORTRANGE(""1zxjtEKGvVIJPIDqZdnxENwVpPXYa88EihzyI44hcQUo"",""Form Responses 1!B:C""),2,FALSE),)"),"")</f>
        <v/>
      </c>
      <c r="T113" s="70" t="str">
        <f>IFERROR(__xludf.DUMMYFUNCTION("IFERROR(VLOOKUP(F113,IMPORTRANGE(""1H3cO01obd5zFULYqaT5NAqecZBFFIHeDFn4CeQLZF3w"",""Form Responses 1!B:C""),2,FALSE),)"),"")</f>
        <v/>
      </c>
      <c r="U113" s="70" t="str">
        <f>IFERROR(__xludf.DUMMYFUNCTION("IFERROR(IF(COUNTIF(IMPORTRANGE(""1IG9qoa6PeLdDDFzKpW39lxXshN0-M8Z25a_R1EpsYyg"",""Form Responses 1!B:B""),F113)&gt;0,10,),0)"),"")</f>
        <v/>
      </c>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c r="AU113" s="70"/>
    </row>
    <row r="114">
      <c r="B114" s="70" t="str">
        <f>IFERROR(__xludf.DUMMYFUNCTION("IFERROR(IF(COUNTIF(IMPORTRANGE(""1RTcwEJsI_0aJRebhNwO_H_AoKl9r46k7hWYbtciIyM4"",""Form Responses 1!B:B""),A114)&gt;0,10,),0)"),"")</f>
        <v/>
      </c>
      <c r="C114" s="70" t="str">
        <f>IFERROR(__xludf.DUMMYFUNCTION("IFERROR(VLOOKUP(A114,IMPORTRANGE(""11i8IUhq_U6RRKRV3CBWIKqYed_fMvFgNUHTq1YDJfp8"",""Form Responses 1!B:C""),2,FALSE),)"),"")</f>
        <v/>
      </c>
      <c r="D114" s="70" t="str">
        <f>IFERROR(__xludf.DUMMYFUNCTION("IFERROR(VLOOKUP(A114,IMPORTRANGE(""1StiHxuxrFhYdrq5WLR2JMORicW0TbnJf3J-oTHeMRtM"",""Form Responses 1!B:C""),2,FALSE),)"),"")</f>
        <v/>
      </c>
      <c r="E114" s="70" t="str">
        <f>IFERROR(__xludf.DUMMYFUNCTION("IFERROR(VLOOKUP(A114,IMPORTRANGE(""1QaxxyUjrDq2kgz300C1Bq1tacFk6e-xX218cSXCQUK0"",""Form Responses 1!B:C""),2,FALSE),)"),"")</f>
        <v/>
      </c>
      <c r="F114" s="70" t="str">
        <f>IFERROR(__xludf.DUMMYFUNCTION("IFERROR(VLOOKUP(A114,IMPORTRANGE(""1fn2ECph_y8Uz78DhjLaiXcwgt6kh3oe-0Le36Uw0noE"",""Form Responses 1!B:C""),2,FALSE),)"),"")</f>
        <v/>
      </c>
      <c r="G114" s="70"/>
      <c r="H114" s="70"/>
      <c r="I114" s="70"/>
      <c r="J114" s="70"/>
      <c r="K114" s="70"/>
      <c r="L114" s="70"/>
      <c r="M114" s="70"/>
      <c r="N114" s="70"/>
      <c r="O114" s="70"/>
      <c r="P114" s="70"/>
      <c r="Q114" s="70" t="str">
        <f>IFERROR(__xludf.DUMMYFUNCTION("IFERROR(IF(COUNTIF(IMPORTRANGE(""1WjiLR_MTMxI_IZUKuvPO4Sg2rTSIqBzP3edakSRXbOA"",""Form Responses 1!B:B""),F114)&gt;0,10,),0)"),"")</f>
        <v/>
      </c>
      <c r="R114" s="70" t="str">
        <f>IFERROR(__xludf.DUMMYFUNCTION("IFERROR(VLOOKUP(F114,IMPORTRANGE(""1Ixzbal5tEbtWhozsFEppQzOYE6ZSrkNXHg_HW5k3Wt4"",""Form Responses 1!B:C""),2,FALSE),)"),"")</f>
        <v/>
      </c>
      <c r="S114" s="70" t="str">
        <f>IFERROR(__xludf.DUMMYFUNCTION("IFERROR(VLOOKUP(F114,IMPORTRANGE(""1zxjtEKGvVIJPIDqZdnxENwVpPXYa88EihzyI44hcQUo"",""Form Responses 1!B:C""),2,FALSE),)"),"")</f>
        <v/>
      </c>
      <c r="T114" s="70" t="str">
        <f>IFERROR(__xludf.DUMMYFUNCTION("IFERROR(VLOOKUP(F114,IMPORTRANGE(""1H3cO01obd5zFULYqaT5NAqecZBFFIHeDFn4CeQLZF3w"",""Form Responses 1!B:C""),2,FALSE),)"),"")</f>
        <v/>
      </c>
      <c r="U114" s="70" t="str">
        <f>IFERROR(__xludf.DUMMYFUNCTION("IFERROR(IF(COUNTIF(IMPORTRANGE(""1IG9qoa6PeLdDDFzKpW39lxXshN0-M8Z25a_R1EpsYyg"",""Form Responses 1!B:B""),F114)&gt;0,10,),0)"),"")</f>
        <v/>
      </c>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c r="AT114" s="70"/>
      <c r="AU114" s="70"/>
    </row>
    <row r="115">
      <c r="B115" s="70" t="str">
        <f>IFERROR(__xludf.DUMMYFUNCTION("IFERROR(IF(COUNTIF(IMPORTRANGE(""1RTcwEJsI_0aJRebhNwO_H_AoKl9r46k7hWYbtciIyM4"",""Form Responses 1!B:B""),A115)&gt;0,10,),0)"),"")</f>
        <v/>
      </c>
      <c r="C115" s="70" t="str">
        <f>IFERROR(__xludf.DUMMYFUNCTION("IFERROR(VLOOKUP(A115,IMPORTRANGE(""11i8IUhq_U6RRKRV3CBWIKqYed_fMvFgNUHTq1YDJfp8"",""Form Responses 1!B:C""),2,FALSE),)"),"")</f>
        <v/>
      </c>
      <c r="D115" s="70" t="str">
        <f>IFERROR(__xludf.DUMMYFUNCTION("IFERROR(VLOOKUP(A115,IMPORTRANGE(""1StiHxuxrFhYdrq5WLR2JMORicW0TbnJf3J-oTHeMRtM"",""Form Responses 1!B:C""),2,FALSE),)"),"")</f>
        <v/>
      </c>
      <c r="E115" s="70" t="str">
        <f>IFERROR(__xludf.DUMMYFUNCTION("IFERROR(VLOOKUP(A115,IMPORTRANGE(""1QaxxyUjrDq2kgz300C1Bq1tacFk6e-xX218cSXCQUK0"",""Form Responses 1!B:C""),2,FALSE),)"),"")</f>
        <v/>
      </c>
      <c r="F115" s="70" t="str">
        <f>IFERROR(__xludf.DUMMYFUNCTION("IFERROR(VLOOKUP(A115,IMPORTRANGE(""1fn2ECph_y8Uz78DhjLaiXcwgt6kh3oe-0Le36Uw0noE"",""Form Responses 1!B:C""),2,FALSE),)"),"")</f>
        <v/>
      </c>
      <c r="G115" s="70"/>
      <c r="H115" s="70"/>
      <c r="I115" s="70"/>
      <c r="J115" s="70"/>
      <c r="K115" s="70"/>
      <c r="L115" s="70"/>
      <c r="M115" s="70"/>
      <c r="N115" s="70"/>
      <c r="O115" s="70"/>
      <c r="P115" s="70"/>
      <c r="Q115" s="70" t="str">
        <f>IFERROR(__xludf.DUMMYFUNCTION("IFERROR(IF(COUNTIF(IMPORTRANGE(""1WjiLR_MTMxI_IZUKuvPO4Sg2rTSIqBzP3edakSRXbOA"",""Form Responses 1!B:B""),F115)&gt;0,10,),0)"),"")</f>
        <v/>
      </c>
      <c r="R115" s="70" t="str">
        <f>IFERROR(__xludf.DUMMYFUNCTION("IFERROR(VLOOKUP(F115,IMPORTRANGE(""1Ixzbal5tEbtWhozsFEppQzOYE6ZSrkNXHg_HW5k3Wt4"",""Form Responses 1!B:C""),2,FALSE),)"),"")</f>
        <v/>
      </c>
      <c r="S115" s="70" t="str">
        <f>IFERROR(__xludf.DUMMYFUNCTION("IFERROR(VLOOKUP(F115,IMPORTRANGE(""1zxjtEKGvVIJPIDqZdnxENwVpPXYa88EihzyI44hcQUo"",""Form Responses 1!B:C""),2,FALSE),)"),"")</f>
        <v/>
      </c>
      <c r="T115" s="70" t="str">
        <f>IFERROR(__xludf.DUMMYFUNCTION("IFERROR(VLOOKUP(F115,IMPORTRANGE(""1H3cO01obd5zFULYqaT5NAqecZBFFIHeDFn4CeQLZF3w"",""Form Responses 1!B:C""),2,FALSE),)"),"")</f>
        <v/>
      </c>
      <c r="U115" s="70" t="str">
        <f>IFERROR(__xludf.DUMMYFUNCTION("IFERROR(IF(COUNTIF(IMPORTRANGE(""1IG9qoa6PeLdDDFzKpW39lxXshN0-M8Z25a_R1EpsYyg"",""Form Responses 1!B:B""),F115)&gt;0,10,),0)"),"")</f>
        <v/>
      </c>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row>
    <row r="116">
      <c r="B116" s="70" t="str">
        <f>IFERROR(__xludf.DUMMYFUNCTION("IFERROR(IF(COUNTIF(IMPORTRANGE(""1RTcwEJsI_0aJRebhNwO_H_AoKl9r46k7hWYbtciIyM4"",""Form Responses 1!B:B""),A116)&gt;0,10,),0)"),"")</f>
        <v/>
      </c>
      <c r="C116" s="70" t="str">
        <f>IFERROR(__xludf.DUMMYFUNCTION("IFERROR(VLOOKUP(A116,IMPORTRANGE(""11i8IUhq_U6RRKRV3CBWIKqYed_fMvFgNUHTq1YDJfp8"",""Form Responses 1!B:C""),2,FALSE),)"),"")</f>
        <v/>
      </c>
      <c r="D116" s="70" t="str">
        <f>IFERROR(__xludf.DUMMYFUNCTION("IFERROR(VLOOKUP(A116,IMPORTRANGE(""1StiHxuxrFhYdrq5WLR2JMORicW0TbnJf3J-oTHeMRtM"",""Form Responses 1!B:C""),2,FALSE),)"),"")</f>
        <v/>
      </c>
      <c r="E116" s="70" t="str">
        <f>IFERROR(__xludf.DUMMYFUNCTION("IFERROR(VLOOKUP(A116,IMPORTRANGE(""1QaxxyUjrDq2kgz300C1Bq1tacFk6e-xX218cSXCQUK0"",""Form Responses 1!B:C""),2,FALSE),)"),"")</f>
        <v/>
      </c>
      <c r="F116" s="70" t="str">
        <f>IFERROR(__xludf.DUMMYFUNCTION("IFERROR(VLOOKUP(A116,IMPORTRANGE(""1fn2ECph_y8Uz78DhjLaiXcwgt6kh3oe-0Le36Uw0noE"",""Form Responses 1!B:C""),2,FALSE),)"),"")</f>
        <v/>
      </c>
      <c r="G116" s="70"/>
      <c r="H116" s="70"/>
      <c r="I116" s="70"/>
      <c r="J116" s="70"/>
      <c r="K116" s="70"/>
      <c r="L116" s="70"/>
      <c r="M116" s="70"/>
      <c r="N116" s="70"/>
      <c r="O116" s="70"/>
      <c r="P116" s="70"/>
      <c r="Q116" s="70" t="str">
        <f>IFERROR(__xludf.DUMMYFUNCTION("IFERROR(IF(COUNTIF(IMPORTRANGE(""1WjiLR_MTMxI_IZUKuvPO4Sg2rTSIqBzP3edakSRXbOA"",""Form Responses 1!B:B""),F116)&gt;0,10,),0)"),"")</f>
        <v/>
      </c>
      <c r="R116" s="70" t="str">
        <f>IFERROR(__xludf.DUMMYFUNCTION("IFERROR(VLOOKUP(F116,IMPORTRANGE(""1Ixzbal5tEbtWhozsFEppQzOYE6ZSrkNXHg_HW5k3Wt4"",""Form Responses 1!B:C""),2,FALSE),)"),"")</f>
        <v/>
      </c>
      <c r="S116" s="70" t="str">
        <f>IFERROR(__xludf.DUMMYFUNCTION("IFERROR(VLOOKUP(F116,IMPORTRANGE(""1zxjtEKGvVIJPIDqZdnxENwVpPXYa88EihzyI44hcQUo"",""Form Responses 1!B:C""),2,FALSE),)"),"")</f>
        <v/>
      </c>
      <c r="T116" s="70" t="str">
        <f>IFERROR(__xludf.DUMMYFUNCTION("IFERROR(VLOOKUP(F116,IMPORTRANGE(""1H3cO01obd5zFULYqaT5NAqecZBFFIHeDFn4CeQLZF3w"",""Form Responses 1!B:C""),2,FALSE),)"),"")</f>
        <v/>
      </c>
      <c r="U116" s="70" t="str">
        <f>IFERROR(__xludf.DUMMYFUNCTION("IFERROR(IF(COUNTIF(IMPORTRANGE(""1IG9qoa6PeLdDDFzKpW39lxXshN0-M8Z25a_R1EpsYyg"",""Form Responses 1!B:B""),F116)&gt;0,10,),0)"),"")</f>
        <v/>
      </c>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row>
    <row r="117">
      <c r="B117" s="70" t="str">
        <f>IFERROR(__xludf.DUMMYFUNCTION("IFERROR(IF(COUNTIF(IMPORTRANGE(""1RTcwEJsI_0aJRebhNwO_H_AoKl9r46k7hWYbtciIyM4"",""Form Responses 1!B:B""),A117)&gt;0,10,),0)"),"")</f>
        <v/>
      </c>
      <c r="C117" s="70" t="str">
        <f>IFERROR(__xludf.DUMMYFUNCTION("IFERROR(VLOOKUP(A117,IMPORTRANGE(""11i8IUhq_U6RRKRV3CBWIKqYed_fMvFgNUHTq1YDJfp8"",""Form Responses 1!B:C""),2,FALSE),)"),"")</f>
        <v/>
      </c>
      <c r="D117" s="70" t="str">
        <f>IFERROR(__xludf.DUMMYFUNCTION("IFERROR(VLOOKUP(A117,IMPORTRANGE(""1StiHxuxrFhYdrq5WLR2JMORicW0TbnJf3J-oTHeMRtM"",""Form Responses 1!B:C""),2,FALSE),)"),"")</f>
        <v/>
      </c>
      <c r="E117" s="70" t="str">
        <f>IFERROR(__xludf.DUMMYFUNCTION("IFERROR(VLOOKUP(A117,IMPORTRANGE(""1QaxxyUjrDq2kgz300C1Bq1tacFk6e-xX218cSXCQUK0"",""Form Responses 1!B:C""),2,FALSE),)"),"")</f>
        <v/>
      </c>
      <c r="F117" s="70" t="str">
        <f>IFERROR(__xludf.DUMMYFUNCTION("IFERROR(VLOOKUP(A117,IMPORTRANGE(""1fn2ECph_y8Uz78DhjLaiXcwgt6kh3oe-0Le36Uw0noE"",""Form Responses 1!B:C""),2,FALSE),)"),"")</f>
        <v/>
      </c>
      <c r="G117" s="70"/>
      <c r="H117" s="70"/>
      <c r="I117" s="70"/>
      <c r="J117" s="70"/>
      <c r="K117" s="70"/>
      <c r="L117" s="70"/>
      <c r="M117" s="70"/>
      <c r="N117" s="70"/>
      <c r="O117" s="70"/>
      <c r="P117" s="70"/>
      <c r="Q117" s="70" t="str">
        <f>IFERROR(__xludf.DUMMYFUNCTION("IFERROR(IF(COUNTIF(IMPORTRANGE(""1WjiLR_MTMxI_IZUKuvPO4Sg2rTSIqBzP3edakSRXbOA"",""Form Responses 1!B:B""),F117)&gt;0,10,),0)"),"")</f>
        <v/>
      </c>
      <c r="R117" s="70" t="str">
        <f>IFERROR(__xludf.DUMMYFUNCTION("IFERROR(VLOOKUP(F117,IMPORTRANGE(""1Ixzbal5tEbtWhozsFEppQzOYE6ZSrkNXHg_HW5k3Wt4"",""Form Responses 1!B:C""),2,FALSE),)"),"")</f>
        <v/>
      </c>
      <c r="S117" s="70" t="str">
        <f>IFERROR(__xludf.DUMMYFUNCTION("IFERROR(VLOOKUP(F117,IMPORTRANGE(""1zxjtEKGvVIJPIDqZdnxENwVpPXYa88EihzyI44hcQUo"",""Form Responses 1!B:C""),2,FALSE),)"),"")</f>
        <v/>
      </c>
      <c r="T117" s="70" t="str">
        <f>IFERROR(__xludf.DUMMYFUNCTION("IFERROR(VLOOKUP(F117,IMPORTRANGE(""1H3cO01obd5zFULYqaT5NAqecZBFFIHeDFn4CeQLZF3w"",""Form Responses 1!B:C""),2,FALSE),)"),"")</f>
        <v/>
      </c>
      <c r="U117" s="70" t="str">
        <f>IFERROR(__xludf.DUMMYFUNCTION("IFERROR(IF(COUNTIF(IMPORTRANGE(""1IG9qoa6PeLdDDFzKpW39lxXshN0-M8Z25a_R1EpsYyg"",""Form Responses 1!B:B""),F117)&gt;0,10,),0)"),"")</f>
        <v/>
      </c>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row>
    <row r="118">
      <c r="B118" s="70" t="str">
        <f>IFERROR(__xludf.DUMMYFUNCTION("IFERROR(IF(COUNTIF(IMPORTRANGE(""1RTcwEJsI_0aJRebhNwO_H_AoKl9r46k7hWYbtciIyM4"",""Form Responses 1!B:B""),A118)&gt;0,10,),0)"),"")</f>
        <v/>
      </c>
      <c r="C118" s="70" t="str">
        <f>IFERROR(__xludf.DUMMYFUNCTION("IFERROR(VLOOKUP(A118,IMPORTRANGE(""11i8IUhq_U6RRKRV3CBWIKqYed_fMvFgNUHTq1YDJfp8"",""Form Responses 1!B:C""),2,FALSE),)"),"")</f>
        <v/>
      </c>
      <c r="D118" s="70" t="str">
        <f>IFERROR(__xludf.DUMMYFUNCTION("IFERROR(VLOOKUP(A118,IMPORTRANGE(""1StiHxuxrFhYdrq5WLR2JMORicW0TbnJf3J-oTHeMRtM"",""Form Responses 1!B:C""),2,FALSE),)"),"")</f>
        <v/>
      </c>
      <c r="E118" s="70" t="str">
        <f>IFERROR(__xludf.DUMMYFUNCTION("IFERROR(VLOOKUP(A118,IMPORTRANGE(""1QaxxyUjrDq2kgz300C1Bq1tacFk6e-xX218cSXCQUK0"",""Form Responses 1!B:C""),2,FALSE),)"),"")</f>
        <v/>
      </c>
      <c r="F118" s="70" t="str">
        <f>IFERROR(__xludf.DUMMYFUNCTION("IFERROR(VLOOKUP(A118,IMPORTRANGE(""1fn2ECph_y8Uz78DhjLaiXcwgt6kh3oe-0Le36Uw0noE"",""Form Responses 1!B:C""),2,FALSE),)"),"")</f>
        <v/>
      </c>
      <c r="G118" s="70"/>
      <c r="H118" s="70"/>
      <c r="I118" s="70"/>
      <c r="J118" s="70"/>
      <c r="K118" s="70"/>
      <c r="L118" s="70"/>
      <c r="M118" s="70"/>
      <c r="N118" s="70"/>
      <c r="O118" s="70"/>
      <c r="P118" s="70"/>
      <c r="Q118" s="70" t="str">
        <f>IFERROR(__xludf.DUMMYFUNCTION("IFERROR(IF(COUNTIF(IMPORTRANGE(""1WjiLR_MTMxI_IZUKuvPO4Sg2rTSIqBzP3edakSRXbOA"",""Form Responses 1!B:B""),F118)&gt;0,10,),0)"),"")</f>
        <v/>
      </c>
      <c r="R118" s="70" t="str">
        <f>IFERROR(__xludf.DUMMYFUNCTION("IFERROR(VLOOKUP(F118,IMPORTRANGE(""1Ixzbal5tEbtWhozsFEppQzOYE6ZSrkNXHg_HW5k3Wt4"",""Form Responses 1!B:C""),2,FALSE),)"),"")</f>
        <v/>
      </c>
      <c r="S118" s="70" t="str">
        <f>IFERROR(__xludf.DUMMYFUNCTION("IFERROR(VLOOKUP(F118,IMPORTRANGE(""1zxjtEKGvVIJPIDqZdnxENwVpPXYa88EihzyI44hcQUo"",""Form Responses 1!B:C""),2,FALSE),)"),"")</f>
        <v/>
      </c>
      <c r="T118" s="70" t="str">
        <f>IFERROR(__xludf.DUMMYFUNCTION("IFERROR(VLOOKUP(F118,IMPORTRANGE(""1H3cO01obd5zFULYqaT5NAqecZBFFIHeDFn4CeQLZF3w"",""Form Responses 1!B:C""),2,FALSE),)"),"")</f>
        <v/>
      </c>
      <c r="U118" s="70" t="str">
        <f>IFERROR(__xludf.DUMMYFUNCTION("IFERROR(IF(COUNTIF(IMPORTRANGE(""1IG9qoa6PeLdDDFzKpW39lxXshN0-M8Z25a_R1EpsYyg"",""Form Responses 1!B:B""),F118)&gt;0,10,),0)"),"")</f>
        <v/>
      </c>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row>
    <row r="119">
      <c r="B119" s="70" t="str">
        <f>IFERROR(__xludf.DUMMYFUNCTION("IFERROR(IF(COUNTIF(IMPORTRANGE(""1RTcwEJsI_0aJRebhNwO_H_AoKl9r46k7hWYbtciIyM4"",""Form Responses 1!B:B""),A119)&gt;0,10,),0)"),"")</f>
        <v/>
      </c>
      <c r="C119" s="70" t="str">
        <f>IFERROR(__xludf.DUMMYFUNCTION("IFERROR(VLOOKUP(A119,IMPORTRANGE(""11i8IUhq_U6RRKRV3CBWIKqYed_fMvFgNUHTq1YDJfp8"",""Form Responses 1!B:C""),2,FALSE),)"),"")</f>
        <v/>
      </c>
      <c r="D119" s="70" t="str">
        <f>IFERROR(__xludf.DUMMYFUNCTION("IFERROR(VLOOKUP(A119,IMPORTRANGE(""1StiHxuxrFhYdrq5WLR2JMORicW0TbnJf3J-oTHeMRtM"",""Form Responses 1!B:C""),2,FALSE),)"),"")</f>
        <v/>
      </c>
      <c r="E119" s="70" t="str">
        <f>IFERROR(__xludf.DUMMYFUNCTION("IFERROR(VLOOKUP(A119,IMPORTRANGE(""1QaxxyUjrDq2kgz300C1Bq1tacFk6e-xX218cSXCQUK0"",""Form Responses 1!B:C""),2,FALSE),)"),"")</f>
        <v/>
      </c>
      <c r="F119" s="70" t="str">
        <f>IFERROR(__xludf.DUMMYFUNCTION("IFERROR(VLOOKUP(A119,IMPORTRANGE(""1fn2ECph_y8Uz78DhjLaiXcwgt6kh3oe-0Le36Uw0noE"",""Form Responses 1!B:C""),2,FALSE),)"),"")</f>
        <v/>
      </c>
      <c r="G119" s="70"/>
      <c r="H119" s="70"/>
      <c r="I119" s="70"/>
      <c r="J119" s="70"/>
      <c r="K119" s="70"/>
      <c r="L119" s="70"/>
      <c r="M119" s="70"/>
      <c r="N119" s="70"/>
      <c r="O119" s="70"/>
      <c r="P119" s="70"/>
      <c r="Q119" s="70" t="str">
        <f>IFERROR(__xludf.DUMMYFUNCTION("IFERROR(IF(COUNTIF(IMPORTRANGE(""1WjiLR_MTMxI_IZUKuvPO4Sg2rTSIqBzP3edakSRXbOA"",""Form Responses 1!B:B""),F119)&gt;0,10,),0)"),"")</f>
        <v/>
      </c>
      <c r="R119" s="70" t="str">
        <f>IFERROR(__xludf.DUMMYFUNCTION("IFERROR(VLOOKUP(F119,IMPORTRANGE(""1Ixzbal5tEbtWhozsFEppQzOYE6ZSrkNXHg_HW5k3Wt4"",""Form Responses 1!B:C""),2,FALSE),)"),"")</f>
        <v/>
      </c>
      <c r="S119" s="70" t="str">
        <f>IFERROR(__xludf.DUMMYFUNCTION("IFERROR(VLOOKUP(F119,IMPORTRANGE(""1zxjtEKGvVIJPIDqZdnxENwVpPXYa88EihzyI44hcQUo"",""Form Responses 1!B:C""),2,FALSE),)"),"")</f>
        <v/>
      </c>
      <c r="T119" s="70" t="str">
        <f>IFERROR(__xludf.DUMMYFUNCTION("IFERROR(VLOOKUP(F119,IMPORTRANGE(""1H3cO01obd5zFULYqaT5NAqecZBFFIHeDFn4CeQLZF3w"",""Form Responses 1!B:C""),2,FALSE),)"),"")</f>
        <v/>
      </c>
      <c r="U119" s="70" t="str">
        <f>IFERROR(__xludf.DUMMYFUNCTION("IFERROR(IF(COUNTIF(IMPORTRANGE(""1IG9qoa6PeLdDDFzKpW39lxXshN0-M8Z25a_R1EpsYyg"",""Form Responses 1!B:B""),F119)&gt;0,10,),0)"),"")</f>
        <v/>
      </c>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row>
    <row r="120">
      <c r="B120" s="70" t="str">
        <f>IFERROR(__xludf.DUMMYFUNCTION("IFERROR(IF(COUNTIF(IMPORTRANGE(""1RTcwEJsI_0aJRebhNwO_H_AoKl9r46k7hWYbtciIyM4"",""Form Responses 1!B:B""),A120)&gt;0,10,),0)"),"")</f>
        <v/>
      </c>
      <c r="C120" s="70" t="str">
        <f>IFERROR(__xludf.DUMMYFUNCTION("IFERROR(VLOOKUP(A120,IMPORTRANGE(""11i8IUhq_U6RRKRV3CBWIKqYed_fMvFgNUHTq1YDJfp8"",""Form Responses 1!B:C""),2,FALSE),)"),"")</f>
        <v/>
      </c>
      <c r="D120" s="70" t="str">
        <f>IFERROR(__xludf.DUMMYFUNCTION("IFERROR(VLOOKUP(A120,IMPORTRANGE(""1StiHxuxrFhYdrq5WLR2JMORicW0TbnJf3J-oTHeMRtM"",""Form Responses 1!B:C""),2,FALSE),)"),"")</f>
        <v/>
      </c>
      <c r="E120" s="70" t="str">
        <f>IFERROR(__xludf.DUMMYFUNCTION("IFERROR(VLOOKUP(A120,IMPORTRANGE(""1QaxxyUjrDq2kgz300C1Bq1tacFk6e-xX218cSXCQUK0"",""Form Responses 1!B:C""),2,FALSE),)"),"")</f>
        <v/>
      </c>
      <c r="F120" s="70" t="str">
        <f>IFERROR(__xludf.DUMMYFUNCTION("IFERROR(VLOOKUP(A120,IMPORTRANGE(""1fn2ECph_y8Uz78DhjLaiXcwgt6kh3oe-0Le36Uw0noE"",""Form Responses 1!B:C""),2,FALSE),)"),"")</f>
        <v/>
      </c>
      <c r="G120" s="70"/>
      <c r="H120" s="70"/>
      <c r="I120" s="70"/>
      <c r="J120" s="70"/>
      <c r="K120" s="70"/>
      <c r="L120" s="70"/>
      <c r="M120" s="70"/>
      <c r="N120" s="70"/>
      <c r="O120" s="70"/>
      <c r="P120" s="70"/>
      <c r="Q120" s="70" t="str">
        <f>IFERROR(__xludf.DUMMYFUNCTION("IFERROR(IF(COUNTIF(IMPORTRANGE(""1WjiLR_MTMxI_IZUKuvPO4Sg2rTSIqBzP3edakSRXbOA"",""Form Responses 1!B:B""),F120)&gt;0,10,),0)"),"")</f>
        <v/>
      </c>
      <c r="R120" s="70" t="str">
        <f>IFERROR(__xludf.DUMMYFUNCTION("IFERROR(VLOOKUP(F120,IMPORTRANGE(""1Ixzbal5tEbtWhozsFEppQzOYE6ZSrkNXHg_HW5k3Wt4"",""Form Responses 1!B:C""),2,FALSE),)"),"")</f>
        <v/>
      </c>
      <c r="S120" s="70" t="str">
        <f>IFERROR(__xludf.DUMMYFUNCTION("IFERROR(VLOOKUP(F120,IMPORTRANGE(""1zxjtEKGvVIJPIDqZdnxENwVpPXYa88EihzyI44hcQUo"",""Form Responses 1!B:C""),2,FALSE),)"),"")</f>
        <v/>
      </c>
      <c r="T120" s="70" t="str">
        <f>IFERROR(__xludf.DUMMYFUNCTION("IFERROR(VLOOKUP(F120,IMPORTRANGE(""1H3cO01obd5zFULYqaT5NAqecZBFFIHeDFn4CeQLZF3w"",""Form Responses 1!B:C""),2,FALSE),)"),"")</f>
        <v/>
      </c>
      <c r="U120" s="70" t="str">
        <f>IFERROR(__xludf.DUMMYFUNCTION("IFERROR(IF(COUNTIF(IMPORTRANGE(""1IG9qoa6PeLdDDFzKpW39lxXshN0-M8Z25a_R1EpsYyg"",""Form Responses 1!B:B""),F120)&gt;0,10,),0)"),"")</f>
        <v/>
      </c>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row>
    <row r="121">
      <c r="B121" s="70" t="str">
        <f>IFERROR(__xludf.DUMMYFUNCTION("IFERROR(IF(COUNTIF(IMPORTRANGE(""1RTcwEJsI_0aJRebhNwO_H_AoKl9r46k7hWYbtciIyM4"",""Form Responses 1!B:B""),A121)&gt;0,10,),0)"),"")</f>
        <v/>
      </c>
      <c r="C121" s="70" t="str">
        <f>IFERROR(__xludf.DUMMYFUNCTION("IFERROR(VLOOKUP(A121,IMPORTRANGE(""11i8IUhq_U6RRKRV3CBWIKqYed_fMvFgNUHTq1YDJfp8"",""Form Responses 1!B:C""),2,FALSE),)"),"")</f>
        <v/>
      </c>
      <c r="D121" s="70" t="str">
        <f>IFERROR(__xludf.DUMMYFUNCTION("IFERROR(VLOOKUP(A121,IMPORTRANGE(""1StiHxuxrFhYdrq5WLR2JMORicW0TbnJf3J-oTHeMRtM"",""Form Responses 1!B:C""),2,FALSE),)"),"")</f>
        <v/>
      </c>
      <c r="E121" s="70" t="str">
        <f>IFERROR(__xludf.DUMMYFUNCTION("IFERROR(VLOOKUP(A121,IMPORTRANGE(""1QaxxyUjrDq2kgz300C1Bq1tacFk6e-xX218cSXCQUK0"",""Form Responses 1!B:C""),2,FALSE),)"),"")</f>
        <v/>
      </c>
      <c r="F121" s="70" t="str">
        <f>IFERROR(__xludf.DUMMYFUNCTION("IFERROR(VLOOKUP(A121,IMPORTRANGE(""1fn2ECph_y8Uz78DhjLaiXcwgt6kh3oe-0Le36Uw0noE"",""Form Responses 1!B:C""),2,FALSE),)"),"")</f>
        <v/>
      </c>
      <c r="G121" s="70"/>
      <c r="H121" s="70"/>
      <c r="I121" s="70"/>
      <c r="J121" s="70"/>
      <c r="K121" s="70"/>
      <c r="L121" s="70"/>
      <c r="M121" s="70"/>
      <c r="N121" s="70"/>
      <c r="O121" s="70"/>
      <c r="P121" s="70"/>
      <c r="Q121" s="70" t="str">
        <f>IFERROR(__xludf.DUMMYFUNCTION("IFERROR(IF(COUNTIF(IMPORTRANGE(""1WjiLR_MTMxI_IZUKuvPO4Sg2rTSIqBzP3edakSRXbOA"",""Form Responses 1!B:B""),F121)&gt;0,10,),0)"),"")</f>
        <v/>
      </c>
      <c r="R121" s="70" t="str">
        <f>IFERROR(__xludf.DUMMYFUNCTION("IFERROR(VLOOKUP(F121,IMPORTRANGE(""1Ixzbal5tEbtWhozsFEppQzOYE6ZSrkNXHg_HW5k3Wt4"",""Form Responses 1!B:C""),2,FALSE),)"),"")</f>
        <v/>
      </c>
      <c r="S121" s="70" t="str">
        <f>IFERROR(__xludf.DUMMYFUNCTION("IFERROR(VLOOKUP(F121,IMPORTRANGE(""1zxjtEKGvVIJPIDqZdnxENwVpPXYa88EihzyI44hcQUo"",""Form Responses 1!B:C""),2,FALSE),)"),"")</f>
        <v/>
      </c>
      <c r="T121" s="70" t="str">
        <f>IFERROR(__xludf.DUMMYFUNCTION("IFERROR(VLOOKUP(F121,IMPORTRANGE(""1H3cO01obd5zFULYqaT5NAqecZBFFIHeDFn4CeQLZF3w"",""Form Responses 1!B:C""),2,FALSE),)"),"")</f>
        <v/>
      </c>
      <c r="U121" s="70" t="str">
        <f>IFERROR(__xludf.DUMMYFUNCTION("IFERROR(IF(COUNTIF(IMPORTRANGE(""1IG9qoa6PeLdDDFzKpW39lxXshN0-M8Z25a_R1EpsYyg"",""Form Responses 1!B:B""),F121)&gt;0,10,),0)"),"")</f>
        <v/>
      </c>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row>
    <row r="122">
      <c r="B122" s="70" t="str">
        <f>IFERROR(__xludf.DUMMYFUNCTION("IFERROR(IF(COUNTIF(IMPORTRANGE(""1RTcwEJsI_0aJRebhNwO_H_AoKl9r46k7hWYbtciIyM4"",""Form Responses 1!B:B""),A122)&gt;0,10,),0)"),"")</f>
        <v/>
      </c>
      <c r="C122" s="70" t="str">
        <f>IFERROR(__xludf.DUMMYFUNCTION("IFERROR(VLOOKUP(A122,IMPORTRANGE(""11i8IUhq_U6RRKRV3CBWIKqYed_fMvFgNUHTq1YDJfp8"",""Form Responses 1!B:C""),2,FALSE),)"),"")</f>
        <v/>
      </c>
      <c r="D122" s="70" t="str">
        <f>IFERROR(__xludf.DUMMYFUNCTION("IFERROR(VLOOKUP(A122,IMPORTRANGE(""1StiHxuxrFhYdrq5WLR2JMORicW0TbnJf3J-oTHeMRtM"",""Form Responses 1!B:C""),2,FALSE),)"),"")</f>
        <v/>
      </c>
      <c r="E122" s="70" t="str">
        <f>IFERROR(__xludf.DUMMYFUNCTION("IFERROR(VLOOKUP(A122,IMPORTRANGE(""1QaxxyUjrDq2kgz300C1Bq1tacFk6e-xX218cSXCQUK0"",""Form Responses 1!B:C""),2,FALSE),)"),"")</f>
        <v/>
      </c>
      <c r="F122" s="70" t="str">
        <f>IFERROR(__xludf.DUMMYFUNCTION("IFERROR(VLOOKUP(A122,IMPORTRANGE(""1fn2ECph_y8Uz78DhjLaiXcwgt6kh3oe-0Le36Uw0noE"",""Form Responses 1!B:C""),2,FALSE),)"),"")</f>
        <v/>
      </c>
      <c r="G122" s="70"/>
      <c r="H122" s="70"/>
      <c r="I122" s="70"/>
      <c r="J122" s="70"/>
      <c r="K122" s="70"/>
      <c r="L122" s="70"/>
      <c r="M122" s="70"/>
      <c r="N122" s="70"/>
      <c r="O122" s="70"/>
      <c r="P122" s="70"/>
      <c r="Q122" s="70" t="str">
        <f>IFERROR(__xludf.DUMMYFUNCTION("IFERROR(IF(COUNTIF(IMPORTRANGE(""1WjiLR_MTMxI_IZUKuvPO4Sg2rTSIqBzP3edakSRXbOA"",""Form Responses 1!B:B""),F122)&gt;0,10,),0)"),"")</f>
        <v/>
      </c>
      <c r="R122" s="70" t="str">
        <f>IFERROR(__xludf.DUMMYFUNCTION("IFERROR(VLOOKUP(F122,IMPORTRANGE(""1Ixzbal5tEbtWhozsFEppQzOYE6ZSrkNXHg_HW5k3Wt4"",""Form Responses 1!B:C""),2,FALSE),)"),"")</f>
        <v/>
      </c>
      <c r="S122" s="70" t="str">
        <f>IFERROR(__xludf.DUMMYFUNCTION("IFERROR(VLOOKUP(F122,IMPORTRANGE(""1zxjtEKGvVIJPIDqZdnxENwVpPXYa88EihzyI44hcQUo"",""Form Responses 1!B:C""),2,FALSE),)"),"")</f>
        <v/>
      </c>
      <c r="T122" s="70" t="str">
        <f>IFERROR(__xludf.DUMMYFUNCTION("IFERROR(VLOOKUP(F122,IMPORTRANGE(""1H3cO01obd5zFULYqaT5NAqecZBFFIHeDFn4CeQLZF3w"",""Form Responses 1!B:C""),2,FALSE),)"),"")</f>
        <v/>
      </c>
      <c r="U122" s="70" t="str">
        <f>IFERROR(__xludf.DUMMYFUNCTION("IFERROR(IF(COUNTIF(IMPORTRANGE(""1IG9qoa6PeLdDDFzKpW39lxXshN0-M8Z25a_R1EpsYyg"",""Form Responses 1!B:B""),F122)&gt;0,10,),0)"),"")</f>
        <v/>
      </c>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row>
    <row r="123">
      <c r="B123" s="70" t="str">
        <f>IFERROR(__xludf.DUMMYFUNCTION("IFERROR(IF(COUNTIF(IMPORTRANGE(""1RTcwEJsI_0aJRebhNwO_H_AoKl9r46k7hWYbtciIyM4"",""Form Responses 1!B:B""),A123)&gt;0,10,),0)"),"")</f>
        <v/>
      </c>
      <c r="C123" s="70" t="str">
        <f>IFERROR(__xludf.DUMMYFUNCTION("IFERROR(VLOOKUP(A123,IMPORTRANGE(""11i8IUhq_U6RRKRV3CBWIKqYed_fMvFgNUHTq1YDJfp8"",""Form Responses 1!B:C""),2,FALSE),)"),"")</f>
        <v/>
      </c>
      <c r="D123" s="70" t="str">
        <f>IFERROR(__xludf.DUMMYFUNCTION("IFERROR(VLOOKUP(A123,IMPORTRANGE(""1StiHxuxrFhYdrq5WLR2JMORicW0TbnJf3J-oTHeMRtM"",""Form Responses 1!B:C""),2,FALSE),)"),"")</f>
        <v/>
      </c>
      <c r="E123" s="70" t="str">
        <f>IFERROR(__xludf.DUMMYFUNCTION("IFERROR(VLOOKUP(A123,IMPORTRANGE(""1QaxxyUjrDq2kgz300C1Bq1tacFk6e-xX218cSXCQUK0"",""Form Responses 1!B:C""),2,FALSE),)"),"")</f>
        <v/>
      </c>
      <c r="F123" s="70" t="str">
        <f>IFERROR(__xludf.DUMMYFUNCTION("IFERROR(VLOOKUP(A123,IMPORTRANGE(""1fn2ECph_y8Uz78DhjLaiXcwgt6kh3oe-0Le36Uw0noE"",""Form Responses 1!B:C""),2,FALSE),)"),"")</f>
        <v/>
      </c>
      <c r="G123" s="70"/>
      <c r="H123" s="70"/>
      <c r="I123" s="70"/>
      <c r="J123" s="70"/>
      <c r="K123" s="70"/>
      <c r="L123" s="70"/>
      <c r="M123" s="70"/>
      <c r="N123" s="70"/>
      <c r="O123" s="70"/>
      <c r="P123" s="70"/>
      <c r="Q123" s="70" t="str">
        <f>IFERROR(__xludf.DUMMYFUNCTION("IFERROR(IF(COUNTIF(IMPORTRANGE(""1WjiLR_MTMxI_IZUKuvPO4Sg2rTSIqBzP3edakSRXbOA"",""Form Responses 1!B:B""),F123)&gt;0,10,),0)"),"")</f>
        <v/>
      </c>
      <c r="R123" s="70" t="str">
        <f>IFERROR(__xludf.DUMMYFUNCTION("IFERROR(VLOOKUP(F123,IMPORTRANGE(""1Ixzbal5tEbtWhozsFEppQzOYE6ZSrkNXHg_HW5k3Wt4"",""Form Responses 1!B:C""),2,FALSE),)"),"")</f>
        <v/>
      </c>
      <c r="S123" s="70" t="str">
        <f>IFERROR(__xludf.DUMMYFUNCTION("IFERROR(VLOOKUP(F123,IMPORTRANGE(""1zxjtEKGvVIJPIDqZdnxENwVpPXYa88EihzyI44hcQUo"",""Form Responses 1!B:C""),2,FALSE),)"),"")</f>
        <v/>
      </c>
      <c r="T123" s="70" t="str">
        <f>IFERROR(__xludf.DUMMYFUNCTION("IFERROR(VLOOKUP(F123,IMPORTRANGE(""1H3cO01obd5zFULYqaT5NAqecZBFFIHeDFn4CeQLZF3w"",""Form Responses 1!B:C""),2,FALSE),)"),"")</f>
        <v/>
      </c>
      <c r="U123" s="70" t="str">
        <f>IFERROR(__xludf.DUMMYFUNCTION("IFERROR(IF(COUNTIF(IMPORTRANGE(""1IG9qoa6PeLdDDFzKpW39lxXshN0-M8Z25a_R1EpsYyg"",""Form Responses 1!B:B""),F123)&gt;0,10,),0)"),"")</f>
        <v/>
      </c>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0"/>
    </row>
    <row r="124">
      <c r="B124" s="70" t="str">
        <f>IFERROR(__xludf.DUMMYFUNCTION("IFERROR(IF(COUNTIF(IMPORTRANGE(""1RTcwEJsI_0aJRebhNwO_H_AoKl9r46k7hWYbtciIyM4"",""Form Responses 1!B:B""),A124)&gt;0,10,),0)"),"")</f>
        <v/>
      </c>
      <c r="C124" s="70" t="str">
        <f>IFERROR(__xludf.DUMMYFUNCTION("IFERROR(VLOOKUP(A124,IMPORTRANGE(""11i8IUhq_U6RRKRV3CBWIKqYed_fMvFgNUHTq1YDJfp8"",""Form Responses 1!B:C""),2,FALSE),)"),"")</f>
        <v/>
      </c>
      <c r="D124" s="70" t="str">
        <f>IFERROR(__xludf.DUMMYFUNCTION("IFERROR(VLOOKUP(A124,IMPORTRANGE(""1StiHxuxrFhYdrq5WLR2JMORicW0TbnJf3J-oTHeMRtM"",""Form Responses 1!B:C""),2,FALSE),)"),"")</f>
        <v/>
      </c>
      <c r="E124" s="70" t="str">
        <f>IFERROR(__xludf.DUMMYFUNCTION("IFERROR(VLOOKUP(A124,IMPORTRANGE(""1QaxxyUjrDq2kgz300C1Bq1tacFk6e-xX218cSXCQUK0"",""Form Responses 1!B:C""),2,FALSE),)"),"")</f>
        <v/>
      </c>
      <c r="F124" s="70" t="str">
        <f>IFERROR(__xludf.DUMMYFUNCTION("IFERROR(VLOOKUP(A124,IMPORTRANGE(""1fn2ECph_y8Uz78DhjLaiXcwgt6kh3oe-0Le36Uw0noE"",""Form Responses 1!B:C""),2,FALSE),)"),"")</f>
        <v/>
      </c>
      <c r="G124" s="70"/>
      <c r="H124" s="70"/>
      <c r="I124" s="70"/>
      <c r="J124" s="70"/>
      <c r="K124" s="70"/>
      <c r="L124" s="70"/>
      <c r="M124" s="70"/>
      <c r="N124" s="70"/>
      <c r="O124" s="70"/>
      <c r="P124" s="70"/>
      <c r="Q124" s="70" t="str">
        <f>IFERROR(__xludf.DUMMYFUNCTION("IFERROR(IF(COUNTIF(IMPORTRANGE(""1WjiLR_MTMxI_IZUKuvPO4Sg2rTSIqBzP3edakSRXbOA"",""Form Responses 1!B:B""),F124)&gt;0,10,),0)"),"")</f>
        <v/>
      </c>
      <c r="R124" s="70" t="str">
        <f>IFERROR(__xludf.DUMMYFUNCTION("IFERROR(VLOOKUP(F124,IMPORTRANGE(""1Ixzbal5tEbtWhozsFEppQzOYE6ZSrkNXHg_HW5k3Wt4"",""Form Responses 1!B:C""),2,FALSE),)"),"")</f>
        <v/>
      </c>
      <c r="S124" s="70" t="str">
        <f>IFERROR(__xludf.DUMMYFUNCTION("IFERROR(VLOOKUP(F124,IMPORTRANGE(""1zxjtEKGvVIJPIDqZdnxENwVpPXYa88EihzyI44hcQUo"",""Form Responses 1!B:C""),2,FALSE),)"),"")</f>
        <v/>
      </c>
      <c r="T124" s="70" t="str">
        <f>IFERROR(__xludf.DUMMYFUNCTION("IFERROR(VLOOKUP(F124,IMPORTRANGE(""1H3cO01obd5zFULYqaT5NAqecZBFFIHeDFn4CeQLZF3w"",""Form Responses 1!B:C""),2,FALSE),)"),"")</f>
        <v/>
      </c>
      <c r="U124" s="70" t="str">
        <f>IFERROR(__xludf.DUMMYFUNCTION("IFERROR(IF(COUNTIF(IMPORTRANGE(""1IG9qoa6PeLdDDFzKpW39lxXshN0-M8Z25a_R1EpsYyg"",""Form Responses 1!B:B""),F124)&gt;0,10,),0)"),"")</f>
        <v/>
      </c>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0"/>
    </row>
    <row r="125">
      <c r="B125" s="70" t="str">
        <f>IFERROR(__xludf.DUMMYFUNCTION("IFERROR(IF(COUNTIF(IMPORTRANGE(""1RTcwEJsI_0aJRebhNwO_H_AoKl9r46k7hWYbtciIyM4"",""Form Responses 1!B:B""),A125)&gt;0,10,),0)"),"")</f>
        <v/>
      </c>
      <c r="C125" s="70" t="str">
        <f>IFERROR(__xludf.DUMMYFUNCTION("IFERROR(VLOOKUP(A125,IMPORTRANGE(""11i8IUhq_U6RRKRV3CBWIKqYed_fMvFgNUHTq1YDJfp8"",""Form Responses 1!B:C""),2,FALSE),)"),"")</f>
        <v/>
      </c>
      <c r="D125" s="70" t="str">
        <f>IFERROR(__xludf.DUMMYFUNCTION("IFERROR(VLOOKUP(A125,IMPORTRANGE(""1StiHxuxrFhYdrq5WLR2JMORicW0TbnJf3J-oTHeMRtM"",""Form Responses 1!B:C""),2,FALSE),)"),"")</f>
        <v/>
      </c>
      <c r="E125" s="70" t="str">
        <f>IFERROR(__xludf.DUMMYFUNCTION("IFERROR(VLOOKUP(A125,IMPORTRANGE(""1QaxxyUjrDq2kgz300C1Bq1tacFk6e-xX218cSXCQUK0"",""Form Responses 1!B:C""),2,FALSE),)"),"")</f>
        <v/>
      </c>
      <c r="F125" s="70" t="str">
        <f>IFERROR(__xludf.DUMMYFUNCTION("IFERROR(VLOOKUP(A125,IMPORTRANGE(""1fn2ECph_y8Uz78DhjLaiXcwgt6kh3oe-0Le36Uw0noE"",""Form Responses 1!B:C""),2,FALSE),)"),"")</f>
        <v/>
      </c>
      <c r="G125" s="70"/>
      <c r="H125" s="70"/>
      <c r="I125" s="70"/>
      <c r="J125" s="70"/>
      <c r="K125" s="70"/>
      <c r="L125" s="70"/>
      <c r="M125" s="70"/>
      <c r="N125" s="70"/>
      <c r="O125" s="70"/>
      <c r="P125" s="70"/>
      <c r="Q125" s="70" t="str">
        <f>IFERROR(__xludf.DUMMYFUNCTION("IFERROR(IF(COUNTIF(IMPORTRANGE(""1WjiLR_MTMxI_IZUKuvPO4Sg2rTSIqBzP3edakSRXbOA"",""Form Responses 1!B:B""),F125)&gt;0,10,),0)"),"")</f>
        <v/>
      </c>
      <c r="R125" s="70" t="str">
        <f>IFERROR(__xludf.DUMMYFUNCTION("IFERROR(VLOOKUP(F125,IMPORTRANGE(""1Ixzbal5tEbtWhozsFEppQzOYE6ZSrkNXHg_HW5k3Wt4"",""Form Responses 1!B:C""),2,FALSE),)"),"")</f>
        <v/>
      </c>
      <c r="S125" s="70" t="str">
        <f>IFERROR(__xludf.DUMMYFUNCTION("IFERROR(VLOOKUP(F125,IMPORTRANGE(""1zxjtEKGvVIJPIDqZdnxENwVpPXYa88EihzyI44hcQUo"",""Form Responses 1!B:C""),2,FALSE),)"),"")</f>
        <v/>
      </c>
      <c r="T125" s="70" t="str">
        <f>IFERROR(__xludf.DUMMYFUNCTION("IFERROR(VLOOKUP(F125,IMPORTRANGE(""1H3cO01obd5zFULYqaT5NAqecZBFFIHeDFn4CeQLZF3w"",""Form Responses 1!B:C""),2,FALSE),)"),"")</f>
        <v/>
      </c>
      <c r="U125" s="70" t="str">
        <f>IFERROR(__xludf.DUMMYFUNCTION("IFERROR(IF(COUNTIF(IMPORTRANGE(""1IG9qoa6PeLdDDFzKpW39lxXshN0-M8Z25a_R1EpsYyg"",""Form Responses 1!B:B""),F125)&gt;0,10,),0)"),"")</f>
        <v/>
      </c>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row>
    <row r="126">
      <c r="B126" s="70" t="str">
        <f>IFERROR(__xludf.DUMMYFUNCTION("IFERROR(IF(COUNTIF(IMPORTRANGE(""1RTcwEJsI_0aJRebhNwO_H_AoKl9r46k7hWYbtciIyM4"",""Form Responses 1!B:B""),A126)&gt;0,10,),0)"),"")</f>
        <v/>
      </c>
      <c r="C126" s="70" t="str">
        <f>IFERROR(__xludf.DUMMYFUNCTION("IFERROR(VLOOKUP(A126,IMPORTRANGE(""11i8IUhq_U6RRKRV3CBWIKqYed_fMvFgNUHTq1YDJfp8"",""Form Responses 1!B:C""),2,FALSE),)"),"")</f>
        <v/>
      </c>
      <c r="D126" s="70" t="str">
        <f>IFERROR(__xludf.DUMMYFUNCTION("IFERROR(VLOOKUP(A126,IMPORTRANGE(""1StiHxuxrFhYdrq5WLR2JMORicW0TbnJf3J-oTHeMRtM"",""Form Responses 1!B:C""),2,FALSE),)"),"")</f>
        <v/>
      </c>
      <c r="E126" s="70" t="str">
        <f>IFERROR(__xludf.DUMMYFUNCTION("IFERROR(VLOOKUP(A126,IMPORTRANGE(""1QaxxyUjrDq2kgz300C1Bq1tacFk6e-xX218cSXCQUK0"",""Form Responses 1!B:C""),2,FALSE),)"),"")</f>
        <v/>
      </c>
      <c r="F126" s="70" t="str">
        <f>IFERROR(__xludf.DUMMYFUNCTION("IFERROR(VLOOKUP(A126,IMPORTRANGE(""1fn2ECph_y8Uz78DhjLaiXcwgt6kh3oe-0Le36Uw0noE"",""Form Responses 1!B:C""),2,FALSE),)"),"")</f>
        <v/>
      </c>
      <c r="G126" s="70"/>
      <c r="H126" s="70"/>
      <c r="I126" s="70"/>
      <c r="J126" s="70"/>
      <c r="K126" s="70"/>
      <c r="L126" s="70"/>
      <c r="M126" s="70"/>
      <c r="N126" s="70"/>
      <c r="O126" s="70"/>
      <c r="P126" s="70"/>
      <c r="Q126" s="70" t="str">
        <f>IFERROR(__xludf.DUMMYFUNCTION("IFERROR(IF(COUNTIF(IMPORTRANGE(""1WjiLR_MTMxI_IZUKuvPO4Sg2rTSIqBzP3edakSRXbOA"",""Form Responses 1!B:B""),F126)&gt;0,10,),0)"),"")</f>
        <v/>
      </c>
      <c r="R126" s="70" t="str">
        <f>IFERROR(__xludf.DUMMYFUNCTION("IFERROR(VLOOKUP(F126,IMPORTRANGE(""1Ixzbal5tEbtWhozsFEppQzOYE6ZSrkNXHg_HW5k3Wt4"",""Form Responses 1!B:C""),2,FALSE),)"),"")</f>
        <v/>
      </c>
      <c r="S126" s="70" t="str">
        <f>IFERROR(__xludf.DUMMYFUNCTION("IFERROR(VLOOKUP(F126,IMPORTRANGE(""1zxjtEKGvVIJPIDqZdnxENwVpPXYa88EihzyI44hcQUo"",""Form Responses 1!B:C""),2,FALSE),)"),"")</f>
        <v/>
      </c>
      <c r="T126" s="70" t="str">
        <f>IFERROR(__xludf.DUMMYFUNCTION("IFERROR(VLOOKUP(F126,IMPORTRANGE(""1H3cO01obd5zFULYqaT5NAqecZBFFIHeDFn4CeQLZF3w"",""Form Responses 1!B:C""),2,FALSE),)"),"")</f>
        <v/>
      </c>
      <c r="U126" s="70" t="str">
        <f>IFERROR(__xludf.DUMMYFUNCTION("IFERROR(IF(COUNTIF(IMPORTRANGE(""1IG9qoa6PeLdDDFzKpW39lxXshN0-M8Z25a_R1EpsYyg"",""Form Responses 1!B:B""),F126)&gt;0,10,),0)"),"")</f>
        <v/>
      </c>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row>
    <row r="127">
      <c r="B127" s="70" t="str">
        <f>IFERROR(__xludf.DUMMYFUNCTION("IFERROR(IF(COUNTIF(IMPORTRANGE(""1RTcwEJsI_0aJRebhNwO_H_AoKl9r46k7hWYbtciIyM4"",""Form Responses 1!B:B""),A127)&gt;0,10,),0)"),"")</f>
        <v/>
      </c>
      <c r="C127" s="70" t="str">
        <f>IFERROR(__xludf.DUMMYFUNCTION("IFERROR(VLOOKUP(A127,IMPORTRANGE(""11i8IUhq_U6RRKRV3CBWIKqYed_fMvFgNUHTq1YDJfp8"",""Form Responses 1!B:C""),2,FALSE),)"),"")</f>
        <v/>
      </c>
      <c r="D127" s="70" t="str">
        <f>IFERROR(__xludf.DUMMYFUNCTION("IFERROR(VLOOKUP(A127,IMPORTRANGE(""1StiHxuxrFhYdrq5WLR2JMORicW0TbnJf3J-oTHeMRtM"",""Form Responses 1!B:C""),2,FALSE),)"),"")</f>
        <v/>
      </c>
      <c r="E127" s="70" t="str">
        <f>IFERROR(__xludf.DUMMYFUNCTION("IFERROR(VLOOKUP(A127,IMPORTRANGE(""1QaxxyUjrDq2kgz300C1Bq1tacFk6e-xX218cSXCQUK0"",""Form Responses 1!B:C""),2,FALSE),)"),"")</f>
        <v/>
      </c>
      <c r="F127" s="70" t="str">
        <f>IFERROR(__xludf.DUMMYFUNCTION("IFERROR(VLOOKUP(A127,IMPORTRANGE(""1fn2ECph_y8Uz78DhjLaiXcwgt6kh3oe-0Le36Uw0noE"",""Form Responses 1!B:C""),2,FALSE),)"),"")</f>
        <v/>
      </c>
      <c r="G127" s="70"/>
      <c r="H127" s="70"/>
      <c r="I127" s="70"/>
      <c r="J127" s="70"/>
      <c r="K127" s="70"/>
      <c r="L127" s="70"/>
      <c r="M127" s="70"/>
      <c r="N127" s="70"/>
      <c r="O127" s="70"/>
      <c r="P127" s="70"/>
      <c r="Q127" s="70" t="str">
        <f>IFERROR(__xludf.DUMMYFUNCTION("IFERROR(IF(COUNTIF(IMPORTRANGE(""1WjiLR_MTMxI_IZUKuvPO4Sg2rTSIqBzP3edakSRXbOA"",""Form Responses 1!B:B""),F127)&gt;0,10,),0)"),"")</f>
        <v/>
      </c>
      <c r="R127" s="70" t="str">
        <f>IFERROR(__xludf.DUMMYFUNCTION("IFERROR(VLOOKUP(F127,IMPORTRANGE(""1Ixzbal5tEbtWhozsFEppQzOYE6ZSrkNXHg_HW5k3Wt4"",""Form Responses 1!B:C""),2,FALSE),)"),"")</f>
        <v/>
      </c>
      <c r="S127" s="70" t="str">
        <f>IFERROR(__xludf.DUMMYFUNCTION("IFERROR(VLOOKUP(F127,IMPORTRANGE(""1zxjtEKGvVIJPIDqZdnxENwVpPXYa88EihzyI44hcQUo"",""Form Responses 1!B:C""),2,FALSE),)"),"")</f>
        <v/>
      </c>
      <c r="T127" s="70" t="str">
        <f>IFERROR(__xludf.DUMMYFUNCTION("IFERROR(VLOOKUP(F127,IMPORTRANGE(""1H3cO01obd5zFULYqaT5NAqecZBFFIHeDFn4CeQLZF3w"",""Form Responses 1!B:C""),2,FALSE),)"),"")</f>
        <v/>
      </c>
      <c r="U127" s="70" t="str">
        <f>IFERROR(__xludf.DUMMYFUNCTION("IFERROR(IF(COUNTIF(IMPORTRANGE(""1IG9qoa6PeLdDDFzKpW39lxXshN0-M8Z25a_R1EpsYyg"",""Form Responses 1!B:B""),F127)&gt;0,10,),0)"),"")</f>
        <v/>
      </c>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row>
    <row r="128">
      <c r="B128" s="70" t="str">
        <f>IFERROR(__xludf.DUMMYFUNCTION("IFERROR(IF(COUNTIF(IMPORTRANGE(""1RTcwEJsI_0aJRebhNwO_H_AoKl9r46k7hWYbtciIyM4"",""Form Responses 1!B:B""),A128)&gt;0,10,),0)"),"")</f>
        <v/>
      </c>
      <c r="C128" s="70" t="str">
        <f>IFERROR(__xludf.DUMMYFUNCTION("IFERROR(VLOOKUP(A128,IMPORTRANGE(""11i8IUhq_U6RRKRV3CBWIKqYed_fMvFgNUHTq1YDJfp8"",""Form Responses 1!B:C""),2,FALSE),)"),"")</f>
        <v/>
      </c>
      <c r="D128" s="70" t="str">
        <f>IFERROR(__xludf.DUMMYFUNCTION("IFERROR(VLOOKUP(A128,IMPORTRANGE(""1StiHxuxrFhYdrq5WLR2JMORicW0TbnJf3J-oTHeMRtM"",""Form Responses 1!B:C""),2,FALSE),)"),"")</f>
        <v/>
      </c>
      <c r="E128" s="70" t="str">
        <f>IFERROR(__xludf.DUMMYFUNCTION("IFERROR(VLOOKUP(A128,IMPORTRANGE(""1QaxxyUjrDq2kgz300C1Bq1tacFk6e-xX218cSXCQUK0"",""Form Responses 1!B:C""),2,FALSE),)"),"")</f>
        <v/>
      </c>
      <c r="F128" s="70" t="str">
        <f>IFERROR(__xludf.DUMMYFUNCTION("IFERROR(VLOOKUP(A128,IMPORTRANGE(""1fn2ECph_y8Uz78DhjLaiXcwgt6kh3oe-0Le36Uw0noE"",""Form Responses 1!B:C""),2,FALSE),)"),"")</f>
        <v/>
      </c>
      <c r="G128" s="70"/>
      <c r="H128" s="70"/>
      <c r="I128" s="70"/>
      <c r="J128" s="70"/>
      <c r="K128" s="70"/>
      <c r="L128" s="70"/>
      <c r="M128" s="70"/>
      <c r="N128" s="70"/>
      <c r="O128" s="70"/>
      <c r="P128" s="70"/>
      <c r="Q128" s="70" t="str">
        <f>IFERROR(__xludf.DUMMYFUNCTION("IFERROR(IF(COUNTIF(IMPORTRANGE(""1WjiLR_MTMxI_IZUKuvPO4Sg2rTSIqBzP3edakSRXbOA"",""Form Responses 1!B:B""),F128)&gt;0,10,),0)"),"")</f>
        <v/>
      </c>
      <c r="R128" s="70" t="str">
        <f>IFERROR(__xludf.DUMMYFUNCTION("IFERROR(VLOOKUP(F128,IMPORTRANGE(""1Ixzbal5tEbtWhozsFEppQzOYE6ZSrkNXHg_HW5k3Wt4"",""Form Responses 1!B:C""),2,FALSE),)"),"")</f>
        <v/>
      </c>
      <c r="S128" s="70" t="str">
        <f>IFERROR(__xludf.DUMMYFUNCTION("IFERROR(VLOOKUP(F128,IMPORTRANGE(""1zxjtEKGvVIJPIDqZdnxENwVpPXYa88EihzyI44hcQUo"",""Form Responses 1!B:C""),2,FALSE),)"),"")</f>
        <v/>
      </c>
      <c r="T128" s="70" t="str">
        <f>IFERROR(__xludf.DUMMYFUNCTION("IFERROR(VLOOKUP(F128,IMPORTRANGE(""1H3cO01obd5zFULYqaT5NAqecZBFFIHeDFn4CeQLZF3w"",""Form Responses 1!B:C""),2,FALSE),)"),"")</f>
        <v/>
      </c>
      <c r="U128" s="70" t="str">
        <f>IFERROR(__xludf.DUMMYFUNCTION("IFERROR(IF(COUNTIF(IMPORTRANGE(""1IG9qoa6PeLdDDFzKpW39lxXshN0-M8Z25a_R1EpsYyg"",""Form Responses 1!B:B""),F128)&gt;0,10,),0)"),"")</f>
        <v/>
      </c>
      <c r="V128" s="70"/>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0"/>
    </row>
    <row r="129">
      <c r="B129" s="70" t="str">
        <f>IFERROR(__xludf.DUMMYFUNCTION("IFERROR(IF(COUNTIF(IMPORTRANGE(""1RTcwEJsI_0aJRebhNwO_H_AoKl9r46k7hWYbtciIyM4"",""Form Responses 1!B:B""),A129)&gt;0,10,),0)"),"")</f>
        <v/>
      </c>
      <c r="C129" s="70" t="str">
        <f>IFERROR(__xludf.DUMMYFUNCTION("IFERROR(VLOOKUP(A129,IMPORTRANGE(""11i8IUhq_U6RRKRV3CBWIKqYed_fMvFgNUHTq1YDJfp8"",""Form Responses 1!B:C""),2,FALSE),)"),"")</f>
        <v/>
      </c>
      <c r="D129" s="70" t="str">
        <f>IFERROR(__xludf.DUMMYFUNCTION("IFERROR(VLOOKUP(A129,IMPORTRANGE(""1StiHxuxrFhYdrq5WLR2JMORicW0TbnJf3J-oTHeMRtM"",""Form Responses 1!B:C""),2,FALSE),)"),"")</f>
        <v/>
      </c>
      <c r="E129" s="70" t="str">
        <f>IFERROR(__xludf.DUMMYFUNCTION("IFERROR(VLOOKUP(A129,IMPORTRANGE(""1QaxxyUjrDq2kgz300C1Bq1tacFk6e-xX218cSXCQUK0"",""Form Responses 1!B:C""),2,FALSE),)"),"")</f>
        <v/>
      </c>
      <c r="F129" s="70" t="str">
        <f>IFERROR(__xludf.DUMMYFUNCTION("IFERROR(VLOOKUP(A129,IMPORTRANGE(""1fn2ECph_y8Uz78DhjLaiXcwgt6kh3oe-0Le36Uw0noE"",""Form Responses 1!B:C""),2,FALSE),)"),"")</f>
        <v/>
      </c>
      <c r="G129" s="70"/>
      <c r="H129" s="70"/>
      <c r="I129" s="70"/>
      <c r="J129" s="70"/>
      <c r="K129" s="70"/>
      <c r="L129" s="70"/>
      <c r="M129" s="70"/>
      <c r="N129" s="70"/>
      <c r="O129" s="70"/>
      <c r="P129" s="70"/>
      <c r="Q129" s="70" t="str">
        <f>IFERROR(__xludf.DUMMYFUNCTION("IFERROR(IF(COUNTIF(IMPORTRANGE(""1WjiLR_MTMxI_IZUKuvPO4Sg2rTSIqBzP3edakSRXbOA"",""Form Responses 1!B:B""),F129)&gt;0,10,),0)"),"")</f>
        <v/>
      </c>
      <c r="R129" s="70" t="str">
        <f>IFERROR(__xludf.DUMMYFUNCTION("IFERROR(VLOOKUP(F129,IMPORTRANGE(""1Ixzbal5tEbtWhozsFEppQzOYE6ZSrkNXHg_HW5k3Wt4"",""Form Responses 1!B:C""),2,FALSE),)"),"")</f>
        <v/>
      </c>
      <c r="S129" s="70" t="str">
        <f>IFERROR(__xludf.DUMMYFUNCTION("IFERROR(VLOOKUP(F129,IMPORTRANGE(""1zxjtEKGvVIJPIDqZdnxENwVpPXYa88EihzyI44hcQUo"",""Form Responses 1!B:C""),2,FALSE),)"),"")</f>
        <v/>
      </c>
      <c r="T129" s="70" t="str">
        <f>IFERROR(__xludf.DUMMYFUNCTION("IFERROR(VLOOKUP(F129,IMPORTRANGE(""1H3cO01obd5zFULYqaT5NAqecZBFFIHeDFn4CeQLZF3w"",""Form Responses 1!B:C""),2,FALSE),)"),"")</f>
        <v/>
      </c>
      <c r="U129" s="70" t="str">
        <f>IFERROR(__xludf.DUMMYFUNCTION("IFERROR(IF(COUNTIF(IMPORTRANGE(""1IG9qoa6PeLdDDFzKpW39lxXshN0-M8Z25a_R1EpsYyg"",""Form Responses 1!B:B""),F129)&gt;0,10,),0)"),"")</f>
        <v/>
      </c>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row>
    <row r="130">
      <c r="B130" s="70" t="str">
        <f>IFERROR(__xludf.DUMMYFUNCTION("IFERROR(IF(COUNTIF(IMPORTRANGE(""1RTcwEJsI_0aJRebhNwO_H_AoKl9r46k7hWYbtciIyM4"",""Form Responses 1!B:B""),A130)&gt;0,10,),0)"),"")</f>
        <v/>
      </c>
      <c r="C130" s="70" t="str">
        <f>IFERROR(__xludf.DUMMYFUNCTION("IFERROR(VLOOKUP(A130,IMPORTRANGE(""11i8IUhq_U6RRKRV3CBWIKqYed_fMvFgNUHTq1YDJfp8"",""Form Responses 1!B:C""),2,FALSE),)"),"")</f>
        <v/>
      </c>
      <c r="D130" s="70" t="str">
        <f>IFERROR(__xludf.DUMMYFUNCTION("IFERROR(VLOOKUP(A130,IMPORTRANGE(""1StiHxuxrFhYdrq5WLR2JMORicW0TbnJf3J-oTHeMRtM"",""Form Responses 1!B:C""),2,FALSE),)"),"")</f>
        <v/>
      </c>
      <c r="E130" s="70" t="str">
        <f>IFERROR(__xludf.DUMMYFUNCTION("IFERROR(VLOOKUP(A130,IMPORTRANGE(""1QaxxyUjrDq2kgz300C1Bq1tacFk6e-xX218cSXCQUK0"",""Form Responses 1!B:C""),2,FALSE),)"),"")</f>
        <v/>
      </c>
      <c r="F130" s="70" t="str">
        <f>IFERROR(__xludf.DUMMYFUNCTION("IFERROR(VLOOKUP(A130,IMPORTRANGE(""1fn2ECph_y8Uz78DhjLaiXcwgt6kh3oe-0Le36Uw0noE"",""Form Responses 1!B:C""),2,FALSE),)"),"")</f>
        <v/>
      </c>
      <c r="G130" s="70"/>
      <c r="H130" s="70"/>
      <c r="I130" s="70"/>
      <c r="J130" s="70"/>
      <c r="K130" s="70"/>
      <c r="L130" s="70"/>
      <c r="M130" s="70"/>
      <c r="N130" s="70"/>
      <c r="O130" s="70"/>
      <c r="P130" s="70"/>
      <c r="Q130" s="70" t="str">
        <f>IFERROR(__xludf.DUMMYFUNCTION("IFERROR(IF(COUNTIF(IMPORTRANGE(""1WjiLR_MTMxI_IZUKuvPO4Sg2rTSIqBzP3edakSRXbOA"",""Form Responses 1!B:B""),F130)&gt;0,10,),0)"),"")</f>
        <v/>
      </c>
      <c r="R130" s="70" t="str">
        <f>IFERROR(__xludf.DUMMYFUNCTION("IFERROR(VLOOKUP(F130,IMPORTRANGE(""1Ixzbal5tEbtWhozsFEppQzOYE6ZSrkNXHg_HW5k3Wt4"",""Form Responses 1!B:C""),2,FALSE),)"),"")</f>
        <v/>
      </c>
      <c r="S130" s="70" t="str">
        <f>IFERROR(__xludf.DUMMYFUNCTION("IFERROR(VLOOKUP(F130,IMPORTRANGE(""1zxjtEKGvVIJPIDqZdnxENwVpPXYa88EihzyI44hcQUo"",""Form Responses 1!B:C""),2,FALSE),)"),"")</f>
        <v/>
      </c>
      <c r="T130" s="70" t="str">
        <f>IFERROR(__xludf.DUMMYFUNCTION("IFERROR(VLOOKUP(F130,IMPORTRANGE(""1H3cO01obd5zFULYqaT5NAqecZBFFIHeDFn4CeQLZF3w"",""Form Responses 1!B:C""),2,FALSE),)"),"")</f>
        <v/>
      </c>
      <c r="U130" s="70" t="str">
        <f>IFERROR(__xludf.DUMMYFUNCTION("IFERROR(IF(COUNTIF(IMPORTRANGE(""1IG9qoa6PeLdDDFzKpW39lxXshN0-M8Z25a_R1EpsYyg"",""Form Responses 1!B:B""),F130)&gt;0,10,),0)"),"")</f>
        <v/>
      </c>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row>
    <row r="131">
      <c r="B131" s="70" t="str">
        <f>IFERROR(__xludf.DUMMYFUNCTION("IFERROR(IF(COUNTIF(IMPORTRANGE(""1RTcwEJsI_0aJRebhNwO_H_AoKl9r46k7hWYbtciIyM4"",""Form Responses 1!B:B""),A131)&gt;0,10,),0)"),"")</f>
        <v/>
      </c>
      <c r="C131" s="70" t="str">
        <f>IFERROR(__xludf.DUMMYFUNCTION("IFERROR(VLOOKUP(A131,IMPORTRANGE(""11i8IUhq_U6RRKRV3CBWIKqYed_fMvFgNUHTq1YDJfp8"",""Form Responses 1!B:C""),2,FALSE),)"),"")</f>
        <v/>
      </c>
      <c r="D131" s="70" t="str">
        <f>IFERROR(__xludf.DUMMYFUNCTION("IFERROR(VLOOKUP(A131,IMPORTRANGE(""1StiHxuxrFhYdrq5WLR2JMORicW0TbnJf3J-oTHeMRtM"",""Form Responses 1!B:C""),2,FALSE),)"),"")</f>
        <v/>
      </c>
      <c r="E131" s="70" t="str">
        <f>IFERROR(__xludf.DUMMYFUNCTION("IFERROR(VLOOKUP(A131,IMPORTRANGE(""1QaxxyUjrDq2kgz300C1Bq1tacFk6e-xX218cSXCQUK0"",""Form Responses 1!B:C""),2,FALSE),)"),"")</f>
        <v/>
      </c>
      <c r="F131" s="70" t="str">
        <f>IFERROR(__xludf.DUMMYFUNCTION("IFERROR(VLOOKUP(A131,IMPORTRANGE(""1fn2ECph_y8Uz78DhjLaiXcwgt6kh3oe-0Le36Uw0noE"",""Form Responses 1!B:C""),2,FALSE),)"),"")</f>
        <v/>
      </c>
      <c r="G131" s="70"/>
      <c r="H131" s="70"/>
      <c r="I131" s="70"/>
      <c r="J131" s="70"/>
      <c r="K131" s="70"/>
      <c r="L131" s="70"/>
      <c r="M131" s="70"/>
      <c r="N131" s="70"/>
      <c r="O131" s="70"/>
      <c r="P131" s="70"/>
      <c r="Q131" s="70" t="str">
        <f>IFERROR(__xludf.DUMMYFUNCTION("IFERROR(IF(COUNTIF(IMPORTRANGE(""1WjiLR_MTMxI_IZUKuvPO4Sg2rTSIqBzP3edakSRXbOA"",""Form Responses 1!B:B""),F131)&gt;0,10,),0)"),"")</f>
        <v/>
      </c>
      <c r="R131" s="70" t="str">
        <f>IFERROR(__xludf.DUMMYFUNCTION("IFERROR(VLOOKUP(F131,IMPORTRANGE(""1Ixzbal5tEbtWhozsFEppQzOYE6ZSrkNXHg_HW5k3Wt4"",""Form Responses 1!B:C""),2,FALSE),)"),"")</f>
        <v/>
      </c>
      <c r="S131" s="70" t="str">
        <f>IFERROR(__xludf.DUMMYFUNCTION("IFERROR(VLOOKUP(F131,IMPORTRANGE(""1zxjtEKGvVIJPIDqZdnxENwVpPXYa88EihzyI44hcQUo"",""Form Responses 1!B:C""),2,FALSE),)"),"")</f>
        <v/>
      </c>
      <c r="T131" s="70" t="str">
        <f>IFERROR(__xludf.DUMMYFUNCTION("IFERROR(VLOOKUP(F131,IMPORTRANGE(""1H3cO01obd5zFULYqaT5NAqecZBFFIHeDFn4CeQLZF3w"",""Form Responses 1!B:C""),2,FALSE),)"),"")</f>
        <v/>
      </c>
      <c r="U131" s="70" t="str">
        <f>IFERROR(__xludf.DUMMYFUNCTION("IFERROR(IF(COUNTIF(IMPORTRANGE(""1IG9qoa6PeLdDDFzKpW39lxXshN0-M8Z25a_R1EpsYyg"",""Form Responses 1!B:B""),F131)&gt;0,10,),0)"),"")</f>
        <v/>
      </c>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row>
    <row r="132">
      <c r="B132" s="70" t="str">
        <f>IFERROR(__xludf.DUMMYFUNCTION("IFERROR(IF(COUNTIF(IMPORTRANGE(""1RTcwEJsI_0aJRebhNwO_H_AoKl9r46k7hWYbtciIyM4"",""Form Responses 1!B:B""),A132)&gt;0,10,),0)"),"")</f>
        <v/>
      </c>
      <c r="C132" s="70" t="str">
        <f>IFERROR(__xludf.DUMMYFUNCTION("IFERROR(VLOOKUP(A132,IMPORTRANGE(""11i8IUhq_U6RRKRV3CBWIKqYed_fMvFgNUHTq1YDJfp8"",""Form Responses 1!B:C""),2,FALSE),)"),"")</f>
        <v/>
      </c>
      <c r="D132" s="70" t="str">
        <f>IFERROR(__xludf.DUMMYFUNCTION("IFERROR(VLOOKUP(A132,IMPORTRANGE(""1StiHxuxrFhYdrq5WLR2JMORicW0TbnJf3J-oTHeMRtM"",""Form Responses 1!B:C""),2,FALSE),)"),"")</f>
        <v/>
      </c>
      <c r="E132" s="70" t="str">
        <f>IFERROR(__xludf.DUMMYFUNCTION("IFERROR(VLOOKUP(A132,IMPORTRANGE(""1QaxxyUjrDq2kgz300C1Bq1tacFk6e-xX218cSXCQUK0"",""Form Responses 1!B:C""),2,FALSE),)"),"")</f>
        <v/>
      </c>
      <c r="F132" s="70" t="str">
        <f>IFERROR(__xludf.DUMMYFUNCTION("IFERROR(VLOOKUP(A132,IMPORTRANGE(""1fn2ECph_y8Uz78DhjLaiXcwgt6kh3oe-0Le36Uw0noE"",""Form Responses 1!B:C""),2,FALSE),)"),"")</f>
        <v/>
      </c>
      <c r="G132" s="70"/>
      <c r="H132" s="70"/>
      <c r="I132" s="70"/>
      <c r="J132" s="70"/>
      <c r="K132" s="70"/>
      <c r="L132" s="70"/>
      <c r="M132" s="70"/>
      <c r="N132" s="70"/>
      <c r="O132" s="70"/>
      <c r="P132" s="70"/>
      <c r="Q132" s="70" t="str">
        <f>IFERROR(__xludf.DUMMYFUNCTION("IFERROR(IF(COUNTIF(IMPORTRANGE(""1WjiLR_MTMxI_IZUKuvPO4Sg2rTSIqBzP3edakSRXbOA"",""Form Responses 1!B:B""),F132)&gt;0,10,),0)"),"")</f>
        <v/>
      </c>
      <c r="R132" s="70" t="str">
        <f>IFERROR(__xludf.DUMMYFUNCTION("IFERROR(VLOOKUP(F132,IMPORTRANGE(""1Ixzbal5tEbtWhozsFEppQzOYE6ZSrkNXHg_HW5k3Wt4"",""Form Responses 1!B:C""),2,FALSE),)"),"")</f>
        <v/>
      </c>
      <c r="S132" s="70" t="str">
        <f>IFERROR(__xludf.DUMMYFUNCTION("IFERROR(VLOOKUP(F132,IMPORTRANGE(""1zxjtEKGvVIJPIDqZdnxENwVpPXYa88EihzyI44hcQUo"",""Form Responses 1!B:C""),2,FALSE),)"),"")</f>
        <v/>
      </c>
      <c r="T132" s="70" t="str">
        <f>IFERROR(__xludf.DUMMYFUNCTION("IFERROR(VLOOKUP(F132,IMPORTRANGE(""1H3cO01obd5zFULYqaT5NAqecZBFFIHeDFn4CeQLZF3w"",""Form Responses 1!B:C""),2,FALSE),)"),"")</f>
        <v/>
      </c>
      <c r="U132" s="70" t="str">
        <f>IFERROR(__xludf.DUMMYFUNCTION("IFERROR(IF(COUNTIF(IMPORTRANGE(""1IG9qoa6PeLdDDFzKpW39lxXshN0-M8Z25a_R1EpsYyg"",""Form Responses 1!B:B""),F132)&gt;0,10,),0)"),"")</f>
        <v/>
      </c>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row>
    <row r="133">
      <c r="B133" s="70" t="str">
        <f>IFERROR(__xludf.DUMMYFUNCTION("IFERROR(IF(COUNTIF(IMPORTRANGE(""1RTcwEJsI_0aJRebhNwO_H_AoKl9r46k7hWYbtciIyM4"",""Form Responses 1!B:B""),A133)&gt;0,10,),0)"),"")</f>
        <v/>
      </c>
      <c r="C133" s="70" t="str">
        <f>IFERROR(__xludf.DUMMYFUNCTION("IFERROR(VLOOKUP(A133,IMPORTRANGE(""11i8IUhq_U6RRKRV3CBWIKqYed_fMvFgNUHTq1YDJfp8"",""Form Responses 1!B:C""),2,FALSE),)"),"")</f>
        <v/>
      </c>
      <c r="D133" s="70" t="str">
        <f>IFERROR(__xludf.DUMMYFUNCTION("IFERROR(VLOOKUP(A133,IMPORTRANGE(""1StiHxuxrFhYdrq5WLR2JMORicW0TbnJf3J-oTHeMRtM"",""Form Responses 1!B:C""),2,FALSE),)"),"")</f>
        <v/>
      </c>
      <c r="E133" s="70" t="str">
        <f>IFERROR(__xludf.DUMMYFUNCTION("IFERROR(VLOOKUP(A133,IMPORTRANGE(""1QaxxyUjrDq2kgz300C1Bq1tacFk6e-xX218cSXCQUK0"",""Form Responses 1!B:C""),2,FALSE),)"),"")</f>
        <v/>
      </c>
      <c r="F133" s="70" t="str">
        <f>IFERROR(__xludf.DUMMYFUNCTION("IFERROR(VLOOKUP(A133,IMPORTRANGE(""1fn2ECph_y8Uz78DhjLaiXcwgt6kh3oe-0Le36Uw0noE"",""Form Responses 1!B:C""),2,FALSE),)"),"")</f>
        <v/>
      </c>
      <c r="G133" s="70"/>
      <c r="H133" s="70"/>
      <c r="I133" s="70"/>
      <c r="J133" s="70"/>
      <c r="K133" s="70"/>
      <c r="L133" s="70"/>
      <c r="M133" s="70"/>
      <c r="N133" s="70"/>
      <c r="O133" s="70"/>
      <c r="P133" s="70"/>
      <c r="Q133" s="70" t="str">
        <f>IFERROR(__xludf.DUMMYFUNCTION("IFERROR(IF(COUNTIF(IMPORTRANGE(""1WjiLR_MTMxI_IZUKuvPO4Sg2rTSIqBzP3edakSRXbOA"",""Form Responses 1!B:B""),F133)&gt;0,10,),0)"),"")</f>
        <v/>
      </c>
      <c r="R133" s="70" t="str">
        <f>IFERROR(__xludf.DUMMYFUNCTION("IFERROR(VLOOKUP(F133,IMPORTRANGE(""1Ixzbal5tEbtWhozsFEppQzOYE6ZSrkNXHg_HW5k3Wt4"",""Form Responses 1!B:C""),2,FALSE),)"),"")</f>
        <v/>
      </c>
      <c r="S133" s="70" t="str">
        <f>IFERROR(__xludf.DUMMYFUNCTION("IFERROR(VLOOKUP(F133,IMPORTRANGE(""1zxjtEKGvVIJPIDqZdnxENwVpPXYa88EihzyI44hcQUo"",""Form Responses 1!B:C""),2,FALSE),)"),"")</f>
        <v/>
      </c>
      <c r="T133" s="70" t="str">
        <f>IFERROR(__xludf.DUMMYFUNCTION("IFERROR(VLOOKUP(F133,IMPORTRANGE(""1H3cO01obd5zFULYqaT5NAqecZBFFIHeDFn4CeQLZF3w"",""Form Responses 1!B:C""),2,FALSE),)"),"")</f>
        <v/>
      </c>
      <c r="U133" s="70" t="str">
        <f>IFERROR(__xludf.DUMMYFUNCTION("IFERROR(IF(COUNTIF(IMPORTRANGE(""1IG9qoa6PeLdDDFzKpW39lxXshN0-M8Z25a_R1EpsYyg"",""Form Responses 1!B:B""),F133)&gt;0,10,),0)"),"")</f>
        <v/>
      </c>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c r="AT133" s="70"/>
      <c r="AU133" s="70"/>
    </row>
    <row r="134">
      <c r="B134" s="70" t="str">
        <f>IFERROR(__xludf.DUMMYFUNCTION("IFERROR(IF(COUNTIF(IMPORTRANGE(""1RTcwEJsI_0aJRebhNwO_H_AoKl9r46k7hWYbtciIyM4"",""Form Responses 1!B:B""),A134)&gt;0,10,),0)"),"")</f>
        <v/>
      </c>
      <c r="C134" s="70" t="str">
        <f>IFERROR(__xludf.DUMMYFUNCTION("IFERROR(VLOOKUP(A134,IMPORTRANGE(""11i8IUhq_U6RRKRV3CBWIKqYed_fMvFgNUHTq1YDJfp8"",""Form Responses 1!B:C""),2,FALSE),)"),"")</f>
        <v/>
      </c>
      <c r="D134" s="70" t="str">
        <f>IFERROR(__xludf.DUMMYFUNCTION("IFERROR(VLOOKUP(A134,IMPORTRANGE(""1StiHxuxrFhYdrq5WLR2JMORicW0TbnJf3J-oTHeMRtM"",""Form Responses 1!B:C""),2,FALSE),)"),"")</f>
        <v/>
      </c>
      <c r="E134" s="70" t="str">
        <f>IFERROR(__xludf.DUMMYFUNCTION("IFERROR(VLOOKUP(A134,IMPORTRANGE(""1QaxxyUjrDq2kgz300C1Bq1tacFk6e-xX218cSXCQUK0"",""Form Responses 1!B:C""),2,FALSE),)"),"")</f>
        <v/>
      </c>
      <c r="F134" s="70" t="str">
        <f>IFERROR(__xludf.DUMMYFUNCTION("IFERROR(VLOOKUP(A134,IMPORTRANGE(""1fn2ECph_y8Uz78DhjLaiXcwgt6kh3oe-0Le36Uw0noE"",""Form Responses 1!B:C""),2,FALSE),)"),"")</f>
        <v/>
      </c>
      <c r="G134" s="70"/>
      <c r="H134" s="70"/>
      <c r="I134" s="70"/>
      <c r="J134" s="70"/>
      <c r="K134" s="70"/>
      <c r="L134" s="70"/>
      <c r="M134" s="70"/>
      <c r="N134" s="70"/>
      <c r="O134" s="70"/>
      <c r="P134" s="70"/>
      <c r="Q134" s="70" t="str">
        <f>IFERROR(__xludf.DUMMYFUNCTION("IFERROR(IF(COUNTIF(IMPORTRANGE(""1WjiLR_MTMxI_IZUKuvPO4Sg2rTSIqBzP3edakSRXbOA"",""Form Responses 1!B:B""),F134)&gt;0,10,),0)"),"")</f>
        <v/>
      </c>
      <c r="R134" s="70" t="str">
        <f>IFERROR(__xludf.DUMMYFUNCTION("IFERROR(VLOOKUP(F134,IMPORTRANGE(""1Ixzbal5tEbtWhozsFEppQzOYE6ZSrkNXHg_HW5k3Wt4"",""Form Responses 1!B:C""),2,FALSE),)"),"")</f>
        <v/>
      </c>
      <c r="S134" s="70" t="str">
        <f>IFERROR(__xludf.DUMMYFUNCTION("IFERROR(VLOOKUP(F134,IMPORTRANGE(""1zxjtEKGvVIJPIDqZdnxENwVpPXYa88EihzyI44hcQUo"",""Form Responses 1!B:C""),2,FALSE),)"),"")</f>
        <v/>
      </c>
      <c r="T134" s="70" t="str">
        <f>IFERROR(__xludf.DUMMYFUNCTION("IFERROR(VLOOKUP(F134,IMPORTRANGE(""1H3cO01obd5zFULYqaT5NAqecZBFFIHeDFn4CeQLZF3w"",""Form Responses 1!B:C""),2,FALSE),)"),"")</f>
        <v/>
      </c>
      <c r="U134" s="70" t="str">
        <f>IFERROR(__xludf.DUMMYFUNCTION("IFERROR(IF(COUNTIF(IMPORTRANGE(""1IG9qoa6PeLdDDFzKpW39lxXshN0-M8Z25a_R1EpsYyg"",""Form Responses 1!B:B""),F134)&gt;0,10,),0)"),"")</f>
        <v/>
      </c>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row>
    <row r="135">
      <c r="B135" s="70" t="str">
        <f>IFERROR(__xludf.DUMMYFUNCTION("IFERROR(IF(COUNTIF(IMPORTRANGE(""1RTcwEJsI_0aJRebhNwO_H_AoKl9r46k7hWYbtciIyM4"",""Form Responses 1!B:B""),A135)&gt;0,10,),0)"),"")</f>
        <v/>
      </c>
      <c r="C135" s="70" t="str">
        <f>IFERROR(__xludf.DUMMYFUNCTION("IFERROR(VLOOKUP(A135,IMPORTRANGE(""11i8IUhq_U6RRKRV3CBWIKqYed_fMvFgNUHTq1YDJfp8"",""Form Responses 1!B:C""),2,FALSE),)"),"")</f>
        <v/>
      </c>
      <c r="D135" s="70" t="str">
        <f>IFERROR(__xludf.DUMMYFUNCTION("IFERROR(VLOOKUP(A135,IMPORTRANGE(""1StiHxuxrFhYdrq5WLR2JMORicW0TbnJf3J-oTHeMRtM"",""Form Responses 1!B:C""),2,FALSE),)"),"")</f>
        <v/>
      </c>
      <c r="E135" s="70" t="str">
        <f>IFERROR(__xludf.DUMMYFUNCTION("IFERROR(VLOOKUP(A135,IMPORTRANGE(""1QaxxyUjrDq2kgz300C1Bq1tacFk6e-xX218cSXCQUK0"",""Form Responses 1!B:C""),2,FALSE),)"),"")</f>
        <v/>
      </c>
      <c r="F135" s="70" t="str">
        <f>IFERROR(__xludf.DUMMYFUNCTION("IFERROR(VLOOKUP(A135,IMPORTRANGE(""1fn2ECph_y8Uz78DhjLaiXcwgt6kh3oe-0Le36Uw0noE"",""Form Responses 1!B:C""),2,FALSE),)"),"")</f>
        <v/>
      </c>
      <c r="G135" s="70"/>
      <c r="H135" s="70"/>
      <c r="I135" s="70"/>
      <c r="J135" s="70"/>
      <c r="K135" s="70"/>
      <c r="L135" s="70"/>
      <c r="M135" s="70"/>
      <c r="N135" s="70"/>
      <c r="O135" s="70"/>
      <c r="P135" s="70"/>
      <c r="Q135" s="70" t="str">
        <f>IFERROR(__xludf.DUMMYFUNCTION("IFERROR(IF(COUNTIF(IMPORTRANGE(""1WjiLR_MTMxI_IZUKuvPO4Sg2rTSIqBzP3edakSRXbOA"",""Form Responses 1!B:B""),F135)&gt;0,10,),0)"),"")</f>
        <v/>
      </c>
      <c r="R135" s="70" t="str">
        <f>IFERROR(__xludf.DUMMYFUNCTION("IFERROR(VLOOKUP(F135,IMPORTRANGE(""1Ixzbal5tEbtWhozsFEppQzOYE6ZSrkNXHg_HW5k3Wt4"",""Form Responses 1!B:C""),2,FALSE),)"),"")</f>
        <v/>
      </c>
      <c r="S135" s="70" t="str">
        <f>IFERROR(__xludf.DUMMYFUNCTION("IFERROR(VLOOKUP(F135,IMPORTRANGE(""1zxjtEKGvVIJPIDqZdnxENwVpPXYa88EihzyI44hcQUo"",""Form Responses 1!B:C""),2,FALSE),)"),"")</f>
        <v/>
      </c>
      <c r="T135" s="70" t="str">
        <f>IFERROR(__xludf.DUMMYFUNCTION("IFERROR(VLOOKUP(F135,IMPORTRANGE(""1H3cO01obd5zFULYqaT5NAqecZBFFIHeDFn4CeQLZF3w"",""Form Responses 1!B:C""),2,FALSE),)"),"")</f>
        <v/>
      </c>
      <c r="U135" s="70" t="str">
        <f>IFERROR(__xludf.DUMMYFUNCTION("IFERROR(IF(COUNTIF(IMPORTRANGE(""1IG9qoa6PeLdDDFzKpW39lxXshN0-M8Z25a_R1EpsYyg"",""Form Responses 1!B:B""),F135)&gt;0,10,),0)"),"")</f>
        <v/>
      </c>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row>
    <row r="136">
      <c r="B136" s="70" t="str">
        <f>IFERROR(__xludf.DUMMYFUNCTION("IFERROR(IF(COUNTIF(IMPORTRANGE(""1RTcwEJsI_0aJRebhNwO_H_AoKl9r46k7hWYbtciIyM4"",""Form Responses 1!B:B""),A136)&gt;0,10,),0)"),"")</f>
        <v/>
      </c>
      <c r="C136" s="70" t="str">
        <f>IFERROR(__xludf.DUMMYFUNCTION("IFERROR(VLOOKUP(A136,IMPORTRANGE(""11i8IUhq_U6RRKRV3CBWIKqYed_fMvFgNUHTq1YDJfp8"",""Form Responses 1!B:C""),2,FALSE),)"),"")</f>
        <v/>
      </c>
      <c r="D136" s="70" t="str">
        <f>IFERROR(__xludf.DUMMYFUNCTION("IFERROR(VLOOKUP(A136,IMPORTRANGE(""1StiHxuxrFhYdrq5WLR2JMORicW0TbnJf3J-oTHeMRtM"",""Form Responses 1!B:C""),2,FALSE),)"),"")</f>
        <v/>
      </c>
      <c r="E136" s="70" t="str">
        <f>IFERROR(__xludf.DUMMYFUNCTION("IFERROR(VLOOKUP(A136,IMPORTRANGE(""1QaxxyUjrDq2kgz300C1Bq1tacFk6e-xX218cSXCQUK0"",""Form Responses 1!B:C""),2,FALSE),)"),"")</f>
        <v/>
      </c>
      <c r="F136" s="70" t="str">
        <f>IFERROR(__xludf.DUMMYFUNCTION("IFERROR(VLOOKUP(A136,IMPORTRANGE(""1fn2ECph_y8Uz78DhjLaiXcwgt6kh3oe-0Le36Uw0noE"",""Form Responses 1!B:C""),2,FALSE),)"),"")</f>
        <v/>
      </c>
      <c r="G136" s="70"/>
      <c r="H136" s="70"/>
      <c r="I136" s="70"/>
      <c r="J136" s="70"/>
      <c r="K136" s="70"/>
      <c r="L136" s="70"/>
      <c r="M136" s="70"/>
      <c r="N136" s="70"/>
      <c r="O136" s="70"/>
      <c r="P136" s="70"/>
      <c r="Q136" s="70" t="str">
        <f>IFERROR(__xludf.DUMMYFUNCTION("IFERROR(IF(COUNTIF(IMPORTRANGE(""1WjiLR_MTMxI_IZUKuvPO4Sg2rTSIqBzP3edakSRXbOA"",""Form Responses 1!B:B""),F136)&gt;0,10,),0)"),"")</f>
        <v/>
      </c>
      <c r="R136" s="70" t="str">
        <f>IFERROR(__xludf.DUMMYFUNCTION("IFERROR(VLOOKUP(F136,IMPORTRANGE(""1Ixzbal5tEbtWhozsFEppQzOYE6ZSrkNXHg_HW5k3Wt4"",""Form Responses 1!B:C""),2,FALSE),)"),"")</f>
        <v/>
      </c>
      <c r="S136" s="70" t="str">
        <f>IFERROR(__xludf.DUMMYFUNCTION("IFERROR(VLOOKUP(F136,IMPORTRANGE(""1zxjtEKGvVIJPIDqZdnxENwVpPXYa88EihzyI44hcQUo"",""Form Responses 1!B:C""),2,FALSE),)"),"")</f>
        <v/>
      </c>
      <c r="T136" s="70" t="str">
        <f>IFERROR(__xludf.DUMMYFUNCTION("IFERROR(VLOOKUP(F136,IMPORTRANGE(""1H3cO01obd5zFULYqaT5NAqecZBFFIHeDFn4CeQLZF3w"",""Form Responses 1!B:C""),2,FALSE),)"),"")</f>
        <v/>
      </c>
      <c r="U136" s="70" t="str">
        <f>IFERROR(__xludf.DUMMYFUNCTION("IFERROR(IF(COUNTIF(IMPORTRANGE(""1IG9qoa6PeLdDDFzKpW39lxXshN0-M8Z25a_R1EpsYyg"",""Form Responses 1!B:B""),F136)&gt;0,10,),0)"),"")</f>
        <v/>
      </c>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row>
    <row r="137">
      <c r="B137" s="70" t="str">
        <f>IFERROR(__xludf.DUMMYFUNCTION("IFERROR(IF(COUNTIF(IMPORTRANGE(""1RTcwEJsI_0aJRebhNwO_H_AoKl9r46k7hWYbtciIyM4"",""Form Responses 1!B:B""),A137)&gt;0,10,),0)"),"")</f>
        <v/>
      </c>
      <c r="C137" s="70" t="str">
        <f>IFERROR(__xludf.DUMMYFUNCTION("IFERROR(VLOOKUP(A137,IMPORTRANGE(""11i8IUhq_U6RRKRV3CBWIKqYed_fMvFgNUHTq1YDJfp8"",""Form Responses 1!B:C""),2,FALSE),)"),"")</f>
        <v/>
      </c>
      <c r="D137" s="70" t="str">
        <f>IFERROR(__xludf.DUMMYFUNCTION("IFERROR(VLOOKUP(A137,IMPORTRANGE(""1StiHxuxrFhYdrq5WLR2JMORicW0TbnJf3J-oTHeMRtM"",""Form Responses 1!B:C""),2,FALSE),)"),"")</f>
        <v/>
      </c>
      <c r="E137" s="70" t="str">
        <f>IFERROR(__xludf.DUMMYFUNCTION("IFERROR(VLOOKUP(A137,IMPORTRANGE(""1QaxxyUjrDq2kgz300C1Bq1tacFk6e-xX218cSXCQUK0"",""Form Responses 1!B:C""),2,FALSE),)"),"")</f>
        <v/>
      </c>
      <c r="F137" s="70" t="str">
        <f>IFERROR(__xludf.DUMMYFUNCTION("IFERROR(VLOOKUP(A137,IMPORTRANGE(""1fn2ECph_y8Uz78DhjLaiXcwgt6kh3oe-0Le36Uw0noE"",""Form Responses 1!B:C""),2,FALSE),)"),"")</f>
        <v/>
      </c>
      <c r="G137" s="70"/>
      <c r="H137" s="70"/>
      <c r="I137" s="70"/>
      <c r="J137" s="70"/>
      <c r="K137" s="70"/>
      <c r="L137" s="70"/>
      <c r="M137" s="70"/>
      <c r="N137" s="70"/>
      <c r="O137" s="70"/>
      <c r="P137" s="70"/>
      <c r="Q137" s="70" t="str">
        <f>IFERROR(__xludf.DUMMYFUNCTION("IFERROR(IF(COUNTIF(IMPORTRANGE(""1WjiLR_MTMxI_IZUKuvPO4Sg2rTSIqBzP3edakSRXbOA"",""Form Responses 1!B:B""),F137)&gt;0,10,),0)"),"")</f>
        <v/>
      </c>
      <c r="R137" s="70" t="str">
        <f>IFERROR(__xludf.DUMMYFUNCTION("IFERROR(VLOOKUP(F137,IMPORTRANGE(""1Ixzbal5tEbtWhozsFEppQzOYE6ZSrkNXHg_HW5k3Wt4"",""Form Responses 1!B:C""),2,FALSE),)"),"")</f>
        <v/>
      </c>
      <c r="S137" s="70" t="str">
        <f>IFERROR(__xludf.DUMMYFUNCTION("IFERROR(VLOOKUP(F137,IMPORTRANGE(""1zxjtEKGvVIJPIDqZdnxENwVpPXYa88EihzyI44hcQUo"",""Form Responses 1!B:C""),2,FALSE),)"),"")</f>
        <v/>
      </c>
      <c r="T137" s="70" t="str">
        <f>IFERROR(__xludf.DUMMYFUNCTION("IFERROR(VLOOKUP(F137,IMPORTRANGE(""1H3cO01obd5zFULYqaT5NAqecZBFFIHeDFn4CeQLZF3w"",""Form Responses 1!B:C""),2,FALSE),)"),"")</f>
        <v/>
      </c>
      <c r="U137" s="70" t="str">
        <f>IFERROR(__xludf.DUMMYFUNCTION("IFERROR(IF(COUNTIF(IMPORTRANGE(""1IG9qoa6PeLdDDFzKpW39lxXshN0-M8Z25a_R1EpsYyg"",""Form Responses 1!B:B""),F137)&gt;0,10,),0)"),"")</f>
        <v/>
      </c>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row>
    <row r="138">
      <c r="B138" s="70" t="str">
        <f>IFERROR(__xludf.DUMMYFUNCTION("IFERROR(IF(COUNTIF(IMPORTRANGE(""1RTcwEJsI_0aJRebhNwO_H_AoKl9r46k7hWYbtciIyM4"",""Form Responses 1!B:B""),A138)&gt;0,10,),0)"),"")</f>
        <v/>
      </c>
      <c r="C138" s="70" t="str">
        <f>IFERROR(__xludf.DUMMYFUNCTION("IFERROR(VLOOKUP(A138,IMPORTRANGE(""11i8IUhq_U6RRKRV3CBWIKqYed_fMvFgNUHTq1YDJfp8"",""Form Responses 1!B:C""),2,FALSE),)"),"")</f>
        <v/>
      </c>
      <c r="D138" s="70" t="str">
        <f>IFERROR(__xludf.DUMMYFUNCTION("IFERROR(VLOOKUP(A138,IMPORTRANGE(""1StiHxuxrFhYdrq5WLR2JMORicW0TbnJf3J-oTHeMRtM"",""Form Responses 1!B:C""),2,FALSE),)"),"")</f>
        <v/>
      </c>
      <c r="E138" s="70" t="str">
        <f>IFERROR(__xludf.DUMMYFUNCTION("IFERROR(VLOOKUP(A138,IMPORTRANGE(""1QaxxyUjrDq2kgz300C1Bq1tacFk6e-xX218cSXCQUK0"",""Form Responses 1!B:C""),2,FALSE),)"),"")</f>
        <v/>
      </c>
      <c r="F138" s="70" t="str">
        <f>IFERROR(__xludf.DUMMYFUNCTION("IFERROR(VLOOKUP(A138,IMPORTRANGE(""1fn2ECph_y8Uz78DhjLaiXcwgt6kh3oe-0Le36Uw0noE"",""Form Responses 1!B:C""),2,FALSE),)"),"")</f>
        <v/>
      </c>
      <c r="G138" s="70"/>
      <c r="H138" s="70"/>
      <c r="I138" s="70"/>
      <c r="J138" s="70"/>
      <c r="K138" s="70"/>
      <c r="L138" s="70"/>
      <c r="M138" s="70"/>
      <c r="N138" s="70"/>
      <c r="O138" s="70"/>
      <c r="P138" s="70"/>
      <c r="Q138" s="70" t="str">
        <f>IFERROR(__xludf.DUMMYFUNCTION("IFERROR(IF(COUNTIF(IMPORTRANGE(""1WjiLR_MTMxI_IZUKuvPO4Sg2rTSIqBzP3edakSRXbOA"",""Form Responses 1!B:B""),F138)&gt;0,10,),0)"),"")</f>
        <v/>
      </c>
      <c r="R138" s="70" t="str">
        <f>IFERROR(__xludf.DUMMYFUNCTION("IFERROR(VLOOKUP(F138,IMPORTRANGE(""1Ixzbal5tEbtWhozsFEppQzOYE6ZSrkNXHg_HW5k3Wt4"",""Form Responses 1!B:C""),2,FALSE),)"),"")</f>
        <v/>
      </c>
      <c r="S138" s="70" t="str">
        <f>IFERROR(__xludf.DUMMYFUNCTION("IFERROR(VLOOKUP(F138,IMPORTRANGE(""1zxjtEKGvVIJPIDqZdnxENwVpPXYa88EihzyI44hcQUo"",""Form Responses 1!B:C""),2,FALSE),)"),"")</f>
        <v/>
      </c>
      <c r="T138" s="70" t="str">
        <f>IFERROR(__xludf.DUMMYFUNCTION("IFERROR(VLOOKUP(F138,IMPORTRANGE(""1H3cO01obd5zFULYqaT5NAqecZBFFIHeDFn4CeQLZF3w"",""Form Responses 1!B:C""),2,FALSE),)"),"")</f>
        <v/>
      </c>
      <c r="U138" s="70" t="str">
        <f>IFERROR(__xludf.DUMMYFUNCTION("IFERROR(IF(COUNTIF(IMPORTRANGE(""1IG9qoa6PeLdDDFzKpW39lxXshN0-M8Z25a_R1EpsYyg"",""Form Responses 1!B:B""),F138)&gt;0,10,),0)"),"")</f>
        <v/>
      </c>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row>
    <row r="139">
      <c r="B139" s="70" t="str">
        <f>IFERROR(__xludf.DUMMYFUNCTION("IFERROR(IF(COUNTIF(IMPORTRANGE(""1RTcwEJsI_0aJRebhNwO_H_AoKl9r46k7hWYbtciIyM4"",""Form Responses 1!B:B""),A139)&gt;0,10,),0)"),"")</f>
        <v/>
      </c>
      <c r="C139" s="70" t="str">
        <f>IFERROR(__xludf.DUMMYFUNCTION("IFERROR(VLOOKUP(A139,IMPORTRANGE(""11i8IUhq_U6RRKRV3CBWIKqYed_fMvFgNUHTq1YDJfp8"",""Form Responses 1!B:C""),2,FALSE),)"),"")</f>
        <v/>
      </c>
      <c r="D139" s="70" t="str">
        <f>IFERROR(__xludf.DUMMYFUNCTION("IFERROR(VLOOKUP(A139,IMPORTRANGE(""1StiHxuxrFhYdrq5WLR2JMORicW0TbnJf3J-oTHeMRtM"",""Form Responses 1!B:C""),2,FALSE),)"),"")</f>
        <v/>
      </c>
      <c r="E139" s="70" t="str">
        <f>IFERROR(__xludf.DUMMYFUNCTION("IFERROR(VLOOKUP(A139,IMPORTRANGE(""1QaxxyUjrDq2kgz300C1Bq1tacFk6e-xX218cSXCQUK0"",""Form Responses 1!B:C""),2,FALSE),)"),"")</f>
        <v/>
      </c>
      <c r="F139" s="70" t="str">
        <f>IFERROR(__xludf.DUMMYFUNCTION("IFERROR(VLOOKUP(A139,IMPORTRANGE(""1fn2ECph_y8Uz78DhjLaiXcwgt6kh3oe-0Le36Uw0noE"",""Form Responses 1!B:C""),2,FALSE),)"),"")</f>
        <v/>
      </c>
      <c r="G139" s="70"/>
      <c r="H139" s="70"/>
      <c r="I139" s="70"/>
      <c r="J139" s="70"/>
      <c r="K139" s="70"/>
      <c r="L139" s="70"/>
      <c r="M139" s="70"/>
      <c r="N139" s="70"/>
      <c r="O139" s="70"/>
      <c r="P139" s="70"/>
      <c r="Q139" s="70" t="str">
        <f>IFERROR(__xludf.DUMMYFUNCTION("IFERROR(IF(COUNTIF(IMPORTRANGE(""1WjiLR_MTMxI_IZUKuvPO4Sg2rTSIqBzP3edakSRXbOA"",""Form Responses 1!B:B""),F139)&gt;0,10,),0)"),"")</f>
        <v/>
      </c>
      <c r="R139" s="70" t="str">
        <f>IFERROR(__xludf.DUMMYFUNCTION("IFERROR(VLOOKUP(F139,IMPORTRANGE(""1Ixzbal5tEbtWhozsFEppQzOYE6ZSrkNXHg_HW5k3Wt4"",""Form Responses 1!B:C""),2,FALSE),)"),"")</f>
        <v/>
      </c>
      <c r="S139" s="70" t="str">
        <f>IFERROR(__xludf.DUMMYFUNCTION("IFERROR(VLOOKUP(F139,IMPORTRANGE(""1zxjtEKGvVIJPIDqZdnxENwVpPXYa88EihzyI44hcQUo"",""Form Responses 1!B:C""),2,FALSE),)"),"")</f>
        <v/>
      </c>
      <c r="T139" s="70" t="str">
        <f>IFERROR(__xludf.DUMMYFUNCTION("IFERROR(VLOOKUP(F139,IMPORTRANGE(""1H3cO01obd5zFULYqaT5NAqecZBFFIHeDFn4CeQLZF3w"",""Form Responses 1!B:C""),2,FALSE),)"),"")</f>
        <v/>
      </c>
      <c r="U139" s="70" t="str">
        <f>IFERROR(__xludf.DUMMYFUNCTION("IFERROR(IF(COUNTIF(IMPORTRANGE(""1IG9qoa6PeLdDDFzKpW39lxXshN0-M8Z25a_R1EpsYyg"",""Form Responses 1!B:B""),F139)&gt;0,10,),0)"),"")</f>
        <v/>
      </c>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c r="AT139" s="70"/>
      <c r="AU139" s="70"/>
    </row>
    <row r="140">
      <c r="B140" s="70" t="str">
        <f>IFERROR(__xludf.DUMMYFUNCTION("IFERROR(IF(COUNTIF(IMPORTRANGE(""1RTcwEJsI_0aJRebhNwO_H_AoKl9r46k7hWYbtciIyM4"",""Form Responses 1!B:B""),A140)&gt;0,10,),0)"),"")</f>
        <v/>
      </c>
      <c r="C140" s="70" t="str">
        <f>IFERROR(__xludf.DUMMYFUNCTION("IFERROR(VLOOKUP(A140,IMPORTRANGE(""11i8IUhq_U6RRKRV3CBWIKqYed_fMvFgNUHTq1YDJfp8"",""Form Responses 1!B:C""),2,FALSE),)"),"")</f>
        <v/>
      </c>
      <c r="D140" s="70" t="str">
        <f>IFERROR(__xludf.DUMMYFUNCTION("IFERROR(VLOOKUP(A140,IMPORTRANGE(""1StiHxuxrFhYdrq5WLR2JMORicW0TbnJf3J-oTHeMRtM"",""Form Responses 1!B:C""),2,FALSE),)"),"")</f>
        <v/>
      </c>
      <c r="E140" s="70" t="str">
        <f>IFERROR(__xludf.DUMMYFUNCTION("IFERROR(VLOOKUP(A140,IMPORTRANGE(""1QaxxyUjrDq2kgz300C1Bq1tacFk6e-xX218cSXCQUK0"",""Form Responses 1!B:C""),2,FALSE),)"),"")</f>
        <v/>
      </c>
      <c r="F140" s="70" t="str">
        <f>IFERROR(__xludf.DUMMYFUNCTION("IFERROR(VLOOKUP(A140,IMPORTRANGE(""1fn2ECph_y8Uz78DhjLaiXcwgt6kh3oe-0Le36Uw0noE"",""Form Responses 1!B:C""),2,FALSE),)"),"")</f>
        <v/>
      </c>
      <c r="G140" s="70"/>
      <c r="H140" s="70"/>
      <c r="I140" s="70"/>
      <c r="J140" s="70"/>
      <c r="K140" s="70"/>
      <c r="L140" s="70"/>
      <c r="M140" s="70"/>
      <c r="N140" s="70"/>
      <c r="O140" s="70"/>
      <c r="P140" s="70"/>
      <c r="Q140" s="70" t="str">
        <f>IFERROR(__xludf.DUMMYFUNCTION("IFERROR(IF(COUNTIF(IMPORTRANGE(""1WjiLR_MTMxI_IZUKuvPO4Sg2rTSIqBzP3edakSRXbOA"",""Form Responses 1!B:B""),F140)&gt;0,10,),0)"),"")</f>
        <v/>
      </c>
      <c r="R140" s="70" t="str">
        <f>IFERROR(__xludf.DUMMYFUNCTION("IFERROR(VLOOKUP(F140,IMPORTRANGE(""1Ixzbal5tEbtWhozsFEppQzOYE6ZSrkNXHg_HW5k3Wt4"",""Form Responses 1!B:C""),2,FALSE),)"),"")</f>
        <v/>
      </c>
      <c r="S140" s="70" t="str">
        <f>IFERROR(__xludf.DUMMYFUNCTION("IFERROR(VLOOKUP(F140,IMPORTRANGE(""1zxjtEKGvVIJPIDqZdnxENwVpPXYa88EihzyI44hcQUo"",""Form Responses 1!B:C""),2,FALSE),)"),"")</f>
        <v/>
      </c>
      <c r="T140" s="70" t="str">
        <f>IFERROR(__xludf.DUMMYFUNCTION("IFERROR(VLOOKUP(F140,IMPORTRANGE(""1H3cO01obd5zFULYqaT5NAqecZBFFIHeDFn4CeQLZF3w"",""Form Responses 1!B:C""),2,FALSE),)"),"")</f>
        <v/>
      </c>
      <c r="U140" s="70" t="str">
        <f>IFERROR(__xludf.DUMMYFUNCTION("IFERROR(IF(COUNTIF(IMPORTRANGE(""1IG9qoa6PeLdDDFzKpW39lxXshN0-M8Z25a_R1EpsYyg"",""Form Responses 1!B:B""),F140)&gt;0,10,),0)"),"")</f>
        <v/>
      </c>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row>
    <row r="141">
      <c r="B141" s="70" t="str">
        <f>IFERROR(__xludf.DUMMYFUNCTION("IFERROR(IF(COUNTIF(IMPORTRANGE(""1RTcwEJsI_0aJRebhNwO_H_AoKl9r46k7hWYbtciIyM4"",""Form Responses 1!B:B""),A141)&gt;0,10,),0)"),"")</f>
        <v/>
      </c>
      <c r="C141" s="70" t="str">
        <f>IFERROR(__xludf.DUMMYFUNCTION("IFERROR(VLOOKUP(A141,IMPORTRANGE(""11i8IUhq_U6RRKRV3CBWIKqYed_fMvFgNUHTq1YDJfp8"",""Form Responses 1!B:C""),2,FALSE),)"),"")</f>
        <v/>
      </c>
      <c r="D141" s="70" t="str">
        <f>IFERROR(__xludf.DUMMYFUNCTION("IFERROR(VLOOKUP(A141,IMPORTRANGE(""1StiHxuxrFhYdrq5WLR2JMORicW0TbnJf3J-oTHeMRtM"",""Form Responses 1!B:C""),2,FALSE),)"),"")</f>
        <v/>
      </c>
      <c r="E141" s="70" t="str">
        <f>IFERROR(__xludf.DUMMYFUNCTION("IFERROR(VLOOKUP(A141,IMPORTRANGE(""1QaxxyUjrDq2kgz300C1Bq1tacFk6e-xX218cSXCQUK0"",""Form Responses 1!B:C""),2,FALSE),)"),"")</f>
        <v/>
      </c>
      <c r="F141" s="70" t="str">
        <f>IFERROR(__xludf.DUMMYFUNCTION("IFERROR(VLOOKUP(A141,IMPORTRANGE(""1fn2ECph_y8Uz78DhjLaiXcwgt6kh3oe-0Le36Uw0noE"",""Form Responses 1!B:C""),2,FALSE),)"),"")</f>
        <v/>
      </c>
      <c r="G141" s="70"/>
      <c r="H141" s="70"/>
      <c r="I141" s="70"/>
      <c r="J141" s="70"/>
      <c r="K141" s="70"/>
      <c r="L141" s="70"/>
      <c r="M141" s="70"/>
      <c r="N141" s="70"/>
      <c r="O141" s="70"/>
      <c r="P141" s="70"/>
      <c r="Q141" s="70" t="str">
        <f>IFERROR(__xludf.DUMMYFUNCTION("IFERROR(IF(COUNTIF(IMPORTRANGE(""1WjiLR_MTMxI_IZUKuvPO4Sg2rTSIqBzP3edakSRXbOA"",""Form Responses 1!B:B""),F141)&gt;0,10,),0)"),"")</f>
        <v/>
      </c>
      <c r="R141" s="70" t="str">
        <f>IFERROR(__xludf.DUMMYFUNCTION("IFERROR(VLOOKUP(F141,IMPORTRANGE(""1Ixzbal5tEbtWhozsFEppQzOYE6ZSrkNXHg_HW5k3Wt4"",""Form Responses 1!B:C""),2,FALSE),)"),"")</f>
        <v/>
      </c>
      <c r="S141" s="70" t="str">
        <f>IFERROR(__xludf.DUMMYFUNCTION("IFERROR(VLOOKUP(F141,IMPORTRANGE(""1zxjtEKGvVIJPIDqZdnxENwVpPXYa88EihzyI44hcQUo"",""Form Responses 1!B:C""),2,FALSE),)"),"")</f>
        <v/>
      </c>
      <c r="T141" s="70" t="str">
        <f>IFERROR(__xludf.DUMMYFUNCTION("IFERROR(VLOOKUP(F141,IMPORTRANGE(""1H3cO01obd5zFULYqaT5NAqecZBFFIHeDFn4CeQLZF3w"",""Form Responses 1!B:C""),2,FALSE),)"),"")</f>
        <v/>
      </c>
      <c r="U141" s="70" t="str">
        <f>IFERROR(__xludf.DUMMYFUNCTION("IFERROR(IF(COUNTIF(IMPORTRANGE(""1IG9qoa6PeLdDDFzKpW39lxXshN0-M8Z25a_R1EpsYyg"",""Form Responses 1!B:B""),F141)&gt;0,10,),0)"),"")</f>
        <v/>
      </c>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row>
    <row r="142">
      <c r="B142" s="70" t="str">
        <f>IFERROR(__xludf.DUMMYFUNCTION("IFERROR(IF(COUNTIF(IMPORTRANGE(""1RTcwEJsI_0aJRebhNwO_H_AoKl9r46k7hWYbtciIyM4"",""Form Responses 1!B:B""),A142)&gt;0,10,),0)"),"")</f>
        <v/>
      </c>
      <c r="C142" s="70" t="str">
        <f>IFERROR(__xludf.DUMMYFUNCTION("IFERROR(VLOOKUP(A142,IMPORTRANGE(""11i8IUhq_U6RRKRV3CBWIKqYed_fMvFgNUHTq1YDJfp8"",""Form Responses 1!B:C""),2,FALSE),)"),"")</f>
        <v/>
      </c>
      <c r="D142" s="70" t="str">
        <f>IFERROR(__xludf.DUMMYFUNCTION("IFERROR(VLOOKUP(A142,IMPORTRANGE(""1StiHxuxrFhYdrq5WLR2JMORicW0TbnJf3J-oTHeMRtM"",""Form Responses 1!B:C""),2,FALSE),)"),"")</f>
        <v/>
      </c>
      <c r="E142" s="70" t="str">
        <f>IFERROR(__xludf.DUMMYFUNCTION("IFERROR(VLOOKUP(A142,IMPORTRANGE(""1QaxxyUjrDq2kgz300C1Bq1tacFk6e-xX218cSXCQUK0"",""Form Responses 1!B:C""),2,FALSE),)"),"")</f>
        <v/>
      </c>
      <c r="F142" s="70" t="str">
        <f>IFERROR(__xludf.DUMMYFUNCTION("IFERROR(VLOOKUP(A142,IMPORTRANGE(""1fn2ECph_y8Uz78DhjLaiXcwgt6kh3oe-0Le36Uw0noE"",""Form Responses 1!B:C""),2,FALSE),)"),"")</f>
        <v/>
      </c>
      <c r="G142" s="70"/>
      <c r="H142" s="70"/>
      <c r="I142" s="70"/>
      <c r="J142" s="70"/>
      <c r="K142" s="70"/>
      <c r="L142" s="70"/>
      <c r="M142" s="70"/>
      <c r="N142" s="70"/>
      <c r="O142" s="70"/>
      <c r="P142" s="70"/>
      <c r="Q142" s="70" t="str">
        <f>IFERROR(__xludf.DUMMYFUNCTION("IFERROR(IF(COUNTIF(IMPORTRANGE(""1WjiLR_MTMxI_IZUKuvPO4Sg2rTSIqBzP3edakSRXbOA"",""Form Responses 1!B:B""),F142)&gt;0,10,),0)"),"")</f>
        <v/>
      </c>
      <c r="R142" s="70" t="str">
        <f>IFERROR(__xludf.DUMMYFUNCTION("IFERROR(VLOOKUP(F142,IMPORTRANGE(""1Ixzbal5tEbtWhozsFEppQzOYE6ZSrkNXHg_HW5k3Wt4"",""Form Responses 1!B:C""),2,FALSE),)"),"")</f>
        <v/>
      </c>
      <c r="S142" s="70" t="str">
        <f>IFERROR(__xludf.DUMMYFUNCTION("IFERROR(VLOOKUP(F142,IMPORTRANGE(""1zxjtEKGvVIJPIDqZdnxENwVpPXYa88EihzyI44hcQUo"",""Form Responses 1!B:C""),2,FALSE),)"),"")</f>
        <v/>
      </c>
      <c r="T142" s="70" t="str">
        <f>IFERROR(__xludf.DUMMYFUNCTION("IFERROR(VLOOKUP(F142,IMPORTRANGE(""1H3cO01obd5zFULYqaT5NAqecZBFFIHeDFn4CeQLZF3w"",""Form Responses 1!B:C""),2,FALSE),)"),"")</f>
        <v/>
      </c>
      <c r="U142" s="70" t="str">
        <f>IFERROR(__xludf.DUMMYFUNCTION("IFERROR(IF(COUNTIF(IMPORTRANGE(""1IG9qoa6PeLdDDFzKpW39lxXshN0-M8Z25a_R1EpsYyg"",""Form Responses 1!B:B""),F142)&gt;0,10,),0)"),"")</f>
        <v/>
      </c>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row>
    <row r="143">
      <c r="B143" s="70" t="str">
        <f>IFERROR(__xludf.DUMMYFUNCTION("IFERROR(IF(COUNTIF(IMPORTRANGE(""1RTcwEJsI_0aJRebhNwO_H_AoKl9r46k7hWYbtciIyM4"",""Form Responses 1!B:B""),A143)&gt;0,10,),0)"),"")</f>
        <v/>
      </c>
      <c r="C143" s="70" t="str">
        <f>IFERROR(__xludf.DUMMYFUNCTION("IFERROR(VLOOKUP(A143,IMPORTRANGE(""11i8IUhq_U6RRKRV3CBWIKqYed_fMvFgNUHTq1YDJfp8"",""Form Responses 1!B:C""),2,FALSE),)"),"")</f>
        <v/>
      </c>
      <c r="D143" s="70" t="str">
        <f>IFERROR(__xludf.DUMMYFUNCTION("IFERROR(VLOOKUP(A143,IMPORTRANGE(""1StiHxuxrFhYdrq5WLR2JMORicW0TbnJf3J-oTHeMRtM"",""Form Responses 1!B:C""),2,FALSE),)"),"")</f>
        <v/>
      </c>
      <c r="E143" s="70" t="str">
        <f>IFERROR(__xludf.DUMMYFUNCTION("IFERROR(VLOOKUP(A143,IMPORTRANGE(""1QaxxyUjrDq2kgz300C1Bq1tacFk6e-xX218cSXCQUK0"",""Form Responses 1!B:C""),2,FALSE),)"),"")</f>
        <v/>
      </c>
      <c r="F143" s="70" t="str">
        <f>IFERROR(__xludf.DUMMYFUNCTION("IFERROR(VLOOKUP(A143,IMPORTRANGE(""1fn2ECph_y8Uz78DhjLaiXcwgt6kh3oe-0Le36Uw0noE"",""Form Responses 1!B:C""),2,FALSE),)"),"")</f>
        <v/>
      </c>
      <c r="G143" s="70"/>
      <c r="H143" s="70"/>
      <c r="I143" s="70"/>
      <c r="J143" s="70"/>
      <c r="K143" s="70"/>
      <c r="L143" s="70"/>
      <c r="M143" s="70"/>
      <c r="N143" s="70"/>
      <c r="O143" s="70"/>
      <c r="P143" s="70"/>
      <c r="Q143" s="70" t="str">
        <f>IFERROR(__xludf.DUMMYFUNCTION("IFERROR(IF(COUNTIF(IMPORTRANGE(""1WjiLR_MTMxI_IZUKuvPO4Sg2rTSIqBzP3edakSRXbOA"",""Form Responses 1!B:B""),F143)&gt;0,10,),0)"),"")</f>
        <v/>
      </c>
      <c r="R143" s="70" t="str">
        <f>IFERROR(__xludf.DUMMYFUNCTION("IFERROR(VLOOKUP(F143,IMPORTRANGE(""1Ixzbal5tEbtWhozsFEppQzOYE6ZSrkNXHg_HW5k3Wt4"",""Form Responses 1!B:C""),2,FALSE),)"),"")</f>
        <v/>
      </c>
      <c r="S143" s="70" t="str">
        <f>IFERROR(__xludf.DUMMYFUNCTION("IFERROR(VLOOKUP(F143,IMPORTRANGE(""1zxjtEKGvVIJPIDqZdnxENwVpPXYa88EihzyI44hcQUo"",""Form Responses 1!B:C""),2,FALSE),)"),"")</f>
        <v/>
      </c>
      <c r="T143" s="70" t="str">
        <f>IFERROR(__xludf.DUMMYFUNCTION("IFERROR(VLOOKUP(F143,IMPORTRANGE(""1H3cO01obd5zFULYqaT5NAqecZBFFIHeDFn4CeQLZF3w"",""Form Responses 1!B:C""),2,FALSE),)"),"")</f>
        <v/>
      </c>
      <c r="U143" s="70" t="str">
        <f>IFERROR(__xludf.DUMMYFUNCTION("IFERROR(IF(COUNTIF(IMPORTRANGE(""1IG9qoa6PeLdDDFzKpW39lxXshN0-M8Z25a_R1EpsYyg"",""Form Responses 1!B:B""),F143)&gt;0,10,),0)"),"")</f>
        <v/>
      </c>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0"/>
      <c r="AT143" s="70"/>
      <c r="AU143" s="70"/>
    </row>
    <row r="144">
      <c r="B144" s="70" t="str">
        <f>IFERROR(__xludf.DUMMYFUNCTION("IFERROR(IF(COUNTIF(IMPORTRANGE(""1RTcwEJsI_0aJRebhNwO_H_AoKl9r46k7hWYbtciIyM4"",""Form Responses 1!B:B""),A144)&gt;0,10,),0)"),"")</f>
        <v/>
      </c>
      <c r="C144" s="70" t="str">
        <f>IFERROR(__xludf.DUMMYFUNCTION("IFERROR(VLOOKUP(A144,IMPORTRANGE(""11i8IUhq_U6RRKRV3CBWIKqYed_fMvFgNUHTq1YDJfp8"",""Form Responses 1!B:C""),2,FALSE),)"),"")</f>
        <v/>
      </c>
      <c r="D144" s="70" t="str">
        <f>IFERROR(__xludf.DUMMYFUNCTION("IFERROR(VLOOKUP(A144,IMPORTRANGE(""1StiHxuxrFhYdrq5WLR2JMORicW0TbnJf3J-oTHeMRtM"",""Form Responses 1!B:C""),2,FALSE),)"),"")</f>
        <v/>
      </c>
      <c r="E144" s="70" t="str">
        <f>IFERROR(__xludf.DUMMYFUNCTION("IFERROR(VLOOKUP(A144,IMPORTRANGE(""1QaxxyUjrDq2kgz300C1Bq1tacFk6e-xX218cSXCQUK0"",""Form Responses 1!B:C""),2,FALSE),)"),"")</f>
        <v/>
      </c>
      <c r="F144" s="70" t="str">
        <f>IFERROR(__xludf.DUMMYFUNCTION("IFERROR(VLOOKUP(A144,IMPORTRANGE(""1fn2ECph_y8Uz78DhjLaiXcwgt6kh3oe-0Le36Uw0noE"",""Form Responses 1!B:C""),2,FALSE),)"),"")</f>
        <v/>
      </c>
      <c r="G144" s="70"/>
      <c r="H144" s="70"/>
      <c r="I144" s="70"/>
      <c r="J144" s="70"/>
      <c r="K144" s="70"/>
      <c r="L144" s="70"/>
      <c r="M144" s="70"/>
      <c r="N144" s="70"/>
      <c r="O144" s="70"/>
      <c r="P144" s="70"/>
      <c r="Q144" s="70" t="str">
        <f>IFERROR(__xludf.DUMMYFUNCTION("IFERROR(IF(COUNTIF(IMPORTRANGE(""1WjiLR_MTMxI_IZUKuvPO4Sg2rTSIqBzP3edakSRXbOA"",""Form Responses 1!B:B""),F144)&gt;0,10,),0)"),"")</f>
        <v/>
      </c>
      <c r="R144" s="70" t="str">
        <f>IFERROR(__xludf.DUMMYFUNCTION("IFERROR(VLOOKUP(F144,IMPORTRANGE(""1Ixzbal5tEbtWhozsFEppQzOYE6ZSrkNXHg_HW5k3Wt4"",""Form Responses 1!B:C""),2,FALSE),)"),"")</f>
        <v/>
      </c>
      <c r="S144" s="70" t="str">
        <f>IFERROR(__xludf.DUMMYFUNCTION("IFERROR(VLOOKUP(F144,IMPORTRANGE(""1zxjtEKGvVIJPIDqZdnxENwVpPXYa88EihzyI44hcQUo"",""Form Responses 1!B:C""),2,FALSE),)"),"")</f>
        <v/>
      </c>
      <c r="T144" s="70" t="str">
        <f>IFERROR(__xludf.DUMMYFUNCTION("IFERROR(VLOOKUP(F144,IMPORTRANGE(""1H3cO01obd5zFULYqaT5NAqecZBFFIHeDFn4CeQLZF3w"",""Form Responses 1!B:C""),2,FALSE),)"),"")</f>
        <v/>
      </c>
      <c r="U144" s="70" t="str">
        <f>IFERROR(__xludf.DUMMYFUNCTION("IFERROR(IF(COUNTIF(IMPORTRANGE(""1IG9qoa6PeLdDDFzKpW39lxXshN0-M8Z25a_R1EpsYyg"",""Form Responses 1!B:B""),F144)&gt;0,10,),0)"),"")</f>
        <v/>
      </c>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row>
    <row r="145">
      <c r="B145" s="70" t="str">
        <f>IFERROR(__xludf.DUMMYFUNCTION("IFERROR(IF(COUNTIF(IMPORTRANGE(""1RTcwEJsI_0aJRebhNwO_H_AoKl9r46k7hWYbtciIyM4"",""Form Responses 1!B:B""),A145)&gt;0,10,),0)"),"")</f>
        <v/>
      </c>
      <c r="C145" s="70" t="str">
        <f>IFERROR(__xludf.DUMMYFUNCTION("IFERROR(VLOOKUP(A145,IMPORTRANGE(""11i8IUhq_U6RRKRV3CBWIKqYed_fMvFgNUHTq1YDJfp8"",""Form Responses 1!B:C""),2,FALSE),)"),"")</f>
        <v/>
      </c>
      <c r="D145" s="70" t="str">
        <f>IFERROR(__xludf.DUMMYFUNCTION("IFERROR(VLOOKUP(A145,IMPORTRANGE(""1StiHxuxrFhYdrq5WLR2JMORicW0TbnJf3J-oTHeMRtM"",""Form Responses 1!B:C""),2,FALSE),)"),"")</f>
        <v/>
      </c>
      <c r="E145" s="70" t="str">
        <f>IFERROR(__xludf.DUMMYFUNCTION("IFERROR(VLOOKUP(A145,IMPORTRANGE(""1QaxxyUjrDq2kgz300C1Bq1tacFk6e-xX218cSXCQUK0"",""Form Responses 1!B:C""),2,FALSE),)"),"")</f>
        <v/>
      </c>
      <c r="F145" s="70" t="str">
        <f>IFERROR(__xludf.DUMMYFUNCTION("IFERROR(VLOOKUP(A145,IMPORTRANGE(""1fn2ECph_y8Uz78DhjLaiXcwgt6kh3oe-0Le36Uw0noE"",""Form Responses 1!B:C""),2,FALSE),)"),"")</f>
        <v/>
      </c>
      <c r="G145" s="70"/>
      <c r="H145" s="70"/>
      <c r="I145" s="70"/>
      <c r="J145" s="70"/>
      <c r="K145" s="70"/>
      <c r="L145" s="70"/>
      <c r="M145" s="70"/>
      <c r="N145" s="70"/>
      <c r="O145" s="70"/>
      <c r="P145" s="70"/>
      <c r="Q145" s="70" t="str">
        <f>IFERROR(__xludf.DUMMYFUNCTION("IFERROR(IF(COUNTIF(IMPORTRANGE(""1WjiLR_MTMxI_IZUKuvPO4Sg2rTSIqBzP3edakSRXbOA"",""Form Responses 1!B:B""),F145)&gt;0,10,),0)"),"")</f>
        <v/>
      </c>
      <c r="R145" s="70" t="str">
        <f>IFERROR(__xludf.DUMMYFUNCTION("IFERROR(VLOOKUP(F145,IMPORTRANGE(""1Ixzbal5tEbtWhozsFEppQzOYE6ZSrkNXHg_HW5k3Wt4"",""Form Responses 1!B:C""),2,FALSE),)"),"")</f>
        <v/>
      </c>
      <c r="S145" s="70" t="str">
        <f>IFERROR(__xludf.DUMMYFUNCTION("IFERROR(VLOOKUP(F145,IMPORTRANGE(""1zxjtEKGvVIJPIDqZdnxENwVpPXYa88EihzyI44hcQUo"",""Form Responses 1!B:C""),2,FALSE),)"),"")</f>
        <v/>
      </c>
      <c r="T145" s="70" t="str">
        <f>IFERROR(__xludf.DUMMYFUNCTION("IFERROR(VLOOKUP(F145,IMPORTRANGE(""1H3cO01obd5zFULYqaT5NAqecZBFFIHeDFn4CeQLZF3w"",""Form Responses 1!B:C""),2,FALSE),)"),"")</f>
        <v/>
      </c>
      <c r="U145" s="70" t="str">
        <f>IFERROR(__xludf.DUMMYFUNCTION("IFERROR(IF(COUNTIF(IMPORTRANGE(""1IG9qoa6PeLdDDFzKpW39lxXshN0-M8Z25a_R1EpsYyg"",""Form Responses 1!B:B""),F145)&gt;0,10,),0)"),"")</f>
        <v/>
      </c>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c r="AT145" s="70"/>
      <c r="AU145" s="70"/>
    </row>
    <row r="146">
      <c r="B146" s="70" t="str">
        <f>IFERROR(__xludf.DUMMYFUNCTION("IFERROR(IF(COUNTIF(IMPORTRANGE(""1RTcwEJsI_0aJRebhNwO_H_AoKl9r46k7hWYbtciIyM4"",""Form Responses 1!B:B""),A146)&gt;0,10,),0)"),"")</f>
        <v/>
      </c>
      <c r="C146" s="70" t="str">
        <f>IFERROR(__xludf.DUMMYFUNCTION("IFERROR(VLOOKUP(A146,IMPORTRANGE(""11i8IUhq_U6RRKRV3CBWIKqYed_fMvFgNUHTq1YDJfp8"",""Form Responses 1!B:C""),2,FALSE),)"),"")</f>
        <v/>
      </c>
      <c r="D146" s="70" t="str">
        <f>IFERROR(__xludf.DUMMYFUNCTION("IFERROR(VLOOKUP(A146,IMPORTRANGE(""1StiHxuxrFhYdrq5WLR2JMORicW0TbnJf3J-oTHeMRtM"",""Form Responses 1!B:C""),2,FALSE),)"),"")</f>
        <v/>
      </c>
      <c r="E146" s="70" t="str">
        <f>IFERROR(__xludf.DUMMYFUNCTION("IFERROR(VLOOKUP(A146,IMPORTRANGE(""1QaxxyUjrDq2kgz300C1Bq1tacFk6e-xX218cSXCQUK0"",""Form Responses 1!B:C""),2,FALSE),)"),"")</f>
        <v/>
      </c>
      <c r="F146" s="70" t="str">
        <f>IFERROR(__xludf.DUMMYFUNCTION("IFERROR(VLOOKUP(A146,IMPORTRANGE(""1fn2ECph_y8Uz78DhjLaiXcwgt6kh3oe-0Le36Uw0noE"",""Form Responses 1!B:C""),2,FALSE),)"),"")</f>
        <v/>
      </c>
      <c r="G146" s="70"/>
      <c r="H146" s="70"/>
      <c r="I146" s="70"/>
      <c r="J146" s="70"/>
      <c r="K146" s="70"/>
      <c r="L146" s="70"/>
      <c r="M146" s="70"/>
      <c r="N146" s="70"/>
      <c r="O146" s="70"/>
      <c r="P146" s="70"/>
      <c r="Q146" s="70" t="str">
        <f>IFERROR(__xludf.DUMMYFUNCTION("IFERROR(IF(COUNTIF(IMPORTRANGE(""1WjiLR_MTMxI_IZUKuvPO4Sg2rTSIqBzP3edakSRXbOA"",""Form Responses 1!B:B""),F146)&gt;0,10,),0)"),"")</f>
        <v/>
      </c>
      <c r="R146" s="70" t="str">
        <f>IFERROR(__xludf.DUMMYFUNCTION("IFERROR(VLOOKUP(F146,IMPORTRANGE(""1Ixzbal5tEbtWhozsFEppQzOYE6ZSrkNXHg_HW5k3Wt4"",""Form Responses 1!B:C""),2,FALSE),)"),"")</f>
        <v/>
      </c>
      <c r="S146" s="70" t="str">
        <f>IFERROR(__xludf.DUMMYFUNCTION("IFERROR(VLOOKUP(F146,IMPORTRANGE(""1zxjtEKGvVIJPIDqZdnxENwVpPXYa88EihzyI44hcQUo"",""Form Responses 1!B:C""),2,FALSE),)"),"")</f>
        <v/>
      </c>
      <c r="T146" s="70" t="str">
        <f>IFERROR(__xludf.DUMMYFUNCTION("IFERROR(VLOOKUP(F146,IMPORTRANGE(""1H3cO01obd5zFULYqaT5NAqecZBFFIHeDFn4CeQLZF3w"",""Form Responses 1!B:C""),2,FALSE),)"),"")</f>
        <v/>
      </c>
      <c r="U146" s="70" t="str">
        <f>IFERROR(__xludf.DUMMYFUNCTION("IFERROR(IF(COUNTIF(IMPORTRANGE(""1IG9qoa6PeLdDDFzKpW39lxXshN0-M8Z25a_R1EpsYyg"",""Form Responses 1!B:B""),F146)&gt;0,10,),0)"),"")</f>
        <v/>
      </c>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row>
    <row r="147">
      <c r="B147" s="70" t="str">
        <f>IFERROR(__xludf.DUMMYFUNCTION("IFERROR(IF(COUNTIF(IMPORTRANGE(""1RTcwEJsI_0aJRebhNwO_H_AoKl9r46k7hWYbtciIyM4"",""Form Responses 1!B:B""),A147)&gt;0,10,),0)"),"")</f>
        <v/>
      </c>
      <c r="C147" s="70" t="str">
        <f>IFERROR(__xludf.DUMMYFUNCTION("IFERROR(VLOOKUP(A147,IMPORTRANGE(""11i8IUhq_U6RRKRV3CBWIKqYed_fMvFgNUHTq1YDJfp8"",""Form Responses 1!B:C""),2,FALSE),)"),"")</f>
        <v/>
      </c>
      <c r="D147" s="70" t="str">
        <f>IFERROR(__xludf.DUMMYFUNCTION("IFERROR(VLOOKUP(A147,IMPORTRANGE(""1StiHxuxrFhYdrq5WLR2JMORicW0TbnJf3J-oTHeMRtM"",""Form Responses 1!B:C""),2,FALSE),)"),"")</f>
        <v/>
      </c>
      <c r="E147" s="70" t="str">
        <f>IFERROR(__xludf.DUMMYFUNCTION("IFERROR(VLOOKUP(A147,IMPORTRANGE(""1QaxxyUjrDq2kgz300C1Bq1tacFk6e-xX218cSXCQUK0"",""Form Responses 1!B:C""),2,FALSE),)"),"")</f>
        <v/>
      </c>
      <c r="F147" s="70" t="str">
        <f>IFERROR(__xludf.DUMMYFUNCTION("IFERROR(VLOOKUP(A147,IMPORTRANGE(""1fn2ECph_y8Uz78DhjLaiXcwgt6kh3oe-0Le36Uw0noE"",""Form Responses 1!B:C""),2,FALSE),)"),"")</f>
        <v/>
      </c>
      <c r="G147" s="70"/>
      <c r="H147" s="70"/>
      <c r="I147" s="70"/>
      <c r="J147" s="70"/>
      <c r="K147" s="70"/>
      <c r="L147" s="70"/>
      <c r="M147" s="70"/>
      <c r="N147" s="70"/>
      <c r="O147" s="70"/>
      <c r="P147" s="70"/>
      <c r="Q147" s="70" t="str">
        <f>IFERROR(__xludf.DUMMYFUNCTION("IFERROR(IF(COUNTIF(IMPORTRANGE(""1WjiLR_MTMxI_IZUKuvPO4Sg2rTSIqBzP3edakSRXbOA"",""Form Responses 1!B:B""),F147)&gt;0,10,),0)"),"")</f>
        <v/>
      </c>
      <c r="R147" s="70" t="str">
        <f>IFERROR(__xludf.DUMMYFUNCTION("IFERROR(VLOOKUP(F147,IMPORTRANGE(""1Ixzbal5tEbtWhozsFEppQzOYE6ZSrkNXHg_HW5k3Wt4"",""Form Responses 1!B:C""),2,FALSE),)"),"")</f>
        <v/>
      </c>
      <c r="S147" s="70" t="str">
        <f>IFERROR(__xludf.DUMMYFUNCTION("IFERROR(VLOOKUP(F147,IMPORTRANGE(""1zxjtEKGvVIJPIDqZdnxENwVpPXYa88EihzyI44hcQUo"",""Form Responses 1!B:C""),2,FALSE),)"),"")</f>
        <v/>
      </c>
      <c r="T147" s="70" t="str">
        <f>IFERROR(__xludf.DUMMYFUNCTION("IFERROR(VLOOKUP(F147,IMPORTRANGE(""1H3cO01obd5zFULYqaT5NAqecZBFFIHeDFn4CeQLZF3w"",""Form Responses 1!B:C""),2,FALSE),)"),"")</f>
        <v/>
      </c>
      <c r="U147" s="70" t="str">
        <f>IFERROR(__xludf.DUMMYFUNCTION("IFERROR(IF(COUNTIF(IMPORTRANGE(""1IG9qoa6PeLdDDFzKpW39lxXshN0-M8Z25a_R1EpsYyg"",""Form Responses 1!B:B""),F147)&gt;0,10,),0)"),"")</f>
        <v/>
      </c>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c r="AT147" s="70"/>
      <c r="AU147" s="70"/>
    </row>
    <row r="148">
      <c r="B148" s="70" t="str">
        <f>IFERROR(__xludf.DUMMYFUNCTION("IFERROR(IF(COUNTIF(IMPORTRANGE(""1RTcwEJsI_0aJRebhNwO_H_AoKl9r46k7hWYbtciIyM4"",""Form Responses 1!B:B""),A148)&gt;0,10,),0)"),"")</f>
        <v/>
      </c>
      <c r="C148" s="70" t="str">
        <f>IFERROR(__xludf.DUMMYFUNCTION("IFERROR(VLOOKUP(A148,IMPORTRANGE(""11i8IUhq_U6RRKRV3CBWIKqYed_fMvFgNUHTq1YDJfp8"",""Form Responses 1!B:C""),2,FALSE),)"),"")</f>
        <v/>
      </c>
      <c r="D148" s="70" t="str">
        <f>IFERROR(__xludf.DUMMYFUNCTION("IFERROR(VLOOKUP(A148,IMPORTRANGE(""1StiHxuxrFhYdrq5WLR2JMORicW0TbnJf3J-oTHeMRtM"",""Form Responses 1!B:C""),2,FALSE),)"),"")</f>
        <v/>
      </c>
      <c r="E148" s="70" t="str">
        <f>IFERROR(__xludf.DUMMYFUNCTION("IFERROR(VLOOKUP(A148,IMPORTRANGE(""1QaxxyUjrDq2kgz300C1Bq1tacFk6e-xX218cSXCQUK0"",""Form Responses 1!B:C""),2,FALSE),)"),"")</f>
        <v/>
      </c>
      <c r="F148" s="70" t="str">
        <f>IFERROR(__xludf.DUMMYFUNCTION("IFERROR(VLOOKUP(A148,IMPORTRANGE(""1fn2ECph_y8Uz78DhjLaiXcwgt6kh3oe-0Le36Uw0noE"",""Form Responses 1!B:C""),2,FALSE),)"),"")</f>
        <v/>
      </c>
      <c r="G148" s="70"/>
      <c r="H148" s="70"/>
      <c r="I148" s="70"/>
      <c r="J148" s="70"/>
      <c r="K148" s="70"/>
      <c r="L148" s="70"/>
      <c r="M148" s="70"/>
      <c r="N148" s="70"/>
      <c r="O148" s="70"/>
      <c r="P148" s="70"/>
      <c r="Q148" s="70" t="str">
        <f>IFERROR(__xludf.DUMMYFUNCTION("IFERROR(IF(COUNTIF(IMPORTRANGE(""1WjiLR_MTMxI_IZUKuvPO4Sg2rTSIqBzP3edakSRXbOA"",""Form Responses 1!B:B""),F148)&gt;0,10,),0)"),"")</f>
        <v/>
      </c>
      <c r="R148" s="70" t="str">
        <f>IFERROR(__xludf.DUMMYFUNCTION("IFERROR(VLOOKUP(F148,IMPORTRANGE(""1Ixzbal5tEbtWhozsFEppQzOYE6ZSrkNXHg_HW5k3Wt4"",""Form Responses 1!B:C""),2,FALSE),)"),"")</f>
        <v/>
      </c>
      <c r="S148" s="70" t="str">
        <f>IFERROR(__xludf.DUMMYFUNCTION("IFERROR(VLOOKUP(F148,IMPORTRANGE(""1zxjtEKGvVIJPIDqZdnxENwVpPXYa88EihzyI44hcQUo"",""Form Responses 1!B:C""),2,FALSE),)"),"")</f>
        <v/>
      </c>
      <c r="T148" s="70" t="str">
        <f>IFERROR(__xludf.DUMMYFUNCTION("IFERROR(VLOOKUP(F148,IMPORTRANGE(""1H3cO01obd5zFULYqaT5NAqecZBFFIHeDFn4CeQLZF3w"",""Form Responses 1!B:C""),2,FALSE),)"),"")</f>
        <v/>
      </c>
      <c r="U148" s="70" t="str">
        <f>IFERROR(__xludf.DUMMYFUNCTION("IFERROR(IF(COUNTIF(IMPORTRANGE(""1IG9qoa6PeLdDDFzKpW39lxXshN0-M8Z25a_R1EpsYyg"",""Form Responses 1!B:B""),F148)&gt;0,10,),0)"),"")</f>
        <v/>
      </c>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c r="AT148" s="70"/>
      <c r="AU148" s="70"/>
    </row>
    <row r="149">
      <c r="B149" s="70" t="str">
        <f>IFERROR(__xludf.DUMMYFUNCTION("IFERROR(IF(COUNTIF(IMPORTRANGE(""1RTcwEJsI_0aJRebhNwO_H_AoKl9r46k7hWYbtciIyM4"",""Form Responses 1!B:B""),A149)&gt;0,10,),0)"),"")</f>
        <v/>
      </c>
      <c r="C149" s="70" t="str">
        <f>IFERROR(__xludf.DUMMYFUNCTION("IFERROR(VLOOKUP(A149,IMPORTRANGE(""11i8IUhq_U6RRKRV3CBWIKqYed_fMvFgNUHTq1YDJfp8"",""Form Responses 1!B:C""),2,FALSE),)"),"")</f>
        <v/>
      </c>
      <c r="D149" s="70" t="str">
        <f>IFERROR(__xludf.DUMMYFUNCTION("IFERROR(VLOOKUP(A149,IMPORTRANGE(""1StiHxuxrFhYdrq5WLR2JMORicW0TbnJf3J-oTHeMRtM"",""Form Responses 1!B:C""),2,FALSE),)"),"")</f>
        <v/>
      </c>
      <c r="E149" s="70" t="str">
        <f>IFERROR(__xludf.DUMMYFUNCTION("IFERROR(VLOOKUP(A149,IMPORTRANGE(""1QaxxyUjrDq2kgz300C1Bq1tacFk6e-xX218cSXCQUK0"",""Form Responses 1!B:C""),2,FALSE),)"),"")</f>
        <v/>
      </c>
      <c r="F149" s="70" t="str">
        <f>IFERROR(__xludf.DUMMYFUNCTION("IFERROR(VLOOKUP(A149,IMPORTRANGE(""1fn2ECph_y8Uz78DhjLaiXcwgt6kh3oe-0Le36Uw0noE"",""Form Responses 1!B:C""),2,FALSE),)"),"")</f>
        <v/>
      </c>
      <c r="G149" s="70"/>
      <c r="H149" s="70"/>
      <c r="I149" s="70"/>
      <c r="J149" s="70"/>
      <c r="K149" s="70"/>
      <c r="L149" s="70"/>
      <c r="M149" s="70"/>
      <c r="N149" s="70"/>
      <c r="O149" s="70"/>
      <c r="P149" s="70"/>
      <c r="Q149" s="70" t="str">
        <f>IFERROR(__xludf.DUMMYFUNCTION("IFERROR(IF(COUNTIF(IMPORTRANGE(""1WjiLR_MTMxI_IZUKuvPO4Sg2rTSIqBzP3edakSRXbOA"",""Form Responses 1!B:B""),F149)&gt;0,10,),0)"),"")</f>
        <v/>
      </c>
      <c r="R149" s="70" t="str">
        <f>IFERROR(__xludf.DUMMYFUNCTION("IFERROR(VLOOKUP(F149,IMPORTRANGE(""1Ixzbal5tEbtWhozsFEppQzOYE6ZSrkNXHg_HW5k3Wt4"",""Form Responses 1!B:C""),2,FALSE),)"),"")</f>
        <v/>
      </c>
      <c r="S149" s="70" t="str">
        <f>IFERROR(__xludf.DUMMYFUNCTION("IFERROR(VLOOKUP(F149,IMPORTRANGE(""1zxjtEKGvVIJPIDqZdnxENwVpPXYa88EihzyI44hcQUo"",""Form Responses 1!B:C""),2,FALSE),)"),"")</f>
        <v/>
      </c>
      <c r="T149" s="70" t="str">
        <f>IFERROR(__xludf.DUMMYFUNCTION("IFERROR(VLOOKUP(F149,IMPORTRANGE(""1H3cO01obd5zFULYqaT5NAqecZBFFIHeDFn4CeQLZF3w"",""Form Responses 1!B:C""),2,FALSE),)"),"")</f>
        <v/>
      </c>
      <c r="U149" s="70" t="str">
        <f>IFERROR(__xludf.DUMMYFUNCTION("IFERROR(IF(COUNTIF(IMPORTRANGE(""1IG9qoa6PeLdDDFzKpW39lxXshN0-M8Z25a_R1EpsYyg"",""Form Responses 1!B:B""),F149)&gt;0,10,),0)"),"")</f>
        <v/>
      </c>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row>
    <row r="150">
      <c r="B150" s="70" t="str">
        <f>IFERROR(__xludf.DUMMYFUNCTION("IFERROR(IF(COUNTIF(IMPORTRANGE(""1RTcwEJsI_0aJRebhNwO_H_AoKl9r46k7hWYbtciIyM4"",""Form Responses 1!B:B""),A150)&gt;0,10,),0)"),"")</f>
        <v/>
      </c>
      <c r="C150" s="70" t="str">
        <f>IFERROR(__xludf.DUMMYFUNCTION("IFERROR(VLOOKUP(A150,IMPORTRANGE(""11i8IUhq_U6RRKRV3CBWIKqYed_fMvFgNUHTq1YDJfp8"",""Form Responses 1!B:C""),2,FALSE),)"),"")</f>
        <v/>
      </c>
      <c r="D150" s="70" t="str">
        <f>IFERROR(__xludf.DUMMYFUNCTION("IFERROR(VLOOKUP(A150,IMPORTRANGE(""1StiHxuxrFhYdrq5WLR2JMORicW0TbnJf3J-oTHeMRtM"",""Form Responses 1!B:C""),2,FALSE),)"),"")</f>
        <v/>
      </c>
      <c r="E150" s="70" t="str">
        <f>IFERROR(__xludf.DUMMYFUNCTION("IFERROR(VLOOKUP(A150,IMPORTRANGE(""1QaxxyUjrDq2kgz300C1Bq1tacFk6e-xX218cSXCQUK0"",""Form Responses 1!B:C""),2,FALSE),)"),"")</f>
        <v/>
      </c>
      <c r="F150" s="70" t="str">
        <f>IFERROR(__xludf.DUMMYFUNCTION("IFERROR(VLOOKUP(A150,IMPORTRANGE(""1fn2ECph_y8Uz78DhjLaiXcwgt6kh3oe-0Le36Uw0noE"",""Form Responses 1!B:C""),2,FALSE),)"),"")</f>
        <v/>
      </c>
      <c r="G150" s="70"/>
      <c r="H150" s="70"/>
      <c r="I150" s="70"/>
      <c r="J150" s="70"/>
      <c r="K150" s="70"/>
      <c r="L150" s="70"/>
      <c r="M150" s="70"/>
      <c r="N150" s="70"/>
      <c r="O150" s="70"/>
      <c r="P150" s="70"/>
      <c r="Q150" s="70" t="str">
        <f>IFERROR(__xludf.DUMMYFUNCTION("IFERROR(IF(COUNTIF(IMPORTRANGE(""1WjiLR_MTMxI_IZUKuvPO4Sg2rTSIqBzP3edakSRXbOA"",""Form Responses 1!B:B""),F150)&gt;0,10,),0)"),"")</f>
        <v/>
      </c>
      <c r="R150" s="70" t="str">
        <f>IFERROR(__xludf.DUMMYFUNCTION("IFERROR(VLOOKUP(F150,IMPORTRANGE(""1Ixzbal5tEbtWhozsFEppQzOYE6ZSrkNXHg_HW5k3Wt4"",""Form Responses 1!B:C""),2,FALSE),)"),"")</f>
        <v/>
      </c>
      <c r="S150" s="70" t="str">
        <f>IFERROR(__xludf.DUMMYFUNCTION("IFERROR(VLOOKUP(F150,IMPORTRANGE(""1zxjtEKGvVIJPIDqZdnxENwVpPXYa88EihzyI44hcQUo"",""Form Responses 1!B:C""),2,FALSE),)"),"")</f>
        <v/>
      </c>
      <c r="T150" s="70" t="str">
        <f>IFERROR(__xludf.DUMMYFUNCTION("IFERROR(VLOOKUP(F150,IMPORTRANGE(""1H3cO01obd5zFULYqaT5NAqecZBFFIHeDFn4CeQLZF3w"",""Form Responses 1!B:C""),2,FALSE),)"),"")</f>
        <v/>
      </c>
      <c r="U150" s="70" t="str">
        <f>IFERROR(__xludf.DUMMYFUNCTION("IFERROR(IF(COUNTIF(IMPORTRANGE(""1IG9qoa6PeLdDDFzKpW39lxXshN0-M8Z25a_R1EpsYyg"",""Form Responses 1!B:B""),F150)&gt;0,10,),0)"),"")</f>
        <v/>
      </c>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c r="AT150" s="70"/>
      <c r="AU150" s="70"/>
    </row>
    <row r="151">
      <c r="B151" s="70" t="str">
        <f>IFERROR(__xludf.DUMMYFUNCTION("IFERROR(IF(COUNTIF(IMPORTRANGE(""1RTcwEJsI_0aJRebhNwO_H_AoKl9r46k7hWYbtciIyM4"",""Form Responses 1!B:B""),A151)&gt;0,10,),0)"),"")</f>
        <v/>
      </c>
      <c r="C151" s="70" t="str">
        <f>IFERROR(__xludf.DUMMYFUNCTION("IFERROR(VLOOKUP(A151,IMPORTRANGE(""11i8IUhq_U6RRKRV3CBWIKqYed_fMvFgNUHTq1YDJfp8"",""Form Responses 1!B:C""),2,FALSE),)"),"")</f>
        <v/>
      </c>
      <c r="D151" s="70" t="str">
        <f>IFERROR(__xludf.DUMMYFUNCTION("IFERROR(VLOOKUP(A151,IMPORTRANGE(""1StiHxuxrFhYdrq5WLR2JMORicW0TbnJf3J-oTHeMRtM"",""Form Responses 1!B:C""),2,FALSE),)"),"")</f>
        <v/>
      </c>
      <c r="E151" s="70" t="str">
        <f>IFERROR(__xludf.DUMMYFUNCTION("IFERROR(VLOOKUP(A151,IMPORTRANGE(""1QaxxyUjrDq2kgz300C1Bq1tacFk6e-xX218cSXCQUK0"",""Form Responses 1!B:C""),2,FALSE),)"),"")</f>
        <v/>
      </c>
      <c r="F151" s="70" t="str">
        <f>IFERROR(__xludf.DUMMYFUNCTION("IFERROR(VLOOKUP(A151,IMPORTRANGE(""1fn2ECph_y8Uz78DhjLaiXcwgt6kh3oe-0Le36Uw0noE"",""Form Responses 1!B:C""),2,FALSE),)"),"")</f>
        <v/>
      </c>
      <c r="G151" s="70"/>
      <c r="H151" s="70"/>
      <c r="I151" s="70"/>
      <c r="J151" s="70"/>
      <c r="K151" s="70"/>
      <c r="L151" s="70"/>
      <c r="M151" s="70"/>
      <c r="N151" s="70"/>
      <c r="O151" s="70"/>
      <c r="P151" s="70"/>
      <c r="Q151" s="70" t="str">
        <f>IFERROR(__xludf.DUMMYFUNCTION("IFERROR(IF(COUNTIF(IMPORTRANGE(""1WjiLR_MTMxI_IZUKuvPO4Sg2rTSIqBzP3edakSRXbOA"",""Form Responses 1!B:B""),F151)&gt;0,10,),0)"),"")</f>
        <v/>
      </c>
      <c r="R151" s="70" t="str">
        <f>IFERROR(__xludf.DUMMYFUNCTION("IFERROR(VLOOKUP(F151,IMPORTRANGE(""1Ixzbal5tEbtWhozsFEppQzOYE6ZSrkNXHg_HW5k3Wt4"",""Form Responses 1!B:C""),2,FALSE),)"),"")</f>
        <v/>
      </c>
      <c r="S151" s="70" t="str">
        <f>IFERROR(__xludf.DUMMYFUNCTION("IFERROR(VLOOKUP(F151,IMPORTRANGE(""1zxjtEKGvVIJPIDqZdnxENwVpPXYa88EihzyI44hcQUo"",""Form Responses 1!B:C""),2,FALSE),)"),"")</f>
        <v/>
      </c>
      <c r="T151" s="70" t="str">
        <f>IFERROR(__xludf.DUMMYFUNCTION("IFERROR(VLOOKUP(F151,IMPORTRANGE(""1H3cO01obd5zFULYqaT5NAqecZBFFIHeDFn4CeQLZF3w"",""Form Responses 1!B:C""),2,FALSE),)"),"")</f>
        <v/>
      </c>
      <c r="U151" s="70" t="str">
        <f>IFERROR(__xludf.DUMMYFUNCTION("IFERROR(IF(COUNTIF(IMPORTRANGE(""1IG9qoa6PeLdDDFzKpW39lxXshN0-M8Z25a_R1EpsYyg"",""Form Responses 1!B:B""),F151)&gt;0,10,),0)"),"")</f>
        <v/>
      </c>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row>
    <row r="152">
      <c r="B152" s="70" t="str">
        <f>IFERROR(__xludf.DUMMYFUNCTION("IFERROR(IF(COUNTIF(IMPORTRANGE(""1RTcwEJsI_0aJRebhNwO_H_AoKl9r46k7hWYbtciIyM4"",""Form Responses 1!B:B""),A152)&gt;0,10,),0)"),"")</f>
        <v/>
      </c>
      <c r="C152" s="70" t="str">
        <f>IFERROR(__xludf.DUMMYFUNCTION("IFERROR(VLOOKUP(A152,IMPORTRANGE(""11i8IUhq_U6RRKRV3CBWIKqYed_fMvFgNUHTq1YDJfp8"",""Form Responses 1!B:C""),2,FALSE),)"),"")</f>
        <v/>
      </c>
      <c r="D152" s="70" t="str">
        <f>IFERROR(__xludf.DUMMYFUNCTION("IFERROR(VLOOKUP(A152,IMPORTRANGE(""1StiHxuxrFhYdrq5WLR2JMORicW0TbnJf3J-oTHeMRtM"",""Form Responses 1!B:C""),2,FALSE),)"),"")</f>
        <v/>
      </c>
      <c r="E152" s="70" t="str">
        <f>IFERROR(__xludf.DUMMYFUNCTION("IFERROR(VLOOKUP(A152,IMPORTRANGE(""1QaxxyUjrDq2kgz300C1Bq1tacFk6e-xX218cSXCQUK0"",""Form Responses 1!B:C""),2,FALSE),)"),"")</f>
        <v/>
      </c>
      <c r="F152" s="70" t="str">
        <f>IFERROR(__xludf.DUMMYFUNCTION("IFERROR(VLOOKUP(A152,IMPORTRANGE(""1fn2ECph_y8Uz78DhjLaiXcwgt6kh3oe-0Le36Uw0noE"",""Form Responses 1!B:C""),2,FALSE),)"),"")</f>
        <v/>
      </c>
      <c r="G152" s="70"/>
      <c r="H152" s="70"/>
      <c r="I152" s="70"/>
      <c r="J152" s="70"/>
      <c r="K152" s="70"/>
      <c r="L152" s="70"/>
      <c r="M152" s="70"/>
      <c r="N152" s="70"/>
      <c r="O152" s="70"/>
      <c r="P152" s="70"/>
      <c r="Q152" s="70" t="str">
        <f>IFERROR(__xludf.DUMMYFUNCTION("IFERROR(IF(COUNTIF(IMPORTRANGE(""1WjiLR_MTMxI_IZUKuvPO4Sg2rTSIqBzP3edakSRXbOA"",""Form Responses 1!B:B""),F152)&gt;0,10,),0)"),"")</f>
        <v/>
      </c>
      <c r="R152" s="70" t="str">
        <f>IFERROR(__xludf.DUMMYFUNCTION("IFERROR(VLOOKUP(F152,IMPORTRANGE(""1Ixzbal5tEbtWhozsFEppQzOYE6ZSrkNXHg_HW5k3Wt4"",""Form Responses 1!B:C""),2,FALSE),)"),"")</f>
        <v/>
      </c>
      <c r="S152" s="70" t="str">
        <f>IFERROR(__xludf.DUMMYFUNCTION("IFERROR(VLOOKUP(F152,IMPORTRANGE(""1zxjtEKGvVIJPIDqZdnxENwVpPXYa88EihzyI44hcQUo"",""Form Responses 1!B:C""),2,FALSE),)"),"")</f>
        <v/>
      </c>
      <c r="T152" s="70" t="str">
        <f>IFERROR(__xludf.DUMMYFUNCTION("IFERROR(VLOOKUP(F152,IMPORTRANGE(""1H3cO01obd5zFULYqaT5NAqecZBFFIHeDFn4CeQLZF3w"",""Form Responses 1!B:C""),2,FALSE),)"),"")</f>
        <v/>
      </c>
      <c r="U152" s="70" t="str">
        <f>IFERROR(__xludf.DUMMYFUNCTION("IFERROR(IF(COUNTIF(IMPORTRANGE(""1IG9qoa6PeLdDDFzKpW39lxXshN0-M8Z25a_R1EpsYyg"",""Form Responses 1!B:B""),F152)&gt;0,10,),0)"),"")</f>
        <v/>
      </c>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row>
    <row r="153">
      <c r="B153" s="70" t="str">
        <f>IFERROR(__xludf.DUMMYFUNCTION("IFERROR(IF(COUNTIF(IMPORTRANGE(""1RTcwEJsI_0aJRebhNwO_H_AoKl9r46k7hWYbtciIyM4"",""Form Responses 1!B:B""),A153)&gt;0,10,),0)"),"")</f>
        <v/>
      </c>
      <c r="C153" s="70" t="str">
        <f>IFERROR(__xludf.DUMMYFUNCTION("IFERROR(VLOOKUP(A153,IMPORTRANGE(""11i8IUhq_U6RRKRV3CBWIKqYed_fMvFgNUHTq1YDJfp8"",""Form Responses 1!B:C""),2,FALSE),)"),"")</f>
        <v/>
      </c>
      <c r="D153" s="70" t="str">
        <f>IFERROR(__xludf.DUMMYFUNCTION("IFERROR(VLOOKUP(A153,IMPORTRANGE(""1StiHxuxrFhYdrq5WLR2JMORicW0TbnJf3J-oTHeMRtM"",""Form Responses 1!B:C""),2,FALSE),)"),"")</f>
        <v/>
      </c>
      <c r="E153" s="70" t="str">
        <f>IFERROR(__xludf.DUMMYFUNCTION("IFERROR(VLOOKUP(A153,IMPORTRANGE(""1QaxxyUjrDq2kgz300C1Bq1tacFk6e-xX218cSXCQUK0"",""Form Responses 1!B:C""),2,FALSE),)"),"")</f>
        <v/>
      </c>
      <c r="F153" s="70" t="str">
        <f>IFERROR(__xludf.DUMMYFUNCTION("IFERROR(VLOOKUP(A153,IMPORTRANGE(""1fn2ECph_y8Uz78DhjLaiXcwgt6kh3oe-0Le36Uw0noE"",""Form Responses 1!B:C""),2,FALSE),)"),"")</f>
        <v/>
      </c>
      <c r="G153" s="70"/>
      <c r="H153" s="70"/>
      <c r="I153" s="70"/>
      <c r="J153" s="70"/>
      <c r="K153" s="70"/>
      <c r="L153" s="70"/>
      <c r="M153" s="70"/>
      <c r="N153" s="70"/>
      <c r="O153" s="70"/>
      <c r="P153" s="70"/>
      <c r="Q153" s="70" t="str">
        <f>IFERROR(__xludf.DUMMYFUNCTION("IFERROR(IF(COUNTIF(IMPORTRANGE(""1WjiLR_MTMxI_IZUKuvPO4Sg2rTSIqBzP3edakSRXbOA"",""Form Responses 1!B:B""),F153)&gt;0,10,),0)"),"")</f>
        <v/>
      </c>
      <c r="R153" s="70" t="str">
        <f>IFERROR(__xludf.DUMMYFUNCTION("IFERROR(VLOOKUP(F153,IMPORTRANGE(""1Ixzbal5tEbtWhozsFEppQzOYE6ZSrkNXHg_HW5k3Wt4"",""Form Responses 1!B:C""),2,FALSE),)"),"")</f>
        <v/>
      </c>
      <c r="S153" s="70" t="str">
        <f>IFERROR(__xludf.DUMMYFUNCTION("IFERROR(VLOOKUP(F153,IMPORTRANGE(""1zxjtEKGvVIJPIDqZdnxENwVpPXYa88EihzyI44hcQUo"",""Form Responses 1!B:C""),2,FALSE),)"),"")</f>
        <v/>
      </c>
      <c r="T153" s="70" t="str">
        <f>IFERROR(__xludf.DUMMYFUNCTION("IFERROR(VLOOKUP(F153,IMPORTRANGE(""1H3cO01obd5zFULYqaT5NAqecZBFFIHeDFn4CeQLZF3w"",""Form Responses 1!B:C""),2,FALSE),)"),"")</f>
        <v/>
      </c>
      <c r="U153" s="70" t="str">
        <f>IFERROR(__xludf.DUMMYFUNCTION("IFERROR(IF(COUNTIF(IMPORTRANGE(""1IG9qoa6PeLdDDFzKpW39lxXshN0-M8Z25a_R1EpsYyg"",""Form Responses 1!B:B""),F153)&gt;0,10,),0)"),"")</f>
        <v/>
      </c>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row>
    <row r="154">
      <c r="B154" s="70" t="str">
        <f>IFERROR(__xludf.DUMMYFUNCTION("IFERROR(IF(COUNTIF(IMPORTRANGE(""1RTcwEJsI_0aJRebhNwO_H_AoKl9r46k7hWYbtciIyM4"",""Form Responses 1!B:B""),A154)&gt;0,10,),0)"),"")</f>
        <v/>
      </c>
      <c r="C154" s="70" t="str">
        <f>IFERROR(__xludf.DUMMYFUNCTION("IFERROR(VLOOKUP(A154,IMPORTRANGE(""11i8IUhq_U6RRKRV3CBWIKqYed_fMvFgNUHTq1YDJfp8"",""Form Responses 1!B:C""),2,FALSE),)"),"")</f>
        <v/>
      </c>
      <c r="D154" s="70" t="str">
        <f>IFERROR(__xludf.DUMMYFUNCTION("IFERROR(VLOOKUP(A154,IMPORTRANGE(""1StiHxuxrFhYdrq5WLR2JMORicW0TbnJf3J-oTHeMRtM"",""Form Responses 1!B:C""),2,FALSE),)"),"")</f>
        <v/>
      </c>
      <c r="E154" s="70" t="str">
        <f>IFERROR(__xludf.DUMMYFUNCTION("IFERROR(VLOOKUP(A154,IMPORTRANGE(""1QaxxyUjrDq2kgz300C1Bq1tacFk6e-xX218cSXCQUK0"",""Form Responses 1!B:C""),2,FALSE),)"),"")</f>
        <v/>
      </c>
      <c r="F154" s="70" t="str">
        <f>IFERROR(__xludf.DUMMYFUNCTION("IFERROR(VLOOKUP(A154,IMPORTRANGE(""1fn2ECph_y8Uz78DhjLaiXcwgt6kh3oe-0Le36Uw0noE"",""Form Responses 1!B:C""),2,FALSE),)"),"")</f>
        <v/>
      </c>
      <c r="G154" s="70"/>
      <c r="H154" s="70"/>
      <c r="I154" s="70"/>
      <c r="J154" s="70"/>
      <c r="K154" s="70"/>
      <c r="L154" s="70"/>
      <c r="M154" s="70"/>
      <c r="N154" s="70"/>
      <c r="O154" s="70"/>
      <c r="P154" s="70"/>
      <c r="Q154" s="70" t="str">
        <f>IFERROR(__xludf.DUMMYFUNCTION("IFERROR(IF(COUNTIF(IMPORTRANGE(""1WjiLR_MTMxI_IZUKuvPO4Sg2rTSIqBzP3edakSRXbOA"",""Form Responses 1!B:B""),F154)&gt;0,10,),0)"),"")</f>
        <v/>
      </c>
      <c r="R154" s="70" t="str">
        <f>IFERROR(__xludf.DUMMYFUNCTION("IFERROR(VLOOKUP(F154,IMPORTRANGE(""1Ixzbal5tEbtWhozsFEppQzOYE6ZSrkNXHg_HW5k3Wt4"",""Form Responses 1!B:C""),2,FALSE),)"),"")</f>
        <v/>
      </c>
      <c r="S154" s="70" t="str">
        <f>IFERROR(__xludf.DUMMYFUNCTION("IFERROR(VLOOKUP(F154,IMPORTRANGE(""1zxjtEKGvVIJPIDqZdnxENwVpPXYa88EihzyI44hcQUo"",""Form Responses 1!B:C""),2,FALSE),)"),"")</f>
        <v/>
      </c>
      <c r="T154" s="70" t="str">
        <f>IFERROR(__xludf.DUMMYFUNCTION("IFERROR(VLOOKUP(F154,IMPORTRANGE(""1H3cO01obd5zFULYqaT5NAqecZBFFIHeDFn4CeQLZF3w"",""Form Responses 1!B:C""),2,FALSE),)"),"")</f>
        <v/>
      </c>
      <c r="U154" s="70" t="str">
        <f>IFERROR(__xludf.DUMMYFUNCTION("IFERROR(IF(COUNTIF(IMPORTRANGE(""1IG9qoa6PeLdDDFzKpW39lxXshN0-M8Z25a_R1EpsYyg"",""Form Responses 1!B:B""),F154)&gt;0,10,),0)"),"")</f>
        <v/>
      </c>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row>
    <row r="155">
      <c r="B155" s="70" t="str">
        <f>IFERROR(__xludf.DUMMYFUNCTION("IFERROR(IF(COUNTIF(IMPORTRANGE(""1RTcwEJsI_0aJRebhNwO_H_AoKl9r46k7hWYbtciIyM4"",""Form Responses 1!B:B""),A155)&gt;0,10,),0)"),"")</f>
        <v/>
      </c>
      <c r="C155" s="70" t="str">
        <f>IFERROR(__xludf.DUMMYFUNCTION("IFERROR(VLOOKUP(A155,IMPORTRANGE(""11i8IUhq_U6RRKRV3CBWIKqYed_fMvFgNUHTq1YDJfp8"",""Form Responses 1!B:C""),2,FALSE),)"),"")</f>
        <v/>
      </c>
      <c r="D155" s="70" t="str">
        <f>IFERROR(__xludf.DUMMYFUNCTION("IFERROR(VLOOKUP(A155,IMPORTRANGE(""1StiHxuxrFhYdrq5WLR2JMORicW0TbnJf3J-oTHeMRtM"",""Form Responses 1!B:C""),2,FALSE),)"),"")</f>
        <v/>
      </c>
      <c r="E155" s="70" t="str">
        <f>IFERROR(__xludf.DUMMYFUNCTION("IFERROR(VLOOKUP(A155,IMPORTRANGE(""1QaxxyUjrDq2kgz300C1Bq1tacFk6e-xX218cSXCQUK0"",""Form Responses 1!B:C""),2,FALSE),)"),"")</f>
        <v/>
      </c>
      <c r="F155" s="70" t="str">
        <f>IFERROR(__xludf.DUMMYFUNCTION("IFERROR(VLOOKUP(A155,IMPORTRANGE(""1fn2ECph_y8Uz78DhjLaiXcwgt6kh3oe-0Le36Uw0noE"",""Form Responses 1!B:C""),2,FALSE),)"),"")</f>
        <v/>
      </c>
      <c r="G155" s="70"/>
      <c r="H155" s="70"/>
      <c r="I155" s="70"/>
      <c r="J155" s="70"/>
      <c r="K155" s="70"/>
      <c r="L155" s="70"/>
      <c r="M155" s="70"/>
      <c r="N155" s="70"/>
      <c r="O155" s="70"/>
      <c r="P155" s="70"/>
      <c r="Q155" s="70" t="str">
        <f>IFERROR(__xludf.DUMMYFUNCTION("IFERROR(IF(COUNTIF(IMPORTRANGE(""1WjiLR_MTMxI_IZUKuvPO4Sg2rTSIqBzP3edakSRXbOA"",""Form Responses 1!B:B""),F155)&gt;0,10,),0)"),"")</f>
        <v/>
      </c>
      <c r="R155" s="70" t="str">
        <f>IFERROR(__xludf.DUMMYFUNCTION("IFERROR(VLOOKUP(F155,IMPORTRANGE(""1Ixzbal5tEbtWhozsFEppQzOYE6ZSrkNXHg_HW5k3Wt4"",""Form Responses 1!B:C""),2,FALSE),)"),"")</f>
        <v/>
      </c>
      <c r="S155" s="70" t="str">
        <f>IFERROR(__xludf.DUMMYFUNCTION("IFERROR(VLOOKUP(F155,IMPORTRANGE(""1zxjtEKGvVIJPIDqZdnxENwVpPXYa88EihzyI44hcQUo"",""Form Responses 1!B:C""),2,FALSE),)"),"")</f>
        <v/>
      </c>
      <c r="T155" s="70" t="str">
        <f>IFERROR(__xludf.DUMMYFUNCTION("IFERROR(VLOOKUP(F155,IMPORTRANGE(""1H3cO01obd5zFULYqaT5NAqecZBFFIHeDFn4CeQLZF3w"",""Form Responses 1!B:C""),2,FALSE),)"),"")</f>
        <v/>
      </c>
      <c r="U155" s="70" t="str">
        <f>IFERROR(__xludf.DUMMYFUNCTION("IFERROR(IF(COUNTIF(IMPORTRANGE(""1IG9qoa6PeLdDDFzKpW39lxXshN0-M8Z25a_R1EpsYyg"",""Form Responses 1!B:B""),F155)&gt;0,10,),0)"),"")</f>
        <v/>
      </c>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row>
    <row r="156">
      <c r="B156" s="70" t="str">
        <f>IFERROR(__xludf.DUMMYFUNCTION("IFERROR(IF(COUNTIF(IMPORTRANGE(""1RTcwEJsI_0aJRebhNwO_H_AoKl9r46k7hWYbtciIyM4"",""Form Responses 1!B:B""),A156)&gt;0,10,),0)"),"")</f>
        <v/>
      </c>
      <c r="C156" s="70" t="str">
        <f>IFERROR(__xludf.DUMMYFUNCTION("IFERROR(VLOOKUP(A156,IMPORTRANGE(""11i8IUhq_U6RRKRV3CBWIKqYed_fMvFgNUHTq1YDJfp8"",""Form Responses 1!B:C""),2,FALSE),)"),"")</f>
        <v/>
      </c>
      <c r="D156" s="70" t="str">
        <f>IFERROR(__xludf.DUMMYFUNCTION("IFERROR(VLOOKUP(A156,IMPORTRANGE(""1StiHxuxrFhYdrq5WLR2JMORicW0TbnJf3J-oTHeMRtM"",""Form Responses 1!B:C""),2,FALSE),)"),"")</f>
        <v/>
      </c>
      <c r="E156" s="70" t="str">
        <f>IFERROR(__xludf.DUMMYFUNCTION("IFERROR(VLOOKUP(A156,IMPORTRANGE(""1QaxxyUjrDq2kgz300C1Bq1tacFk6e-xX218cSXCQUK0"",""Form Responses 1!B:C""),2,FALSE),)"),"")</f>
        <v/>
      </c>
      <c r="F156" s="70" t="str">
        <f>IFERROR(__xludf.DUMMYFUNCTION("IFERROR(VLOOKUP(A156,IMPORTRANGE(""1fn2ECph_y8Uz78DhjLaiXcwgt6kh3oe-0Le36Uw0noE"",""Form Responses 1!B:C""),2,FALSE),)"),"")</f>
        <v/>
      </c>
      <c r="G156" s="70"/>
      <c r="H156" s="70"/>
      <c r="I156" s="70"/>
      <c r="J156" s="70"/>
      <c r="K156" s="70"/>
      <c r="L156" s="70"/>
      <c r="M156" s="70"/>
      <c r="N156" s="70"/>
      <c r="O156" s="70"/>
      <c r="P156" s="70"/>
      <c r="Q156" s="70" t="str">
        <f>IFERROR(__xludf.DUMMYFUNCTION("IFERROR(IF(COUNTIF(IMPORTRANGE(""1WjiLR_MTMxI_IZUKuvPO4Sg2rTSIqBzP3edakSRXbOA"",""Form Responses 1!B:B""),F156)&gt;0,10,),0)"),"")</f>
        <v/>
      </c>
      <c r="R156" s="70" t="str">
        <f>IFERROR(__xludf.DUMMYFUNCTION("IFERROR(VLOOKUP(F156,IMPORTRANGE(""1Ixzbal5tEbtWhozsFEppQzOYE6ZSrkNXHg_HW5k3Wt4"",""Form Responses 1!B:C""),2,FALSE),)"),"")</f>
        <v/>
      </c>
      <c r="S156" s="70" t="str">
        <f>IFERROR(__xludf.DUMMYFUNCTION("IFERROR(VLOOKUP(F156,IMPORTRANGE(""1zxjtEKGvVIJPIDqZdnxENwVpPXYa88EihzyI44hcQUo"",""Form Responses 1!B:C""),2,FALSE),)"),"")</f>
        <v/>
      </c>
      <c r="T156" s="70" t="str">
        <f>IFERROR(__xludf.DUMMYFUNCTION("IFERROR(VLOOKUP(F156,IMPORTRANGE(""1H3cO01obd5zFULYqaT5NAqecZBFFIHeDFn4CeQLZF3w"",""Form Responses 1!B:C""),2,FALSE),)"),"")</f>
        <v/>
      </c>
      <c r="U156" s="70" t="str">
        <f>IFERROR(__xludf.DUMMYFUNCTION("IFERROR(IF(COUNTIF(IMPORTRANGE(""1IG9qoa6PeLdDDFzKpW39lxXshN0-M8Z25a_R1EpsYyg"",""Form Responses 1!B:B""),F156)&gt;0,10,),0)"),"")</f>
        <v/>
      </c>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row>
    <row r="157">
      <c r="B157" s="70" t="str">
        <f>IFERROR(__xludf.DUMMYFUNCTION("IFERROR(IF(COUNTIF(IMPORTRANGE(""1RTcwEJsI_0aJRebhNwO_H_AoKl9r46k7hWYbtciIyM4"",""Form Responses 1!B:B""),A157)&gt;0,10,),0)"),"")</f>
        <v/>
      </c>
      <c r="C157" s="70" t="str">
        <f>IFERROR(__xludf.DUMMYFUNCTION("IFERROR(VLOOKUP(A157,IMPORTRANGE(""11i8IUhq_U6RRKRV3CBWIKqYed_fMvFgNUHTq1YDJfp8"",""Form Responses 1!B:C""),2,FALSE),)"),"")</f>
        <v/>
      </c>
      <c r="D157" s="70" t="str">
        <f>IFERROR(__xludf.DUMMYFUNCTION("IFERROR(VLOOKUP(A157,IMPORTRANGE(""1StiHxuxrFhYdrq5WLR2JMORicW0TbnJf3J-oTHeMRtM"",""Form Responses 1!B:C""),2,FALSE),)"),"")</f>
        <v/>
      </c>
      <c r="E157" s="70" t="str">
        <f>IFERROR(__xludf.DUMMYFUNCTION("IFERROR(VLOOKUP(A157,IMPORTRANGE(""1QaxxyUjrDq2kgz300C1Bq1tacFk6e-xX218cSXCQUK0"",""Form Responses 1!B:C""),2,FALSE),)"),"")</f>
        <v/>
      </c>
      <c r="F157" s="70" t="str">
        <f>IFERROR(__xludf.DUMMYFUNCTION("IFERROR(VLOOKUP(A157,IMPORTRANGE(""1fn2ECph_y8Uz78DhjLaiXcwgt6kh3oe-0Le36Uw0noE"",""Form Responses 1!B:C""),2,FALSE),)"),"")</f>
        <v/>
      </c>
      <c r="G157" s="70"/>
      <c r="H157" s="70"/>
      <c r="I157" s="70"/>
      <c r="J157" s="70"/>
      <c r="K157" s="70"/>
      <c r="L157" s="70"/>
      <c r="M157" s="70"/>
      <c r="N157" s="70"/>
      <c r="O157" s="70"/>
      <c r="P157" s="70"/>
      <c r="Q157" s="70" t="str">
        <f>IFERROR(__xludf.DUMMYFUNCTION("IFERROR(IF(COUNTIF(IMPORTRANGE(""1WjiLR_MTMxI_IZUKuvPO4Sg2rTSIqBzP3edakSRXbOA"",""Form Responses 1!B:B""),F157)&gt;0,10,),0)"),"")</f>
        <v/>
      </c>
      <c r="R157" s="70" t="str">
        <f>IFERROR(__xludf.DUMMYFUNCTION("IFERROR(VLOOKUP(F157,IMPORTRANGE(""1Ixzbal5tEbtWhozsFEppQzOYE6ZSrkNXHg_HW5k3Wt4"",""Form Responses 1!B:C""),2,FALSE),)"),"")</f>
        <v/>
      </c>
      <c r="S157" s="70" t="str">
        <f>IFERROR(__xludf.DUMMYFUNCTION("IFERROR(VLOOKUP(F157,IMPORTRANGE(""1zxjtEKGvVIJPIDqZdnxENwVpPXYa88EihzyI44hcQUo"",""Form Responses 1!B:C""),2,FALSE),)"),"")</f>
        <v/>
      </c>
      <c r="T157" s="70" t="str">
        <f>IFERROR(__xludf.DUMMYFUNCTION("IFERROR(VLOOKUP(F157,IMPORTRANGE(""1H3cO01obd5zFULYqaT5NAqecZBFFIHeDFn4CeQLZF3w"",""Form Responses 1!B:C""),2,FALSE),)"),"")</f>
        <v/>
      </c>
      <c r="U157" s="70" t="str">
        <f>IFERROR(__xludf.DUMMYFUNCTION("IFERROR(IF(COUNTIF(IMPORTRANGE(""1IG9qoa6PeLdDDFzKpW39lxXshN0-M8Z25a_R1EpsYyg"",""Form Responses 1!B:B""),F157)&gt;0,10,),0)"),"")</f>
        <v/>
      </c>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row>
    <row r="158">
      <c r="B158" s="70" t="str">
        <f>IFERROR(__xludf.DUMMYFUNCTION("IFERROR(IF(COUNTIF(IMPORTRANGE(""1RTcwEJsI_0aJRebhNwO_H_AoKl9r46k7hWYbtciIyM4"",""Form Responses 1!B:B""),A158)&gt;0,10,),0)"),"")</f>
        <v/>
      </c>
      <c r="C158" s="70" t="str">
        <f>IFERROR(__xludf.DUMMYFUNCTION("IFERROR(VLOOKUP(A158,IMPORTRANGE(""11i8IUhq_U6RRKRV3CBWIKqYed_fMvFgNUHTq1YDJfp8"",""Form Responses 1!B:C""),2,FALSE),)"),"")</f>
        <v/>
      </c>
      <c r="D158" s="70" t="str">
        <f>IFERROR(__xludf.DUMMYFUNCTION("IFERROR(VLOOKUP(A158,IMPORTRANGE(""1StiHxuxrFhYdrq5WLR2JMORicW0TbnJf3J-oTHeMRtM"",""Form Responses 1!B:C""),2,FALSE),)"),"")</f>
        <v/>
      </c>
      <c r="E158" s="70" t="str">
        <f>IFERROR(__xludf.DUMMYFUNCTION("IFERROR(VLOOKUP(A158,IMPORTRANGE(""1QaxxyUjrDq2kgz300C1Bq1tacFk6e-xX218cSXCQUK0"",""Form Responses 1!B:C""),2,FALSE),)"),"")</f>
        <v/>
      </c>
      <c r="F158" s="70" t="str">
        <f>IFERROR(__xludf.DUMMYFUNCTION("IFERROR(VLOOKUP(A158,IMPORTRANGE(""1fn2ECph_y8Uz78DhjLaiXcwgt6kh3oe-0Le36Uw0noE"",""Form Responses 1!B:C""),2,FALSE),)"),"")</f>
        <v/>
      </c>
      <c r="G158" s="70"/>
      <c r="H158" s="70"/>
      <c r="I158" s="70"/>
      <c r="J158" s="70"/>
      <c r="K158" s="70"/>
      <c r="L158" s="70"/>
      <c r="M158" s="70"/>
      <c r="N158" s="70"/>
      <c r="O158" s="70"/>
      <c r="P158" s="70"/>
      <c r="Q158" s="70" t="str">
        <f>IFERROR(__xludf.DUMMYFUNCTION("IFERROR(IF(COUNTIF(IMPORTRANGE(""1WjiLR_MTMxI_IZUKuvPO4Sg2rTSIqBzP3edakSRXbOA"",""Form Responses 1!B:B""),F158)&gt;0,10,),0)"),"")</f>
        <v/>
      </c>
      <c r="R158" s="70" t="str">
        <f>IFERROR(__xludf.DUMMYFUNCTION("IFERROR(VLOOKUP(F158,IMPORTRANGE(""1Ixzbal5tEbtWhozsFEppQzOYE6ZSrkNXHg_HW5k3Wt4"",""Form Responses 1!B:C""),2,FALSE),)"),"")</f>
        <v/>
      </c>
      <c r="S158" s="70" t="str">
        <f>IFERROR(__xludf.DUMMYFUNCTION("IFERROR(VLOOKUP(F158,IMPORTRANGE(""1zxjtEKGvVIJPIDqZdnxENwVpPXYa88EihzyI44hcQUo"",""Form Responses 1!B:C""),2,FALSE),)"),"")</f>
        <v/>
      </c>
      <c r="T158" s="70" t="str">
        <f>IFERROR(__xludf.DUMMYFUNCTION("IFERROR(VLOOKUP(F158,IMPORTRANGE(""1H3cO01obd5zFULYqaT5NAqecZBFFIHeDFn4CeQLZF3w"",""Form Responses 1!B:C""),2,FALSE),)"),"")</f>
        <v/>
      </c>
      <c r="U158" s="70" t="str">
        <f>IFERROR(__xludf.DUMMYFUNCTION("IFERROR(IF(COUNTIF(IMPORTRANGE(""1IG9qoa6PeLdDDFzKpW39lxXshN0-M8Z25a_R1EpsYyg"",""Form Responses 1!B:B""),F158)&gt;0,10,),0)"),"")</f>
        <v/>
      </c>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row>
    <row r="159">
      <c r="B159" s="70" t="str">
        <f>IFERROR(__xludf.DUMMYFUNCTION("IFERROR(IF(COUNTIF(IMPORTRANGE(""1RTcwEJsI_0aJRebhNwO_H_AoKl9r46k7hWYbtciIyM4"",""Form Responses 1!B:B""),A159)&gt;0,10,),0)"),"")</f>
        <v/>
      </c>
      <c r="C159" s="70" t="str">
        <f>IFERROR(__xludf.DUMMYFUNCTION("IFERROR(VLOOKUP(A159,IMPORTRANGE(""11i8IUhq_U6RRKRV3CBWIKqYed_fMvFgNUHTq1YDJfp8"",""Form Responses 1!B:C""),2,FALSE),)"),"")</f>
        <v/>
      </c>
      <c r="D159" s="70" t="str">
        <f>IFERROR(__xludf.DUMMYFUNCTION("IFERROR(VLOOKUP(A159,IMPORTRANGE(""1StiHxuxrFhYdrq5WLR2JMORicW0TbnJf3J-oTHeMRtM"",""Form Responses 1!B:C""),2,FALSE),)"),"")</f>
        <v/>
      </c>
      <c r="E159" s="70" t="str">
        <f>IFERROR(__xludf.DUMMYFUNCTION("IFERROR(VLOOKUP(A159,IMPORTRANGE(""1QaxxyUjrDq2kgz300C1Bq1tacFk6e-xX218cSXCQUK0"",""Form Responses 1!B:C""),2,FALSE),)"),"")</f>
        <v/>
      </c>
      <c r="F159" s="70" t="str">
        <f>IFERROR(__xludf.DUMMYFUNCTION("IFERROR(VLOOKUP(A159,IMPORTRANGE(""1fn2ECph_y8Uz78DhjLaiXcwgt6kh3oe-0Le36Uw0noE"",""Form Responses 1!B:C""),2,FALSE),)"),"")</f>
        <v/>
      </c>
      <c r="G159" s="70"/>
      <c r="H159" s="70"/>
      <c r="I159" s="70"/>
      <c r="J159" s="70"/>
      <c r="K159" s="70"/>
      <c r="L159" s="70"/>
      <c r="M159" s="70"/>
      <c r="N159" s="70"/>
      <c r="O159" s="70"/>
      <c r="P159" s="70"/>
      <c r="Q159" s="70" t="str">
        <f>IFERROR(__xludf.DUMMYFUNCTION("IFERROR(IF(COUNTIF(IMPORTRANGE(""1WjiLR_MTMxI_IZUKuvPO4Sg2rTSIqBzP3edakSRXbOA"",""Form Responses 1!B:B""),F159)&gt;0,10,),0)"),"")</f>
        <v/>
      </c>
      <c r="R159" s="70" t="str">
        <f>IFERROR(__xludf.DUMMYFUNCTION("IFERROR(VLOOKUP(F159,IMPORTRANGE(""1Ixzbal5tEbtWhozsFEppQzOYE6ZSrkNXHg_HW5k3Wt4"",""Form Responses 1!B:C""),2,FALSE),)"),"")</f>
        <v/>
      </c>
      <c r="S159" s="70" t="str">
        <f>IFERROR(__xludf.DUMMYFUNCTION("IFERROR(VLOOKUP(F159,IMPORTRANGE(""1zxjtEKGvVIJPIDqZdnxENwVpPXYa88EihzyI44hcQUo"",""Form Responses 1!B:C""),2,FALSE),)"),"")</f>
        <v/>
      </c>
      <c r="T159" s="70" t="str">
        <f>IFERROR(__xludf.DUMMYFUNCTION("IFERROR(VLOOKUP(F159,IMPORTRANGE(""1H3cO01obd5zFULYqaT5NAqecZBFFIHeDFn4CeQLZF3w"",""Form Responses 1!B:C""),2,FALSE),)"),"")</f>
        <v/>
      </c>
      <c r="U159" s="70" t="str">
        <f>IFERROR(__xludf.DUMMYFUNCTION("IFERROR(IF(COUNTIF(IMPORTRANGE(""1IG9qoa6PeLdDDFzKpW39lxXshN0-M8Z25a_R1EpsYyg"",""Form Responses 1!B:B""),F159)&gt;0,10,),0)"),"")</f>
        <v/>
      </c>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row>
    <row r="160">
      <c r="B160" s="70" t="str">
        <f>IFERROR(__xludf.DUMMYFUNCTION("IFERROR(IF(COUNTIF(IMPORTRANGE(""1RTcwEJsI_0aJRebhNwO_H_AoKl9r46k7hWYbtciIyM4"",""Form Responses 1!B:B""),A160)&gt;0,10,),0)"),"")</f>
        <v/>
      </c>
      <c r="C160" s="70" t="str">
        <f>IFERROR(__xludf.DUMMYFUNCTION("IFERROR(VLOOKUP(A160,IMPORTRANGE(""11i8IUhq_U6RRKRV3CBWIKqYed_fMvFgNUHTq1YDJfp8"",""Form Responses 1!B:C""),2,FALSE),)"),"")</f>
        <v/>
      </c>
      <c r="D160" s="70" t="str">
        <f>IFERROR(__xludf.DUMMYFUNCTION("IFERROR(VLOOKUP(A160,IMPORTRANGE(""1StiHxuxrFhYdrq5WLR2JMORicW0TbnJf3J-oTHeMRtM"",""Form Responses 1!B:C""),2,FALSE),)"),"")</f>
        <v/>
      </c>
      <c r="E160" s="70" t="str">
        <f>IFERROR(__xludf.DUMMYFUNCTION("IFERROR(VLOOKUP(A160,IMPORTRANGE(""1QaxxyUjrDq2kgz300C1Bq1tacFk6e-xX218cSXCQUK0"",""Form Responses 1!B:C""),2,FALSE),)"),"")</f>
        <v/>
      </c>
      <c r="F160" s="70" t="str">
        <f>IFERROR(__xludf.DUMMYFUNCTION("IFERROR(VLOOKUP(A160,IMPORTRANGE(""1fn2ECph_y8Uz78DhjLaiXcwgt6kh3oe-0Le36Uw0noE"",""Form Responses 1!B:C""),2,FALSE),)"),"")</f>
        <v/>
      </c>
      <c r="G160" s="70"/>
      <c r="H160" s="70"/>
      <c r="I160" s="70"/>
      <c r="J160" s="70"/>
      <c r="K160" s="70"/>
      <c r="L160" s="70"/>
      <c r="M160" s="70"/>
      <c r="N160" s="70"/>
      <c r="O160" s="70"/>
      <c r="P160" s="70"/>
      <c r="Q160" s="70" t="str">
        <f>IFERROR(__xludf.DUMMYFUNCTION("IFERROR(IF(COUNTIF(IMPORTRANGE(""1WjiLR_MTMxI_IZUKuvPO4Sg2rTSIqBzP3edakSRXbOA"",""Form Responses 1!B:B""),F160)&gt;0,10,),0)"),"")</f>
        <v/>
      </c>
      <c r="R160" s="70" t="str">
        <f>IFERROR(__xludf.DUMMYFUNCTION("IFERROR(VLOOKUP(F160,IMPORTRANGE(""1Ixzbal5tEbtWhozsFEppQzOYE6ZSrkNXHg_HW5k3Wt4"",""Form Responses 1!B:C""),2,FALSE),)"),"")</f>
        <v/>
      </c>
      <c r="S160" s="70" t="str">
        <f>IFERROR(__xludf.DUMMYFUNCTION("IFERROR(VLOOKUP(F160,IMPORTRANGE(""1zxjtEKGvVIJPIDqZdnxENwVpPXYa88EihzyI44hcQUo"",""Form Responses 1!B:C""),2,FALSE),)"),"")</f>
        <v/>
      </c>
      <c r="T160" s="70" t="str">
        <f>IFERROR(__xludf.DUMMYFUNCTION("IFERROR(VLOOKUP(F160,IMPORTRANGE(""1H3cO01obd5zFULYqaT5NAqecZBFFIHeDFn4CeQLZF3w"",""Form Responses 1!B:C""),2,FALSE),)"),"")</f>
        <v/>
      </c>
      <c r="U160" s="70" t="str">
        <f>IFERROR(__xludf.DUMMYFUNCTION("IFERROR(IF(COUNTIF(IMPORTRANGE(""1IG9qoa6PeLdDDFzKpW39lxXshN0-M8Z25a_R1EpsYyg"",""Form Responses 1!B:B""),F160)&gt;0,10,),0)"),"")</f>
        <v/>
      </c>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row>
    <row r="161">
      <c r="B161" s="70" t="str">
        <f>IFERROR(__xludf.DUMMYFUNCTION("IFERROR(IF(COUNTIF(IMPORTRANGE(""1RTcwEJsI_0aJRebhNwO_H_AoKl9r46k7hWYbtciIyM4"",""Form Responses 1!B:B""),A161)&gt;0,10,),0)"),"")</f>
        <v/>
      </c>
      <c r="C161" s="70" t="str">
        <f>IFERROR(__xludf.DUMMYFUNCTION("IFERROR(VLOOKUP(A161,IMPORTRANGE(""11i8IUhq_U6RRKRV3CBWIKqYed_fMvFgNUHTq1YDJfp8"",""Form Responses 1!B:C""),2,FALSE),)"),"")</f>
        <v/>
      </c>
      <c r="D161" s="70" t="str">
        <f>IFERROR(__xludf.DUMMYFUNCTION("IFERROR(VLOOKUP(A161,IMPORTRANGE(""1StiHxuxrFhYdrq5WLR2JMORicW0TbnJf3J-oTHeMRtM"",""Form Responses 1!B:C""),2,FALSE),)"),"")</f>
        <v/>
      </c>
      <c r="E161" s="70" t="str">
        <f>IFERROR(__xludf.DUMMYFUNCTION("IFERROR(VLOOKUP(A161,IMPORTRANGE(""1QaxxyUjrDq2kgz300C1Bq1tacFk6e-xX218cSXCQUK0"",""Form Responses 1!B:C""),2,FALSE),)"),"")</f>
        <v/>
      </c>
      <c r="F161" s="70" t="str">
        <f>IFERROR(__xludf.DUMMYFUNCTION("IFERROR(VLOOKUP(A161,IMPORTRANGE(""1fn2ECph_y8Uz78DhjLaiXcwgt6kh3oe-0Le36Uw0noE"",""Form Responses 1!B:C""),2,FALSE),)"),"")</f>
        <v/>
      </c>
      <c r="G161" s="70"/>
      <c r="H161" s="70"/>
      <c r="I161" s="70"/>
      <c r="J161" s="70"/>
      <c r="K161" s="70"/>
      <c r="L161" s="70"/>
      <c r="M161" s="70"/>
      <c r="N161" s="70"/>
      <c r="O161" s="70"/>
      <c r="P161" s="70"/>
      <c r="Q161" s="70" t="str">
        <f>IFERROR(__xludf.DUMMYFUNCTION("IFERROR(IF(COUNTIF(IMPORTRANGE(""1WjiLR_MTMxI_IZUKuvPO4Sg2rTSIqBzP3edakSRXbOA"",""Form Responses 1!B:B""),F161)&gt;0,10,),0)"),"")</f>
        <v/>
      </c>
      <c r="R161" s="70" t="str">
        <f>IFERROR(__xludf.DUMMYFUNCTION("IFERROR(VLOOKUP(F161,IMPORTRANGE(""1Ixzbal5tEbtWhozsFEppQzOYE6ZSrkNXHg_HW5k3Wt4"",""Form Responses 1!B:C""),2,FALSE),)"),"")</f>
        <v/>
      </c>
      <c r="S161" s="70" t="str">
        <f>IFERROR(__xludf.DUMMYFUNCTION("IFERROR(VLOOKUP(F161,IMPORTRANGE(""1zxjtEKGvVIJPIDqZdnxENwVpPXYa88EihzyI44hcQUo"",""Form Responses 1!B:C""),2,FALSE),)"),"")</f>
        <v/>
      </c>
      <c r="T161" s="70" t="str">
        <f>IFERROR(__xludf.DUMMYFUNCTION("IFERROR(VLOOKUP(F161,IMPORTRANGE(""1H3cO01obd5zFULYqaT5NAqecZBFFIHeDFn4CeQLZF3w"",""Form Responses 1!B:C""),2,FALSE),)"),"")</f>
        <v/>
      </c>
      <c r="U161" s="70" t="str">
        <f>IFERROR(__xludf.DUMMYFUNCTION("IFERROR(IF(COUNTIF(IMPORTRANGE(""1IG9qoa6PeLdDDFzKpW39lxXshN0-M8Z25a_R1EpsYyg"",""Form Responses 1!B:B""),F161)&gt;0,10,),0)"),"")</f>
        <v/>
      </c>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row>
    <row r="162">
      <c r="B162" s="70" t="str">
        <f>IFERROR(__xludf.DUMMYFUNCTION("IFERROR(IF(COUNTIF(IMPORTRANGE(""1RTcwEJsI_0aJRebhNwO_H_AoKl9r46k7hWYbtciIyM4"",""Form Responses 1!B:B""),A162)&gt;0,10,),0)"),"")</f>
        <v/>
      </c>
      <c r="C162" s="70" t="str">
        <f>IFERROR(__xludf.DUMMYFUNCTION("IFERROR(VLOOKUP(A162,IMPORTRANGE(""11i8IUhq_U6RRKRV3CBWIKqYed_fMvFgNUHTq1YDJfp8"",""Form Responses 1!B:C""),2,FALSE),)"),"")</f>
        <v/>
      </c>
      <c r="D162" s="70" t="str">
        <f>IFERROR(__xludf.DUMMYFUNCTION("IFERROR(VLOOKUP(A162,IMPORTRANGE(""1StiHxuxrFhYdrq5WLR2JMORicW0TbnJf3J-oTHeMRtM"",""Form Responses 1!B:C""),2,FALSE),)"),"")</f>
        <v/>
      </c>
      <c r="E162" s="70" t="str">
        <f>IFERROR(__xludf.DUMMYFUNCTION("IFERROR(VLOOKUP(A162,IMPORTRANGE(""1QaxxyUjrDq2kgz300C1Bq1tacFk6e-xX218cSXCQUK0"",""Form Responses 1!B:C""),2,FALSE),)"),"")</f>
        <v/>
      </c>
      <c r="F162" s="70" t="str">
        <f>IFERROR(__xludf.DUMMYFUNCTION("IFERROR(VLOOKUP(A162,IMPORTRANGE(""1fn2ECph_y8Uz78DhjLaiXcwgt6kh3oe-0Le36Uw0noE"",""Form Responses 1!B:C""),2,FALSE),)"),"")</f>
        <v/>
      </c>
      <c r="G162" s="70"/>
      <c r="H162" s="70"/>
      <c r="I162" s="70"/>
      <c r="J162" s="70"/>
      <c r="K162" s="70"/>
      <c r="L162" s="70"/>
      <c r="M162" s="70"/>
      <c r="N162" s="70"/>
      <c r="O162" s="70"/>
      <c r="P162" s="70"/>
      <c r="Q162" s="70" t="str">
        <f>IFERROR(__xludf.DUMMYFUNCTION("IFERROR(IF(COUNTIF(IMPORTRANGE(""1WjiLR_MTMxI_IZUKuvPO4Sg2rTSIqBzP3edakSRXbOA"",""Form Responses 1!B:B""),F162)&gt;0,10,),0)"),"")</f>
        <v/>
      </c>
      <c r="R162" s="70" t="str">
        <f>IFERROR(__xludf.DUMMYFUNCTION("IFERROR(VLOOKUP(F162,IMPORTRANGE(""1Ixzbal5tEbtWhozsFEppQzOYE6ZSrkNXHg_HW5k3Wt4"",""Form Responses 1!B:C""),2,FALSE),)"),"")</f>
        <v/>
      </c>
      <c r="S162" s="70" t="str">
        <f>IFERROR(__xludf.DUMMYFUNCTION("IFERROR(VLOOKUP(F162,IMPORTRANGE(""1zxjtEKGvVIJPIDqZdnxENwVpPXYa88EihzyI44hcQUo"",""Form Responses 1!B:C""),2,FALSE),)"),"")</f>
        <v/>
      </c>
      <c r="T162" s="70" t="str">
        <f>IFERROR(__xludf.DUMMYFUNCTION("IFERROR(VLOOKUP(F162,IMPORTRANGE(""1H3cO01obd5zFULYqaT5NAqecZBFFIHeDFn4CeQLZF3w"",""Form Responses 1!B:C""),2,FALSE),)"),"")</f>
        <v/>
      </c>
      <c r="U162" s="70" t="str">
        <f>IFERROR(__xludf.DUMMYFUNCTION("IFERROR(IF(COUNTIF(IMPORTRANGE(""1IG9qoa6PeLdDDFzKpW39lxXshN0-M8Z25a_R1EpsYyg"",""Form Responses 1!B:B""),F162)&gt;0,10,),0)"),"")</f>
        <v/>
      </c>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row>
    <row r="163">
      <c r="B163" s="70" t="str">
        <f>IFERROR(__xludf.DUMMYFUNCTION("IFERROR(IF(COUNTIF(IMPORTRANGE(""1RTcwEJsI_0aJRebhNwO_H_AoKl9r46k7hWYbtciIyM4"",""Form Responses 1!B:B""),A163)&gt;0,10,),0)"),"")</f>
        <v/>
      </c>
      <c r="C163" s="70" t="str">
        <f>IFERROR(__xludf.DUMMYFUNCTION("IFERROR(VLOOKUP(A163,IMPORTRANGE(""11i8IUhq_U6RRKRV3CBWIKqYed_fMvFgNUHTq1YDJfp8"",""Form Responses 1!B:C""),2,FALSE),)"),"")</f>
        <v/>
      </c>
      <c r="D163" s="70" t="str">
        <f>IFERROR(__xludf.DUMMYFUNCTION("IFERROR(VLOOKUP(A163,IMPORTRANGE(""1StiHxuxrFhYdrq5WLR2JMORicW0TbnJf3J-oTHeMRtM"",""Form Responses 1!B:C""),2,FALSE),)"),"")</f>
        <v/>
      </c>
      <c r="E163" s="70" t="str">
        <f>IFERROR(__xludf.DUMMYFUNCTION("IFERROR(VLOOKUP(A163,IMPORTRANGE(""1QaxxyUjrDq2kgz300C1Bq1tacFk6e-xX218cSXCQUK0"",""Form Responses 1!B:C""),2,FALSE),)"),"")</f>
        <v/>
      </c>
      <c r="F163" s="70" t="str">
        <f>IFERROR(__xludf.DUMMYFUNCTION("IFERROR(VLOOKUP(A163,IMPORTRANGE(""1fn2ECph_y8Uz78DhjLaiXcwgt6kh3oe-0Le36Uw0noE"",""Form Responses 1!B:C""),2,FALSE),)"),"")</f>
        <v/>
      </c>
      <c r="G163" s="70"/>
      <c r="H163" s="70"/>
      <c r="I163" s="70"/>
      <c r="J163" s="70"/>
      <c r="K163" s="70"/>
      <c r="L163" s="70"/>
      <c r="M163" s="70"/>
      <c r="N163" s="70"/>
      <c r="O163" s="70"/>
      <c r="P163" s="70"/>
      <c r="Q163" s="70" t="str">
        <f>IFERROR(__xludf.DUMMYFUNCTION("IFERROR(IF(COUNTIF(IMPORTRANGE(""1WjiLR_MTMxI_IZUKuvPO4Sg2rTSIqBzP3edakSRXbOA"",""Form Responses 1!B:B""),F163)&gt;0,10,),0)"),"")</f>
        <v/>
      </c>
      <c r="R163" s="70" t="str">
        <f>IFERROR(__xludf.DUMMYFUNCTION("IFERROR(VLOOKUP(F163,IMPORTRANGE(""1Ixzbal5tEbtWhozsFEppQzOYE6ZSrkNXHg_HW5k3Wt4"",""Form Responses 1!B:C""),2,FALSE),)"),"")</f>
        <v/>
      </c>
      <c r="S163" s="70" t="str">
        <f>IFERROR(__xludf.DUMMYFUNCTION("IFERROR(VLOOKUP(F163,IMPORTRANGE(""1zxjtEKGvVIJPIDqZdnxENwVpPXYa88EihzyI44hcQUo"",""Form Responses 1!B:C""),2,FALSE),)"),"")</f>
        <v/>
      </c>
      <c r="T163" s="70" t="str">
        <f>IFERROR(__xludf.DUMMYFUNCTION("IFERROR(VLOOKUP(F163,IMPORTRANGE(""1H3cO01obd5zFULYqaT5NAqecZBFFIHeDFn4CeQLZF3w"",""Form Responses 1!B:C""),2,FALSE),)"),"")</f>
        <v/>
      </c>
      <c r="U163" s="70" t="str">
        <f>IFERROR(__xludf.DUMMYFUNCTION("IFERROR(IF(COUNTIF(IMPORTRANGE(""1IG9qoa6PeLdDDFzKpW39lxXshN0-M8Z25a_R1EpsYyg"",""Form Responses 1!B:B""),F163)&gt;0,10,),0)"),"")</f>
        <v/>
      </c>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row>
    <row r="164">
      <c r="B164" s="70" t="str">
        <f>IFERROR(__xludf.DUMMYFUNCTION("IFERROR(IF(COUNTIF(IMPORTRANGE(""1RTcwEJsI_0aJRebhNwO_H_AoKl9r46k7hWYbtciIyM4"",""Form Responses 1!B:B""),A164)&gt;0,10,),0)"),"")</f>
        <v/>
      </c>
      <c r="C164" s="70" t="str">
        <f>IFERROR(__xludf.DUMMYFUNCTION("IFERROR(VLOOKUP(A164,IMPORTRANGE(""11i8IUhq_U6RRKRV3CBWIKqYed_fMvFgNUHTq1YDJfp8"",""Form Responses 1!B:C""),2,FALSE),)"),"")</f>
        <v/>
      </c>
      <c r="D164" s="70" t="str">
        <f>IFERROR(__xludf.DUMMYFUNCTION("IFERROR(VLOOKUP(A164,IMPORTRANGE(""1StiHxuxrFhYdrq5WLR2JMORicW0TbnJf3J-oTHeMRtM"",""Form Responses 1!B:C""),2,FALSE),)"),"")</f>
        <v/>
      </c>
      <c r="E164" s="70" t="str">
        <f>IFERROR(__xludf.DUMMYFUNCTION("IFERROR(VLOOKUP(A164,IMPORTRANGE(""1QaxxyUjrDq2kgz300C1Bq1tacFk6e-xX218cSXCQUK0"",""Form Responses 1!B:C""),2,FALSE),)"),"")</f>
        <v/>
      </c>
      <c r="F164" s="70" t="str">
        <f>IFERROR(__xludf.DUMMYFUNCTION("IFERROR(VLOOKUP(A164,IMPORTRANGE(""1fn2ECph_y8Uz78DhjLaiXcwgt6kh3oe-0Le36Uw0noE"",""Form Responses 1!B:C""),2,FALSE),)"),"")</f>
        <v/>
      </c>
      <c r="G164" s="70"/>
      <c r="H164" s="70"/>
      <c r="I164" s="70"/>
      <c r="J164" s="70"/>
      <c r="K164" s="70"/>
      <c r="L164" s="70"/>
      <c r="M164" s="70"/>
      <c r="N164" s="70"/>
      <c r="O164" s="70"/>
      <c r="P164" s="70"/>
      <c r="Q164" s="70" t="str">
        <f>IFERROR(__xludf.DUMMYFUNCTION("IFERROR(IF(COUNTIF(IMPORTRANGE(""1WjiLR_MTMxI_IZUKuvPO4Sg2rTSIqBzP3edakSRXbOA"",""Form Responses 1!B:B""),F164)&gt;0,10,),0)"),"")</f>
        <v/>
      </c>
      <c r="R164" s="70" t="str">
        <f>IFERROR(__xludf.DUMMYFUNCTION("IFERROR(VLOOKUP(F164,IMPORTRANGE(""1Ixzbal5tEbtWhozsFEppQzOYE6ZSrkNXHg_HW5k3Wt4"",""Form Responses 1!B:C""),2,FALSE),)"),"")</f>
        <v/>
      </c>
      <c r="S164" s="70" t="str">
        <f>IFERROR(__xludf.DUMMYFUNCTION("IFERROR(VLOOKUP(F164,IMPORTRANGE(""1zxjtEKGvVIJPIDqZdnxENwVpPXYa88EihzyI44hcQUo"",""Form Responses 1!B:C""),2,FALSE),)"),"")</f>
        <v/>
      </c>
      <c r="T164" s="70" t="str">
        <f>IFERROR(__xludf.DUMMYFUNCTION("IFERROR(VLOOKUP(F164,IMPORTRANGE(""1H3cO01obd5zFULYqaT5NAqecZBFFIHeDFn4CeQLZF3w"",""Form Responses 1!B:C""),2,FALSE),)"),"")</f>
        <v/>
      </c>
      <c r="U164" s="70" t="str">
        <f>IFERROR(__xludf.DUMMYFUNCTION("IFERROR(IF(COUNTIF(IMPORTRANGE(""1IG9qoa6PeLdDDFzKpW39lxXshN0-M8Z25a_R1EpsYyg"",""Form Responses 1!B:B""),F164)&gt;0,10,),0)"),"")</f>
        <v/>
      </c>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row>
    <row r="165">
      <c r="B165" s="70" t="str">
        <f>IFERROR(__xludf.DUMMYFUNCTION("IFERROR(IF(COUNTIF(IMPORTRANGE(""1RTcwEJsI_0aJRebhNwO_H_AoKl9r46k7hWYbtciIyM4"",""Form Responses 1!B:B""),A165)&gt;0,10,),0)"),"")</f>
        <v/>
      </c>
      <c r="C165" s="70" t="str">
        <f>IFERROR(__xludf.DUMMYFUNCTION("IFERROR(VLOOKUP(A165,IMPORTRANGE(""11i8IUhq_U6RRKRV3CBWIKqYed_fMvFgNUHTq1YDJfp8"",""Form Responses 1!B:C""),2,FALSE),)"),"")</f>
        <v/>
      </c>
      <c r="D165" s="70" t="str">
        <f>IFERROR(__xludf.DUMMYFUNCTION("IFERROR(VLOOKUP(A165,IMPORTRANGE(""1StiHxuxrFhYdrq5WLR2JMORicW0TbnJf3J-oTHeMRtM"",""Form Responses 1!B:C""),2,FALSE),)"),"")</f>
        <v/>
      </c>
      <c r="E165" s="70" t="str">
        <f>IFERROR(__xludf.DUMMYFUNCTION("IFERROR(VLOOKUP(A165,IMPORTRANGE(""1QaxxyUjrDq2kgz300C1Bq1tacFk6e-xX218cSXCQUK0"",""Form Responses 1!B:C""),2,FALSE),)"),"")</f>
        <v/>
      </c>
      <c r="F165" s="70" t="str">
        <f>IFERROR(__xludf.DUMMYFUNCTION("IFERROR(VLOOKUP(A165,IMPORTRANGE(""1fn2ECph_y8Uz78DhjLaiXcwgt6kh3oe-0Le36Uw0noE"",""Form Responses 1!B:C""),2,FALSE),)"),"")</f>
        <v/>
      </c>
      <c r="G165" s="70"/>
      <c r="H165" s="70"/>
      <c r="I165" s="70"/>
      <c r="J165" s="70"/>
      <c r="K165" s="70"/>
      <c r="L165" s="70"/>
      <c r="M165" s="70"/>
      <c r="N165" s="70"/>
      <c r="O165" s="70"/>
      <c r="P165" s="70"/>
      <c r="Q165" s="70" t="str">
        <f>IFERROR(__xludf.DUMMYFUNCTION("IFERROR(IF(COUNTIF(IMPORTRANGE(""1WjiLR_MTMxI_IZUKuvPO4Sg2rTSIqBzP3edakSRXbOA"",""Form Responses 1!B:B""),F165)&gt;0,10,),0)"),"")</f>
        <v/>
      </c>
      <c r="R165" s="70" t="str">
        <f>IFERROR(__xludf.DUMMYFUNCTION("IFERROR(VLOOKUP(F165,IMPORTRANGE(""1Ixzbal5tEbtWhozsFEppQzOYE6ZSrkNXHg_HW5k3Wt4"",""Form Responses 1!B:C""),2,FALSE),)"),"")</f>
        <v/>
      </c>
      <c r="S165" s="70" t="str">
        <f>IFERROR(__xludf.DUMMYFUNCTION("IFERROR(VLOOKUP(F165,IMPORTRANGE(""1zxjtEKGvVIJPIDqZdnxENwVpPXYa88EihzyI44hcQUo"",""Form Responses 1!B:C""),2,FALSE),)"),"")</f>
        <v/>
      </c>
      <c r="T165" s="70" t="str">
        <f>IFERROR(__xludf.DUMMYFUNCTION("IFERROR(VLOOKUP(F165,IMPORTRANGE(""1H3cO01obd5zFULYqaT5NAqecZBFFIHeDFn4CeQLZF3w"",""Form Responses 1!B:C""),2,FALSE),)"),"")</f>
        <v/>
      </c>
      <c r="U165" s="70" t="str">
        <f>IFERROR(__xludf.DUMMYFUNCTION("IFERROR(IF(COUNTIF(IMPORTRANGE(""1IG9qoa6PeLdDDFzKpW39lxXshN0-M8Z25a_R1EpsYyg"",""Form Responses 1!B:B""),F165)&gt;0,10,),0)"),"")</f>
        <v/>
      </c>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row>
    <row r="166">
      <c r="B166" s="70" t="str">
        <f>IFERROR(__xludf.DUMMYFUNCTION("IFERROR(IF(COUNTIF(IMPORTRANGE(""1RTcwEJsI_0aJRebhNwO_H_AoKl9r46k7hWYbtciIyM4"",""Form Responses 1!B:B""),A166)&gt;0,10,),0)"),"")</f>
        <v/>
      </c>
      <c r="C166" s="70" t="str">
        <f>IFERROR(__xludf.DUMMYFUNCTION("IFERROR(VLOOKUP(A166,IMPORTRANGE(""11i8IUhq_U6RRKRV3CBWIKqYed_fMvFgNUHTq1YDJfp8"",""Form Responses 1!B:C""),2,FALSE),)"),"")</f>
        <v/>
      </c>
      <c r="D166" s="70" t="str">
        <f>IFERROR(__xludf.DUMMYFUNCTION("IFERROR(VLOOKUP(A166,IMPORTRANGE(""1StiHxuxrFhYdrq5WLR2JMORicW0TbnJf3J-oTHeMRtM"",""Form Responses 1!B:C""),2,FALSE),)"),"")</f>
        <v/>
      </c>
      <c r="E166" s="70" t="str">
        <f>IFERROR(__xludf.DUMMYFUNCTION("IFERROR(VLOOKUP(A166,IMPORTRANGE(""1QaxxyUjrDq2kgz300C1Bq1tacFk6e-xX218cSXCQUK0"",""Form Responses 1!B:C""),2,FALSE),)"),"")</f>
        <v/>
      </c>
      <c r="F166" s="70" t="str">
        <f>IFERROR(__xludf.DUMMYFUNCTION("IFERROR(VLOOKUP(A166,IMPORTRANGE(""1fn2ECph_y8Uz78DhjLaiXcwgt6kh3oe-0Le36Uw0noE"",""Form Responses 1!B:C""),2,FALSE),)"),"")</f>
        <v/>
      </c>
      <c r="G166" s="70"/>
      <c r="H166" s="70"/>
      <c r="I166" s="70"/>
      <c r="J166" s="70"/>
      <c r="K166" s="70"/>
      <c r="L166" s="70"/>
      <c r="M166" s="70"/>
      <c r="N166" s="70"/>
      <c r="O166" s="70"/>
      <c r="P166" s="70"/>
      <c r="Q166" s="70" t="str">
        <f>IFERROR(__xludf.DUMMYFUNCTION("IFERROR(IF(COUNTIF(IMPORTRANGE(""1WjiLR_MTMxI_IZUKuvPO4Sg2rTSIqBzP3edakSRXbOA"",""Form Responses 1!B:B""),F166)&gt;0,10,),0)"),"")</f>
        <v/>
      </c>
      <c r="R166" s="70" t="str">
        <f>IFERROR(__xludf.DUMMYFUNCTION("IFERROR(VLOOKUP(F166,IMPORTRANGE(""1Ixzbal5tEbtWhozsFEppQzOYE6ZSrkNXHg_HW5k3Wt4"",""Form Responses 1!B:C""),2,FALSE),)"),"")</f>
        <v/>
      </c>
      <c r="S166" s="70" t="str">
        <f>IFERROR(__xludf.DUMMYFUNCTION("IFERROR(VLOOKUP(F166,IMPORTRANGE(""1zxjtEKGvVIJPIDqZdnxENwVpPXYa88EihzyI44hcQUo"",""Form Responses 1!B:C""),2,FALSE),)"),"")</f>
        <v/>
      </c>
      <c r="T166" s="70" t="str">
        <f>IFERROR(__xludf.DUMMYFUNCTION("IFERROR(VLOOKUP(F166,IMPORTRANGE(""1H3cO01obd5zFULYqaT5NAqecZBFFIHeDFn4CeQLZF3w"",""Form Responses 1!B:C""),2,FALSE),)"),"")</f>
        <v/>
      </c>
      <c r="U166" s="70" t="str">
        <f>IFERROR(__xludf.DUMMYFUNCTION("IFERROR(IF(COUNTIF(IMPORTRANGE(""1IG9qoa6PeLdDDFzKpW39lxXshN0-M8Z25a_R1EpsYyg"",""Form Responses 1!B:B""),F166)&gt;0,10,),0)"),"")</f>
        <v/>
      </c>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row>
    <row r="167">
      <c r="B167" s="70" t="str">
        <f>IFERROR(__xludf.DUMMYFUNCTION("IFERROR(IF(COUNTIF(IMPORTRANGE(""1RTcwEJsI_0aJRebhNwO_H_AoKl9r46k7hWYbtciIyM4"",""Form Responses 1!B:B""),A167)&gt;0,10,),0)"),"")</f>
        <v/>
      </c>
      <c r="C167" s="70" t="str">
        <f>IFERROR(__xludf.DUMMYFUNCTION("IFERROR(VLOOKUP(A167,IMPORTRANGE(""11i8IUhq_U6RRKRV3CBWIKqYed_fMvFgNUHTq1YDJfp8"",""Form Responses 1!B:C""),2,FALSE),)"),"")</f>
        <v/>
      </c>
      <c r="D167" s="70" t="str">
        <f>IFERROR(__xludf.DUMMYFUNCTION("IFERROR(VLOOKUP(A167,IMPORTRANGE(""1StiHxuxrFhYdrq5WLR2JMORicW0TbnJf3J-oTHeMRtM"",""Form Responses 1!B:C""),2,FALSE),)"),"")</f>
        <v/>
      </c>
      <c r="E167" s="70" t="str">
        <f>IFERROR(__xludf.DUMMYFUNCTION("IFERROR(VLOOKUP(A167,IMPORTRANGE(""1QaxxyUjrDq2kgz300C1Bq1tacFk6e-xX218cSXCQUK0"",""Form Responses 1!B:C""),2,FALSE),)"),"")</f>
        <v/>
      </c>
      <c r="F167" s="70" t="str">
        <f>IFERROR(__xludf.DUMMYFUNCTION("IFERROR(VLOOKUP(A167,IMPORTRANGE(""1fn2ECph_y8Uz78DhjLaiXcwgt6kh3oe-0Le36Uw0noE"",""Form Responses 1!B:C""),2,FALSE),)"),"")</f>
        <v/>
      </c>
      <c r="G167" s="70"/>
      <c r="H167" s="70"/>
      <c r="I167" s="70"/>
      <c r="J167" s="70"/>
      <c r="K167" s="70"/>
      <c r="L167" s="70"/>
      <c r="M167" s="70"/>
      <c r="N167" s="70"/>
      <c r="O167" s="70"/>
      <c r="P167" s="70"/>
      <c r="Q167" s="70" t="str">
        <f>IFERROR(__xludf.DUMMYFUNCTION("IFERROR(IF(COUNTIF(IMPORTRANGE(""1WjiLR_MTMxI_IZUKuvPO4Sg2rTSIqBzP3edakSRXbOA"",""Form Responses 1!B:B""),F167)&gt;0,10,),0)"),"")</f>
        <v/>
      </c>
      <c r="R167" s="70" t="str">
        <f>IFERROR(__xludf.DUMMYFUNCTION("IFERROR(VLOOKUP(F167,IMPORTRANGE(""1Ixzbal5tEbtWhozsFEppQzOYE6ZSrkNXHg_HW5k3Wt4"",""Form Responses 1!B:C""),2,FALSE),)"),"")</f>
        <v/>
      </c>
      <c r="S167" s="70" t="str">
        <f>IFERROR(__xludf.DUMMYFUNCTION("IFERROR(VLOOKUP(F167,IMPORTRANGE(""1zxjtEKGvVIJPIDqZdnxENwVpPXYa88EihzyI44hcQUo"",""Form Responses 1!B:C""),2,FALSE),)"),"")</f>
        <v/>
      </c>
      <c r="T167" s="70" t="str">
        <f>IFERROR(__xludf.DUMMYFUNCTION("IFERROR(VLOOKUP(F167,IMPORTRANGE(""1H3cO01obd5zFULYqaT5NAqecZBFFIHeDFn4CeQLZF3w"",""Form Responses 1!B:C""),2,FALSE),)"),"")</f>
        <v/>
      </c>
      <c r="U167" s="70" t="str">
        <f>IFERROR(__xludf.DUMMYFUNCTION("IFERROR(IF(COUNTIF(IMPORTRANGE(""1IG9qoa6PeLdDDFzKpW39lxXshN0-M8Z25a_R1EpsYyg"",""Form Responses 1!B:B""),F167)&gt;0,10,),0)"),"")</f>
        <v/>
      </c>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row>
    <row r="168">
      <c r="B168" s="70" t="str">
        <f>IFERROR(__xludf.DUMMYFUNCTION("IFERROR(IF(COUNTIF(IMPORTRANGE(""1RTcwEJsI_0aJRebhNwO_H_AoKl9r46k7hWYbtciIyM4"",""Form Responses 1!B:B""),A168)&gt;0,10,),0)"),"")</f>
        <v/>
      </c>
      <c r="C168" s="70" t="str">
        <f>IFERROR(__xludf.DUMMYFUNCTION("IFERROR(VLOOKUP(A168,IMPORTRANGE(""11i8IUhq_U6RRKRV3CBWIKqYed_fMvFgNUHTq1YDJfp8"",""Form Responses 1!B:C""),2,FALSE),)"),"")</f>
        <v/>
      </c>
      <c r="D168" s="70" t="str">
        <f>IFERROR(__xludf.DUMMYFUNCTION("IFERROR(VLOOKUP(A168,IMPORTRANGE(""1StiHxuxrFhYdrq5WLR2JMORicW0TbnJf3J-oTHeMRtM"",""Form Responses 1!B:C""),2,FALSE),)"),"")</f>
        <v/>
      </c>
      <c r="E168" s="70" t="str">
        <f>IFERROR(__xludf.DUMMYFUNCTION("IFERROR(VLOOKUP(A168,IMPORTRANGE(""1QaxxyUjrDq2kgz300C1Bq1tacFk6e-xX218cSXCQUK0"",""Form Responses 1!B:C""),2,FALSE),)"),"")</f>
        <v/>
      </c>
      <c r="F168" s="70" t="str">
        <f>IFERROR(__xludf.DUMMYFUNCTION("IFERROR(VLOOKUP(A168,IMPORTRANGE(""1fn2ECph_y8Uz78DhjLaiXcwgt6kh3oe-0Le36Uw0noE"",""Form Responses 1!B:C""),2,FALSE),)"),"")</f>
        <v/>
      </c>
      <c r="G168" s="70"/>
      <c r="H168" s="70"/>
      <c r="I168" s="70"/>
      <c r="J168" s="70"/>
      <c r="K168" s="70"/>
      <c r="L168" s="70"/>
      <c r="M168" s="70"/>
      <c r="N168" s="70"/>
      <c r="O168" s="70"/>
      <c r="P168" s="70"/>
      <c r="Q168" s="70" t="str">
        <f>IFERROR(__xludf.DUMMYFUNCTION("IFERROR(IF(COUNTIF(IMPORTRANGE(""1WjiLR_MTMxI_IZUKuvPO4Sg2rTSIqBzP3edakSRXbOA"",""Form Responses 1!B:B""),F168)&gt;0,10,),0)"),"")</f>
        <v/>
      </c>
      <c r="R168" s="70" t="str">
        <f>IFERROR(__xludf.DUMMYFUNCTION("IFERROR(VLOOKUP(F168,IMPORTRANGE(""1Ixzbal5tEbtWhozsFEppQzOYE6ZSrkNXHg_HW5k3Wt4"",""Form Responses 1!B:C""),2,FALSE),)"),"")</f>
        <v/>
      </c>
      <c r="S168" s="70" t="str">
        <f>IFERROR(__xludf.DUMMYFUNCTION("IFERROR(VLOOKUP(F168,IMPORTRANGE(""1zxjtEKGvVIJPIDqZdnxENwVpPXYa88EihzyI44hcQUo"",""Form Responses 1!B:C""),2,FALSE),)"),"")</f>
        <v/>
      </c>
      <c r="T168" s="70" t="str">
        <f>IFERROR(__xludf.DUMMYFUNCTION("IFERROR(VLOOKUP(F168,IMPORTRANGE(""1H3cO01obd5zFULYqaT5NAqecZBFFIHeDFn4CeQLZF3w"",""Form Responses 1!B:C""),2,FALSE),)"),"")</f>
        <v/>
      </c>
      <c r="U168" s="70" t="str">
        <f>IFERROR(__xludf.DUMMYFUNCTION("IFERROR(IF(COUNTIF(IMPORTRANGE(""1IG9qoa6PeLdDDFzKpW39lxXshN0-M8Z25a_R1EpsYyg"",""Form Responses 1!B:B""),F168)&gt;0,10,),0)"),"")</f>
        <v/>
      </c>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c r="AU168" s="70"/>
    </row>
    <row r="169">
      <c r="B169" s="70" t="str">
        <f>IFERROR(__xludf.DUMMYFUNCTION("IFERROR(IF(COUNTIF(IMPORTRANGE(""1RTcwEJsI_0aJRebhNwO_H_AoKl9r46k7hWYbtciIyM4"",""Form Responses 1!B:B""),A169)&gt;0,10,),0)"),"")</f>
        <v/>
      </c>
      <c r="C169" s="70" t="str">
        <f>IFERROR(__xludf.DUMMYFUNCTION("IFERROR(VLOOKUP(A169,IMPORTRANGE(""11i8IUhq_U6RRKRV3CBWIKqYed_fMvFgNUHTq1YDJfp8"",""Form Responses 1!B:C""),2,FALSE),)"),"")</f>
        <v/>
      </c>
      <c r="D169" s="70" t="str">
        <f>IFERROR(__xludf.DUMMYFUNCTION("IFERROR(VLOOKUP(A169,IMPORTRANGE(""1StiHxuxrFhYdrq5WLR2JMORicW0TbnJf3J-oTHeMRtM"",""Form Responses 1!B:C""),2,FALSE),)"),"")</f>
        <v/>
      </c>
      <c r="E169" s="70" t="str">
        <f>IFERROR(__xludf.DUMMYFUNCTION("IFERROR(VLOOKUP(A169,IMPORTRANGE(""1QaxxyUjrDq2kgz300C1Bq1tacFk6e-xX218cSXCQUK0"",""Form Responses 1!B:C""),2,FALSE),)"),"")</f>
        <v/>
      </c>
      <c r="F169" s="70" t="str">
        <f>IFERROR(__xludf.DUMMYFUNCTION("IFERROR(VLOOKUP(A169,IMPORTRANGE(""1fn2ECph_y8Uz78DhjLaiXcwgt6kh3oe-0Le36Uw0noE"",""Form Responses 1!B:C""),2,FALSE),)"),"")</f>
        <v/>
      </c>
      <c r="G169" s="70"/>
      <c r="H169" s="70"/>
      <c r="I169" s="70"/>
      <c r="J169" s="70"/>
      <c r="K169" s="70"/>
      <c r="L169" s="70"/>
      <c r="M169" s="70"/>
      <c r="N169" s="70"/>
      <c r="O169" s="70"/>
      <c r="P169" s="70"/>
      <c r="Q169" s="70" t="str">
        <f>IFERROR(__xludf.DUMMYFUNCTION("IFERROR(IF(COUNTIF(IMPORTRANGE(""1WjiLR_MTMxI_IZUKuvPO4Sg2rTSIqBzP3edakSRXbOA"",""Form Responses 1!B:B""),F169)&gt;0,10,),0)"),"")</f>
        <v/>
      </c>
      <c r="R169" s="70" t="str">
        <f>IFERROR(__xludf.DUMMYFUNCTION("IFERROR(VLOOKUP(F169,IMPORTRANGE(""1Ixzbal5tEbtWhozsFEppQzOYE6ZSrkNXHg_HW5k3Wt4"",""Form Responses 1!B:C""),2,FALSE),)"),"")</f>
        <v/>
      </c>
      <c r="S169" s="70" t="str">
        <f>IFERROR(__xludf.DUMMYFUNCTION("IFERROR(VLOOKUP(F169,IMPORTRANGE(""1zxjtEKGvVIJPIDqZdnxENwVpPXYa88EihzyI44hcQUo"",""Form Responses 1!B:C""),2,FALSE),)"),"")</f>
        <v/>
      </c>
      <c r="T169" s="70" t="str">
        <f>IFERROR(__xludf.DUMMYFUNCTION("IFERROR(VLOOKUP(F169,IMPORTRANGE(""1H3cO01obd5zFULYqaT5NAqecZBFFIHeDFn4CeQLZF3w"",""Form Responses 1!B:C""),2,FALSE),)"),"")</f>
        <v/>
      </c>
      <c r="U169" s="70" t="str">
        <f>IFERROR(__xludf.DUMMYFUNCTION("IFERROR(IF(COUNTIF(IMPORTRANGE(""1IG9qoa6PeLdDDFzKpW39lxXshN0-M8Z25a_R1EpsYyg"",""Form Responses 1!B:B""),F169)&gt;0,10,),0)"),"")</f>
        <v/>
      </c>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row>
    <row r="170">
      <c r="B170" s="70" t="str">
        <f>IFERROR(__xludf.DUMMYFUNCTION("IFERROR(IF(COUNTIF(IMPORTRANGE(""1RTcwEJsI_0aJRebhNwO_H_AoKl9r46k7hWYbtciIyM4"",""Form Responses 1!B:B""),A170)&gt;0,10,),0)"),"")</f>
        <v/>
      </c>
      <c r="C170" s="70" t="str">
        <f>IFERROR(__xludf.DUMMYFUNCTION("IFERROR(VLOOKUP(A170,IMPORTRANGE(""11i8IUhq_U6RRKRV3CBWIKqYed_fMvFgNUHTq1YDJfp8"",""Form Responses 1!B:C""),2,FALSE),)"),"")</f>
        <v/>
      </c>
      <c r="D170" s="70" t="str">
        <f>IFERROR(__xludf.DUMMYFUNCTION("IFERROR(VLOOKUP(A170,IMPORTRANGE(""1StiHxuxrFhYdrq5WLR2JMORicW0TbnJf3J-oTHeMRtM"",""Form Responses 1!B:C""),2,FALSE),)"),"")</f>
        <v/>
      </c>
      <c r="E170" s="70" t="str">
        <f>IFERROR(__xludf.DUMMYFUNCTION("IFERROR(VLOOKUP(A170,IMPORTRANGE(""1QaxxyUjrDq2kgz300C1Bq1tacFk6e-xX218cSXCQUK0"",""Form Responses 1!B:C""),2,FALSE),)"),"")</f>
        <v/>
      </c>
      <c r="F170" s="70" t="str">
        <f>IFERROR(__xludf.DUMMYFUNCTION("IFERROR(VLOOKUP(A170,IMPORTRANGE(""1fn2ECph_y8Uz78DhjLaiXcwgt6kh3oe-0Le36Uw0noE"",""Form Responses 1!B:C""),2,FALSE),)"),"")</f>
        <v/>
      </c>
      <c r="G170" s="70"/>
      <c r="H170" s="70"/>
      <c r="I170" s="70"/>
      <c r="J170" s="70"/>
      <c r="K170" s="70"/>
      <c r="L170" s="70"/>
      <c r="M170" s="70"/>
      <c r="N170" s="70"/>
      <c r="O170" s="70"/>
      <c r="P170" s="70"/>
      <c r="Q170" s="70" t="str">
        <f>IFERROR(__xludf.DUMMYFUNCTION("IFERROR(IF(COUNTIF(IMPORTRANGE(""1WjiLR_MTMxI_IZUKuvPO4Sg2rTSIqBzP3edakSRXbOA"",""Form Responses 1!B:B""),F170)&gt;0,10,),0)"),"")</f>
        <v/>
      </c>
      <c r="R170" s="70" t="str">
        <f>IFERROR(__xludf.DUMMYFUNCTION("IFERROR(VLOOKUP(F170,IMPORTRANGE(""1Ixzbal5tEbtWhozsFEppQzOYE6ZSrkNXHg_HW5k3Wt4"",""Form Responses 1!B:C""),2,FALSE),)"),"")</f>
        <v/>
      </c>
      <c r="S170" s="70" t="str">
        <f>IFERROR(__xludf.DUMMYFUNCTION("IFERROR(VLOOKUP(F170,IMPORTRANGE(""1zxjtEKGvVIJPIDqZdnxENwVpPXYa88EihzyI44hcQUo"",""Form Responses 1!B:C""),2,FALSE),)"),"")</f>
        <v/>
      </c>
      <c r="T170" s="70" t="str">
        <f>IFERROR(__xludf.DUMMYFUNCTION("IFERROR(VLOOKUP(F170,IMPORTRANGE(""1H3cO01obd5zFULYqaT5NAqecZBFFIHeDFn4CeQLZF3w"",""Form Responses 1!B:C""),2,FALSE),)"),"")</f>
        <v/>
      </c>
      <c r="U170" s="70" t="str">
        <f>IFERROR(__xludf.DUMMYFUNCTION("IFERROR(IF(COUNTIF(IMPORTRANGE(""1IG9qoa6PeLdDDFzKpW39lxXshN0-M8Z25a_R1EpsYyg"",""Form Responses 1!B:B""),F170)&gt;0,10,),0)"),"")</f>
        <v/>
      </c>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c r="AU170" s="70"/>
    </row>
    <row r="171">
      <c r="B171" s="70" t="str">
        <f>IFERROR(__xludf.DUMMYFUNCTION("IFERROR(IF(COUNTIF(IMPORTRANGE(""1RTcwEJsI_0aJRebhNwO_H_AoKl9r46k7hWYbtciIyM4"",""Form Responses 1!B:B""),A171)&gt;0,10,),0)"),"")</f>
        <v/>
      </c>
      <c r="C171" s="70" t="str">
        <f>IFERROR(__xludf.DUMMYFUNCTION("IFERROR(VLOOKUP(A171,IMPORTRANGE(""11i8IUhq_U6RRKRV3CBWIKqYed_fMvFgNUHTq1YDJfp8"",""Form Responses 1!B:C""),2,FALSE),)"),"")</f>
        <v/>
      </c>
      <c r="D171" s="70" t="str">
        <f>IFERROR(__xludf.DUMMYFUNCTION("IFERROR(VLOOKUP(A171,IMPORTRANGE(""1StiHxuxrFhYdrq5WLR2JMORicW0TbnJf3J-oTHeMRtM"",""Form Responses 1!B:C""),2,FALSE),)"),"")</f>
        <v/>
      </c>
      <c r="E171" s="70" t="str">
        <f>IFERROR(__xludf.DUMMYFUNCTION("IFERROR(VLOOKUP(A171,IMPORTRANGE(""1QaxxyUjrDq2kgz300C1Bq1tacFk6e-xX218cSXCQUK0"",""Form Responses 1!B:C""),2,FALSE),)"),"")</f>
        <v/>
      </c>
      <c r="F171" s="70" t="str">
        <f>IFERROR(__xludf.DUMMYFUNCTION("IFERROR(VLOOKUP(A171,IMPORTRANGE(""1fn2ECph_y8Uz78DhjLaiXcwgt6kh3oe-0Le36Uw0noE"",""Form Responses 1!B:C""),2,FALSE),)"),"")</f>
        <v/>
      </c>
      <c r="G171" s="70"/>
      <c r="H171" s="70"/>
      <c r="I171" s="70"/>
      <c r="J171" s="70"/>
      <c r="K171" s="70"/>
      <c r="L171" s="70"/>
      <c r="M171" s="70"/>
      <c r="N171" s="70"/>
      <c r="O171" s="70"/>
      <c r="P171" s="70"/>
      <c r="Q171" s="70" t="str">
        <f>IFERROR(__xludf.DUMMYFUNCTION("IFERROR(IF(COUNTIF(IMPORTRANGE(""1WjiLR_MTMxI_IZUKuvPO4Sg2rTSIqBzP3edakSRXbOA"",""Form Responses 1!B:B""),F171)&gt;0,10,),0)"),"")</f>
        <v/>
      </c>
      <c r="R171" s="70" t="str">
        <f>IFERROR(__xludf.DUMMYFUNCTION("IFERROR(VLOOKUP(F171,IMPORTRANGE(""1Ixzbal5tEbtWhozsFEppQzOYE6ZSrkNXHg_HW5k3Wt4"",""Form Responses 1!B:C""),2,FALSE),)"),"")</f>
        <v/>
      </c>
      <c r="S171" s="70" t="str">
        <f>IFERROR(__xludf.DUMMYFUNCTION("IFERROR(VLOOKUP(F171,IMPORTRANGE(""1zxjtEKGvVIJPIDqZdnxENwVpPXYa88EihzyI44hcQUo"",""Form Responses 1!B:C""),2,FALSE),)"),"")</f>
        <v/>
      </c>
      <c r="T171" s="70" t="str">
        <f>IFERROR(__xludf.DUMMYFUNCTION("IFERROR(VLOOKUP(F171,IMPORTRANGE(""1H3cO01obd5zFULYqaT5NAqecZBFFIHeDFn4CeQLZF3w"",""Form Responses 1!B:C""),2,FALSE),)"),"")</f>
        <v/>
      </c>
      <c r="U171" s="70" t="str">
        <f>IFERROR(__xludf.DUMMYFUNCTION("IFERROR(IF(COUNTIF(IMPORTRANGE(""1IG9qoa6PeLdDDFzKpW39lxXshN0-M8Z25a_R1EpsYyg"",""Form Responses 1!B:B""),F171)&gt;0,10,),0)"),"")</f>
        <v/>
      </c>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row>
    <row r="172">
      <c r="B172" s="70" t="str">
        <f>IFERROR(__xludf.DUMMYFUNCTION("IFERROR(IF(COUNTIF(IMPORTRANGE(""1RTcwEJsI_0aJRebhNwO_H_AoKl9r46k7hWYbtciIyM4"",""Form Responses 1!B:B""),A172)&gt;0,10,),0)"),"")</f>
        <v/>
      </c>
      <c r="C172" s="70" t="str">
        <f>IFERROR(__xludf.DUMMYFUNCTION("IFERROR(VLOOKUP(A172,IMPORTRANGE(""11i8IUhq_U6RRKRV3CBWIKqYed_fMvFgNUHTq1YDJfp8"",""Form Responses 1!B:C""),2,FALSE),)"),"")</f>
        <v/>
      </c>
      <c r="D172" s="70" t="str">
        <f>IFERROR(__xludf.DUMMYFUNCTION("IFERROR(VLOOKUP(A172,IMPORTRANGE(""1StiHxuxrFhYdrq5WLR2JMORicW0TbnJf3J-oTHeMRtM"",""Form Responses 1!B:C""),2,FALSE),)"),"")</f>
        <v/>
      </c>
      <c r="E172" s="70" t="str">
        <f>IFERROR(__xludf.DUMMYFUNCTION("IFERROR(VLOOKUP(A172,IMPORTRANGE(""1QaxxyUjrDq2kgz300C1Bq1tacFk6e-xX218cSXCQUK0"",""Form Responses 1!B:C""),2,FALSE),)"),"")</f>
        <v/>
      </c>
      <c r="F172" s="70" t="str">
        <f>IFERROR(__xludf.DUMMYFUNCTION("IFERROR(VLOOKUP(A172,IMPORTRANGE(""1fn2ECph_y8Uz78DhjLaiXcwgt6kh3oe-0Le36Uw0noE"",""Form Responses 1!B:C""),2,FALSE),)"),"")</f>
        <v/>
      </c>
      <c r="G172" s="70"/>
      <c r="H172" s="70"/>
      <c r="I172" s="70"/>
      <c r="J172" s="70"/>
      <c r="K172" s="70"/>
      <c r="L172" s="70"/>
      <c r="M172" s="70"/>
      <c r="N172" s="70"/>
      <c r="O172" s="70"/>
      <c r="P172" s="70"/>
      <c r="Q172" s="70" t="str">
        <f>IFERROR(__xludf.DUMMYFUNCTION("IFERROR(IF(COUNTIF(IMPORTRANGE(""1WjiLR_MTMxI_IZUKuvPO4Sg2rTSIqBzP3edakSRXbOA"",""Form Responses 1!B:B""),F172)&gt;0,10,),0)"),"")</f>
        <v/>
      </c>
      <c r="R172" s="70" t="str">
        <f>IFERROR(__xludf.DUMMYFUNCTION("IFERROR(VLOOKUP(F172,IMPORTRANGE(""1Ixzbal5tEbtWhozsFEppQzOYE6ZSrkNXHg_HW5k3Wt4"",""Form Responses 1!B:C""),2,FALSE),)"),"")</f>
        <v/>
      </c>
      <c r="S172" s="70" t="str">
        <f>IFERROR(__xludf.DUMMYFUNCTION("IFERROR(VLOOKUP(F172,IMPORTRANGE(""1zxjtEKGvVIJPIDqZdnxENwVpPXYa88EihzyI44hcQUo"",""Form Responses 1!B:C""),2,FALSE),)"),"")</f>
        <v/>
      </c>
      <c r="T172" s="70" t="str">
        <f>IFERROR(__xludf.DUMMYFUNCTION("IFERROR(VLOOKUP(F172,IMPORTRANGE(""1H3cO01obd5zFULYqaT5NAqecZBFFIHeDFn4CeQLZF3w"",""Form Responses 1!B:C""),2,FALSE),)"),"")</f>
        <v/>
      </c>
      <c r="U172" s="70" t="str">
        <f>IFERROR(__xludf.DUMMYFUNCTION("IFERROR(IF(COUNTIF(IMPORTRANGE(""1IG9qoa6PeLdDDFzKpW39lxXshN0-M8Z25a_R1EpsYyg"",""Form Responses 1!B:B""),F172)&gt;0,10,),0)"),"")</f>
        <v/>
      </c>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row>
    <row r="173">
      <c r="B173" s="70" t="str">
        <f>IFERROR(__xludf.DUMMYFUNCTION("IFERROR(IF(COUNTIF(IMPORTRANGE(""1RTcwEJsI_0aJRebhNwO_H_AoKl9r46k7hWYbtciIyM4"",""Form Responses 1!B:B""),A173)&gt;0,10,),0)"),"")</f>
        <v/>
      </c>
      <c r="C173" s="70" t="str">
        <f>IFERROR(__xludf.DUMMYFUNCTION("IFERROR(VLOOKUP(A173,IMPORTRANGE(""11i8IUhq_U6RRKRV3CBWIKqYed_fMvFgNUHTq1YDJfp8"",""Form Responses 1!B:C""),2,FALSE),)"),"")</f>
        <v/>
      </c>
      <c r="D173" s="70" t="str">
        <f>IFERROR(__xludf.DUMMYFUNCTION("IFERROR(VLOOKUP(A173,IMPORTRANGE(""1StiHxuxrFhYdrq5WLR2JMORicW0TbnJf3J-oTHeMRtM"",""Form Responses 1!B:C""),2,FALSE),)"),"")</f>
        <v/>
      </c>
      <c r="E173" s="70" t="str">
        <f>IFERROR(__xludf.DUMMYFUNCTION("IFERROR(VLOOKUP(A173,IMPORTRANGE(""1QaxxyUjrDq2kgz300C1Bq1tacFk6e-xX218cSXCQUK0"",""Form Responses 1!B:C""),2,FALSE),)"),"")</f>
        <v/>
      </c>
      <c r="F173" s="70" t="str">
        <f>IFERROR(__xludf.DUMMYFUNCTION("IFERROR(VLOOKUP(A173,IMPORTRANGE(""1fn2ECph_y8Uz78DhjLaiXcwgt6kh3oe-0Le36Uw0noE"",""Form Responses 1!B:C""),2,FALSE),)"),"")</f>
        <v/>
      </c>
      <c r="G173" s="70"/>
      <c r="H173" s="70"/>
      <c r="I173" s="70"/>
      <c r="J173" s="70"/>
      <c r="K173" s="70"/>
      <c r="L173" s="70"/>
      <c r="M173" s="70"/>
      <c r="N173" s="70"/>
      <c r="O173" s="70"/>
      <c r="P173" s="70"/>
      <c r="Q173" s="70" t="str">
        <f>IFERROR(__xludf.DUMMYFUNCTION("IFERROR(IF(COUNTIF(IMPORTRANGE(""1WjiLR_MTMxI_IZUKuvPO4Sg2rTSIqBzP3edakSRXbOA"",""Form Responses 1!B:B""),F173)&gt;0,10,),0)"),"")</f>
        <v/>
      </c>
      <c r="R173" s="70" t="str">
        <f>IFERROR(__xludf.DUMMYFUNCTION("IFERROR(VLOOKUP(F173,IMPORTRANGE(""1Ixzbal5tEbtWhozsFEppQzOYE6ZSrkNXHg_HW5k3Wt4"",""Form Responses 1!B:C""),2,FALSE),)"),"")</f>
        <v/>
      </c>
      <c r="S173" s="70" t="str">
        <f>IFERROR(__xludf.DUMMYFUNCTION("IFERROR(VLOOKUP(F173,IMPORTRANGE(""1zxjtEKGvVIJPIDqZdnxENwVpPXYa88EihzyI44hcQUo"",""Form Responses 1!B:C""),2,FALSE),)"),"")</f>
        <v/>
      </c>
      <c r="T173" s="70" t="str">
        <f>IFERROR(__xludf.DUMMYFUNCTION("IFERROR(VLOOKUP(F173,IMPORTRANGE(""1H3cO01obd5zFULYqaT5NAqecZBFFIHeDFn4CeQLZF3w"",""Form Responses 1!B:C""),2,FALSE),)"),"")</f>
        <v/>
      </c>
      <c r="U173" s="70" t="str">
        <f>IFERROR(__xludf.DUMMYFUNCTION("IFERROR(IF(COUNTIF(IMPORTRANGE(""1IG9qoa6PeLdDDFzKpW39lxXshN0-M8Z25a_R1EpsYyg"",""Form Responses 1!B:B""),F173)&gt;0,10,),0)"),"")</f>
        <v/>
      </c>
      <c r="V173" s="70"/>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c r="AU173" s="70"/>
    </row>
    <row r="174">
      <c r="B174" s="70" t="str">
        <f>IFERROR(__xludf.DUMMYFUNCTION("IFERROR(IF(COUNTIF(IMPORTRANGE(""1RTcwEJsI_0aJRebhNwO_H_AoKl9r46k7hWYbtciIyM4"",""Form Responses 1!B:B""),A174)&gt;0,10,),0)"),"")</f>
        <v/>
      </c>
      <c r="C174" s="70" t="str">
        <f>IFERROR(__xludf.DUMMYFUNCTION("IFERROR(VLOOKUP(A174,IMPORTRANGE(""11i8IUhq_U6RRKRV3CBWIKqYed_fMvFgNUHTq1YDJfp8"",""Form Responses 1!B:C""),2,FALSE),)"),"")</f>
        <v/>
      </c>
      <c r="D174" s="70" t="str">
        <f>IFERROR(__xludf.DUMMYFUNCTION("IFERROR(VLOOKUP(A174,IMPORTRANGE(""1StiHxuxrFhYdrq5WLR2JMORicW0TbnJf3J-oTHeMRtM"",""Form Responses 1!B:C""),2,FALSE),)"),"")</f>
        <v/>
      </c>
      <c r="E174" s="70" t="str">
        <f>IFERROR(__xludf.DUMMYFUNCTION("IFERROR(VLOOKUP(A174,IMPORTRANGE(""1QaxxyUjrDq2kgz300C1Bq1tacFk6e-xX218cSXCQUK0"",""Form Responses 1!B:C""),2,FALSE),)"),"")</f>
        <v/>
      </c>
      <c r="F174" s="70" t="str">
        <f>IFERROR(__xludf.DUMMYFUNCTION("IFERROR(VLOOKUP(A174,IMPORTRANGE(""1fn2ECph_y8Uz78DhjLaiXcwgt6kh3oe-0Le36Uw0noE"",""Form Responses 1!B:C""),2,FALSE),)"),"")</f>
        <v/>
      </c>
      <c r="G174" s="70"/>
      <c r="H174" s="70"/>
      <c r="I174" s="70"/>
      <c r="J174" s="70"/>
      <c r="K174" s="70"/>
      <c r="L174" s="70"/>
      <c r="M174" s="70"/>
      <c r="N174" s="70"/>
      <c r="O174" s="70"/>
      <c r="P174" s="70"/>
      <c r="Q174" s="70" t="str">
        <f>IFERROR(__xludf.DUMMYFUNCTION("IFERROR(IF(COUNTIF(IMPORTRANGE(""1WjiLR_MTMxI_IZUKuvPO4Sg2rTSIqBzP3edakSRXbOA"",""Form Responses 1!B:B""),F174)&gt;0,10,),0)"),"")</f>
        <v/>
      </c>
      <c r="R174" s="70" t="str">
        <f>IFERROR(__xludf.DUMMYFUNCTION("IFERROR(VLOOKUP(F174,IMPORTRANGE(""1Ixzbal5tEbtWhozsFEppQzOYE6ZSrkNXHg_HW5k3Wt4"",""Form Responses 1!B:C""),2,FALSE),)"),"")</f>
        <v/>
      </c>
      <c r="S174" s="70" t="str">
        <f>IFERROR(__xludf.DUMMYFUNCTION("IFERROR(VLOOKUP(F174,IMPORTRANGE(""1zxjtEKGvVIJPIDqZdnxENwVpPXYa88EihzyI44hcQUo"",""Form Responses 1!B:C""),2,FALSE),)"),"")</f>
        <v/>
      </c>
      <c r="T174" s="70" t="str">
        <f>IFERROR(__xludf.DUMMYFUNCTION("IFERROR(VLOOKUP(F174,IMPORTRANGE(""1H3cO01obd5zFULYqaT5NAqecZBFFIHeDFn4CeQLZF3w"",""Form Responses 1!B:C""),2,FALSE),)"),"")</f>
        <v/>
      </c>
      <c r="U174" s="70" t="str">
        <f>IFERROR(__xludf.DUMMYFUNCTION("IFERROR(IF(COUNTIF(IMPORTRANGE(""1IG9qoa6PeLdDDFzKpW39lxXshN0-M8Z25a_R1EpsYyg"",""Form Responses 1!B:B""),F174)&gt;0,10,),0)"),"")</f>
        <v/>
      </c>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row>
    <row r="175">
      <c r="B175" s="70" t="str">
        <f>IFERROR(__xludf.DUMMYFUNCTION("IFERROR(IF(COUNTIF(IMPORTRANGE(""1RTcwEJsI_0aJRebhNwO_H_AoKl9r46k7hWYbtciIyM4"",""Form Responses 1!B:B""),A175)&gt;0,10,),0)"),"")</f>
        <v/>
      </c>
      <c r="C175" s="70" t="str">
        <f>IFERROR(__xludf.DUMMYFUNCTION("IFERROR(VLOOKUP(A175,IMPORTRANGE(""11i8IUhq_U6RRKRV3CBWIKqYed_fMvFgNUHTq1YDJfp8"",""Form Responses 1!B:C""),2,FALSE),)"),"")</f>
        <v/>
      </c>
      <c r="D175" s="70" t="str">
        <f>IFERROR(__xludf.DUMMYFUNCTION("IFERROR(VLOOKUP(A175,IMPORTRANGE(""1StiHxuxrFhYdrq5WLR2JMORicW0TbnJf3J-oTHeMRtM"",""Form Responses 1!B:C""),2,FALSE),)"),"")</f>
        <v/>
      </c>
      <c r="E175" s="70" t="str">
        <f>IFERROR(__xludf.DUMMYFUNCTION("IFERROR(VLOOKUP(A175,IMPORTRANGE(""1QaxxyUjrDq2kgz300C1Bq1tacFk6e-xX218cSXCQUK0"",""Form Responses 1!B:C""),2,FALSE),)"),"")</f>
        <v/>
      </c>
      <c r="F175" s="70" t="str">
        <f>IFERROR(__xludf.DUMMYFUNCTION("IFERROR(VLOOKUP(A175,IMPORTRANGE(""1fn2ECph_y8Uz78DhjLaiXcwgt6kh3oe-0Le36Uw0noE"",""Form Responses 1!B:C""),2,FALSE),)"),"")</f>
        <v/>
      </c>
      <c r="G175" s="70"/>
      <c r="H175" s="70"/>
      <c r="I175" s="70"/>
      <c r="J175" s="70"/>
      <c r="K175" s="70"/>
      <c r="L175" s="70"/>
      <c r="M175" s="70"/>
      <c r="N175" s="70"/>
      <c r="O175" s="70"/>
      <c r="P175" s="70"/>
      <c r="Q175" s="70" t="str">
        <f>IFERROR(__xludf.DUMMYFUNCTION("IFERROR(IF(COUNTIF(IMPORTRANGE(""1WjiLR_MTMxI_IZUKuvPO4Sg2rTSIqBzP3edakSRXbOA"",""Form Responses 1!B:B""),F175)&gt;0,10,),0)"),"")</f>
        <v/>
      </c>
      <c r="R175" s="70" t="str">
        <f>IFERROR(__xludf.DUMMYFUNCTION("IFERROR(VLOOKUP(F175,IMPORTRANGE(""1Ixzbal5tEbtWhozsFEppQzOYE6ZSrkNXHg_HW5k3Wt4"",""Form Responses 1!B:C""),2,FALSE),)"),"")</f>
        <v/>
      </c>
      <c r="S175" s="70" t="str">
        <f>IFERROR(__xludf.DUMMYFUNCTION("IFERROR(VLOOKUP(F175,IMPORTRANGE(""1zxjtEKGvVIJPIDqZdnxENwVpPXYa88EihzyI44hcQUo"",""Form Responses 1!B:C""),2,FALSE),)"),"")</f>
        <v/>
      </c>
      <c r="T175" s="70" t="str">
        <f>IFERROR(__xludf.DUMMYFUNCTION("IFERROR(VLOOKUP(F175,IMPORTRANGE(""1H3cO01obd5zFULYqaT5NAqecZBFFIHeDFn4CeQLZF3w"",""Form Responses 1!B:C""),2,FALSE),)"),"")</f>
        <v/>
      </c>
      <c r="U175" s="70" t="str">
        <f>IFERROR(__xludf.DUMMYFUNCTION("IFERROR(IF(COUNTIF(IMPORTRANGE(""1IG9qoa6PeLdDDFzKpW39lxXshN0-M8Z25a_R1EpsYyg"",""Form Responses 1!B:B""),F175)&gt;0,10,),0)"),"")</f>
        <v/>
      </c>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row>
    <row r="176">
      <c r="B176" s="70" t="str">
        <f>IFERROR(__xludf.DUMMYFUNCTION("IFERROR(IF(COUNTIF(IMPORTRANGE(""1RTcwEJsI_0aJRebhNwO_H_AoKl9r46k7hWYbtciIyM4"",""Form Responses 1!B:B""),A176)&gt;0,10,),0)"),"")</f>
        <v/>
      </c>
      <c r="C176" s="70" t="str">
        <f>IFERROR(__xludf.DUMMYFUNCTION("IFERROR(VLOOKUP(A176,IMPORTRANGE(""11i8IUhq_U6RRKRV3CBWIKqYed_fMvFgNUHTq1YDJfp8"",""Form Responses 1!B:C""),2,FALSE),)"),"")</f>
        <v/>
      </c>
      <c r="D176" s="70" t="str">
        <f>IFERROR(__xludf.DUMMYFUNCTION("IFERROR(VLOOKUP(A176,IMPORTRANGE(""1StiHxuxrFhYdrq5WLR2JMORicW0TbnJf3J-oTHeMRtM"",""Form Responses 1!B:C""),2,FALSE),)"),"")</f>
        <v/>
      </c>
      <c r="E176" s="70" t="str">
        <f>IFERROR(__xludf.DUMMYFUNCTION("IFERROR(VLOOKUP(A176,IMPORTRANGE(""1QaxxyUjrDq2kgz300C1Bq1tacFk6e-xX218cSXCQUK0"",""Form Responses 1!B:C""),2,FALSE),)"),"")</f>
        <v/>
      </c>
      <c r="F176" s="70" t="str">
        <f>IFERROR(__xludf.DUMMYFUNCTION("IFERROR(VLOOKUP(A176,IMPORTRANGE(""1fn2ECph_y8Uz78DhjLaiXcwgt6kh3oe-0Le36Uw0noE"",""Form Responses 1!B:C""),2,FALSE),)"),"")</f>
        <v/>
      </c>
      <c r="G176" s="70"/>
      <c r="H176" s="70"/>
      <c r="I176" s="70"/>
      <c r="J176" s="70"/>
      <c r="K176" s="70"/>
      <c r="L176" s="70"/>
      <c r="M176" s="70"/>
      <c r="N176" s="70"/>
      <c r="O176" s="70"/>
      <c r="P176" s="70"/>
      <c r="Q176" s="70" t="str">
        <f>IFERROR(__xludf.DUMMYFUNCTION("IFERROR(IF(COUNTIF(IMPORTRANGE(""1WjiLR_MTMxI_IZUKuvPO4Sg2rTSIqBzP3edakSRXbOA"",""Form Responses 1!B:B""),F176)&gt;0,10,),0)"),"")</f>
        <v/>
      </c>
      <c r="R176" s="70" t="str">
        <f>IFERROR(__xludf.DUMMYFUNCTION("IFERROR(VLOOKUP(F176,IMPORTRANGE(""1Ixzbal5tEbtWhozsFEppQzOYE6ZSrkNXHg_HW5k3Wt4"",""Form Responses 1!B:C""),2,FALSE),)"),"")</f>
        <v/>
      </c>
      <c r="S176" s="70" t="str">
        <f>IFERROR(__xludf.DUMMYFUNCTION("IFERROR(VLOOKUP(F176,IMPORTRANGE(""1zxjtEKGvVIJPIDqZdnxENwVpPXYa88EihzyI44hcQUo"",""Form Responses 1!B:C""),2,FALSE),)"),"")</f>
        <v/>
      </c>
      <c r="T176" s="70" t="str">
        <f>IFERROR(__xludf.DUMMYFUNCTION("IFERROR(VLOOKUP(F176,IMPORTRANGE(""1H3cO01obd5zFULYqaT5NAqecZBFFIHeDFn4CeQLZF3w"",""Form Responses 1!B:C""),2,FALSE),)"),"")</f>
        <v/>
      </c>
      <c r="U176" s="70" t="str">
        <f>IFERROR(__xludf.DUMMYFUNCTION("IFERROR(IF(COUNTIF(IMPORTRANGE(""1IG9qoa6PeLdDDFzKpW39lxXshN0-M8Z25a_R1EpsYyg"",""Form Responses 1!B:B""),F176)&gt;0,10,),0)"),"")</f>
        <v/>
      </c>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row>
    <row r="177">
      <c r="B177" s="70" t="str">
        <f>IFERROR(__xludf.DUMMYFUNCTION("IFERROR(IF(COUNTIF(IMPORTRANGE(""1RTcwEJsI_0aJRebhNwO_H_AoKl9r46k7hWYbtciIyM4"",""Form Responses 1!B:B""),A177)&gt;0,10,),0)"),"")</f>
        <v/>
      </c>
      <c r="C177" s="70" t="str">
        <f>IFERROR(__xludf.DUMMYFUNCTION("IFERROR(VLOOKUP(A177,IMPORTRANGE(""11i8IUhq_U6RRKRV3CBWIKqYed_fMvFgNUHTq1YDJfp8"",""Form Responses 1!B:C""),2,FALSE),)"),"")</f>
        <v/>
      </c>
      <c r="D177" s="70" t="str">
        <f>IFERROR(__xludf.DUMMYFUNCTION("IFERROR(VLOOKUP(A177,IMPORTRANGE(""1StiHxuxrFhYdrq5WLR2JMORicW0TbnJf3J-oTHeMRtM"",""Form Responses 1!B:C""),2,FALSE),)"),"")</f>
        <v/>
      </c>
      <c r="E177" s="70" t="str">
        <f>IFERROR(__xludf.DUMMYFUNCTION("IFERROR(VLOOKUP(A177,IMPORTRANGE(""1QaxxyUjrDq2kgz300C1Bq1tacFk6e-xX218cSXCQUK0"",""Form Responses 1!B:C""),2,FALSE),)"),"")</f>
        <v/>
      </c>
      <c r="F177" s="70" t="str">
        <f>IFERROR(__xludf.DUMMYFUNCTION("IFERROR(VLOOKUP(A177,IMPORTRANGE(""1fn2ECph_y8Uz78DhjLaiXcwgt6kh3oe-0Le36Uw0noE"",""Form Responses 1!B:C""),2,FALSE),)"),"")</f>
        <v/>
      </c>
      <c r="G177" s="70"/>
      <c r="H177" s="70"/>
      <c r="I177" s="70"/>
      <c r="J177" s="70"/>
      <c r="K177" s="70"/>
      <c r="L177" s="70"/>
      <c r="M177" s="70"/>
      <c r="N177" s="70"/>
      <c r="O177" s="70"/>
      <c r="P177" s="70"/>
      <c r="Q177" s="70" t="str">
        <f>IFERROR(__xludf.DUMMYFUNCTION("IFERROR(IF(COUNTIF(IMPORTRANGE(""1WjiLR_MTMxI_IZUKuvPO4Sg2rTSIqBzP3edakSRXbOA"",""Form Responses 1!B:B""),F177)&gt;0,10,),0)"),"")</f>
        <v/>
      </c>
      <c r="R177" s="70" t="str">
        <f>IFERROR(__xludf.DUMMYFUNCTION("IFERROR(VLOOKUP(F177,IMPORTRANGE(""1Ixzbal5tEbtWhozsFEppQzOYE6ZSrkNXHg_HW5k3Wt4"",""Form Responses 1!B:C""),2,FALSE),)"),"")</f>
        <v/>
      </c>
      <c r="S177" s="70" t="str">
        <f>IFERROR(__xludf.DUMMYFUNCTION("IFERROR(VLOOKUP(F177,IMPORTRANGE(""1zxjtEKGvVIJPIDqZdnxENwVpPXYa88EihzyI44hcQUo"",""Form Responses 1!B:C""),2,FALSE),)"),"")</f>
        <v/>
      </c>
      <c r="T177" s="70" t="str">
        <f>IFERROR(__xludf.DUMMYFUNCTION("IFERROR(VLOOKUP(F177,IMPORTRANGE(""1H3cO01obd5zFULYqaT5NAqecZBFFIHeDFn4CeQLZF3w"",""Form Responses 1!B:C""),2,FALSE),)"),"")</f>
        <v/>
      </c>
      <c r="U177" s="70" t="str">
        <f>IFERROR(__xludf.DUMMYFUNCTION("IFERROR(IF(COUNTIF(IMPORTRANGE(""1IG9qoa6PeLdDDFzKpW39lxXshN0-M8Z25a_R1EpsYyg"",""Form Responses 1!B:B""),F177)&gt;0,10,),0)"),"")</f>
        <v/>
      </c>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row>
    <row r="178">
      <c r="B178" s="70" t="str">
        <f>IFERROR(__xludf.DUMMYFUNCTION("IFERROR(IF(COUNTIF(IMPORTRANGE(""1RTcwEJsI_0aJRebhNwO_H_AoKl9r46k7hWYbtciIyM4"",""Form Responses 1!B:B""),A178)&gt;0,10,),0)"),"")</f>
        <v/>
      </c>
      <c r="C178" s="70" t="str">
        <f>IFERROR(__xludf.DUMMYFUNCTION("IFERROR(VLOOKUP(A178,IMPORTRANGE(""11i8IUhq_U6RRKRV3CBWIKqYed_fMvFgNUHTq1YDJfp8"",""Form Responses 1!B:C""),2,FALSE),)"),"")</f>
        <v/>
      </c>
      <c r="D178" s="70" t="str">
        <f>IFERROR(__xludf.DUMMYFUNCTION("IFERROR(VLOOKUP(A178,IMPORTRANGE(""1StiHxuxrFhYdrq5WLR2JMORicW0TbnJf3J-oTHeMRtM"",""Form Responses 1!B:C""),2,FALSE),)"),"")</f>
        <v/>
      </c>
      <c r="E178" s="70" t="str">
        <f>IFERROR(__xludf.DUMMYFUNCTION("IFERROR(VLOOKUP(A178,IMPORTRANGE(""1QaxxyUjrDq2kgz300C1Bq1tacFk6e-xX218cSXCQUK0"",""Form Responses 1!B:C""),2,FALSE),)"),"")</f>
        <v/>
      </c>
      <c r="F178" s="70" t="str">
        <f>IFERROR(__xludf.DUMMYFUNCTION("IFERROR(VLOOKUP(A178,IMPORTRANGE(""1fn2ECph_y8Uz78DhjLaiXcwgt6kh3oe-0Le36Uw0noE"",""Form Responses 1!B:C""),2,FALSE),)"),"")</f>
        <v/>
      </c>
      <c r="G178" s="70"/>
      <c r="H178" s="70"/>
      <c r="I178" s="70"/>
      <c r="J178" s="70"/>
      <c r="K178" s="70"/>
      <c r="L178" s="70"/>
      <c r="M178" s="70"/>
      <c r="N178" s="70"/>
      <c r="O178" s="70"/>
      <c r="P178" s="70"/>
      <c r="Q178" s="70" t="str">
        <f>IFERROR(__xludf.DUMMYFUNCTION("IFERROR(IF(COUNTIF(IMPORTRANGE(""1WjiLR_MTMxI_IZUKuvPO4Sg2rTSIqBzP3edakSRXbOA"",""Form Responses 1!B:B""),F178)&gt;0,10,),0)"),"")</f>
        <v/>
      </c>
      <c r="R178" s="70" t="str">
        <f>IFERROR(__xludf.DUMMYFUNCTION("IFERROR(VLOOKUP(F178,IMPORTRANGE(""1Ixzbal5tEbtWhozsFEppQzOYE6ZSrkNXHg_HW5k3Wt4"",""Form Responses 1!B:C""),2,FALSE),)"),"")</f>
        <v/>
      </c>
      <c r="S178" s="70" t="str">
        <f>IFERROR(__xludf.DUMMYFUNCTION("IFERROR(VLOOKUP(F178,IMPORTRANGE(""1zxjtEKGvVIJPIDqZdnxENwVpPXYa88EihzyI44hcQUo"",""Form Responses 1!B:C""),2,FALSE),)"),"")</f>
        <v/>
      </c>
      <c r="T178" s="70" t="str">
        <f>IFERROR(__xludf.DUMMYFUNCTION("IFERROR(VLOOKUP(F178,IMPORTRANGE(""1H3cO01obd5zFULYqaT5NAqecZBFFIHeDFn4CeQLZF3w"",""Form Responses 1!B:C""),2,FALSE),)"),"")</f>
        <v/>
      </c>
      <c r="U178" s="70" t="str">
        <f>IFERROR(__xludf.DUMMYFUNCTION("IFERROR(IF(COUNTIF(IMPORTRANGE(""1IG9qoa6PeLdDDFzKpW39lxXshN0-M8Z25a_R1EpsYyg"",""Form Responses 1!B:B""),F178)&gt;0,10,),0)"),"")</f>
        <v/>
      </c>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row>
    <row r="179">
      <c r="B179" s="70" t="str">
        <f>IFERROR(__xludf.DUMMYFUNCTION("IFERROR(IF(COUNTIF(IMPORTRANGE(""1RTcwEJsI_0aJRebhNwO_H_AoKl9r46k7hWYbtciIyM4"",""Form Responses 1!B:B""),A179)&gt;0,10,),0)"),"")</f>
        <v/>
      </c>
      <c r="C179" s="70" t="str">
        <f>IFERROR(__xludf.DUMMYFUNCTION("IFERROR(VLOOKUP(A179,IMPORTRANGE(""11i8IUhq_U6RRKRV3CBWIKqYed_fMvFgNUHTq1YDJfp8"",""Form Responses 1!B:C""),2,FALSE),)"),"")</f>
        <v/>
      </c>
      <c r="D179" s="70" t="str">
        <f>IFERROR(__xludf.DUMMYFUNCTION("IFERROR(VLOOKUP(A179,IMPORTRANGE(""1StiHxuxrFhYdrq5WLR2JMORicW0TbnJf3J-oTHeMRtM"",""Form Responses 1!B:C""),2,FALSE),)"),"")</f>
        <v/>
      </c>
      <c r="E179" s="70" t="str">
        <f>IFERROR(__xludf.DUMMYFUNCTION("IFERROR(VLOOKUP(A179,IMPORTRANGE(""1QaxxyUjrDq2kgz300C1Bq1tacFk6e-xX218cSXCQUK0"",""Form Responses 1!B:C""),2,FALSE),)"),"")</f>
        <v/>
      </c>
      <c r="F179" s="70" t="str">
        <f>IFERROR(__xludf.DUMMYFUNCTION("IFERROR(VLOOKUP(A179,IMPORTRANGE(""1fn2ECph_y8Uz78DhjLaiXcwgt6kh3oe-0Le36Uw0noE"",""Form Responses 1!B:C""),2,FALSE),)"),"")</f>
        <v/>
      </c>
      <c r="G179" s="70"/>
      <c r="H179" s="70"/>
      <c r="I179" s="70"/>
      <c r="J179" s="70"/>
      <c r="K179" s="70"/>
      <c r="L179" s="70"/>
      <c r="M179" s="70"/>
      <c r="N179" s="70"/>
      <c r="O179" s="70"/>
      <c r="P179" s="70"/>
      <c r="Q179" s="70" t="str">
        <f>IFERROR(__xludf.DUMMYFUNCTION("IFERROR(IF(COUNTIF(IMPORTRANGE(""1WjiLR_MTMxI_IZUKuvPO4Sg2rTSIqBzP3edakSRXbOA"",""Form Responses 1!B:B""),F179)&gt;0,10,),0)"),"")</f>
        <v/>
      </c>
      <c r="R179" s="70" t="str">
        <f>IFERROR(__xludf.DUMMYFUNCTION("IFERROR(VLOOKUP(F179,IMPORTRANGE(""1Ixzbal5tEbtWhozsFEppQzOYE6ZSrkNXHg_HW5k3Wt4"",""Form Responses 1!B:C""),2,FALSE),)"),"")</f>
        <v/>
      </c>
      <c r="S179" s="70" t="str">
        <f>IFERROR(__xludf.DUMMYFUNCTION("IFERROR(VLOOKUP(F179,IMPORTRANGE(""1zxjtEKGvVIJPIDqZdnxENwVpPXYa88EihzyI44hcQUo"",""Form Responses 1!B:C""),2,FALSE),)"),"")</f>
        <v/>
      </c>
      <c r="T179" s="70" t="str">
        <f>IFERROR(__xludf.DUMMYFUNCTION("IFERROR(VLOOKUP(F179,IMPORTRANGE(""1H3cO01obd5zFULYqaT5NAqecZBFFIHeDFn4CeQLZF3w"",""Form Responses 1!B:C""),2,FALSE),)"),"")</f>
        <v/>
      </c>
      <c r="U179" s="70" t="str">
        <f>IFERROR(__xludf.DUMMYFUNCTION("IFERROR(IF(COUNTIF(IMPORTRANGE(""1IG9qoa6PeLdDDFzKpW39lxXshN0-M8Z25a_R1EpsYyg"",""Form Responses 1!B:B""),F179)&gt;0,10,),0)"),"")</f>
        <v/>
      </c>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row>
    <row r="180">
      <c r="B180" s="70" t="str">
        <f>IFERROR(__xludf.DUMMYFUNCTION("IFERROR(IF(COUNTIF(IMPORTRANGE(""1RTcwEJsI_0aJRebhNwO_H_AoKl9r46k7hWYbtciIyM4"",""Form Responses 1!B:B""),A180)&gt;0,10,),0)"),"")</f>
        <v/>
      </c>
      <c r="C180" s="70" t="str">
        <f>IFERROR(__xludf.DUMMYFUNCTION("IFERROR(VLOOKUP(A180,IMPORTRANGE(""11i8IUhq_U6RRKRV3CBWIKqYed_fMvFgNUHTq1YDJfp8"",""Form Responses 1!B:C""),2,FALSE),)"),"")</f>
        <v/>
      </c>
      <c r="D180" s="70" t="str">
        <f>IFERROR(__xludf.DUMMYFUNCTION("IFERROR(VLOOKUP(A180,IMPORTRANGE(""1StiHxuxrFhYdrq5WLR2JMORicW0TbnJf3J-oTHeMRtM"",""Form Responses 1!B:C""),2,FALSE),)"),"")</f>
        <v/>
      </c>
      <c r="E180" s="70" t="str">
        <f>IFERROR(__xludf.DUMMYFUNCTION("IFERROR(VLOOKUP(A180,IMPORTRANGE(""1QaxxyUjrDq2kgz300C1Bq1tacFk6e-xX218cSXCQUK0"",""Form Responses 1!B:C""),2,FALSE),)"),"")</f>
        <v/>
      </c>
      <c r="F180" s="70" t="str">
        <f>IFERROR(__xludf.DUMMYFUNCTION("IFERROR(VLOOKUP(A180,IMPORTRANGE(""1fn2ECph_y8Uz78DhjLaiXcwgt6kh3oe-0Le36Uw0noE"",""Form Responses 1!B:C""),2,FALSE),)"),"")</f>
        <v/>
      </c>
      <c r="G180" s="70"/>
      <c r="H180" s="70"/>
      <c r="I180" s="70"/>
      <c r="J180" s="70"/>
      <c r="K180" s="70"/>
      <c r="L180" s="70"/>
      <c r="M180" s="70"/>
      <c r="N180" s="70"/>
      <c r="O180" s="70"/>
      <c r="P180" s="70"/>
      <c r="Q180" s="70" t="str">
        <f>IFERROR(__xludf.DUMMYFUNCTION("IFERROR(IF(COUNTIF(IMPORTRANGE(""1WjiLR_MTMxI_IZUKuvPO4Sg2rTSIqBzP3edakSRXbOA"",""Form Responses 1!B:B""),F180)&gt;0,10,),0)"),"")</f>
        <v/>
      </c>
      <c r="R180" s="70" t="str">
        <f>IFERROR(__xludf.DUMMYFUNCTION("IFERROR(VLOOKUP(F180,IMPORTRANGE(""1Ixzbal5tEbtWhozsFEppQzOYE6ZSrkNXHg_HW5k3Wt4"",""Form Responses 1!B:C""),2,FALSE),)"),"")</f>
        <v/>
      </c>
      <c r="S180" s="70" t="str">
        <f>IFERROR(__xludf.DUMMYFUNCTION("IFERROR(VLOOKUP(F180,IMPORTRANGE(""1zxjtEKGvVIJPIDqZdnxENwVpPXYa88EihzyI44hcQUo"",""Form Responses 1!B:C""),2,FALSE),)"),"")</f>
        <v/>
      </c>
      <c r="T180" s="70" t="str">
        <f>IFERROR(__xludf.DUMMYFUNCTION("IFERROR(VLOOKUP(F180,IMPORTRANGE(""1H3cO01obd5zFULYqaT5NAqecZBFFIHeDFn4CeQLZF3w"",""Form Responses 1!B:C""),2,FALSE),)"),"")</f>
        <v/>
      </c>
      <c r="U180" s="70" t="str">
        <f>IFERROR(__xludf.DUMMYFUNCTION("IFERROR(IF(COUNTIF(IMPORTRANGE(""1IG9qoa6PeLdDDFzKpW39lxXshN0-M8Z25a_R1EpsYyg"",""Form Responses 1!B:B""),F180)&gt;0,10,),0)"),"")</f>
        <v/>
      </c>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row>
    <row r="181">
      <c r="B181" s="70" t="str">
        <f>IFERROR(__xludf.DUMMYFUNCTION("IFERROR(IF(COUNTIF(IMPORTRANGE(""1RTcwEJsI_0aJRebhNwO_H_AoKl9r46k7hWYbtciIyM4"",""Form Responses 1!B:B""),A181)&gt;0,10,),0)"),"")</f>
        <v/>
      </c>
      <c r="C181" s="70" t="str">
        <f>IFERROR(__xludf.DUMMYFUNCTION("IFERROR(VLOOKUP(A181,IMPORTRANGE(""11i8IUhq_U6RRKRV3CBWIKqYed_fMvFgNUHTq1YDJfp8"",""Form Responses 1!B:C""),2,FALSE),)"),"")</f>
        <v/>
      </c>
      <c r="D181" s="70" t="str">
        <f>IFERROR(__xludf.DUMMYFUNCTION("IFERROR(VLOOKUP(A181,IMPORTRANGE(""1StiHxuxrFhYdrq5WLR2JMORicW0TbnJf3J-oTHeMRtM"",""Form Responses 1!B:C""),2,FALSE),)"),"")</f>
        <v/>
      </c>
      <c r="E181" s="70" t="str">
        <f>IFERROR(__xludf.DUMMYFUNCTION("IFERROR(VLOOKUP(A181,IMPORTRANGE(""1QaxxyUjrDq2kgz300C1Bq1tacFk6e-xX218cSXCQUK0"",""Form Responses 1!B:C""),2,FALSE),)"),"")</f>
        <v/>
      </c>
      <c r="F181" s="70" t="str">
        <f>IFERROR(__xludf.DUMMYFUNCTION("IFERROR(VLOOKUP(A181,IMPORTRANGE(""1fn2ECph_y8Uz78DhjLaiXcwgt6kh3oe-0Le36Uw0noE"",""Form Responses 1!B:C""),2,FALSE),)"),"")</f>
        <v/>
      </c>
      <c r="G181" s="70"/>
      <c r="H181" s="70"/>
      <c r="I181" s="70"/>
      <c r="J181" s="70"/>
      <c r="K181" s="70"/>
      <c r="L181" s="70"/>
      <c r="M181" s="70"/>
      <c r="N181" s="70"/>
      <c r="O181" s="70"/>
      <c r="P181" s="70"/>
      <c r="Q181" s="70" t="str">
        <f>IFERROR(__xludf.DUMMYFUNCTION("IFERROR(IF(COUNTIF(IMPORTRANGE(""1WjiLR_MTMxI_IZUKuvPO4Sg2rTSIqBzP3edakSRXbOA"",""Form Responses 1!B:B""),F181)&gt;0,10,),0)"),"")</f>
        <v/>
      </c>
      <c r="R181" s="70" t="str">
        <f>IFERROR(__xludf.DUMMYFUNCTION("IFERROR(VLOOKUP(F181,IMPORTRANGE(""1Ixzbal5tEbtWhozsFEppQzOYE6ZSrkNXHg_HW5k3Wt4"",""Form Responses 1!B:C""),2,FALSE),)"),"")</f>
        <v/>
      </c>
      <c r="S181" s="70" t="str">
        <f>IFERROR(__xludf.DUMMYFUNCTION("IFERROR(VLOOKUP(F181,IMPORTRANGE(""1zxjtEKGvVIJPIDqZdnxENwVpPXYa88EihzyI44hcQUo"",""Form Responses 1!B:C""),2,FALSE),)"),"")</f>
        <v/>
      </c>
      <c r="T181" s="70" t="str">
        <f>IFERROR(__xludf.DUMMYFUNCTION("IFERROR(VLOOKUP(F181,IMPORTRANGE(""1H3cO01obd5zFULYqaT5NAqecZBFFIHeDFn4CeQLZF3w"",""Form Responses 1!B:C""),2,FALSE),)"),"")</f>
        <v/>
      </c>
      <c r="U181" s="70" t="str">
        <f>IFERROR(__xludf.DUMMYFUNCTION("IFERROR(IF(COUNTIF(IMPORTRANGE(""1IG9qoa6PeLdDDFzKpW39lxXshN0-M8Z25a_R1EpsYyg"",""Form Responses 1!B:B""),F181)&gt;0,10,),0)"),"")</f>
        <v/>
      </c>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row>
    <row r="182">
      <c r="B182" s="70" t="str">
        <f>IFERROR(__xludf.DUMMYFUNCTION("IFERROR(IF(COUNTIF(IMPORTRANGE(""1RTcwEJsI_0aJRebhNwO_H_AoKl9r46k7hWYbtciIyM4"",""Form Responses 1!B:B""),A182)&gt;0,10,),0)"),"")</f>
        <v/>
      </c>
      <c r="C182" s="70" t="str">
        <f>IFERROR(__xludf.DUMMYFUNCTION("IFERROR(VLOOKUP(A182,IMPORTRANGE(""11i8IUhq_U6RRKRV3CBWIKqYed_fMvFgNUHTq1YDJfp8"",""Form Responses 1!B:C""),2,FALSE),)"),"")</f>
        <v/>
      </c>
      <c r="D182" s="70" t="str">
        <f>IFERROR(__xludf.DUMMYFUNCTION("IFERROR(VLOOKUP(A182,IMPORTRANGE(""1StiHxuxrFhYdrq5WLR2JMORicW0TbnJf3J-oTHeMRtM"",""Form Responses 1!B:C""),2,FALSE),)"),"")</f>
        <v/>
      </c>
      <c r="E182" s="70" t="str">
        <f>IFERROR(__xludf.DUMMYFUNCTION("IFERROR(VLOOKUP(A182,IMPORTRANGE(""1QaxxyUjrDq2kgz300C1Bq1tacFk6e-xX218cSXCQUK0"",""Form Responses 1!B:C""),2,FALSE),)"),"")</f>
        <v/>
      </c>
      <c r="F182" s="70" t="str">
        <f>IFERROR(__xludf.DUMMYFUNCTION("IFERROR(VLOOKUP(A182,IMPORTRANGE(""1fn2ECph_y8Uz78DhjLaiXcwgt6kh3oe-0Le36Uw0noE"",""Form Responses 1!B:C""),2,FALSE),)"),"")</f>
        <v/>
      </c>
      <c r="G182" s="70"/>
      <c r="H182" s="70"/>
      <c r="I182" s="70"/>
      <c r="J182" s="70"/>
      <c r="K182" s="70"/>
      <c r="L182" s="70"/>
      <c r="M182" s="70"/>
      <c r="N182" s="70"/>
      <c r="O182" s="70"/>
      <c r="P182" s="70"/>
      <c r="Q182" s="70" t="str">
        <f>IFERROR(__xludf.DUMMYFUNCTION("IFERROR(IF(COUNTIF(IMPORTRANGE(""1WjiLR_MTMxI_IZUKuvPO4Sg2rTSIqBzP3edakSRXbOA"",""Form Responses 1!B:B""),F182)&gt;0,10,),0)"),"")</f>
        <v/>
      </c>
      <c r="R182" s="70" t="str">
        <f>IFERROR(__xludf.DUMMYFUNCTION("IFERROR(VLOOKUP(F182,IMPORTRANGE(""1Ixzbal5tEbtWhozsFEppQzOYE6ZSrkNXHg_HW5k3Wt4"",""Form Responses 1!B:C""),2,FALSE),)"),"")</f>
        <v/>
      </c>
      <c r="S182" s="70" t="str">
        <f>IFERROR(__xludf.DUMMYFUNCTION("IFERROR(VLOOKUP(F182,IMPORTRANGE(""1zxjtEKGvVIJPIDqZdnxENwVpPXYa88EihzyI44hcQUo"",""Form Responses 1!B:C""),2,FALSE),)"),"")</f>
        <v/>
      </c>
      <c r="T182" s="70" t="str">
        <f>IFERROR(__xludf.DUMMYFUNCTION("IFERROR(VLOOKUP(F182,IMPORTRANGE(""1H3cO01obd5zFULYqaT5NAqecZBFFIHeDFn4CeQLZF3w"",""Form Responses 1!B:C""),2,FALSE),)"),"")</f>
        <v/>
      </c>
      <c r="U182" s="70" t="str">
        <f>IFERROR(__xludf.DUMMYFUNCTION("IFERROR(IF(COUNTIF(IMPORTRANGE(""1IG9qoa6PeLdDDFzKpW39lxXshN0-M8Z25a_R1EpsYyg"",""Form Responses 1!B:B""),F182)&gt;0,10,),0)"),"")</f>
        <v/>
      </c>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row>
    <row r="183">
      <c r="B183" s="70" t="str">
        <f>IFERROR(__xludf.DUMMYFUNCTION("IFERROR(IF(COUNTIF(IMPORTRANGE(""1RTcwEJsI_0aJRebhNwO_H_AoKl9r46k7hWYbtciIyM4"",""Form Responses 1!B:B""),A183)&gt;0,10,),0)"),"")</f>
        <v/>
      </c>
      <c r="C183" s="70" t="str">
        <f>IFERROR(__xludf.DUMMYFUNCTION("IFERROR(VLOOKUP(A183,IMPORTRANGE(""11i8IUhq_U6RRKRV3CBWIKqYed_fMvFgNUHTq1YDJfp8"",""Form Responses 1!B:C""),2,FALSE),)"),"")</f>
        <v/>
      </c>
      <c r="D183" s="70" t="str">
        <f>IFERROR(__xludf.DUMMYFUNCTION("IFERROR(VLOOKUP(A183,IMPORTRANGE(""1StiHxuxrFhYdrq5WLR2JMORicW0TbnJf3J-oTHeMRtM"",""Form Responses 1!B:C""),2,FALSE),)"),"")</f>
        <v/>
      </c>
      <c r="E183" s="70" t="str">
        <f>IFERROR(__xludf.DUMMYFUNCTION("IFERROR(VLOOKUP(A183,IMPORTRANGE(""1QaxxyUjrDq2kgz300C1Bq1tacFk6e-xX218cSXCQUK0"",""Form Responses 1!B:C""),2,FALSE),)"),"")</f>
        <v/>
      </c>
      <c r="F183" s="70" t="str">
        <f>IFERROR(__xludf.DUMMYFUNCTION("IFERROR(VLOOKUP(A183,IMPORTRANGE(""1fn2ECph_y8Uz78DhjLaiXcwgt6kh3oe-0Le36Uw0noE"",""Form Responses 1!B:C""),2,FALSE),)"),"")</f>
        <v/>
      </c>
      <c r="G183" s="70"/>
      <c r="H183" s="70"/>
      <c r="I183" s="70"/>
      <c r="J183" s="70"/>
      <c r="K183" s="70"/>
      <c r="L183" s="70"/>
      <c r="M183" s="70"/>
      <c r="N183" s="70"/>
      <c r="O183" s="70"/>
      <c r="P183" s="70"/>
      <c r="Q183" s="70" t="str">
        <f>IFERROR(__xludf.DUMMYFUNCTION("IFERROR(IF(COUNTIF(IMPORTRANGE(""1WjiLR_MTMxI_IZUKuvPO4Sg2rTSIqBzP3edakSRXbOA"",""Form Responses 1!B:B""),F183)&gt;0,10,),0)"),"")</f>
        <v/>
      </c>
      <c r="R183" s="70" t="str">
        <f>IFERROR(__xludf.DUMMYFUNCTION("IFERROR(VLOOKUP(F183,IMPORTRANGE(""1Ixzbal5tEbtWhozsFEppQzOYE6ZSrkNXHg_HW5k3Wt4"",""Form Responses 1!B:C""),2,FALSE),)"),"")</f>
        <v/>
      </c>
      <c r="S183" s="70" t="str">
        <f>IFERROR(__xludf.DUMMYFUNCTION("IFERROR(VLOOKUP(F183,IMPORTRANGE(""1zxjtEKGvVIJPIDqZdnxENwVpPXYa88EihzyI44hcQUo"",""Form Responses 1!B:C""),2,FALSE),)"),"")</f>
        <v/>
      </c>
      <c r="T183" s="70" t="str">
        <f>IFERROR(__xludf.DUMMYFUNCTION("IFERROR(VLOOKUP(F183,IMPORTRANGE(""1H3cO01obd5zFULYqaT5NAqecZBFFIHeDFn4CeQLZF3w"",""Form Responses 1!B:C""),2,FALSE),)"),"")</f>
        <v/>
      </c>
      <c r="U183" s="70" t="str">
        <f>IFERROR(__xludf.DUMMYFUNCTION("IFERROR(IF(COUNTIF(IMPORTRANGE(""1IG9qoa6PeLdDDFzKpW39lxXshN0-M8Z25a_R1EpsYyg"",""Form Responses 1!B:B""),F183)&gt;0,10,),0)"),"")</f>
        <v/>
      </c>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row>
    <row r="184">
      <c r="B184" s="70" t="str">
        <f>IFERROR(__xludf.DUMMYFUNCTION("IFERROR(IF(COUNTIF(IMPORTRANGE(""1RTcwEJsI_0aJRebhNwO_H_AoKl9r46k7hWYbtciIyM4"",""Form Responses 1!B:B""),A184)&gt;0,10,),0)"),"")</f>
        <v/>
      </c>
      <c r="C184" s="70" t="str">
        <f>IFERROR(__xludf.DUMMYFUNCTION("IFERROR(VLOOKUP(A184,IMPORTRANGE(""11i8IUhq_U6RRKRV3CBWIKqYed_fMvFgNUHTq1YDJfp8"",""Form Responses 1!B:C""),2,FALSE),)"),"")</f>
        <v/>
      </c>
      <c r="D184" s="70" t="str">
        <f>IFERROR(__xludf.DUMMYFUNCTION("IFERROR(VLOOKUP(A184,IMPORTRANGE(""1StiHxuxrFhYdrq5WLR2JMORicW0TbnJf3J-oTHeMRtM"",""Form Responses 1!B:C""),2,FALSE),)"),"")</f>
        <v/>
      </c>
      <c r="E184" s="70" t="str">
        <f>IFERROR(__xludf.DUMMYFUNCTION("IFERROR(VLOOKUP(A184,IMPORTRANGE(""1QaxxyUjrDq2kgz300C1Bq1tacFk6e-xX218cSXCQUK0"",""Form Responses 1!B:C""),2,FALSE),)"),"")</f>
        <v/>
      </c>
      <c r="F184" s="70" t="str">
        <f>IFERROR(__xludf.DUMMYFUNCTION("IFERROR(VLOOKUP(A184,IMPORTRANGE(""1fn2ECph_y8Uz78DhjLaiXcwgt6kh3oe-0Le36Uw0noE"",""Form Responses 1!B:C""),2,FALSE),)"),"")</f>
        <v/>
      </c>
      <c r="G184" s="70"/>
      <c r="H184" s="70"/>
      <c r="I184" s="70"/>
      <c r="J184" s="70"/>
      <c r="K184" s="70"/>
      <c r="L184" s="70"/>
      <c r="M184" s="70"/>
      <c r="N184" s="70"/>
      <c r="O184" s="70"/>
      <c r="P184" s="70"/>
      <c r="Q184" s="70" t="str">
        <f>IFERROR(__xludf.DUMMYFUNCTION("IFERROR(IF(COUNTIF(IMPORTRANGE(""1WjiLR_MTMxI_IZUKuvPO4Sg2rTSIqBzP3edakSRXbOA"",""Form Responses 1!B:B""),F184)&gt;0,10,),0)"),"")</f>
        <v/>
      </c>
      <c r="R184" s="70" t="str">
        <f>IFERROR(__xludf.DUMMYFUNCTION("IFERROR(VLOOKUP(F184,IMPORTRANGE(""1Ixzbal5tEbtWhozsFEppQzOYE6ZSrkNXHg_HW5k3Wt4"",""Form Responses 1!B:C""),2,FALSE),)"),"")</f>
        <v/>
      </c>
      <c r="S184" s="70" t="str">
        <f>IFERROR(__xludf.DUMMYFUNCTION("IFERROR(VLOOKUP(F184,IMPORTRANGE(""1zxjtEKGvVIJPIDqZdnxENwVpPXYa88EihzyI44hcQUo"",""Form Responses 1!B:C""),2,FALSE),)"),"")</f>
        <v/>
      </c>
      <c r="T184" s="70" t="str">
        <f>IFERROR(__xludf.DUMMYFUNCTION("IFERROR(VLOOKUP(F184,IMPORTRANGE(""1H3cO01obd5zFULYqaT5NAqecZBFFIHeDFn4CeQLZF3w"",""Form Responses 1!B:C""),2,FALSE),)"),"")</f>
        <v/>
      </c>
      <c r="U184" s="70" t="str">
        <f>IFERROR(__xludf.DUMMYFUNCTION("IFERROR(IF(COUNTIF(IMPORTRANGE(""1IG9qoa6PeLdDDFzKpW39lxXshN0-M8Z25a_R1EpsYyg"",""Form Responses 1!B:B""),F184)&gt;0,10,),0)"),"")</f>
        <v/>
      </c>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row>
    <row r="185">
      <c r="B185" s="70" t="str">
        <f>IFERROR(__xludf.DUMMYFUNCTION("IFERROR(IF(COUNTIF(IMPORTRANGE(""1RTcwEJsI_0aJRebhNwO_H_AoKl9r46k7hWYbtciIyM4"",""Form Responses 1!B:B""),A185)&gt;0,10,),0)"),"")</f>
        <v/>
      </c>
      <c r="C185" s="70" t="str">
        <f>IFERROR(__xludf.DUMMYFUNCTION("IFERROR(VLOOKUP(A185,IMPORTRANGE(""11i8IUhq_U6RRKRV3CBWIKqYed_fMvFgNUHTq1YDJfp8"",""Form Responses 1!B:C""),2,FALSE),)"),"")</f>
        <v/>
      </c>
      <c r="D185" s="70" t="str">
        <f>IFERROR(__xludf.DUMMYFUNCTION("IFERROR(VLOOKUP(A185,IMPORTRANGE(""1StiHxuxrFhYdrq5WLR2JMORicW0TbnJf3J-oTHeMRtM"",""Form Responses 1!B:C""),2,FALSE),)"),"")</f>
        <v/>
      </c>
      <c r="E185" s="70" t="str">
        <f>IFERROR(__xludf.DUMMYFUNCTION("IFERROR(VLOOKUP(A185,IMPORTRANGE(""1QaxxyUjrDq2kgz300C1Bq1tacFk6e-xX218cSXCQUK0"",""Form Responses 1!B:C""),2,FALSE),)"),"")</f>
        <v/>
      </c>
      <c r="F185" s="70" t="str">
        <f>IFERROR(__xludf.DUMMYFUNCTION("IFERROR(VLOOKUP(A185,IMPORTRANGE(""1fn2ECph_y8Uz78DhjLaiXcwgt6kh3oe-0Le36Uw0noE"",""Form Responses 1!B:C""),2,FALSE),)"),"")</f>
        <v/>
      </c>
      <c r="G185" s="70"/>
      <c r="H185" s="70"/>
      <c r="I185" s="70"/>
      <c r="J185" s="70"/>
      <c r="K185" s="70"/>
      <c r="L185" s="70"/>
      <c r="M185" s="70"/>
      <c r="N185" s="70"/>
      <c r="O185" s="70"/>
      <c r="P185" s="70"/>
      <c r="Q185" s="70" t="str">
        <f>IFERROR(__xludf.DUMMYFUNCTION("IFERROR(IF(COUNTIF(IMPORTRANGE(""1WjiLR_MTMxI_IZUKuvPO4Sg2rTSIqBzP3edakSRXbOA"",""Form Responses 1!B:B""),F185)&gt;0,10,),0)"),"")</f>
        <v/>
      </c>
      <c r="R185" s="70" t="str">
        <f>IFERROR(__xludf.DUMMYFUNCTION("IFERROR(VLOOKUP(F185,IMPORTRANGE(""1Ixzbal5tEbtWhozsFEppQzOYE6ZSrkNXHg_HW5k3Wt4"",""Form Responses 1!B:C""),2,FALSE),)"),"")</f>
        <v/>
      </c>
      <c r="S185" s="70" t="str">
        <f>IFERROR(__xludf.DUMMYFUNCTION("IFERROR(VLOOKUP(F185,IMPORTRANGE(""1zxjtEKGvVIJPIDqZdnxENwVpPXYa88EihzyI44hcQUo"",""Form Responses 1!B:C""),2,FALSE),)"),"")</f>
        <v/>
      </c>
      <c r="T185" s="70" t="str">
        <f>IFERROR(__xludf.DUMMYFUNCTION("IFERROR(VLOOKUP(F185,IMPORTRANGE(""1H3cO01obd5zFULYqaT5NAqecZBFFIHeDFn4CeQLZF3w"",""Form Responses 1!B:C""),2,FALSE),)"),"")</f>
        <v/>
      </c>
      <c r="U185" s="70" t="str">
        <f>IFERROR(__xludf.DUMMYFUNCTION("IFERROR(IF(COUNTIF(IMPORTRANGE(""1IG9qoa6PeLdDDFzKpW39lxXshN0-M8Z25a_R1EpsYyg"",""Form Responses 1!B:B""),F185)&gt;0,10,),0)"),"")</f>
        <v/>
      </c>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row>
    <row r="186">
      <c r="B186" s="70" t="str">
        <f>IFERROR(__xludf.DUMMYFUNCTION("IFERROR(IF(COUNTIF(IMPORTRANGE(""1RTcwEJsI_0aJRebhNwO_H_AoKl9r46k7hWYbtciIyM4"",""Form Responses 1!B:B""),A186)&gt;0,10,),0)"),"")</f>
        <v/>
      </c>
      <c r="C186" s="70" t="str">
        <f>IFERROR(__xludf.DUMMYFUNCTION("IFERROR(VLOOKUP(A186,IMPORTRANGE(""11i8IUhq_U6RRKRV3CBWIKqYed_fMvFgNUHTq1YDJfp8"",""Form Responses 1!B:C""),2,FALSE),)"),"")</f>
        <v/>
      </c>
      <c r="D186" s="70" t="str">
        <f>IFERROR(__xludf.DUMMYFUNCTION("IFERROR(VLOOKUP(A186,IMPORTRANGE(""1StiHxuxrFhYdrq5WLR2JMORicW0TbnJf3J-oTHeMRtM"",""Form Responses 1!B:C""),2,FALSE),)"),"")</f>
        <v/>
      </c>
      <c r="E186" s="70" t="str">
        <f>IFERROR(__xludf.DUMMYFUNCTION("IFERROR(VLOOKUP(A186,IMPORTRANGE(""1QaxxyUjrDq2kgz300C1Bq1tacFk6e-xX218cSXCQUK0"",""Form Responses 1!B:C""),2,FALSE),)"),"")</f>
        <v/>
      </c>
      <c r="F186" s="70" t="str">
        <f>IFERROR(__xludf.DUMMYFUNCTION("IFERROR(VLOOKUP(A186,IMPORTRANGE(""1fn2ECph_y8Uz78DhjLaiXcwgt6kh3oe-0Le36Uw0noE"",""Form Responses 1!B:C""),2,FALSE),)"),"")</f>
        <v/>
      </c>
      <c r="G186" s="70"/>
      <c r="H186" s="70"/>
      <c r="I186" s="70"/>
      <c r="J186" s="70"/>
      <c r="K186" s="70"/>
      <c r="L186" s="70"/>
      <c r="M186" s="70"/>
      <c r="N186" s="70"/>
      <c r="O186" s="70"/>
      <c r="P186" s="70"/>
      <c r="Q186" s="70" t="str">
        <f>IFERROR(__xludf.DUMMYFUNCTION("IFERROR(IF(COUNTIF(IMPORTRANGE(""1WjiLR_MTMxI_IZUKuvPO4Sg2rTSIqBzP3edakSRXbOA"",""Form Responses 1!B:B""),F186)&gt;0,10,),0)"),"")</f>
        <v/>
      </c>
      <c r="R186" s="70" t="str">
        <f>IFERROR(__xludf.DUMMYFUNCTION("IFERROR(VLOOKUP(F186,IMPORTRANGE(""1Ixzbal5tEbtWhozsFEppQzOYE6ZSrkNXHg_HW5k3Wt4"",""Form Responses 1!B:C""),2,FALSE),)"),"")</f>
        <v/>
      </c>
      <c r="S186" s="70" t="str">
        <f>IFERROR(__xludf.DUMMYFUNCTION("IFERROR(VLOOKUP(F186,IMPORTRANGE(""1zxjtEKGvVIJPIDqZdnxENwVpPXYa88EihzyI44hcQUo"",""Form Responses 1!B:C""),2,FALSE),)"),"")</f>
        <v/>
      </c>
      <c r="T186" s="70" t="str">
        <f>IFERROR(__xludf.DUMMYFUNCTION("IFERROR(VLOOKUP(F186,IMPORTRANGE(""1H3cO01obd5zFULYqaT5NAqecZBFFIHeDFn4CeQLZF3w"",""Form Responses 1!B:C""),2,FALSE),)"),"")</f>
        <v/>
      </c>
      <c r="U186" s="70" t="str">
        <f>IFERROR(__xludf.DUMMYFUNCTION("IFERROR(IF(COUNTIF(IMPORTRANGE(""1IG9qoa6PeLdDDFzKpW39lxXshN0-M8Z25a_R1EpsYyg"",""Form Responses 1!B:B""),F186)&gt;0,10,),0)"),"")</f>
        <v/>
      </c>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row>
    <row r="187">
      <c r="B187" s="70" t="str">
        <f>IFERROR(__xludf.DUMMYFUNCTION("IFERROR(IF(COUNTIF(IMPORTRANGE(""1RTcwEJsI_0aJRebhNwO_H_AoKl9r46k7hWYbtciIyM4"",""Form Responses 1!B:B""),A187)&gt;0,10,),0)"),"")</f>
        <v/>
      </c>
      <c r="C187" s="70" t="str">
        <f>IFERROR(__xludf.DUMMYFUNCTION("IFERROR(VLOOKUP(A187,IMPORTRANGE(""11i8IUhq_U6RRKRV3CBWIKqYed_fMvFgNUHTq1YDJfp8"",""Form Responses 1!B:C""),2,FALSE),)"),"")</f>
        <v/>
      </c>
      <c r="D187" s="70" t="str">
        <f>IFERROR(__xludf.DUMMYFUNCTION("IFERROR(VLOOKUP(A187,IMPORTRANGE(""1StiHxuxrFhYdrq5WLR2JMORicW0TbnJf3J-oTHeMRtM"",""Form Responses 1!B:C""),2,FALSE),)"),"")</f>
        <v/>
      </c>
      <c r="E187" s="70" t="str">
        <f>IFERROR(__xludf.DUMMYFUNCTION("IFERROR(VLOOKUP(A187,IMPORTRANGE(""1QaxxyUjrDq2kgz300C1Bq1tacFk6e-xX218cSXCQUK0"",""Form Responses 1!B:C""),2,FALSE),)"),"")</f>
        <v/>
      </c>
      <c r="F187" s="70" t="str">
        <f>IFERROR(__xludf.DUMMYFUNCTION("IFERROR(VLOOKUP(A187,IMPORTRANGE(""1fn2ECph_y8Uz78DhjLaiXcwgt6kh3oe-0Le36Uw0noE"",""Form Responses 1!B:C""),2,FALSE),)"),"")</f>
        <v/>
      </c>
      <c r="G187" s="70"/>
      <c r="H187" s="70"/>
      <c r="I187" s="70"/>
      <c r="J187" s="70"/>
      <c r="K187" s="70"/>
      <c r="L187" s="70"/>
      <c r="M187" s="70"/>
      <c r="N187" s="70"/>
      <c r="O187" s="70"/>
      <c r="P187" s="70"/>
      <c r="Q187" s="70" t="str">
        <f>IFERROR(__xludf.DUMMYFUNCTION("IFERROR(IF(COUNTIF(IMPORTRANGE(""1WjiLR_MTMxI_IZUKuvPO4Sg2rTSIqBzP3edakSRXbOA"",""Form Responses 1!B:B""),F187)&gt;0,10,),0)"),"")</f>
        <v/>
      </c>
      <c r="R187" s="70" t="str">
        <f>IFERROR(__xludf.DUMMYFUNCTION("IFERROR(VLOOKUP(F187,IMPORTRANGE(""1Ixzbal5tEbtWhozsFEppQzOYE6ZSrkNXHg_HW5k3Wt4"",""Form Responses 1!B:C""),2,FALSE),)"),"")</f>
        <v/>
      </c>
      <c r="S187" s="70" t="str">
        <f>IFERROR(__xludf.DUMMYFUNCTION("IFERROR(VLOOKUP(F187,IMPORTRANGE(""1zxjtEKGvVIJPIDqZdnxENwVpPXYa88EihzyI44hcQUo"",""Form Responses 1!B:C""),2,FALSE),)"),"")</f>
        <v/>
      </c>
      <c r="T187" s="70" t="str">
        <f>IFERROR(__xludf.DUMMYFUNCTION("IFERROR(VLOOKUP(F187,IMPORTRANGE(""1H3cO01obd5zFULYqaT5NAqecZBFFIHeDFn4CeQLZF3w"",""Form Responses 1!B:C""),2,FALSE),)"),"")</f>
        <v/>
      </c>
      <c r="U187" s="70" t="str">
        <f>IFERROR(__xludf.DUMMYFUNCTION("IFERROR(IF(COUNTIF(IMPORTRANGE(""1IG9qoa6PeLdDDFzKpW39lxXshN0-M8Z25a_R1EpsYyg"",""Form Responses 1!B:B""),F187)&gt;0,10,),0)"),"")</f>
        <v/>
      </c>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row>
    <row r="188">
      <c r="B188" s="70" t="str">
        <f>IFERROR(__xludf.DUMMYFUNCTION("IFERROR(IF(COUNTIF(IMPORTRANGE(""1RTcwEJsI_0aJRebhNwO_H_AoKl9r46k7hWYbtciIyM4"",""Form Responses 1!B:B""),A188)&gt;0,10,),0)"),"")</f>
        <v/>
      </c>
      <c r="C188" s="70" t="str">
        <f>IFERROR(__xludf.DUMMYFUNCTION("IFERROR(VLOOKUP(A188,IMPORTRANGE(""11i8IUhq_U6RRKRV3CBWIKqYed_fMvFgNUHTq1YDJfp8"",""Form Responses 1!B:C""),2,FALSE),)"),"")</f>
        <v/>
      </c>
      <c r="D188" s="70" t="str">
        <f>IFERROR(__xludf.DUMMYFUNCTION("IFERROR(VLOOKUP(A188,IMPORTRANGE(""1StiHxuxrFhYdrq5WLR2JMORicW0TbnJf3J-oTHeMRtM"",""Form Responses 1!B:C""),2,FALSE),)"),"")</f>
        <v/>
      </c>
      <c r="E188" s="70" t="str">
        <f>IFERROR(__xludf.DUMMYFUNCTION("IFERROR(VLOOKUP(A188,IMPORTRANGE(""1QaxxyUjrDq2kgz300C1Bq1tacFk6e-xX218cSXCQUK0"",""Form Responses 1!B:C""),2,FALSE),)"),"")</f>
        <v/>
      </c>
      <c r="F188" s="70" t="str">
        <f>IFERROR(__xludf.DUMMYFUNCTION("IFERROR(VLOOKUP(A188,IMPORTRANGE(""1fn2ECph_y8Uz78DhjLaiXcwgt6kh3oe-0Le36Uw0noE"",""Form Responses 1!B:C""),2,FALSE),)"),"")</f>
        <v/>
      </c>
      <c r="G188" s="70"/>
      <c r="H188" s="70"/>
      <c r="I188" s="70"/>
      <c r="J188" s="70"/>
      <c r="K188" s="70"/>
      <c r="L188" s="70"/>
      <c r="M188" s="70"/>
      <c r="N188" s="70"/>
      <c r="O188" s="70"/>
      <c r="P188" s="70"/>
      <c r="Q188" s="70" t="str">
        <f>IFERROR(__xludf.DUMMYFUNCTION("IFERROR(IF(COUNTIF(IMPORTRANGE(""1WjiLR_MTMxI_IZUKuvPO4Sg2rTSIqBzP3edakSRXbOA"",""Form Responses 1!B:B""),F188)&gt;0,10,),0)"),"")</f>
        <v/>
      </c>
      <c r="R188" s="70" t="str">
        <f>IFERROR(__xludf.DUMMYFUNCTION("IFERROR(VLOOKUP(F188,IMPORTRANGE(""1Ixzbal5tEbtWhozsFEppQzOYE6ZSrkNXHg_HW5k3Wt4"",""Form Responses 1!B:C""),2,FALSE),)"),"")</f>
        <v/>
      </c>
      <c r="S188" s="70" t="str">
        <f>IFERROR(__xludf.DUMMYFUNCTION("IFERROR(VLOOKUP(F188,IMPORTRANGE(""1zxjtEKGvVIJPIDqZdnxENwVpPXYa88EihzyI44hcQUo"",""Form Responses 1!B:C""),2,FALSE),)"),"")</f>
        <v/>
      </c>
      <c r="T188" s="70" t="str">
        <f>IFERROR(__xludf.DUMMYFUNCTION("IFERROR(VLOOKUP(F188,IMPORTRANGE(""1H3cO01obd5zFULYqaT5NAqecZBFFIHeDFn4CeQLZF3w"",""Form Responses 1!B:C""),2,FALSE),)"),"")</f>
        <v/>
      </c>
      <c r="U188" s="70" t="str">
        <f>IFERROR(__xludf.DUMMYFUNCTION("IFERROR(IF(COUNTIF(IMPORTRANGE(""1IG9qoa6PeLdDDFzKpW39lxXshN0-M8Z25a_R1EpsYyg"",""Form Responses 1!B:B""),F188)&gt;0,10,),0)"),"")</f>
        <v/>
      </c>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row>
    <row r="189">
      <c r="B189" s="70" t="str">
        <f>IFERROR(__xludf.DUMMYFUNCTION("IFERROR(IF(COUNTIF(IMPORTRANGE(""1RTcwEJsI_0aJRebhNwO_H_AoKl9r46k7hWYbtciIyM4"",""Form Responses 1!B:B""),A189)&gt;0,10,),0)"),"")</f>
        <v/>
      </c>
      <c r="C189" s="70" t="str">
        <f>IFERROR(__xludf.DUMMYFUNCTION("IFERROR(VLOOKUP(A189,IMPORTRANGE(""11i8IUhq_U6RRKRV3CBWIKqYed_fMvFgNUHTq1YDJfp8"",""Form Responses 1!B:C""),2,FALSE),)"),"")</f>
        <v/>
      </c>
      <c r="D189" s="70" t="str">
        <f>IFERROR(__xludf.DUMMYFUNCTION("IFERROR(VLOOKUP(A189,IMPORTRANGE(""1StiHxuxrFhYdrq5WLR2JMORicW0TbnJf3J-oTHeMRtM"",""Form Responses 1!B:C""),2,FALSE),)"),"")</f>
        <v/>
      </c>
      <c r="E189" s="70" t="str">
        <f>IFERROR(__xludf.DUMMYFUNCTION("IFERROR(VLOOKUP(A189,IMPORTRANGE(""1QaxxyUjrDq2kgz300C1Bq1tacFk6e-xX218cSXCQUK0"",""Form Responses 1!B:C""),2,FALSE),)"),"")</f>
        <v/>
      </c>
      <c r="F189" s="70" t="str">
        <f>IFERROR(__xludf.DUMMYFUNCTION("IFERROR(VLOOKUP(A189,IMPORTRANGE(""1fn2ECph_y8Uz78DhjLaiXcwgt6kh3oe-0Le36Uw0noE"",""Form Responses 1!B:C""),2,FALSE),)"),"")</f>
        <v/>
      </c>
      <c r="G189" s="70"/>
      <c r="H189" s="70"/>
      <c r="I189" s="70"/>
      <c r="J189" s="70"/>
      <c r="K189" s="70"/>
      <c r="L189" s="70"/>
      <c r="M189" s="70"/>
      <c r="N189" s="70"/>
      <c r="O189" s="70"/>
      <c r="P189" s="70"/>
      <c r="Q189" s="70" t="str">
        <f>IFERROR(__xludf.DUMMYFUNCTION("IFERROR(IF(COUNTIF(IMPORTRANGE(""1WjiLR_MTMxI_IZUKuvPO4Sg2rTSIqBzP3edakSRXbOA"",""Form Responses 1!B:B""),F189)&gt;0,10,),0)"),"")</f>
        <v/>
      </c>
      <c r="R189" s="70" t="str">
        <f>IFERROR(__xludf.DUMMYFUNCTION("IFERROR(VLOOKUP(F189,IMPORTRANGE(""1Ixzbal5tEbtWhozsFEppQzOYE6ZSrkNXHg_HW5k3Wt4"",""Form Responses 1!B:C""),2,FALSE),)"),"")</f>
        <v/>
      </c>
      <c r="S189" s="70" t="str">
        <f>IFERROR(__xludf.DUMMYFUNCTION("IFERROR(VLOOKUP(F189,IMPORTRANGE(""1zxjtEKGvVIJPIDqZdnxENwVpPXYa88EihzyI44hcQUo"",""Form Responses 1!B:C""),2,FALSE),)"),"")</f>
        <v/>
      </c>
      <c r="T189" s="70" t="str">
        <f>IFERROR(__xludf.DUMMYFUNCTION("IFERROR(VLOOKUP(F189,IMPORTRANGE(""1H3cO01obd5zFULYqaT5NAqecZBFFIHeDFn4CeQLZF3w"",""Form Responses 1!B:C""),2,FALSE),)"),"")</f>
        <v/>
      </c>
      <c r="U189" s="70" t="str">
        <f>IFERROR(__xludf.DUMMYFUNCTION("IFERROR(IF(COUNTIF(IMPORTRANGE(""1IG9qoa6PeLdDDFzKpW39lxXshN0-M8Z25a_R1EpsYyg"",""Form Responses 1!B:B""),F189)&gt;0,10,),0)"),"")</f>
        <v/>
      </c>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row>
    <row r="190">
      <c r="B190" s="70" t="str">
        <f>IFERROR(__xludf.DUMMYFUNCTION("IFERROR(IF(COUNTIF(IMPORTRANGE(""1RTcwEJsI_0aJRebhNwO_H_AoKl9r46k7hWYbtciIyM4"",""Form Responses 1!B:B""),A190)&gt;0,10,),0)"),"")</f>
        <v/>
      </c>
      <c r="C190" s="70" t="str">
        <f>IFERROR(__xludf.DUMMYFUNCTION("IFERROR(VLOOKUP(A190,IMPORTRANGE(""11i8IUhq_U6RRKRV3CBWIKqYed_fMvFgNUHTq1YDJfp8"",""Form Responses 1!B:C""),2,FALSE),)"),"")</f>
        <v/>
      </c>
      <c r="D190" s="70" t="str">
        <f>IFERROR(__xludf.DUMMYFUNCTION("IFERROR(VLOOKUP(A190,IMPORTRANGE(""1StiHxuxrFhYdrq5WLR2JMORicW0TbnJf3J-oTHeMRtM"",""Form Responses 1!B:C""),2,FALSE),)"),"")</f>
        <v/>
      </c>
      <c r="E190" s="70" t="str">
        <f>IFERROR(__xludf.DUMMYFUNCTION("IFERROR(VLOOKUP(A190,IMPORTRANGE(""1QaxxyUjrDq2kgz300C1Bq1tacFk6e-xX218cSXCQUK0"",""Form Responses 1!B:C""),2,FALSE),)"),"")</f>
        <v/>
      </c>
      <c r="F190" s="70" t="str">
        <f>IFERROR(__xludf.DUMMYFUNCTION("IFERROR(VLOOKUP(A190,IMPORTRANGE(""1fn2ECph_y8Uz78DhjLaiXcwgt6kh3oe-0Le36Uw0noE"",""Form Responses 1!B:C""),2,FALSE),)"),"")</f>
        <v/>
      </c>
      <c r="G190" s="70"/>
      <c r="H190" s="70"/>
      <c r="I190" s="70"/>
      <c r="J190" s="70"/>
      <c r="K190" s="70"/>
      <c r="L190" s="70"/>
      <c r="M190" s="70"/>
      <c r="N190" s="70"/>
      <c r="O190" s="70"/>
      <c r="P190" s="70"/>
      <c r="Q190" s="70" t="str">
        <f>IFERROR(__xludf.DUMMYFUNCTION("IFERROR(IF(COUNTIF(IMPORTRANGE(""1WjiLR_MTMxI_IZUKuvPO4Sg2rTSIqBzP3edakSRXbOA"",""Form Responses 1!B:B""),F190)&gt;0,10,),0)"),"")</f>
        <v/>
      </c>
      <c r="R190" s="70" t="str">
        <f>IFERROR(__xludf.DUMMYFUNCTION("IFERROR(VLOOKUP(F190,IMPORTRANGE(""1Ixzbal5tEbtWhozsFEppQzOYE6ZSrkNXHg_HW5k3Wt4"",""Form Responses 1!B:C""),2,FALSE),)"),"")</f>
        <v/>
      </c>
      <c r="S190" s="70" t="str">
        <f>IFERROR(__xludf.DUMMYFUNCTION("IFERROR(VLOOKUP(F190,IMPORTRANGE(""1zxjtEKGvVIJPIDqZdnxENwVpPXYa88EihzyI44hcQUo"",""Form Responses 1!B:C""),2,FALSE),)"),"")</f>
        <v/>
      </c>
      <c r="T190" s="70" t="str">
        <f>IFERROR(__xludf.DUMMYFUNCTION("IFERROR(VLOOKUP(F190,IMPORTRANGE(""1H3cO01obd5zFULYqaT5NAqecZBFFIHeDFn4CeQLZF3w"",""Form Responses 1!B:C""),2,FALSE),)"),"")</f>
        <v/>
      </c>
      <c r="U190" s="70" t="str">
        <f>IFERROR(__xludf.DUMMYFUNCTION("IFERROR(IF(COUNTIF(IMPORTRANGE(""1IG9qoa6PeLdDDFzKpW39lxXshN0-M8Z25a_R1EpsYyg"",""Form Responses 1!B:B""),F190)&gt;0,10,),0)"),"")</f>
        <v/>
      </c>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row>
    <row r="191">
      <c r="B191" s="70" t="str">
        <f>IFERROR(__xludf.DUMMYFUNCTION("IFERROR(IF(COUNTIF(IMPORTRANGE(""1RTcwEJsI_0aJRebhNwO_H_AoKl9r46k7hWYbtciIyM4"",""Form Responses 1!B:B""),A191)&gt;0,10,),0)"),"")</f>
        <v/>
      </c>
      <c r="C191" s="70" t="str">
        <f>IFERROR(__xludf.DUMMYFUNCTION("IFERROR(VLOOKUP(A191,IMPORTRANGE(""11i8IUhq_U6RRKRV3CBWIKqYed_fMvFgNUHTq1YDJfp8"",""Form Responses 1!B:C""),2,FALSE),)"),"")</f>
        <v/>
      </c>
      <c r="D191" s="70" t="str">
        <f>IFERROR(__xludf.DUMMYFUNCTION("IFERROR(VLOOKUP(A191,IMPORTRANGE(""1StiHxuxrFhYdrq5WLR2JMORicW0TbnJf3J-oTHeMRtM"",""Form Responses 1!B:C""),2,FALSE),)"),"")</f>
        <v/>
      </c>
      <c r="E191" s="70" t="str">
        <f>IFERROR(__xludf.DUMMYFUNCTION("IFERROR(VLOOKUP(A191,IMPORTRANGE(""1QaxxyUjrDq2kgz300C1Bq1tacFk6e-xX218cSXCQUK0"",""Form Responses 1!B:C""),2,FALSE),)"),"")</f>
        <v/>
      </c>
      <c r="F191" s="70" t="str">
        <f>IFERROR(__xludf.DUMMYFUNCTION("IFERROR(VLOOKUP(A191,IMPORTRANGE(""1fn2ECph_y8Uz78DhjLaiXcwgt6kh3oe-0Le36Uw0noE"",""Form Responses 1!B:C""),2,FALSE),)"),"")</f>
        <v/>
      </c>
      <c r="G191" s="70"/>
      <c r="H191" s="70"/>
      <c r="I191" s="70"/>
      <c r="J191" s="70"/>
      <c r="K191" s="70"/>
      <c r="L191" s="70"/>
      <c r="M191" s="70"/>
      <c r="N191" s="70"/>
      <c r="O191" s="70"/>
      <c r="P191" s="70"/>
      <c r="Q191" s="70" t="str">
        <f>IFERROR(__xludf.DUMMYFUNCTION("IFERROR(IF(COUNTIF(IMPORTRANGE(""1WjiLR_MTMxI_IZUKuvPO4Sg2rTSIqBzP3edakSRXbOA"",""Form Responses 1!B:B""),F191)&gt;0,10,),0)"),"")</f>
        <v/>
      </c>
      <c r="R191" s="70" t="str">
        <f>IFERROR(__xludf.DUMMYFUNCTION("IFERROR(VLOOKUP(F191,IMPORTRANGE(""1Ixzbal5tEbtWhozsFEppQzOYE6ZSrkNXHg_HW5k3Wt4"",""Form Responses 1!B:C""),2,FALSE),)"),"")</f>
        <v/>
      </c>
      <c r="S191" s="70" t="str">
        <f>IFERROR(__xludf.DUMMYFUNCTION("IFERROR(VLOOKUP(F191,IMPORTRANGE(""1zxjtEKGvVIJPIDqZdnxENwVpPXYa88EihzyI44hcQUo"",""Form Responses 1!B:C""),2,FALSE),)"),"")</f>
        <v/>
      </c>
      <c r="T191" s="70" t="str">
        <f>IFERROR(__xludf.DUMMYFUNCTION("IFERROR(VLOOKUP(F191,IMPORTRANGE(""1H3cO01obd5zFULYqaT5NAqecZBFFIHeDFn4CeQLZF3w"",""Form Responses 1!B:C""),2,FALSE),)"),"")</f>
        <v/>
      </c>
      <c r="U191" s="70" t="str">
        <f>IFERROR(__xludf.DUMMYFUNCTION("IFERROR(IF(COUNTIF(IMPORTRANGE(""1IG9qoa6PeLdDDFzKpW39lxXshN0-M8Z25a_R1EpsYyg"",""Form Responses 1!B:B""),F191)&gt;0,10,),0)"),"")</f>
        <v/>
      </c>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row>
    <row r="192">
      <c r="B192" s="70" t="str">
        <f>IFERROR(__xludf.DUMMYFUNCTION("IFERROR(IF(COUNTIF(IMPORTRANGE(""1RTcwEJsI_0aJRebhNwO_H_AoKl9r46k7hWYbtciIyM4"",""Form Responses 1!B:B""),A192)&gt;0,10,),0)"),"")</f>
        <v/>
      </c>
      <c r="C192" s="70" t="str">
        <f>IFERROR(__xludf.DUMMYFUNCTION("IFERROR(VLOOKUP(A192,IMPORTRANGE(""11i8IUhq_U6RRKRV3CBWIKqYed_fMvFgNUHTq1YDJfp8"",""Form Responses 1!B:C""),2,FALSE),)"),"")</f>
        <v/>
      </c>
      <c r="D192" s="70" t="str">
        <f>IFERROR(__xludf.DUMMYFUNCTION("IFERROR(VLOOKUP(A192,IMPORTRANGE(""1StiHxuxrFhYdrq5WLR2JMORicW0TbnJf3J-oTHeMRtM"",""Form Responses 1!B:C""),2,FALSE),)"),"")</f>
        <v/>
      </c>
      <c r="E192" s="70" t="str">
        <f>IFERROR(__xludf.DUMMYFUNCTION("IFERROR(VLOOKUP(A192,IMPORTRANGE(""1QaxxyUjrDq2kgz300C1Bq1tacFk6e-xX218cSXCQUK0"",""Form Responses 1!B:C""),2,FALSE),)"),"")</f>
        <v/>
      </c>
      <c r="F192" s="70" t="str">
        <f>IFERROR(__xludf.DUMMYFUNCTION("IFERROR(VLOOKUP(A192,IMPORTRANGE(""1fn2ECph_y8Uz78DhjLaiXcwgt6kh3oe-0Le36Uw0noE"",""Form Responses 1!B:C""),2,FALSE),)"),"")</f>
        <v/>
      </c>
      <c r="G192" s="70"/>
      <c r="H192" s="70"/>
      <c r="I192" s="70"/>
      <c r="J192" s="70"/>
      <c r="K192" s="70"/>
      <c r="L192" s="70"/>
      <c r="M192" s="70"/>
      <c r="N192" s="70"/>
      <c r="O192" s="70"/>
      <c r="P192" s="70"/>
      <c r="Q192" s="70" t="str">
        <f>IFERROR(__xludf.DUMMYFUNCTION("IFERROR(IF(COUNTIF(IMPORTRANGE(""1WjiLR_MTMxI_IZUKuvPO4Sg2rTSIqBzP3edakSRXbOA"",""Form Responses 1!B:B""),F192)&gt;0,10,),0)"),"")</f>
        <v/>
      </c>
      <c r="R192" s="70" t="str">
        <f>IFERROR(__xludf.DUMMYFUNCTION("IFERROR(VLOOKUP(F192,IMPORTRANGE(""1Ixzbal5tEbtWhozsFEppQzOYE6ZSrkNXHg_HW5k3Wt4"",""Form Responses 1!B:C""),2,FALSE),)"),"")</f>
        <v/>
      </c>
      <c r="S192" s="70" t="str">
        <f>IFERROR(__xludf.DUMMYFUNCTION("IFERROR(VLOOKUP(F192,IMPORTRANGE(""1zxjtEKGvVIJPIDqZdnxENwVpPXYa88EihzyI44hcQUo"",""Form Responses 1!B:C""),2,FALSE),)"),"")</f>
        <v/>
      </c>
      <c r="T192" s="70" t="str">
        <f>IFERROR(__xludf.DUMMYFUNCTION("IFERROR(VLOOKUP(F192,IMPORTRANGE(""1H3cO01obd5zFULYqaT5NAqecZBFFIHeDFn4CeQLZF3w"",""Form Responses 1!B:C""),2,FALSE),)"),"")</f>
        <v/>
      </c>
      <c r="U192" s="70" t="str">
        <f>IFERROR(__xludf.DUMMYFUNCTION("IFERROR(IF(COUNTIF(IMPORTRANGE(""1IG9qoa6PeLdDDFzKpW39lxXshN0-M8Z25a_R1EpsYyg"",""Form Responses 1!B:B""),F192)&gt;0,10,),0)"),"")</f>
        <v/>
      </c>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row>
    <row r="193">
      <c r="B193" s="70" t="str">
        <f>IFERROR(__xludf.DUMMYFUNCTION("IFERROR(IF(COUNTIF(IMPORTRANGE(""1RTcwEJsI_0aJRebhNwO_H_AoKl9r46k7hWYbtciIyM4"",""Form Responses 1!B:B""),A193)&gt;0,10,),0)"),"")</f>
        <v/>
      </c>
      <c r="C193" s="70" t="str">
        <f>IFERROR(__xludf.DUMMYFUNCTION("IFERROR(VLOOKUP(A193,IMPORTRANGE(""11i8IUhq_U6RRKRV3CBWIKqYed_fMvFgNUHTq1YDJfp8"",""Form Responses 1!B:C""),2,FALSE),)"),"")</f>
        <v/>
      </c>
      <c r="D193" s="70" t="str">
        <f>IFERROR(__xludf.DUMMYFUNCTION("IFERROR(VLOOKUP(A193,IMPORTRANGE(""1StiHxuxrFhYdrq5WLR2JMORicW0TbnJf3J-oTHeMRtM"",""Form Responses 1!B:C""),2,FALSE),)"),"")</f>
        <v/>
      </c>
      <c r="E193" s="70" t="str">
        <f>IFERROR(__xludf.DUMMYFUNCTION("IFERROR(VLOOKUP(A193,IMPORTRANGE(""1QaxxyUjrDq2kgz300C1Bq1tacFk6e-xX218cSXCQUK0"",""Form Responses 1!B:C""),2,FALSE),)"),"")</f>
        <v/>
      </c>
      <c r="F193" s="70" t="str">
        <f>IFERROR(__xludf.DUMMYFUNCTION("IFERROR(VLOOKUP(A193,IMPORTRANGE(""1fn2ECph_y8Uz78DhjLaiXcwgt6kh3oe-0Le36Uw0noE"",""Form Responses 1!B:C""),2,FALSE),)"),"")</f>
        <v/>
      </c>
      <c r="G193" s="70"/>
      <c r="H193" s="70"/>
      <c r="I193" s="70"/>
      <c r="J193" s="70"/>
      <c r="K193" s="70"/>
      <c r="L193" s="70"/>
      <c r="M193" s="70"/>
      <c r="N193" s="70"/>
      <c r="O193" s="70"/>
      <c r="P193" s="70"/>
      <c r="Q193" s="70" t="str">
        <f>IFERROR(__xludf.DUMMYFUNCTION("IFERROR(IF(COUNTIF(IMPORTRANGE(""1WjiLR_MTMxI_IZUKuvPO4Sg2rTSIqBzP3edakSRXbOA"",""Form Responses 1!B:B""),F193)&gt;0,10,),0)"),"")</f>
        <v/>
      </c>
      <c r="R193" s="70" t="str">
        <f>IFERROR(__xludf.DUMMYFUNCTION("IFERROR(VLOOKUP(F193,IMPORTRANGE(""1Ixzbal5tEbtWhozsFEppQzOYE6ZSrkNXHg_HW5k3Wt4"",""Form Responses 1!B:C""),2,FALSE),)"),"")</f>
        <v/>
      </c>
      <c r="S193" s="70" t="str">
        <f>IFERROR(__xludf.DUMMYFUNCTION("IFERROR(VLOOKUP(F193,IMPORTRANGE(""1zxjtEKGvVIJPIDqZdnxENwVpPXYa88EihzyI44hcQUo"",""Form Responses 1!B:C""),2,FALSE),)"),"")</f>
        <v/>
      </c>
      <c r="T193" s="70" t="str">
        <f>IFERROR(__xludf.DUMMYFUNCTION("IFERROR(VLOOKUP(F193,IMPORTRANGE(""1H3cO01obd5zFULYqaT5NAqecZBFFIHeDFn4CeQLZF3w"",""Form Responses 1!B:C""),2,FALSE),)"),"")</f>
        <v/>
      </c>
      <c r="U193" s="70" t="str">
        <f>IFERROR(__xludf.DUMMYFUNCTION("IFERROR(IF(COUNTIF(IMPORTRANGE(""1IG9qoa6PeLdDDFzKpW39lxXshN0-M8Z25a_R1EpsYyg"",""Form Responses 1!B:B""),F193)&gt;0,10,),0)"),"")</f>
        <v/>
      </c>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row>
    <row r="194">
      <c r="B194" s="70" t="str">
        <f>IFERROR(__xludf.DUMMYFUNCTION("IFERROR(IF(COUNTIF(IMPORTRANGE(""1RTcwEJsI_0aJRebhNwO_H_AoKl9r46k7hWYbtciIyM4"",""Form Responses 1!B:B""),A194)&gt;0,10,),0)"),"")</f>
        <v/>
      </c>
      <c r="C194" s="70" t="str">
        <f>IFERROR(__xludf.DUMMYFUNCTION("IFERROR(VLOOKUP(A194,IMPORTRANGE(""11i8IUhq_U6RRKRV3CBWIKqYed_fMvFgNUHTq1YDJfp8"",""Form Responses 1!B:C""),2,FALSE),)"),"")</f>
        <v/>
      </c>
      <c r="D194" s="70" t="str">
        <f>IFERROR(__xludf.DUMMYFUNCTION("IFERROR(VLOOKUP(A194,IMPORTRANGE(""1StiHxuxrFhYdrq5WLR2JMORicW0TbnJf3J-oTHeMRtM"",""Form Responses 1!B:C""),2,FALSE),)"),"")</f>
        <v/>
      </c>
      <c r="E194" s="70" t="str">
        <f>IFERROR(__xludf.DUMMYFUNCTION("IFERROR(VLOOKUP(A194,IMPORTRANGE(""1QaxxyUjrDq2kgz300C1Bq1tacFk6e-xX218cSXCQUK0"",""Form Responses 1!B:C""),2,FALSE),)"),"")</f>
        <v/>
      </c>
      <c r="F194" s="70" t="str">
        <f>IFERROR(__xludf.DUMMYFUNCTION("IFERROR(VLOOKUP(A194,IMPORTRANGE(""1fn2ECph_y8Uz78DhjLaiXcwgt6kh3oe-0Le36Uw0noE"",""Form Responses 1!B:C""),2,FALSE),)"),"")</f>
        <v/>
      </c>
      <c r="G194" s="70"/>
      <c r="H194" s="70"/>
      <c r="I194" s="70"/>
      <c r="J194" s="70"/>
      <c r="K194" s="70"/>
      <c r="L194" s="70"/>
      <c r="M194" s="70"/>
      <c r="N194" s="70"/>
      <c r="O194" s="70"/>
      <c r="P194" s="70"/>
      <c r="Q194" s="70" t="str">
        <f>IFERROR(__xludf.DUMMYFUNCTION("IFERROR(IF(COUNTIF(IMPORTRANGE(""1WjiLR_MTMxI_IZUKuvPO4Sg2rTSIqBzP3edakSRXbOA"",""Form Responses 1!B:B""),F194)&gt;0,10,),0)"),"")</f>
        <v/>
      </c>
      <c r="R194" s="70" t="str">
        <f>IFERROR(__xludf.DUMMYFUNCTION("IFERROR(VLOOKUP(F194,IMPORTRANGE(""1Ixzbal5tEbtWhozsFEppQzOYE6ZSrkNXHg_HW5k3Wt4"",""Form Responses 1!B:C""),2,FALSE),)"),"")</f>
        <v/>
      </c>
      <c r="S194" s="70" t="str">
        <f>IFERROR(__xludf.DUMMYFUNCTION("IFERROR(VLOOKUP(F194,IMPORTRANGE(""1zxjtEKGvVIJPIDqZdnxENwVpPXYa88EihzyI44hcQUo"",""Form Responses 1!B:C""),2,FALSE),)"),"")</f>
        <v/>
      </c>
      <c r="T194" s="70" t="str">
        <f>IFERROR(__xludf.DUMMYFUNCTION("IFERROR(VLOOKUP(F194,IMPORTRANGE(""1H3cO01obd5zFULYqaT5NAqecZBFFIHeDFn4CeQLZF3w"",""Form Responses 1!B:C""),2,FALSE),)"),"")</f>
        <v/>
      </c>
      <c r="U194" s="70" t="str">
        <f>IFERROR(__xludf.DUMMYFUNCTION("IFERROR(IF(COUNTIF(IMPORTRANGE(""1IG9qoa6PeLdDDFzKpW39lxXshN0-M8Z25a_R1EpsYyg"",""Form Responses 1!B:B""),F194)&gt;0,10,),0)"),"")</f>
        <v/>
      </c>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row>
    <row r="195">
      <c r="B195" s="70" t="str">
        <f>IFERROR(__xludf.DUMMYFUNCTION("IFERROR(IF(COUNTIF(IMPORTRANGE(""1RTcwEJsI_0aJRebhNwO_H_AoKl9r46k7hWYbtciIyM4"",""Form Responses 1!B:B""),A195)&gt;0,10,),0)"),"")</f>
        <v/>
      </c>
      <c r="C195" s="70" t="str">
        <f>IFERROR(__xludf.DUMMYFUNCTION("IFERROR(VLOOKUP(A195,IMPORTRANGE(""11i8IUhq_U6RRKRV3CBWIKqYed_fMvFgNUHTq1YDJfp8"",""Form Responses 1!B:C""),2,FALSE),)"),"")</f>
        <v/>
      </c>
      <c r="D195" s="70" t="str">
        <f>IFERROR(__xludf.DUMMYFUNCTION("IFERROR(VLOOKUP(A195,IMPORTRANGE(""1StiHxuxrFhYdrq5WLR2JMORicW0TbnJf3J-oTHeMRtM"",""Form Responses 1!B:C""),2,FALSE),)"),"")</f>
        <v/>
      </c>
      <c r="E195" s="70" t="str">
        <f>IFERROR(__xludf.DUMMYFUNCTION("IFERROR(VLOOKUP(A195,IMPORTRANGE(""1QaxxyUjrDq2kgz300C1Bq1tacFk6e-xX218cSXCQUK0"",""Form Responses 1!B:C""),2,FALSE),)"),"")</f>
        <v/>
      </c>
      <c r="F195" s="70" t="str">
        <f>IFERROR(__xludf.DUMMYFUNCTION("IFERROR(VLOOKUP(A195,IMPORTRANGE(""1fn2ECph_y8Uz78DhjLaiXcwgt6kh3oe-0Le36Uw0noE"",""Form Responses 1!B:C""),2,FALSE),)"),"")</f>
        <v/>
      </c>
      <c r="G195" s="70"/>
      <c r="H195" s="70"/>
      <c r="I195" s="70"/>
      <c r="J195" s="70"/>
      <c r="K195" s="70"/>
      <c r="L195" s="70"/>
      <c r="M195" s="70"/>
      <c r="N195" s="70"/>
      <c r="O195" s="70"/>
      <c r="P195" s="70"/>
      <c r="Q195" s="70" t="str">
        <f>IFERROR(__xludf.DUMMYFUNCTION("IFERROR(IF(COUNTIF(IMPORTRANGE(""1WjiLR_MTMxI_IZUKuvPO4Sg2rTSIqBzP3edakSRXbOA"",""Form Responses 1!B:B""),F195)&gt;0,10,),0)"),"")</f>
        <v/>
      </c>
      <c r="R195" s="70" t="str">
        <f>IFERROR(__xludf.DUMMYFUNCTION("IFERROR(VLOOKUP(F195,IMPORTRANGE(""1Ixzbal5tEbtWhozsFEppQzOYE6ZSrkNXHg_HW5k3Wt4"",""Form Responses 1!B:C""),2,FALSE),)"),"")</f>
        <v/>
      </c>
      <c r="S195" s="70" t="str">
        <f>IFERROR(__xludf.DUMMYFUNCTION("IFERROR(VLOOKUP(F195,IMPORTRANGE(""1zxjtEKGvVIJPIDqZdnxENwVpPXYa88EihzyI44hcQUo"",""Form Responses 1!B:C""),2,FALSE),)"),"")</f>
        <v/>
      </c>
      <c r="T195" s="70" t="str">
        <f>IFERROR(__xludf.DUMMYFUNCTION("IFERROR(VLOOKUP(F195,IMPORTRANGE(""1H3cO01obd5zFULYqaT5NAqecZBFFIHeDFn4CeQLZF3w"",""Form Responses 1!B:C""),2,FALSE),)"),"")</f>
        <v/>
      </c>
      <c r="U195" s="70" t="str">
        <f>IFERROR(__xludf.DUMMYFUNCTION("IFERROR(IF(COUNTIF(IMPORTRANGE(""1IG9qoa6PeLdDDFzKpW39lxXshN0-M8Z25a_R1EpsYyg"",""Form Responses 1!B:B""),F195)&gt;0,10,),0)"),"")</f>
        <v/>
      </c>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row>
    <row r="196">
      <c r="B196" s="70" t="str">
        <f>IFERROR(__xludf.DUMMYFUNCTION("IFERROR(IF(COUNTIF(IMPORTRANGE(""1RTcwEJsI_0aJRebhNwO_H_AoKl9r46k7hWYbtciIyM4"",""Form Responses 1!B:B""),A196)&gt;0,10,),0)"),"")</f>
        <v/>
      </c>
      <c r="C196" s="70" t="str">
        <f>IFERROR(__xludf.DUMMYFUNCTION("IFERROR(VLOOKUP(A196,IMPORTRANGE(""11i8IUhq_U6RRKRV3CBWIKqYed_fMvFgNUHTq1YDJfp8"",""Form Responses 1!B:C""),2,FALSE),)"),"")</f>
        <v/>
      </c>
      <c r="D196" s="70" t="str">
        <f>IFERROR(__xludf.DUMMYFUNCTION("IFERROR(VLOOKUP(A196,IMPORTRANGE(""1StiHxuxrFhYdrq5WLR2JMORicW0TbnJf3J-oTHeMRtM"",""Form Responses 1!B:C""),2,FALSE),)"),"")</f>
        <v/>
      </c>
      <c r="E196" s="70" t="str">
        <f>IFERROR(__xludf.DUMMYFUNCTION("IFERROR(VLOOKUP(A196,IMPORTRANGE(""1QaxxyUjrDq2kgz300C1Bq1tacFk6e-xX218cSXCQUK0"",""Form Responses 1!B:C""),2,FALSE),)"),"")</f>
        <v/>
      </c>
      <c r="F196" s="70" t="str">
        <f>IFERROR(__xludf.DUMMYFUNCTION("IFERROR(VLOOKUP(A196,IMPORTRANGE(""1fn2ECph_y8Uz78DhjLaiXcwgt6kh3oe-0Le36Uw0noE"",""Form Responses 1!B:C""),2,FALSE),)"),"")</f>
        <v/>
      </c>
      <c r="G196" s="70"/>
      <c r="H196" s="70"/>
      <c r="I196" s="70"/>
      <c r="J196" s="70"/>
      <c r="K196" s="70"/>
      <c r="L196" s="70"/>
      <c r="M196" s="70"/>
      <c r="N196" s="70"/>
      <c r="O196" s="70"/>
      <c r="P196" s="70"/>
      <c r="Q196" s="70" t="str">
        <f>IFERROR(__xludf.DUMMYFUNCTION("IFERROR(IF(COUNTIF(IMPORTRANGE(""1WjiLR_MTMxI_IZUKuvPO4Sg2rTSIqBzP3edakSRXbOA"",""Form Responses 1!B:B""),F196)&gt;0,10,),0)"),"")</f>
        <v/>
      </c>
      <c r="R196" s="70" t="str">
        <f>IFERROR(__xludf.DUMMYFUNCTION("IFERROR(VLOOKUP(F196,IMPORTRANGE(""1Ixzbal5tEbtWhozsFEppQzOYE6ZSrkNXHg_HW5k3Wt4"",""Form Responses 1!B:C""),2,FALSE),)"),"")</f>
        <v/>
      </c>
      <c r="S196" s="70" t="str">
        <f>IFERROR(__xludf.DUMMYFUNCTION("IFERROR(VLOOKUP(F196,IMPORTRANGE(""1zxjtEKGvVIJPIDqZdnxENwVpPXYa88EihzyI44hcQUo"",""Form Responses 1!B:C""),2,FALSE),)"),"")</f>
        <v/>
      </c>
      <c r="T196" s="70" t="str">
        <f>IFERROR(__xludf.DUMMYFUNCTION("IFERROR(VLOOKUP(F196,IMPORTRANGE(""1H3cO01obd5zFULYqaT5NAqecZBFFIHeDFn4CeQLZF3w"",""Form Responses 1!B:C""),2,FALSE),)"),"")</f>
        <v/>
      </c>
      <c r="U196" s="70" t="str">
        <f>IFERROR(__xludf.DUMMYFUNCTION("IFERROR(IF(COUNTIF(IMPORTRANGE(""1IG9qoa6PeLdDDFzKpW39lxXshN0-M8Z25a_R1EpsYyg"",""Form Responses 1!B:B""),F196)&gt;0,10,),0)"),"")</f>
        <v/>
      </c>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row>
    <row r="197">
      <c r="B197" s="70" t="str">
        <f>IFERROR(__xludf.DUMMYFUNCTION("IFERROR(IF(COUNTIF(IMPORTRANGE(""1RTcwEJsI_0aJRebhNwO_H_AoKl9r46k7hWYbtciIyM4"",""Form Responses 1!B:B""),A197)&gt;0,10,),0)"),"")</f>
        <v/>
      </c>
      <c r="C197" s="70" t="str">
        <f>IFERROR(__xludf.DUMMYFUNCTION("IFERROR(VLOOKUP(A197,IMPORTRANGE(""11i8IUhq_U6RRKRV3CBWIKqYed_fMvFgNUHTq1YDJfp8"",""Form Responses 1!B:C""),2,FALSE),)"),"")</f>
        <v/>
      </c>
      <c r="D197" s="70" t="str">
        <f>IFERROR(__xludf.DUMMYFUNCTION("IFERROR(VLOOKUP(A197,IMPORTRANGE(""1StiHxuxrFhYdrq5WLR2JMORicW0TbnJf3J-oTHeMRtM"",""Form Responses 1!B:C""),2,FALSE),)"),"")</f>
        <v/>
      </c>
      <c r="E197" s="70" t="str">
        <f>IFERROR(__xludf.DUMMYFUNCTION("IFERROR(VLOOKUP(A197,IMPORTRANGE(""1QaxxyUjrDq2kgz300C1Bq1tacFk6e-xX218cSXCQUK0"",""Form Responses 1!B:C""),2,FALSE),)"),"")</f>
        <v/>
      </c>
      <c r="F197" s="70" t="str">
        <f>IFERROR(__xludf.DUMMYFUNCTION("IFERROR(VLOOKUP(A197,IMPORTRANGE(""1fn2ECph_y8Uz78DhjLaiXcwgt6kh3oe-0Le36Uw0noE"",""Form Responses 1!B:C""),2,FALSE),)"),"")</f>
        <v/>
      </c>
      <c r="G197" s="70"/>
      <c r="H197" s="70"/>
      <c r="I197" s="70"/>
      <c r="J197" s="70"/>
      <c r="K197" s="70"/>
      <c r="L197" s="70"/>
      <c r="M197" s="70"/>
      <c r="N197" s="70"/>
      <c r="O197" s="70"/>
      <c r="P197" s="70"/>
      <c r="Q197" s="70" t="str">
        <f>IFERROR(__xludf.DUMMYFUNCTION("IFERROR(IF(COUNTIF(IMPORTRANGE(""1WjiLR_MTMxI_IZUKuvPO4Sg2rTSIqBzP3edakSRXbOA"",""Form Responses 1!B:B""),F197)&gt;0,10,),0)"),"")</f>
        <v/>
      </c>
      <c r="R197" s="70" t="str">
        <f>IFERROR(__xludf.DUMMYFUNCTION("IFERROR(VLOOKUP(F197,IMPORTRANGE(""1Ixzbal5tEbtWhozsFEppQzOYE6ZSrkNXHg_HW5k3Wt4"",""Form Responses 1!B:C""),2,FALSE),)"),"")</f>
        <v/>
      </c>
      <c r="S197" s="70" t="str">
        <f>IFERROR(__xludf.DUMMYFUNCTION("IFERROR(VLOOKUP(F197,IMPORTRANGE(""1zxjtEKGvVIJPIDqZdnxENwVpPXYa88EihzyI44hcQUo"",""Form Responses 1!B:C""),2,FALSE),)"),"")</f>
        <v/>
      </c>
      <c r="T197" s="70" t="str">
        <f>IFERROR(__xludf.DUMMYFUNCTION("IFERROR(VLOOKUP(F197,IMPORTRANGE(""1H3cO01obd5zFULYqaT5NAqecZBFFIHeDFn4CeQLZF3w"",""Form Responses 1!B:C""),2,FALSE),)"),"")</f>
        <v/>
      </c>
      <c r="U197" s="70" t="str">
        <f>IFERROR(__xludf.DUMMYFUNCTION("IFERROR(IF(COUNTIF(IMPORTRANGE(""1IG9qoa6PeLdDDFzKpW39lxXshN0-M8Z25a_R1EpsYyg"",""Form Responses 1!B:B""),F197)&gt;0,10,),0)"),"")</f>
        <v/>
      </c>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row>
    <row r="198">
      <c r="B198" s="70" t="str">
        <f>IFERROR(__xludf.DUMMYFUNCTION("IFERROR(IF(COUNTIF(IMPORTRANGE(""1RTcwEJsI_0aJRebhNwO_H_AoKl9r46k7hWYbtciIyM4"",""Form Responses 1!B:B""),A198)&gt;0,10,),0)"),"")</f>
        <v/>
      </c>
      <c r="C198" s="70" t="str">
        <f>IFERROR(__xludf.DUMMYFUNCTION("IFERROR(VLOOKUP(A198,IMPORTRANGE(""11i8IUhq_U6RRKRV3CBWIKqYed_fMvFgNUHTq1YDJfp8"",""Form Responses 1!B:C""),2,FALSE),)"),"")</f>
        <v/>
      </c>
      <c r="D198" s="70" t="str">
        <f>IFERROR(__xludf.DUMMYFUNCTION("IFERROR(VLOOKUP(A198,IMPORTRANGE(""1StiHxuxrFhYdrq5WLR2JMORicW0TbnJf3J-oTHeMRtM"",""Form Responses 1!B:C""),2,FALSE),)"),"")</f>
        <v/>
      </c>
      <c r="E198" s="70" t="str">
        <f>IFERROR(__xludf.DUMMYFUNCTION("IFERROR(VLOOKUP(A198,IMPORTRANGE(""1QaxxyUjrDq2kgz300C1Bq1tacFk6e-xX218cSXCQUK0"",""Form Responses 1!B:C""),2,FALSE),)"),"")</f>
        <v/>
      </c>
      <c r="F198" s="70" t="str">
        <f>IFERROR(__xludf.DUMMYFUNCTION("IFERROR(VLOOKUP(A198,IMPORTRANGE(""1fn2ECph_y8Uz78DhjLaiXcwgt6kh3oe-0Le36Uw0noE"",""Form Responses 1!B:C""),2,FALSE),)"),"")</f>
        <v/>
      </c>
      <c r="G198" s="70"/>
      <c r="H198" s="70"/>
      <c r="I198" s="70"/>
      <c r="J198" s="70"/>
      <c r="K198" s="70"/>
      <c r="L198" s="70"/>
      <c r="M198" s="70"/>
      <c r="N198" s="70"/>
      <c r="O198" s="70"/>
      <c r="P198" s="70"/>
      <c r="Q198" s="70" t="str">
        <f>IFERROR(__xludf.DUMMYFUNCTION("IFERROR(IF(COUNTIF(IMPORTRANGE(""1WjiLR_MTMxI_IZUKuvPO4Sg2rTSIqBzP3edakSRXbOA"",""Form Responses 1!B:B""),F198)&gt;0,10,),0)"),"")</f>
        <v/>
      </c>
      <c r="R198" s="70" t="str">
        <f>IFERROR(__xludf.DUMMYFUNCTION("IFERROR(VLOOKUP(F198,IMPORTRANGE(""1Ixzbal5tEbtWhozsFEppQzOYE6ZSrkNXHg_HW5k3Wt4"",""Form Responses 1!B:C""),2,FALSE),)"),"")</f>
        <v/>
      </c>
      <c r="S198" s="70" t="str">
        <f>IFERROR(__xludf.DUMMYFUNCTION("IFERROR(VLOOKUP(F198,IMPORTRANGE(""1zxjtEKGvVIJPIDqZdnxENwVpPXYa88EihzyI44hcQUo"",""Form Responses 1!B:C""),2,FALSE),)"),"")</f>
        <v/>
      </c>
      <c r="T198" s="70" t="str">
        <f>IFERROR(__xludf.DUMMYFUNCTION("IFERROR(VLOOKUP(F198,IMPORTRANGE(""1H3cO01obd5zFULYqaT5NAqecZBFFIHeDFn4CeQLZF3w"",""Form Responses 1!B:C""),2,FALSE),)"),"")</f>
        <v/>
      </c>
      <c r="U198" s="70" t="str">
        <f>IFERROR(__xludf.DUMMYFUNCTION("IFERROR(IF(COUNTIF(IMPORTRANGE(""1IG9qoa6PeLdDDFzKpW39lxXshN0-M8Z25a_R1EpsYyg"",""Form Responses 1!B:B""),F198)&gt;0,10,),0)"),"")</f>
        <v/>
      </c>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row>
    <row r="199">
      <c r="B199" s="70" t="str">
        <f>IFERROR(__xludf.DUMMYFUNCTION("IFERROR(IF(COUNTIF(IMPORTRANGE(""1RTcwEJsI_0aJRebhNwO_H_AoKl9r46k7hWYbtciIyM4"",""Form Responses 1!B:B""),A199)&gt;0,10,),0)"),"")</f>
        <v/>
      </c>
      <c r="C199" s="70" t="str">
        <f>IFERROR(__xludf.DUMMYFUNCTION("IFERROR(VLOOKUP(A199,IMPORTRANGE(""11i8IUhq_U6RRKRV3CBWIKqYed_fMvFgNUHTq1YDJfp8"",""Form Responses 1!B:C""),2,FALSE),)"),"")</f>
        <v/>
      </c>
      <c r="D199" s="70" t="str">
        <f>IFERROR(__xludf.DUMMYFUNCTION("IFERROR(VLOOKUP(A199,IMPORTRANGE(""1StiHxuxrFhYdrq5WLR2JMORicW0TbnJf3J-oTHeMRtM"",""Form Responses 1!B:C""),2,FALSE),)"),"")</f>
        <v/>
      </c>
      <c r="E199" s="70" t="str">
        <f>IFERROR(__xludf.DUMMYFUNCTION("IFERROR(VLOOKUP(A199,IMPORTRANGE(""1QaxxyUjrDq2kgz300C1Bq1tacFk6e-xX218cSXCQUK0"",""Form Responses 1!B:C""),2,FALSE),)"),"")</f>
        <v/>
      </c>
      <c r="F199" s="70" t="str">
        <f>IFERROR(__xludf.DUMMYFUNCTION("IFERROR(VLOOKUP(A199,IMPORTRANGE(""1fn2ECph_y8Uz78DhjLaiXcwgt6kh3oe-0Le36Uw0noE"",""Form Responses 1!B:C""),2,FALSE),)"),"")</f>
        <v/>
      </c>
      <c r="G199" s="70"/>
      <c r="H199" s="70"/>
      <c r="I199" s="70"/>
      <c r="J199" s="70"/>
      <c r="K199" s="70"/>
      <c r="L199" s="70"/>
      <c r="M199" s="70"/>
      <c r="N199" s="70"/>
      <c r="O199" s="70"/>
      <c r="P199" s="70"/>
      <c r="Q199" s="70" t="str">
        <f>IFERROR(__xludf.DUMMYFUNCTION("IFERROR(IF(COUNTIF(IMPORTRANGE(""1WjiLR_MTMxI_IZUKuvPO4Sg2rTSIqBzP3edakSRXbOA"",""Form Responses 1!B:B""),F199)&gt;0,10,),0)"),"")</f>
        <v/>
      </c>
      <c r="R199" s="70" t="str">
        <f>IFERROR(__xludf.DUMMYFUNCTION("IFERROR(VLOOKUP(F199,IMPORTRANGE(""1Ixzbal5tEbtWhozsFEppQzOYE6ZSrkNXHg_HW5k3Wt4"",""Form Responses 1!B:C""),2,FALSE),)"),"")</f>
        <v/>
      </c>
      <c r="S199" s="70" t="str">
        <f>IFERROR(__xludf.DUMMYFUNCTION("IFERROR(VLOOKUP(F199,IMPORTRANGE(""1zxjtEKGvVIJPIDqZdnxENwVpPXYa88EihzyI44hcQUo"",""Form Responses 1!B:C""),2,FALSE),)"),"")</f>
        <v/>
      </c>
      <c r="T199" s="70" t="str">
        <f>IFERROR(__xludf.DUMMYFUNCTION("IFERROR(VLOOKUP(F199,IMPORTRANGE(""1H3cO01obd5zFULYqaT5NAqecZBFFIHeDFn4CeQLZF3w"",""Form Responses 1!B:C""),2,FALSE),)"),"")</f>
        <v/>
      </c>
      <c r="U199" s="70" t="str">
        <f>IFERROR(__xludf.DUMMYFUNCTION("IFERROR(IF(COUNTIF(IMPORTRANGE(""1IG9qoa6PeLdDDFzKpW39lxXshN0-M8Z25a_R1EpsYyg"",""Form Responses 1!B:B""),F199)&gt;0,10,),0)"),"")</f>
        <v/>
      </c>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row>
    <row r="200">
      <c r="B200" s="70" t="str">
        <f>IFERROR(__xludf.DUMMYFUNCTION("IFERROR(IF(COUNTIF(IMPORTRANGE(""1RTcwEJsI_0aJRebhNwO_H_AoKl9r46k7hWYbtciIyM4"",""Form Responses 1!B:B""),A200)&gt;0,10,),0)"),"")</f>
        <v/>
      </c>
      <c r="C200" s="70" t="str">
        <f>IFERROR(__xludf.DUMMYFUNCTION("IFERROR(VLOOKUP(A200,IMPORTRANGE(""11i8IUhq_U6RRKRV3CBWIKqYed_fMvFgNUHTq1YDJfp8"",""Form Responses 1!B:C""),2,FALSE),)"),"")</f>
        <v/>
      </c>
      <c r="D200" s="70" t="str">
        <f>IFERROR(__xludf.DUMMYFUNCTION("IFERROR(VLOOKUP(A200,IMPORTRANGE(""1StiHxuxrFhYdrq5WLR2JMORicW0TbnJf3J-oTHeMRtM"",""Form Responses 1!B:C""),2,FALSE),)"),"")</f>
        <v/>
      </c>
      <c r="E200" s="70" t="str">
        <f>IFERROR(__xludf.DUMMYFUNCTION("IFERROR(VLOOKUP(A200,IMPORTRANGE(""1QaxxyUjrDq2kgz300C1Bq1tacFk6e-xX218cSXCQUK0"",""Form Responses 1!B:C""),2,FALSE),)"),"")</f>
        <v/>
      </c>
      <c r="F200" s="70" t="str">
        <f>IFERROR(__xludf.DUMMYFUNCTION("IFERROR(VLOOKUP(A200,IMPORTRANGE(""1fn2ECph_y8Uz78DhjLaiXcwgt6kh3oe-0Le36Uw0noE"",""Form Responses 1!B:C""),2,FALSE),)"),"")</f>
        <v/>
      </c>
      <c r="G200" s="70"/>
      <c r="H200" s="70"/>
      <c r="I200" s="70"/>
      <c r="J200" s="70"/>
      <c r="K200" s="70"/>
      <c r="L200" s="70"/>
      <c r="M200" s="70"/>
      <c r="N200" s="70"/>
      <c r="O200" s="70"/>
      <c r="P200" s="70"/>
      <c r="Q200" s="70" t="str">
        <f>IFERROR(__xludf.DUMMYFUNCTION("IFERROR(IF(COUNTIF(IMPORTRANGE(""1WjiLR_MTMxI_IZUKuvPO4Sg2rTSIqBzP3edakSRXbOA"",""Form Responses 1!B:B""),F200)&gt;0,10,),0)"),"")</f>
        <v/>
      </c>
      <c r="R200" s="70" t="str">
        <f>IFERROR(__xludf.DUMMYFUNCTION("IFERROR(VLOOKUP(F200,IMPORTRANGE(""1Ixzbal5tEbtWhozsFEppQzOYE6ZSrkNXHg_HW5k3Wt4"",""Form Responses 1!B:C""),2,FALSE),)"),"")</f>
        <v/>
      </c>
      <c r="S200" s="70" t="str">
        <f>IFERROR(__xludf.DUMMYFUNCTION("IFERROR(VLOOKUP(F200,IMPORTRANGE(""1zxjtEKGvVIJPIDqZdnxENwVpPXYa88EihzyI44hcQUo"",""Form Responses 1!B:C""),2,FALSE),)"),"")</f>
        <v/>
      </c>
      <c r="T200" s="70" t="str">
        <f>IFERROR(__xludf.DUMMYFUNCTION("IFERROR(VLOOKUP(F200,IMPORTRANGE(""1H3cO01obd5zFULYqaT5NAqecZBFFIHeDFn4CeQLZF3w"",""Form Responses 1!B:C""),2,FALSE),)"),"")</f>
        <v/>
      </c>
      <c r="U200" s="70" t="str">
        <f>IFERROR(__xludf.DUMMYFUNCTION("IFERROR(IF(COUNTIF(IMPORTRANGE(""1IG9qoa6PeLdDDFzKpW39lxXshN0-M8Z25a_R1EpsYyg"",""Form Responses 1!B:B""),F200)&gt;0,10,),0)"),"")</f>
        <v/>
      </c>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row>
    <row r="201">
      <c r="B201" s="70" t="str">
        <f>IFERROR(__xludf.DUMMYFUNCTION("IFERROR(IF(COUNTIF(IMPORTRANGE(""1RTcwEJsI_0aJRebhNwO_H_AoKl9r46k7hWYbtciIyM4"",""Form Responses 1!B:B""),A201)&gt;0,10,),0)"),"")</f>
        <v/>
      </c>
      <c r="C201" s="70" t="str">
        <f>IFERROR(__xludf.DUMMYFUNCTION("IFERROR(VLOOKUP(A201,IMPORTRANGE(""11i8IUhq_U6RRKRV3CBWIKqYed_fMvFgNUHTq1YDJfp8"",""Form Responses 1!B:C""),2,FALSE),)"),"")</f>
        <v/>
      </c>
      <c r="D201" s="70" t="str">
        <f>IFERROR(__xludf.DUMMYFUNCTION("IFERROR(VLOOKUP(A201,IMPORTRANGE(""1StiHxuxrFhYdrq5WLR2JMORicW0TbnJf3J-oTHeMRtM"",""Form Responses 1!B:C""),2,FALSE),)"),"")</f>
        <v/>
      </c>
      <c r="E201" s="70" t="str">
        <f>IFERROR(__xludf.DUMMYFUNCTION("IFERROR(VLOOKUP(A201,IMPORTRANGE(""1QaxxyUjrDq2kgz300C1Bq1tacFk6e-xX218cSXCQUK0"",""Form Responses 1!B:C""),2,FALSE),)"),"")</f>
        <v/>
      </c>
      <c r="F201" s="70" t="str">
        <f>IFERROR(__xludf.DUMMYFUNCTION("IFERROR(VLOOKUP(A201,IMPORTRANGE(""1fn2ECph_y8Uz78DhjLaiXcwgt6kh3oe-0Le36Uw0noE"",""Form Responses 1!B:C""),2,FALSE),)"),"")</f>
        <v/>
      </c>
      <c r="G201" s="70"/>
      <c r="H201" s="70"/>
      <c r="I201" s="70"/>
      <c r="J201" s="70"/>
      <c r="K201" s="70"/>
      <c r="L201" s="70"/>
      <c r="M201" s="70"/>
      <c r="N201" s="70"/>
      <c r="O201" s="70"/>
      <c r="P201" s="70"/>
      <c r="Q201" s="70" t="str">
        <f>IFERROR(__xludf.DUMMYFUNCTION("IFERROR(IF(COUNTIF(IMPORTRANGE(""1WjiLR_MTMxI_IZUKuvPO4Sg2rTSIqBzP3edakSRXbOA"",""Form Responses 1!B:B""),F201)&gt;0,10,),0)"),"")</f>
        <v/>
      </c>
      <c r="R201" s="70" t="str">
        <f>IFERROR(__xludf.DUMMYFUNCTION("IFERROR(VLOOKUP(F201,IMPORTRANGE(""1Ixzbal5tEbtWhozsFEppQzOYE6ZSrkNXHg_HW5k3Wt4"",""Form Responses 1!B:C""),2,FALSE),)"),"")</f>
        <v/>
      </c>
      <c r="S201" s="70" t="str">
        <f>IFERROR(__xludf.DUMMYFUNCTION("IFERROR(VLOOKUP(F201,IMPORTRANGE(""1zxjtEKGvVIJPIDqZdnxENwVpPXYa88EihzyI44hcQUo"",""Form Responses 1!B:C""),2,FALSE),)"),"")</f>
        <v/>
      </c>
      <c r="T201" s="70" t="str">
        <f>IFERROR(__xludf.DUMMYFUNCTION("IFERROR(VLOOKUP(F201,IMPORTRANGE(""1H3cO01obd5zFULYqaT5NAqecZBFFIHeDFn4CeQLZF3w"",""Form Responses 1!B:C""),2,FALSE),)"),"")</f>
        <v/>
      </c>
      <c r="U201" s="70" t="str">
        <f>IFERROR(__xludf.DUMMYFUNCTION("IFERROR(IF(COUNTIF(IMPORTRANGE(""1IG9qoa6PeLdDDFzKpW39lxXshN0-M8Z25a_R1EpsYyg"",""Form Responses 1!B:B""),F201)&gt;0,10,),0)"),"")</f>
        <v/>
      </c>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row>
    <row r="202">
      <c r="B202" s="70" t="str">
        <f>IFERROR(__xludf.DUMMYFUNCTION("IFERROR(IF(COUNTIF(IMPORTRANGE(""1RTcwEJsI_0aJRebhNwO_H_AoKl9r46k7hWYbtciIyM4"",""Form Responses 1!B:B""),A202)&gt;0,10,),0)"),"")</f>
        <v/>
      </c>
      <c r="C202" s="70" t="str">
        <f>IFERROR(__xludf.DUMMYFUNCTION("IFERROR(VLOOKUP(A202,IMPORTRANGE(""11i8IUhq_U6RRKRV3CBWIKqYed_fMvFgNUHTq1YDJfp8"",""Form Responses 1!B:C""),2,FALSE),)"),"")</f>
        <v/>
      </c>
      <c r="D202" s="70" t="str">
        <f>IFERROR(__xludf.DUMMYFUNCTION("IFERROR(VLOOKUP(A202,IMPORTRANGE(""1StiHxuxrFhYdrq5WLR2JMORicW0TbnJf3J-oTHeMRtM"",""Form Responses 1!B:C""),2,FALSE),)"),"")</f>
        <v/>
      </c>
      <c r="E202" s="70" t="str">
        <f>IFERROR(__xludf.DUMMYFUNCTION("IFERROR(VLOOKUP(A202,IMPORTRANGE(""1QaxxyUjrDq2kgz300C1Bq1tacFk6e-xX218cSXCQUK0"",""Form Responses 1!B:C""),2,FALSE),)"),"")</f>
        <v/>
      </c>
      <c r="F202" s="70" t="str">
        <f>IFERROR(__xludf.DUMMYFUNCTION("IFERROR(VLOOKUP(A202,IMPORTRANGE(""1fn2ECph_y8Uz78DhjLaiXcwgt6kh3oe-0Le36Uw0noE"",""Form Responses 1!B:C""),2,FALSE),)"),"")</f>
        <v/>
      </c>
      <c r="G202" s="70"/>
      <c r="H202" s="70"/>
      <c r="I202" s="70"/>
      <c r="J202" s="70"/>
      <c r="K202" s="70"/>
      <c r="L202" s="70"/>
      <c r="M202" s="70"/>
      <c r="N202" s="70"/>
      <c r="O202" s="70"/>
      <c r="P202" s="70"/>
      <c r="Q202" s="70" t="str">
        <f>IFERROR(__xludf.DUMMYFUNCTION("IFERROR(IF(COUNTIF(IMPORTRANGE(""1WjiLR_MTMxI_IZUKuvPO4Sg2rTSIqBzP3edakSRXbOA"",""Form Responses 1!B:B""),F202)&gt;0,10,),0)"),"")</f>
        <v/>
      </c>
      <c r="R202" s="70" t="str">
        <f>IFERROR(__xludf.DUMMYFUNCTION("IFERROR(VLOOKUP(F202,IMPORTRANGE(""1Ixzbal5tEbtWhozsFEppQzOYE6ZSrkNXHg_HW5k3Wt4"",""Form Responses 1!B:C""),2,FALSE),)"),"")</f>
        <v/>
      </c>
      <c r="S202" s="70" t="str">
        <f>IFERROR(__xludf.DUMMYFUNCTION("IFERROR(VLOOKUP(F202,IMPORTRANGE(""1zxjtEKGvVIJPIDqZdnxENwVpPXYa88EihzyI44hcQUo"",""Form Responses 1!B:C""),2,FALSE),)"),"")</f>
        <v/>
      </c>
      <c r="T202" s="70" t="str">
        <f>IFERROR(__xludf.DUMMYFUNCTION("IFERROR(VLOOKUP(F202,IMPORTRANGE(""1H3cO01obd5zFULYqaT5NAqecZBFFIHeDFn4CeQLZF3w"",""Form Responses 1!B:C""),2,FALSE),)"),"")</f>
        <v/>
      </c>
      <c r="U202" s="70" t="str">
        <f>IFERROR(__xludf.DUMMYFUNCTION("IFERROR(IF(COUNTIF(IMPORTRANGE(""1IG9qoa6PeLdDDFzKpW39lxXshN0-M8Z25a_R1EpsYyg"",""Form Responses 1!B:B""),F202)&gt;0,10,),0)"),"")</f>
        <v/>
      </c>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row>
    <row r="203">
      <c r="B203" s="70" t="str">
        <f>IFERROR(__xludf.DUMMYFUNCTION("IFERROR(IF(COUNTIF(IMPORTRANGE(""1RTcwEJsI_0aJRebhNwO_H_AoKl9r46k7hWYbtciIyM4"",""Form Responses 1!B:B""),A203)&gt;0,10,),0)"),"")</f>
        <v/>
      </c>
      <c r="C203" s="70" t="str">
        <f>IFERROR(__xludf.DUMMYFUNCTION("IFERROR(VLOOKUP(A203,IMPORTRANGE(""11i8IUhq_U6RRKRV3CBWIKqYed_fMvFgNUHTq1YDJfp8"",""Form Responses 1!B:C""),2,FALSE),)"),"")</f>
        <v/>
      </c>
      <c r="D203" s="70" t="str">
        <f>IFERROR(__xludf.DUMMYFUNCTION("IFERROR(VLOOKUP(A203,IMPORTRANGE(""1StiHxuxrFhYdrq5WLR2JMORicW0TbnJf3J-oTHeMRtM"",""Form Responses 1!B:C""),2,FALSE),)"),"")</f>
        <v/>
      </c>
      <c r="E203" s="70" t="str">
        <f>IFERROR(__xludf.DUMMYFUNCTION("IFERROR(VLOOKUP(A203,IMPORTRANGE(""1QaxxyUjrDq2kgz300C1Bq1tacFk6e-xX218cSXCQUK0"",""Form Responses 1!B:C""),2,FALSE),)"),"")</f>
        <v/>
      </c>
      <c r="F203" s="70" t="str">
        <f>IFERROR(__xludf.DUMMYFUNCTION("IFERROR(VLOOKUP(A203,IMPORTRANGE(""1fn2ECph_y8Uz78DhjLaiXcwgt6kh3oe-0Le36Uw0noE"",""Form Responses 1!B:C""),2,FALSE),)"),"")</f>
        <v/>
      </c>
      <c r="G203" s="70"/>
      <c r="H203" s="70"/>
      <c r="I203" s="70"/>
      <c r="J203" s="70"/>
      <c r="K203" s="70"/>
      <c r="L203" s="70"/>
      <c r="M203" s="70"/>
      <c r="N203" s="70"/>
      <c r="O203" s="70"/>
      <c r="P203" s="70"/>
      <c r="Q203" s="70" t="str">
        <f>IFERROR(__xludf.DUMMYFUNCTION("IFERROR(IF(COUNTIF(IMPORTRANGE(""1WjiLR_MTMxI_IZUKuvPO4Sg2rTSIqBzP3edakSRXbOA"",""Form Responses 1!B:B""),F203)&gt;0,10,),0)"),"")</f>
        <v/>
      </c>
      <c r="R203" s="70" t="str">
        <f>IFERROR(__xludf.DUMMYFUNCTION("IFERROR(VLOOKUP(F203,IMPORTRANGE(""1Ixzbal5tEbtWhozsFEppQzOYE6ZSrkNXHg_HW5k3Wt4"",""Form Responses 1!B:C""),2,FALSE),)"),"")</f>
        <v/>
      </c>
      <c r="S203" s="70" t="str">
        <f>IFERROR(__xludf.DUMMYFUNCTION("IFERROR(VLOOKUP(F203,IMPORTRANGE(""1zxjtEKGvVIJPIDqZdnxENwVpPXYa88EihzyI44hcQUo"",""Form Responses 1!B:C""),2,FALSE),)"),"")</f>
        <v/>
      </c>
      <c r="T203" s="70" t="str">
        <f>IFERROR(__xludf.DUMMYFUNCTION("IFERROR(VLOOKUP(F203,IMPORTRANGE(""1H3cO01obd5zFULYqaT5NAqecZBFFIHeDFn4CeQLZF3w"",""Form Responses 1!B:C""),2,FALSE),)"),"")</f>
        <v/>
      </c>
      <c r="U203" s="70" t="str">
        <f>IFERROR(__xludf.DUMMYFUNCTION("IFERROR(IF(COUNTIF(IMPORTRANGE(""1IG9qoa6PeLdDDFzKpW39lxXshN0-M8Z25a_R1EpsYyg"",""Form Responses 1!B:B""),F203)&gt;0,10,),0)"),"")</f>
        <v/>
      </c>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row>
    <row r="204">
      <c r="B204" s="70" t="str">
        <f>IFERROR(__xludf.DUMMYFUNCTION("IFERROR(IF(COUNTIF(IMPORTRANGE(""1RTcwEJsI_0aJRebhNwO_H_AoKl9r46k7hWYbtciIyM4"",""Form Responses 1!B:B""),A204)&gt;0,10,),0)"),"")</f>
        <v/>
      </c>
      <c r="C204" s="70" t="str">
        <f>IFERROR(__xludf.DUMMYFUNCTION("IFERROR(VLOOKUP(A204,IMPORTRANGE(""11i8IUhq_U6RRKRV3CBWIKqYed_fMvFgNUHTq1YDJfp8"",""Form Responses 1!B:C""),2,FALSE),)"),"")</f>
        <v/>
      </c>
      <c r="D204" s="70" t="str">
        <f>IFERROR(__xludf.DUMMYFUNCTION("IFERROR(VLOOKUP(A204,IMPORTRANGE(""1StiHxuxrFhYdrq5WLR2JMORicW0TbnJf3J-oTHeMRtM"",""Form Responses 1!B:C""),2,FALSE),)"),"")</f>
        <v/>
      </c>
      <c r="E204" s="70" t="str">
        <f>IFERROR(__xludf.DUMMYFUNCTION("IFERROR(VLOOKUP(A204,IMPORTRANGE(""1QaxxyUjrDq2kgz300C1Bq1tacFk6e-xX218cSXCQUK0"",""Form Responses 1!B:C""),2,FALSE),)"),"")</f>
        <v/>
      </c>
      <c r="F204" s="70" t="str">
        <f>IFERROR(__xludf.DUMMYFUNCTION("IFERROR(VLOOKUP(A204,IMPORTRANGE(""1fn2ECph_y8Uz78DhjLaiXcwgt6kh3oe-0Le36Uw0noE"",""Form Responses 1!B:C""),2,FALSE),)"),"")</f>
        <v/>
      </c>
      <c r="G204" s="70"/>
      <c r="H204" s="70"/>
      <c r="I204" s="70"/>
      <c r="J204" s="70"/>
      <c r="K204" s="70"/>
      <c r="L204" s="70"/>
      <c r="M204" s="70"/>
      <c r="N204" s="70"/>
      <c r="O204" s="70"/>
      <c r="P204" s="70"/>
      <c r="Q204" s="70" t="str">
        <f>IFERROR(__xludf.DUMMYFUNCTION("IFERROR(IF(COUNTIF(IMPORTRANGE(""1WjiLR_MTMxI_IZUKuvPO4Sg2rTSIqBzP3edakSRXbOA"",""Form Responses 1!B:B""),F204)&gt;0,10,),0)"),"")</f>
        <v/>
      </c>
      <c r="R204" s="70" t="str">
        <f>IFERROR(__xludf.DUMMYFUNCTION("IFERROR(VLOOKUP(F204,IMPORTRANGE(""1Ixzbal5tEbtWhozsFEppQzOYE6ZSrkNXHg_HW5k3Wt4"",""Form Responses 1!B:C""),2,FALSE),)"),"")</f>
        <v/>
      </c>
      <c r="S204" s="70" t="str">
        <f>IFERROR(__xludf.DUMMYFUNCTION("IFERROR(VLOOKUP(F204,IMPORTRANGE(""1zxjtEKGvVIJPIDqZdnxENwVpPXYa88EihzyI44hcQUo"",""Form Responses 1!B:C""),2,FALSE),)"),"")</f>
        <v/>
      </c>
      <c r="T204" s="70" t="str">
        <f>IFERROR(__xludf.DUMMYFUNCTION("IFERROR(VLOOKUP(F204,IMPORTRANGE(""1H3cO01obd5zFULYqaT5NAqecZBFFIHeDFn4CeQLZF3w"",""Form Responses 1!B:C""),2,FALSE),)"),"")</f>
        <v/>
      </c>
      <c r="U204" s="70" t="str">
        <f>IFERROR(__xludf.DUMMYFUNCTION("IFERROR(IF(COUNTIF(IMPORTRANGE(""1IG9qoa6PeLdDDFzKpW39lxXshN0-M8Z25a_R1EpsYyg"",""Form Responses 1!B:B""),F204)&gt;0,10,),0)"),"")</f>
        <v/>
      </c>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row>
    <row r="205">
      <c r="B205" s="70" t="str">
        <f>IFERROR(__xludf.DUMMYFUNCTION("IFERROR(IF(COUNTIF(IMPORTRANGE(""1RTcwEJsI_0aJRebhNwO_H_AoKl9r46k7hWYbtciIyM4"",""Form Responses 1!B:B""),A205)&gt;0,10,),0)"),"")</f>
        <v/>
      </c>
      <c r="C205" s="70" t="str">
        <f>IFERROR(__xludf.DUMMYFUNCTION("IFERROR(VLOOKUP(A205,IMPORTRANGE(""11i8IUhq_U6RRKRV3CBWIKqYed_fMvFgNUHTq1YDJfp8"",""Form Responses 1!B:C""),2,FALSE),)"),"")</f>
        <v/>
      </c>
      <c r="D205" s="70" t="str">
        <f>IFERROR(__xludf.DUMMYFUNCTION("IFERROR(VLOOKUP(A205,IMPORTRANGE(""1StiHxuxrFhYdrq5WLR2JMORicW0TbnJf3J-oTHeMRtM"",""Form Responses 1!B:C""),2,FALSE),)"),"")</f>
        <v/>
      </c>
      <c r="E205" s="70" t="str">
        <f>IFERROR(__xludf.DUMMYFUNCTION("IFERROR(VLOOKUP(A205,IMPORTRANGE(""1QaxxyUjrDq2kgz300C1Bq1tacFk6e-xX218cSXCQUK0"",""Form Responses 1!B:C""),2,FALSE),)"),"")</f>
        <v/>
      </c>
      <c r="F205" s="70" t="str">
        <f>IFERROR(__xludf.DUMMYFUNCTION("IFERROR(VLOOKUP(A205,IMPORTRANGE(""1fn2ECph_y8Uz78DhjLaiXcwgt6kh3oe-0Le36Uw0noE"",""Form Responses 1!B:C""),2,FALSE),)"),"")</f>
        <v/>
      </c>
      <c r="G205" s="70"/>
      <c r="H205" s="70"/>
      <c r="I205" s="70"/>
      <c r="J205" s="70"/>
      <c r="K205" s="70"/>
      <c r="L205" s="70"/>
      <c r="M205" s="70"/>
      <c r="N205" s="70"/>
      <c r="O205" s="70"/>
      <c r="P205" s="70"/>
      <c r="Q205" s="70" t="str">
        <f>IFERROR(__xludf.DUMMYFUNCTION("IFERROR(IF(COUNTIF(IMPORTRANGE(""1WjiLR_MTMxI_IZUKuvPO4Sg2rTSIqBzP3edakSRXbOA"",""Form Responses 1!B:B""),F205)&gt;0,10,),0)"),"")</f>
        <v/>
      </c>
      <c r="R205" s="70" t="str">
        <f>IFERROR(__xludf.DUMMYFUNCTION("IFERROR(VLOOKUP(F205,IMPORTRANGE(""1Ixzbal5tEbtWhozsFEppQzOYE6ZSrkNXHg_HW5k3Wt4"",""Form Responses 1!B:C""),2,FALSE),)"),"")</f>
        <v/>
      </c>
      <c r="S205" s="70" t="str">
        <f>IFERROR(__xludf.DUMMYFUNCTION("IFERROR(VLOOKUP(F205,IMPORTRANGE(""1zxjtEKGvVIJPIDqZdnxENwVpPXYa88EihzyI44hcQUo"",""Form Responses 1!B:C""),2,FALSE),)"),"")</f>
        <v/>
      </c>
      <c r="T205" s="70" t="str">
        <f>IFERROR(__xludf.DUMMYFUNCTION("IFERROR(VLOOKUP(F205,IMPORTRANGE(""1H3cO01obd5zFULYqaT5NAqecZBFFIHeDFn4CeQLZF3w"",""Form Responses 1!B:C""),2,FALSE),)"),"")</f>
        <v/>
      </c>
      <c r="U205" s="70" t="str">
        <f>IFERROR(__xludf.DUMMYFUNCTION("IFERROR(IF(COUNTIF(IMPORTRANGE(""1IG9qoa6PeLdDDFzKpW39lxXshN0-M8Z25a_R1EpsYyg"",""Form Responses 1!B:B""),F205)&gt;0,10,),0)"),"")</f>
        <v/>
      </c>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row>
    <row r="206">
      <c r="B206" s="70" t="str">
        <f>IFERROR(__xludf.DUMMYFUNCTION("IFERROR(IF(COUNTIF(IMPORTRANGE(""1RTcwEJsI_0aJRebhNwO_H_AoKl9r46k7hWYbtciIyM4"",""Form Responses 1!B:B""),A206)&gt;0,10,),0)"),"")</f>
        <v/>
      </c>
      <c r="C206" s="70" t="str">
        <f>IFERROR(__xludf.DUMMYFUNCTION("IFERROR(VLOOKUP(A206,IMPORTRANGE(""11i8IUhq_U6RRKRV3CBWIKqYed_fMvFgNUHTq1YDJfp8"",""Form Responses 1!B:C""),2,FALSE),)"),"")</f>
        <v/>
      </c>
      <c r="D206" s="70" t="str">
        <f>IFERROR(__xludf.DUMMYFUNCTION("IFERROR(VLOOKUP(A206,IMPORTRANGE(""1StiHxuxrFhYdrq5WLR2JMORicW0TbnJf3J-oTHeMRtM"",""Form Responses 1!B:C""),2,FALSE),)"),"")</f>
        <v/>
      </c>
      <c r="E206" s="70" t="str">
        <f>IFERROR(__xludf.DUMMYFUNCTION("IFERROR(VLOOKUP(A206,IMPORTRANGE(""1QaxxyUjrDq2kgz300C1Bq1tacFk6e-xX218cSXCQUK0"",""Form Responses 1!B:C""),2,FALSE),)"),"")</f>
        <v/>
      </c>
      <c r="F206" s="70" t="str">
        <f>IFERROR(__xludf.DUMMYFUNCTION("IFERROR(VLOOKUP(A206,IMPORTRANGE(""1fn2ECph_y8Uz78DhjLaiXcwgt6kh3oe-0Le36Uw0noE"",""Form Responses 1!B:C""),2,FALSE),)"),"")</f>
        <v/>
      </c>
      <c r="G206" s="70"/>
      <c r="H206" s="70"/>
      <c r="I206" s="70"/>
      <c r="J206" s="70"/>
      <c r="K206" s="70"/>
      <c r="L206" s="70"/>
      <c r="M206" s="70"/>
      <c r="N206" s="70"/>
      <c r="O206" s="70"/>
      <c r="P206" s="70"/>
      <c r="Q206" s="70" t="str">
        <f>IFERROR(__xludf.DUMMYFUNCTION("IFERROR(IF(COUNTIF(IMPORTRANGE(""1WjiLR_MTMxI_IZUKuvPO4Sg2rTSIqBzP3edakSRXbOA"",""Form Responses 1!B:B""),F206)&gt;0,10,),0)"),"")</f>
        <v/>
      </c>
      <c r="R206" s="70" t="str">
        <f>IFERROR(__xludf.DUMMYFUNCTION("IFERROR(VLOOKUP(F206,IMPORTRANGE(""1Ixzbal5tEbtWhozsFEppQzOYE6ZSrkNXHg_HW5k3Wt4"",""Form Responses 1!B:C""),2,FALSE),)"),"")</f>
        <v/>
      </c>
      <c r="S206" s="70" t="str">
        <f>IFERROR(__xludf.DUMMYFUNCTION("IFERROR(VLOOKUP(F206,IMPORTRANGE(""1zxjtEKGvVIJPIDqZdnxENwVpPXYa88EihzyI44hcQUo"",""Form Responses 1!B:C""),2,FALSE),)"),"")</f>
        <v/>
      </c>
      <c r="T206" s="70" t="str">
        <f>IFERROR(__xludf.DUMMYFUNCTION("IFERROR(VLOOKUP(F206,IMPORTRANGE(""1H3cO01obd5zFULYqaT5NAqecZBFFIHeDFn4CeQLZF3w"",""Form Responses 1!B:C""),2,FALSE),)"),"")</f>
        <v/>
      </c>
      <c r="U206" s="70" t="str">
        <f>IFERROR(__xludf.DUMMYFUNCTION("IFERROR(IF(COUNTIF(IMPORTRANGE(""1IG9qoa6PeLdDDFzKpW39lxXshN0-M8Z25a_R1EpsYyg"",""Form Responses 1!B:B""),F206)&gt;0,10,),0)"),"")</f>
        <v/>
      </c>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row>
    <row r="207">
      <c r="B207" s="70" t="str">
        <f>IFERROR(__xludf.DUMMYFUNCTION("IFERROR(IF(COUNTIF(IMPORTRANGE(""1RTcwEJsI_0aJRebhNwO_H_AoKl9r46k7hWYbtciIyM4"",""Form Responses 1!B:B""),A207)&gt;0,10,),0)"),"")</f>
        <v/>
      </c>
      <c r="C207" s="70" t="str">
        <f>IFERROR(__xludf.DUMMYFUNCTION("IFERROR(VLOOKUP(A207,IMPORTRANGE(""11i8IUhq_U6RRKRV3CBWIKqYed_fMvFgNUHTq1YDJfp8"",""Form Responses 1!B:C""),2,FALSE),)"),"")</f>
        <v/>
      </c>
      <c r="D207" s="70" t="str">
        <f>IFERROR(__xludf.DUMMYFUNCTION("IFERROR(VLOOKUP(A207,IMPORTRANGE(""1StiHxuxrFhYdrq5WLR2JMORicW0TbnJf3J-oTHeMRtM"",""Form Responses 1!B:C""),2,FALSE),)"),"")</f>
        <v/>
      </c>
      <c r="E207" s="70" t="str">
        <f>IFERROR(__xludf.DUMMYFUNCTION("IFERROR(VLOOKUP(A207,IMPORTRANGE(""1QaxxyUjrDq2kgz300C1Bq1tacFk6e-xX218cSXCQUK0"",""Form Responses 1!B:C""),2,FALSE),)"),"")</f>
        <v/>
      </c>
      <c r="F207" s="70" t="str">
        <f>IFERROR(__xludf.DUMMYFUNCTION("IFERROR(VLOOKUP(A207,IMPORTRANGE(""1fn2ECph_y8Uz78DhjLaiXcwgt6kh3oe-0Le36Uw0noE"",""Form Responses 1!B:C""),2,FALSE),)"),"")</f>
        <v/>
      </c>
      <c r="G207" s="70"/>
      <c r="H207" s="70"/>
      <c r="I207" s="70"/>
      <c r="J207" s="70"/>
      <c r="K207" s="70"/>
      <c r="L207" s="70"/>
      <c r="M207" s="70"/>
      <c r="N207" s="70"/>
      <c r="O207" s="70"/>
      <c r="P207" s="70"/>
      <c r="Q207" s="70" t="str">
        <f>IFERROR(__xludf.DUMMYFUNCTION("IFERROR(IF(COUNTIF(IMPORTRANGE(""1WjiLR_MTMxI_IZUKuvPO4Sg2rTSIqBzP3edakSRXbOA"",""Form Responses 1!B:B""),F207)&gt;0,10,),0)"),"")</f>
        <v/>
      </c>
      <c r="R207" s="70" t="str">
        <f>IFERROR(__xludf.DUMMYFUNCTION("IFERROR(VLOOKUP(F207,IMPORTRANGE(""1Ixzbal5tEbtWhozsFEppQzOYE6ZSrkNXHg_HW5k3Wt4"",""Form Responses 1!B:C""),2,FALSE),)"),"")</f>
        <v/>
      </c>
      <c r="S207" s="70" t="str">
        <f>IFERROR(__xludf.DUMMYFUNCTION("IFERROR(VLOOKUP(F207,IMPORTRANGE(""1zxjtEKGvVIJPIDqZdnxENwVpPXYa88EihzyI44hcQUo"",""Form Responses 1!B:C""),2,FALSE),)"),"")</f>
        <v/>
      </c>
      <c r="T207" s="70" t="str">
        <f>IFERROR(__xludf.DUMMYFUNCTION("IFERROR(VLOOKUP(F207,IMPORTRANGE(""1H3cO01obd5zFULYqaT5NAqecZBFFIHeDFn4CeQLZF3w"",""Form Responses 1!B:C""),2,FALSE),)"),"")</f>
        <v/>
      </c>
      <c r="U207" s="70" t="str">
        <f>IFERROR(__xludf.DUMMYFUNCTION("IFERROR(IF(COUNTIF(IMPORTRANGE(""1IG9qoa6PeLdDDFzKpW39lxXshN0-M8Z25a_R1EpsYyg"",""Form Responses 1!B:B""),F207)&gt;0,10,),0)"),"")</f>
        <v/>
      </c>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row>
    <row r="208">
      <c r="B208" s="70" t="str">
        <f>IFERROR(__xludf.DUMMYFUNCTION("IFERROR(IF(COUNTIF(IMPORTRANGE(""1RTcwEJsI_0aJRebhNwO_H_AoKl9r46k7hWYbtciIyM4"",""Form Responses 1!B:B""),A208)&gt;0,10,),0)"),"")</f>
        <v/>
      </c>
      <c r="C208" s="70" t="str">
        <f>IFERROR(__xludf.DUMMYFUNCTION("IFERROR(VLOOKUP(A208,IMPORTRANGE(""11i8IUhq_U6RRKRV3CBWIKqYed_fMvFgNUHTq1YDJfp8"",""Form Responses 1!B:C""),2,FALSE),)"),"")</f>
        <v/>
      </c>
      <c r="D208" s="70" t="str">
        <f>IFERROR(__xludf.DUMMYFUNCTION("IFERROR(VLOOKUP(A208,IMPORTRANGE(""1StiHxuxrFhYdrq5WLR2JMORicW0TbnJf3J-oTHeMRtM"",""Form Responses 1!B:C""),2,FALSE),)"),"")</f>
        <v/>
      </c>
      <c r="E208" s="70" t="str">
        <f>IFERROR(__xludf.DUMMYFUNCTION("IFERROR(VLOOKUP(A208,IMPORTRANGE(""1QaxxyUjrDq2kgz300C1Bq1tacFk6e-xX218cSXCQUK0"",""Form Responses 1!B:C""),2,FALSE),)"),"")</f>
        <v/>
      </c>
      <c r="F208" s="70" t="str">
        <f>IFERROR(__xludf.DUMMYFUNCTION("IFERROR(VLOOKUP(A208,IMPORTRANGE(""1fn2ECph_y8Uz78DhjLaiXcwgt6kh3oe-0Le36Uw0noE"",""Form Responses 1!B:C""),2,FALSE),)"),"")</f>
        <v/>
      </c>
      <c r="G208" s="70"/>
      <c r="H208" s="70"/>
      <c r="I208" s="70"/>
      <c r="J208" s="70"/>
      <c r="K208" s="70"/>
      <c r="L208" s="70"/>
      <c r="M208" s="70"/>
      <c r="N208" s="70"/>
      <c r="O208" s="70"/>
      <c r="P208" s="70"/>
      <c r="Q208" s="70" t="str">
        <f>IFERROR(__xludf.DUMMYFUNCTION("IFERROR(IF(COUNTIF(IMPORTRANGE(""1WjiLR_MTMxI_IZUKuvPO4Sg2rTSIqBzP3edakSRXbOA"",""Form Responses 1!B:B""),F208)&gt;0,10,),0)"),"")</f>
        <v/>
      </c>
      <c r="R208" s="70" t="str">
        <f>IFERROR(__xludf.DUMMYFUNCTION("IFERROR(VLOOKUP(F208,IMPORTRANGE(""1Ixzbal5tEbtWhozsFEppQzOYE6ZSrkNXHg_HW5k3Wt4"",""Form Responses 1!B:C""),2,FALSE),)"),"")</f>
        <v/>
      </c>
      <c r="S208" s="70" t="str">
        <f>IFERROR(__xludf.DUMMYFUNCTION("IFERROR(VLOOKUP(F208,IMPORTRANGE(""1zxjtEKGvVIJPIDqZdnxENwVpPXYa88EihzyI44hcQUo"",""Form Responses 1!B:C""),2,FALSE),)"),"")</f>
        <v/>
      </c>
      <c r="T208" s="70" t="str">
        <f>IFERROR(__xludf.DUMMYFUNCTION("IFERROR(VLOOKUP(F208,IMPORTRANGE(""1H3cO01obd5zFULYqaT5NAqecZBFFIHeDFn4CeQLZF3w"",""Form Responses 1!B:C""),2,FALSE),)"),"")</f>
        <v/>
      </c>
      <c r="U208" s="70" t="str">
        <f>IFERROR(__xludf.DUMMYFUNCTION("IFERROR(IF(COUNTIF(IMPORTRANGE(""1IG9qoa6PeLdDDFzKpW39lxXshN0-M8Z25a_R1EpsYyg"",""Form Responses 1!B:B""),F208)&gt;0,10,),0)"),"")</f>
        <v/>
      </c>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row>
    <row r="209">
      <c r="B209" s="70" t="str">
        <f>IFERROR(__xludf.DUMMYFUNCTION("IFERROR(IF(COUNTIF(IMPORTRANGE(""1RTcwEJsI_0aJRebhNwO_H_AoKl9r46k7hWYbtciIyM4"",""Form Responses 1!B:B""),A209)&gt;0,10,),0)"),"")</f>
        <v/>
      </c>
      <c r="C209" s="70" t="str">
        <f>IFERROR(__xludf.DUMMYFUNCTION("IFERROR(VLOOKUP(A209,IMPORTRANGE(""11i8IUhq_U6RRKRV3CBWIKqYed_fMvFgNUHTq1YDJfp8"",""Form Responses 1!B:C""),2,FALSE),)"),"")</f>
        <v/>
      </c>
      <c r="D209" s="70" t="str">
        <f>IFERROR(__xludf.DUMMYFUNCTION("IFERROR(VLOOKUP(A209,IMPORTRANGE(""1StiHxuxrFhYdrq5WLR2JMORicW0TbnJf3J-oTHeMRtM"",""Form Responses 1!B:C""),2,FALSE),)"),"")</f>
        <v/>
      </c>
      <c r="E209" s="70" t="str">
        <f>IFERROR(__xludf.DUMMYFUNCTION("IFERROR(VLOOKUP(A209,IMPORTRANGE(""1QaxxyUjrDq2kgz300C1Bq1tacFk6e-xX218cSXCQUK0"",""Form Responses 1!B:C""),2,FALSE),)"),"")</f>
        <v/>
      </c>
      <c r="F209" s="70" t="str">
        <f>IFERROR(__xludf.DUMMYFUNCTION("IFERROR(VLOOKUP(A209,IMPORTRANGE(""1fn2ECph_y8Uz78DhjLaiXcwgt6kh3oe-0Le36Uw0noE"",""Form Responses 1!B:C""),2,FALSE),)"),"")</f>
        <v/>
      </c>
      <c r="G209" s="70"/>
      <c r="H209" s="70"/>
      <c r="I209" s="70"/>
      <c r="J209" s="70"/>
      <c r="K209" s="70"/>
      <c r="L209" s="70"/>
      <c r="M209" s="70"/>
      <c r="N209" s="70"/>
      <c r="O209" s="70"/>
      <c r="P209" s="70"/>
      <c r="Q209" s="70" t="str">
        <f>IFERROR(__xludf.DUMMYFUNCTION("IFERROR(IF(COUNTIF(IMPORTRANGE(""1WjiLR_MTMxI_IZUKuvPO4Sg2rTSIqBzP3edakSRXbOA"",""Form Responses 1!B:B""),F209)&gt;0,10,),0)"),"")</f>
        <v/>
      </c>
      <c r="R209" s="70" t="str">
        <f>IFERROR(__xludf.DUMMYFUNCTION("IFERROR(VLOOKUP(F209,IMPORTRANGE(""1Ixzbal5tEbtWhozsFEppQzOYE6ZSrkNXHg_HW5k3Wt4"",""Form Responses 1!B:C""),2,FALSE),)"),"")</f>
        <v/>
      </c>
      <c r="S209" s="70" t="str">
        <f>IFERROR(__xludf.DUMMYFUNCTION("IFERROR(VLOOKUP(F209,IMPORTRANGE(""1zxjtEKGvVIJPIDqZdnxENwVpPXYa88EihzyI44hcQUo"",""Form Responses 1!B:C""),2,FALSE),)"),"")</f>
        <v/>
      </c>
      <c r="T209" s="70" t="str">
        <f>IFERROR(__xludf.DUMMYFUNCTION("IFERROR(VLOOKUP(F209,IMPORTRANGE(""1H3cO01obd5zFULYqaT5NAqecZBFFIHeDFn4CeQLZF3w"",""Form Responses 1!B:C""),2,FALSE),)"),"")</f>
        <v/>
      </c>
      <c r="U209" s="70" t="str">
        <f>IFERROR(__xludf.DUMMYFUNCTION("IFERROR(IF(COUNTIF(IMPORTRANGE(""1IG9qoa6PeLdDDFzKpW39lxXshN0-M8Z25a_R1EpsYyg"",""Form Responses 1!B:B""),F209)&gt;0,10,),0)"),"")</f>
        <v/>
      </c>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row>
    <row r="210">
      <c r="B210" s="70" t="str">
        <f>IFERROR(__xludf.DUMMYFUNCTION("IFERROR(IF(COUNTIF(IMPORTRANGE(""1RTcwEJsI_0aJRebhNwO_H_AoKl9r46k7hWYbtciIyM4"",""Form Responses 1!B:B""),A210)&gt;0,10,),0)"),"")</f>
        <v/>
      </c>
      <c r="C210" s="70" t="str">
        <f>IFERROR(__xludf.DUMMYFUNCTION("IFERROR(VLOOKUP(A210,IMPORTRANGE(""11i8IUhq_U6RRKRV3CBWIKqYed_fMvFgNUHTq1YDJfp8"",""Form Responses 1!B:C""),2,FALSE),)"),"")</f>
        <v/>
      </c>
      <c r="D210" s="70" t="str">
        <f>IFERROR(__xludf.DUMMYFUNCTION("IFERROR(VLOOKUP(A210,IMPORTRANGE(""1StiHxuxrFhYdrq5WLR2JMORicW0TbnJf3J-oTHeMRtM"",""Form Responses 1!B:C""),2,FALSE),)"),"")</f>
        <v/>
      </c>
      <c r="E210" s="70" t="str">
        <f>IFERROR(__xludf.DUMMYFUNCTION("IFERROR(VLOOKUP(A210,IMPORTRANGE(""1QaxxyUjrDq2kgz300C1Bq1tacFk6e-xX218cSXCQUK0"",""Form Responses 1!B:C""),2,FALSE),)"),"")</f>
        <v/>
      </c>
      <c r="F210" s="70" t="str">
        <f>IFERROR(__xludf.DUMMYFUNCTION("IFERROR(VLOOKUP(A210,IMPORTRANGE(""1fn2ECph_y8Uz78DhjLaiXcwgt6kh3oe-0Le36Uw0noE"",""Form Responses 1!B:C""),2,FALSE),)"),"")</f>
        <v/>
      </c>
      <c r="G210" s="70"/>
      <c r="H210" s="70"/>
      <c r="I210" s="70"/>
      <c r="J210" s="70"/>
      <c r="K210" s="70"/>
      <c r="L210" s="70"/>
      <c r="M210" s="70"/>
      <c r="N210" s="70"/>
      <c r="O210" s="70"/>
      <c r="P210" s="70"/>
      <c r="Q210" s="70" t="str">
        <f>IFERROR(__xludf.DUMMYFUNCTION("IFERROR(IF(COUNTIF(IMPORTRANGE(""1WjiLR_MTMxI_IZUKuvPO4Sg2rTSIqBzP3edakSRXbOA"",""Form Responses 1!B:B""),F210)&gt;0,10,),0)"),"")</f>
        <v/>
      </c>
      <c r="R210" s="70" t="str">
        <f>IFERROR(__xludf.DUMMYFUNCTION("IFERROR(VLOOKUP(F210,IMPORTRANGE(""1Ixzbal5tEbtWhozsFEppQzOYE6ZSrkNXHg_HW5k3Wt4"",""Form Responses 1!B:C""),2,FALSE),)"),"")</f>
        <v/>
      </c>
      <c r="S210" s="70" t="str">
        <f>IFERROR(__xludf.DUMMYFUNCTION("IFERROR(VLOOKUP(F210,IMPORTRANGE(""1zxjtEKGvVIJPIDqZdnxENwVpPXYa88EihzyI44hcQUo"",""Form Responses 1!B:C""),2,FALSE),)"),"")</f>
        <v/>
      </c>
      <c r="T210" s="70" t="str">
        <f>IFERROR(__xludf.DUMMYFUNCTION("IFERROR(VLOOKUP(F210,IMPORTRANGE(""1H3cO01obd5zFULYqaT5NAqecZBFFIHeDFn4CeQLZF3w"",""Form Responses 1!B:C""),2,FALSE),)"),"")</f>
        <v/>
      </c>
      <c r="U210" s="70" t="str">
        <f>IFERROR(__xludf.DUMMYFUNCTION("IFERROR(IF(COUNTIF(IMPORTRANGE(""1IG9qoa6PeLdDDFzKpW39lxXshN0-M8Z25a_R1EpsYyg"",""Form Responses 1!B:B""),F210)&gt;0,10,),0)"),"")</f>
        <v/>
      </c>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row>
    <row r="211">
      <c r="B211" s="70" t="str">
        <f>IFERROR(__xludf.DUMMYFUNCTION("IFERROR(IF(COUNTIF(IMPORTRANGE(""1RTcwEJsI_0aJRebhNwO_H_AoKl9r46k7hWYbtciIyM4"",""Form Responses 1!B:B""),A211)&gt;0,10,),0)"),"")</f>
        <v/>
      </c>
      <c r="C211" s="70" t="str">
        <f>IFERROR(__xludf.DUMMYFUNCTION("IFERROR(VLOOKUP(A211,IMPORTRANGE(""11i8IUhq_U6RRKRV3CBWIKqYed_fMvFgNUHTq1YDJfp8"",""Form Responses 1!B:C""),2,FALSE),)"),"")</f>
        <v/>
      </c>
      <c r="D211" s="70" t="str">
        <f>IFERROR(__xludf.DUMMYFUNCTION("IFERROR(VLOOKUP(A211,IMPORTRANGE(""1StiHxuxrFhYdrq5WLR2JMORicW0TbnJf3J-oTHeMRtM"",""Form Responses 1!B:C""),2,FALSE),)"),"")</f>
        <v/>
      </c>
      <c r="E211" s="70" t="str">
        <f>IFERROR(__xludf.DUMMYFUNCTION("IFERROR(VLOOKUP(A211,IMPORTRANGE(""1QaxxyUjrDq2kgz300C1Bq1tacFk6e-xX218cSXCQUK0"",""Form Responses 1!B:C""),2,FALSE),)"),"")</f>
        <v/>
      </c>
      <c r="F211" s="70" t="str">
        <f>IFERROR(__xludf.DUMMYFUNCTION("IFERROR(VLOOKUP(A211,IMPORTRANGE(""1fn2ECph_y8Uz78DhjLaiXcwgt6kh3oe-0Le36Uw0noE"",""Form Responses 1!B:C""),2,FALSE),)"),"")</f>
        <v/>
      </c>
      <c r="G211" s="70"/>
      <c r="H211" s="70"/>
      <c r="I211" s="70"/>
      <c r="J211" s="70"/>
      <c r="K211" s="70"/>
      <c r="L211" s="70"/>
      <c r="M211" s="70"/>
      <c r="N211" s="70"/>
      <c r="O211" s="70"/>
      <c r="P211" s="70"/>
      <c r="Q211" s="70" t="str">
        <f>IFERROR(__xludf.DUMMYFUNCTION("IFERROR(IF(COUNTIF(IMPORTRANGE(""1WjiLR_MTMxI_IZUKuvPO4Sg2rTSIqBzP3edakSRXbOA"",""Form Responses 1!B:B""),F211)&gt;0,10,),0)"),"")</f>
        <v/>
      </c>
      <c r="R211" s="70" t="str">
        <f>IFERROR(__xludf.DUMMYFUNCTION("IFERROR(VLOOKUP(F211,IMPORTRANGE(""1Ixzbal5tEbtWhozsFEppQzOYE6ZSrkNXHg_HW5k3Wt4"",""Form Responses 1!B:C""),2,FALSE),)"),"")</f>
        <v/>
      </c>
      <c r="S211" s="70" t="str">
        <f>IFERROR(__xludf.DUMMYFUNCTION("IFERROR(VLOOKUP(F211,IMPORTRANGE(""1zxjtEKGvVIJPIDqZdnxENwVpPXYa88EihzyI44hcQUo"",""Form Responses 1!B:C""),2,FALSE),)"),"")</f>
        <v/>
      </c>
      <c r="T211" s="70" t="str">
        <f>IFERROR(__xludf.DUMMYFUNCTION("IFERROR(VLOOKUP(F211,IMPORTRANGE(""1H3cO01obd5zFULYqaT5NAqecZBFFIHeDFn4CeQLZF3w"",""Form Responses 1!B:C""),2,FALSE),)"),"")</f>
        <v/>
      </c>
      <c r="U211" s="70" t="str">
        <f>IFERROR(__xludf.DUMMYFUNCTION("IFERROR(IF(COUNTIF(IMPORTRANGE(""1IG9qoa6PeLdDDFzKpW39lxXshN0-M8Z25a_R1EpsYyg"",""Form Responses 1!B:B""),F211)&gt;0,10,),0)"),"")</f>
        <v/>
      </c>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row>
    <row r="212">
      <c r="B212" s="70" t="str">
        <f>IFERROR(__xludf.DUMMYFUNCTION("IFERROR(IF(COUNTIF(IMPORTRANGE(""1RTcwEJsI_0aJRebhNwO_H_AoKl9r46k7hWYbtciIyM4"",""Form Responses 1!B:B""),A212)&gt;0,10,),0)"),"")</f>
        <v/>
      </c>
      <c r="C212" s="70" t="str">
        <f>IFERROR(__xludf.DUMMYFUNCTION("IFERROR(VLOOKUP(A212,IMPORTRANGE(""11i8IUhq_U6RRKRV3CBWIKqYed_fMvFgNUHTq1YDJfp8"",""Form Responses 1!B:C""),2,FALSE),)"),"")</f>
        <v/>
      </c>
      <c r="D212" s="70" t="str">
        <f>IFERROR(__xludf.DUMMYFUNCTION("IFERROR(VLOOKUP(A212,IMPORTRANGE(""1StiHxuxrFhYdrq5WLR2JMORicW0TbnJf3J-oTHeMRtM"",""Form Responses 1!B:C""),2,FALSE),)"),"")</f>
        <v/>
      </c>
      <c r="E212" s="70" t="str">
        <f>IFERROR(__xludf.DUMMYFUNCTION("IFERROR(VLOOKUP(A212,IMPORTRANGE(""1QaxxyUjrDq2kgz300C1Bq1tacFk6e-xX218cSXCQUK0"",""Form Responses 1!B:C""),2,FALSE),)"),"")</f>
        <v/>
      </c>
      <c r="F212" s="70" t="str">
        <f>IFERROR(__xludf.DUMMYFUNCTION("IFERROR(VLOOKUP(A212,IMPORTRANGE(""1fn2ECph_y8Uz78DhjLaiXcwgt6kh3oe-0Le36Uw0noE"",""Form Responses 1!B:C""),2,FALSE),)"),"")</f>
        <v/>
      </c>
      <c r="G212" s="70"/>
      <c r="H212" s="70"/>
      <c r="I212" s="70"/>
      <c r="J212" s="70"/>
      <c r="K212" s="70"/>
      <c r="L212" s="70"/>
      <c r="M212" s="70"/>
      <c r="N212" s="70"/>
      <c r="O212" s="70"/>
      <c r="P212" s="70"/>
      <c r="Q212" s="70" t="str">
        <f>IFERROR(__xludf.DUMMYFUNCTION("IFERROR(IF(COUNTIF(IMPORTRANGE(""1WjiLR_MTMxI_IZUKuvPO4Sg2rTSIqBzP3edakSRXbOA"",""Form Responses 1!B:B""),F212)&gt;0,10,),0)"),"")</f>
        <v/>
      </c>
      <c r="R212" s="70" t="str">
        <f>IFERROR(__xludf.DUMMYFUNCTION("IFERROR(VLOOKUP(F212,IMPORTRANGE(""1Ixzbal5tEbtWhozsFEppQzOYE6ZSrkNXHg_HW5k3Wt4"",""Form Responses 1!B:C""),2,FALSE),)"),"")</f>
        <v/>
      </c>
      <c r="S212" s="70" t="str">
        <f>IFERROR(__xludf.DUMMYFUNCTION("IFERROR(VLOOKUP(F212,IMPORTRANGE(""1zxjtEKGvVIJPIDqZdnxENwVpPXYa88EihzyI44hcQUo"",""Form Responses 1!B:C""),2,FALSE),)"),"")</f>
        <v/>
      </c>
      <c r="T212" s="70" t="str">
        <f>IFERROR(__xludf.DUMMYFUNCTION("IFERROR(VLOOKUP(F212,IMPORTRANGE(""1H3cO01obd5zFULYqaT5NAqecZBFFIHeDFn4CeQLZF3w"",""Form Responses 1!B:C""),2,FALSE),)"),"")</f>
        <v/>
      </c>
      <c r="U212" s="70" t="str">
        <f>IFERROR(__xludf.DUMMYFUNCTION("IFERROR(IF(COUNTIF(IMPORTRANGE(""1IG9qoa6PeLdDDFzKpW39lxXshN0-M8Z25a_R1EpsYyg"",""Form Responses 1!B:B""),F212)&gt;0,10,),0)"),"")</f>
        <v/>
      </c>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row>
    <row r="213">
      <c r="B213" s="70" t="str">
        <f>IFERROR(__xludf.DUMMYFUNCTION("IFERROR(IF(COUNTIF(IMPORTRANGE(""1RTcwEJsI_0aJRebhNwO_H_AoKl9r46k7hWYbtciIyM4"",""Form Responses 1!B:B""),A213)&gt;0,10,),0)"),"")</f>
        <v/>
      </c>
      <c r="C213" s="70" t="str">
        <f>IFERROR(__xludf.DUMMYFUNCTION("IFERROR(VLOOKUP(A213,IMPORTRANGE(""11i8IUhq_U6RRKRV3CBWIKqYed_fMvFgNUHTq1YDJfp8"",""Form Responses 1!B:C""),2,FALSE),)"),"")</f>
        <v/>
      </c>
      <c r="D213" s="70" t="str">
        <f>IFERROR(__xludf.DUMMYFUNCTION("IFERROR(VLOOKUP(A213,IMPORTRANGE(""1StiHxuxrFhYdrq5WLR2JMORicW0TbnJf3J-oTHeMRtM"",""Form Responses 1!B:C""),2,FALSE),)"),"")</f>
        <v/>
      </c>
      <c r="E213" s="70" t="str">
        <f>IFERROR(__xludf.DUMMYFUNCTION("IFERROR(VLOOKUP(A213,IMPORTRANGE(""1QaxxyUjrDq2kgz300C1Bq1tacFk6e-xX218cSXCQUK0"",""Form Responses 1!B:C""),2,FALSE),)"),"")</f>
        <v/>
      </c>
      <c r="F213" s="70" t="str">
        <f>IFERROR(__xludf.DUMMYFUNCTION("IFERROR(VLOOKUP(A213,IMPORTRANGE(""1fn2ECph_y8Uz78DhjLaiXcwgt6kh3oe-0Le36Uw0noE"",""Form Responses 1!B:C""),2,FALSE),)"),"")</f>
        <v/>
      </c>
      <c r="G213" s="70"/>
      <c r="H213" s="70"/>
      <c r="I213" s="70"/>
      <c r="J213" s="70"/>
      <c r="K213" s="70"/>
      <c r="L213" s="70"/>
      <c r="M213" s="70"/>
      <c r="N213" s="70"/>
      <c r="O213" s="70"/>
      <c r="P213" s="70"/>
      <c r="Q213" s="70" t="str">
        <f>IFERROR(__xludf.DUMMYFUNCTION("IFERROR(IF(COUNTIF(IMPORTRANGE(""1WjiLR_MTMxI_IZUKuvPO4Sg2rTSIqBzP3edakSRXbOA"",""Form Responses 1!B:B""),F213)&gt;0,10,),0)"),"")</f>
        <v/>
      </c>
      <c r="R213" s="70" t="str">
        <f>IFERROR(__xludf.DUMMYFUNCTION("IFERROR(VLOOKUP(F213,IMPORTRANGE(""1Ixzbal5tEbtWhozsFEppQzOYE6ZSrkNXHg_HW5k3Wt4"",""Form Responses 1!B:C""),2,FALSE),)"),"")</f>
        <v/>
      </c>
      <c r="S213" s="70" t="str">
        <f>IFERROR(__xludf.DUMMYFUNCTION("IFERROR(VLOOKUP(F213,IMPORTRANGE(""1zxjtEKGvVIJPIDqZdnxENwVpPXYa88EihzyI44hcQUo"",""Form Responses 1!B:C""),2,FALSE),)"),"")</f>
        <v/>
      </c>
      <c r="T213" s="70" t="str">
        <f>IFERROR(__xludf.DUMMYFUNCTION("IFERROR(VLOOKUP(F213,IMPORTRANGE(""1H3cO01obd5zFULYqaT5NAqecZBFFIHeDFn4CeQLZF3w"",""Form Responses 1!B:C""),2,FALSE),)"),"")</f>
        <v/>
      </c>
      <c r="U213" s="70" t="str">
        <f>IFERROR(__xludf.DUMMYFUNCTION("IFERROR(IF(COUNTIF(IMPORTRANGE(""1IG9qoa6PeLdDDFzKpW39lxXshN0-M8Z25a_R1EpsYyg"",""Form Responses 1!B:B""),F213)&gt;0,10,),0)"),"")</f>
        <v/>
      </c>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row>
    <row r="214">
      <c r="B214" s="70" t="str">
        <f>IFERROR(__xludf.DUMMYFUNCTION("IFERROR(IF(COUNTIF(IMPORTRANGE(""1RTcwEJsI_0aJRebhNwO_H_AoKl9r46k7hWYbtciIyM4"",""Form Responses 1!B:B""),A214)&gt;0,10,),0)"),"")</f>
        <v/>
      </c>
      <c r="C214" s="70" t="str">
        <f>IFERROR(__xludf.DUMMYFUNCTION("IFERROR(VLOOKUP(A214,IMPORTRANGE(""11i8IUhq_U6RRKRV3CBWIKqYed_fMvFgNUHTq1YDJfp8"",""Form Responses 1!B:C""),2,FALSE),)"),"")</f>
        <v/>
      </c>
      <c r="D214" s="70" t="str">
        <f>IFERROR(__xludf.DUMMYFUNCTION("IFERROR(VLOOKUP(A214,IMPORTRANGE(""1StiHxuxrFhYdrq5WLR2JMORicW0TbnJf3J-oTHeMRtM"",""Form Responses 1!B:C""),2,FALSE),)"),"")</f>
        <v/>
      </c>
      <c r="E214" s="70" t="str">
        <f>IFERROR(__xludf.DUMMYFUNCTION("IFERROR(VLOOKUP(A214,IMPORTRANGE(""1QaxxyUjrDq2kgz300C1Bq1tacFk6e-xX218cSXCQUK0"",""Form Responses 1!B:C""),2,FALSE),)"),"")</f>
        <v/>
      </c>
      <c r="F214" s="70" t="str">
        <f>IFERROR(__xludf.DUMMYFUNCTION("IFERROR(VLOOKUP(A214,IMPORTRANGE(""1fn2ECph_y8Uz78DhjLaiXcwgt6kh3oe-0Le36Uw0noE"",""Form Responses 1!B:C""),2,FALSE),)"),"")</f>
        <v/>
      </c>
      <c r="G214" s="70"/>
      <c r="H214" s="70"/>
      <c r="I214" s="70"/>
      <c r="J214" s="70"/>
      <c r="K214" s="70"/>
      <c r="L214" s="70"/>
      <c r="M214" s="70"/>
      <c r="N214" s="70"/>
      <c r="O214" s="70"/>
      <c r="P214" s="70"/>
      <c r="Q214" s="70" t="str">
        <f>IFERROR(__xludf.DUMMYFUNCTION("IFERROR(IF(COUNTIF(IMPORTRANGE(""1WjiLR_MTMxI_IZUKuvPO4Sg2rTSIqBzP3edakSRXbOA"",""Form Responses 1!B:B""),F214)&gt;0,10,),0)"),"")</f>
        <v/>
      </c>
      <c r="R214" s="70" t="str">
        <f>IFERROR(__xludf.DUMMYFUNCTION("IFERROR(VLOOKUP(F214,IMPORTRANGE(""1Ixzbal5tEbtWhozsFEppQzOYE6ZSrkNXHg_HW5k3Wt4"",""Form Responses 1!B:C""),2,FALSE),)"),"")</f>
        <v/>
      </c>
      <c r="S214" s="70" t="str">
        <f>IFERROR(__xludf.DUMMYFUNCTION("IFERROR(VLOOKUP(F214,IMPORTRANGE(""1zxjtEKGvVIJPIDqZdnxENwVpPXYa88EihzyI44hcQUo"",""Form Responses 1!B:C""),2,FALSE),)"),"")</f>
        <v/>
      </c>
      <c r="T214" s="70" t="str">
        <f>IFERROR(__xludf.DUMMYFUNCTION("IFERROR(VLOOKUP(F214,IMPORTRANGE(""1H3cO01obd5zFULYqaT5NAqecZBFFIHeDFn4CeQLZF3w"",""Form Responses 1!B:C""),2,FALSE),)"),"")</f>
        <v/>
      </c>
      <c r="U214" s="70" t="str">
        <f>IFERROR(__xludf.DUMMYFUNCTION("IFERROR(IF(COUNTIF(IMPORTRANGE(""1IG9qoa6PeLdDDFzKpW39lxXshN0-M8Z25a_R1EpsYyg"",""Form Responses 1!B:B""),F214)&gt;0,10,),0)"),"")</f>
        <v/>
      </c>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row>
    <row r="215">
      <c r="B215" s="70" t="str">
        <f>IFERROR(__xludf.DUMMYFUNCTION("IFERROR(IF(COUNTIF(IMPORTRANGE(""1RTcwEJsI_0aJRebhNwO_H_AoKl9r46k7hWYbtciIyM4"",""Form Responses 1!B:B""),A215)&gt;0,10,),0)"),"")</f>
        <v/>
      </c>
      <c r="C215" s="70" t="str">
        <f>IFERROR(__xludf.DUMMYFUNCTION("IFERROR(VLOOKUP(A215,IMPORTRANGE(""11i8IUhq_U6RRKRV3CBWIKqYed_fMvFgNUHTq1YDJfp8"",""Form Responses 1!B:C""),2,FALSE),)"),"")</f>
        <v/>
      </c>
      <c r="D215" s="70" t="str">
        <f>IFERROR(__xludf.DUMMYFUNCTION("IFERROR(VLOOKUP(A215,IMPORTRANGE(""1StiHxuxrFhYdrq5WLR2JMORicW0TbnJf3J-oTHeMRtM"",""Form Responses 1!B:C""),2,FALSE),)"),"")</f>
        <v/>
      </c>
      <c r="E215" s="70" t="str">
        <f>IFERROR(__xludf.DUMMYFUNCTION("IFERROR(VLOOKUP(A215,IMPORTRANGE(""1QaxxyUjrDq2kgz300C1Bq1tacFk6e-xX218cSXCQUK0"",""Form Responses 1!B:C""),2,FALSE),)"),"")</f>
        <v/>
      </c>
      <c r="F215" s="70" t="str">
        <f>IFERROR(__xludf.DUMMYFUNCTION("IFERROR(VLOOKUP(A215,IMPORTRANGE(""1fn2ECph_y8Uz78DhjLaiXcwgt6kh3oe-0Le36Uw0noE"",""Form Responses 1!B:C""),2,FALSE),)"),"")</f>
        <v/>
      </c>
      <c r="G215" s="70"/>
      <c r="H215" s="70"/>
      <c r="I215" s="70"/>
      <c r="J215" s="70"/>
      <c r="K215" s="70"/>
      <c r="L215" s="70"/>
      <c r="M215" s="70"/>
      <c r="N215" s="70"/>
      <c r="O215" s="70"/>
      <c r="P215" s="70"/>
      <c r="Q215" s="70" t="str">
        <f>IFERROR(__xludf.DUMMYFUNCTION("IFERROR(IF(COUNTIF(IMPORTRANGE(""1WjiLR_MTMxI_IZUKuvPO4Sg2rTSIqBzP3edakSRXbOA"",""Form Responses 1!B:B""),F215)&gt;0,10,),0)"),"")</f>
        <v/>
      </c>
      <c r="R215" s="70" t="str">
        <f>IFERROR(__xludf.DUMMYFUNCTION("IFERROR(VLOOKUP(F215,IMPORTRANGE(""1Ixzbal5tEbtWhozsFEppQzOYE6ZSrkNXHg_HW5k3Wt4"",""Form Responses 1!B:C""),2,FALSE),)"),"")</f>
        <v/>
      </c>
      <c r="S215" s="70" t="str">
        <f>IFERROR(__xludf.DUMMYFUNCTION("IFERROR(VLOOKUP(F215,IMPORTRANGE(""1zxjtEKGvVIJPIDqZdnxENwVpPXYa88EihzyI44hcQUo"",""Form Responses 1!B:C""),2,FALSE),)"),"")</f>
        <v/>
      </c>
      <c r="T215" s="70" t="str">
        <f>IFERROR(__xludf.DUMMYFUNCTION("IFERROR(VLOOKUP(F215,IMPORTRANGE(""1H3cO01obd5zFULYqaT5NAqecZBFFIHeDFn4CeQLZF3w"",""Form Responses 1!B:C""),2,FALSE),)"),"")</f>
        <v/>
      </c>
      <c r="U215" s="70" t="str">
        <f>IFERROR(__xludf.DUMMYFUNCTION("IFERROR(IF(COUNTIF(IMPORTRANGE(""1IG9qoa6PeLdDDFzKpW39lxXshN0-M8Z25a_R1EpsYyg"",""Form Responses 1!B:B""),F215)&gt;0,10,),0)"),"")</f>
        <v/>
      </c>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row>
    <row r="216">
      <c r="B216" s="70" t="str">
        <f>IFERROR(__xludf.DUMMYFUNCTION("IFERROR(IF(COUNTIF(IMPORTRANGE(""1RTcwEJsI_0aJRebhNwO_H_AoKl9r46k7hWYbtciIyM4"",""Form Responses 1!B:B""),A216)&gt;0,10,),0)"),"")</f>
        <v/>
      </c>
      <c r="C216" s="70" t="str">
        <f>IFERROR(__xludf.DUMMYFUNCTION("IFERROR(VLOOKUP(A216,IMPORTRANGE(""11i8IUhq_U6RRKRV3CBWIKqYed_fMvFgNUHTq1YDJfp8"",""Form Responses 1!B:C""),2,FALSE),)"),"")</f>
        <v/>
      </c>
      <c r="D216" s="70" t="str">
        <f>IFERROR(__xludf.DUMMYFUNCTION("IFERROR(VLOOKUP(A216,IMPORTRANGE(""1StiHxuxrFhYdrq5WLR2JMORicW0TbnJf3J-oTHeMRtM"",""Form Responses 1!B:C""),2,FALSE),)"),"")</f>
        <v/>
      </c>
      <c r="E216" s="70" t="str">
        <f>IFERROR(__xludf.DUMMYFUNCTION("IFERROR(VLOOKUP(A216,IMPORTRANGE(""1QaxxyUjrDq2kgz300C1Bq1tacFk6e-xX218cSXCQUK0"",""Form Responses 1!B:C""),2,FALSE),)"),"")</f>
        <v/>
      </c>
      <c r="F216" s="70" t="str">
        <f>IFERROR(__xludf.DUMMYFUNCTION("IFERROR(VLOOKUP(A216,IMPORTRANGE(""1fn2ECph_y8Uz78DhjLaiXcwgt6kh3oe-0Le36Uw0noE"",""Form Responses 1!B:C""),2,FALSE),)"),"")</f>
        <v/>
      </c>
      <c r="G216" s="70"/>
      <c r="H216" s="70"/>
      <c r="I216" s="70"/>
      <c r="J216" s="70"/>
      <c r="K216" s="70"/>
      <c r="L216" s="70"/>
      <c r="M216" s="70"/>
      <c r="N216" s="70"/>
      <c r="O216" s="70"/>
      <c r="P216" s="70"/>
      <c r="Q216" s="70" t="str">
        <f>IFERROR(__xludf.DUMMYFUNCTION("IFERROR(IF(COUNTIF(IMPORTRANGE(""1WjiLR_MTMxI_IZUKuvPO4Sg2rTSIqBzP3edakSRXbOA"",""Form Responses 1!B:B""),F216)&gt;0,10,),0)"),"")</f>
        <v/>
      </c>
      <c r="R216" s="70" t="str">
        <f>IFERROR(__xludf.DUMMYFUNCTION("IFERROR(VLOOKUP(F216,IMPORTRANGE(""1Ixzbal5tEbtWhozsFEppQzOYE6ZSrkNXHg_HW5k3Wt4"",""Form Responses 1!B:C""),2,FALSE),)"),"")</f>
        <v/>
      </c>
      <c r="S216" s="70" t="str">
        <f>IFERROR(__xludf.DUMMYFUNCTION("IFERROR(VLOOKUP(F216,IMPORTRANGE(""1zxjtEKGvVIJPIDqZdnxENwVpPXYa88EihzyI44hcQUo"",""Form Responses 1!B:C""),2,FALSE),)"),"")</f>
        <v/>
      </c>
      <c r="T216" s="70" t="str">
        <f>IFERROR(__xludf.DUMMYFUNCTION("IFERROR(VLOOKUP(F216,IMPORTRANGE(""1H3cO01obd5zFULYqaT5NAqecZBFFIHeDFn4CeQLZF3w"",""Form Responses 1!B:C""),2,FALSE),)"),"")</f>
        <v/>
      </c>
      <c r="U216" s="70" t="str">
        <f>IFERROR(__xludf.DUMMYFUNCTION("IFERROR(IF(COUNTIF(IMPORTRANGE(""1IG9qoa6PeLdDDFzKpW39lxXshN0-M8Z25a_R1EpsYyg"",""Form Responses 1!B:B""),F216)&gt;0,10,),0)"),"")</f>
        <v/>
      </c>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row>
    <row r="217">
      <c r="B217" s="70" t="str">
        <f>IFERROR(__xludf.DUMMYFUNCTION("IFERROR(IF(COUNTIF(IMPORTRANGE(""1RTcwEJsI_0aJRebhNwO_H_AoKl9r46k7hWYbtciIyM4"",""Form Responses 1!B:B""),A217)&gt;0,10,),0)"),"")</f>
        <v/>
      </c>
      <c r="C217" s="70" t="str">
        <f>IFERROR(__xludf.DUMMYFUNCTION("IFERROR(VLOOKUP(A217,IMPORTRANGE(""11i8IUhq_U6RRKRV3CBWIKqYed_fMvFgNUHTq1YDJfp8"",""Form Responses 1!B:C""),2,FALSE),)"),"")</f>
        <v/>
      </c>
      <c r="D217" s="70" t="str">
        <f>IFERROR(__xludf.DUMMYFUNCTION("IFERROR(VLOOKUP(A217,IMPORTRANGE(""1StiHxuxrFhYdrq5WLR2JMORicW0TbnJf3J-oTHeMRtM"",""Form Responses 1!B:C""),2,FALSE),)"),"")</f>
        <v/>
      </c>
      <c r="E217" s="70" t="str">
        <f>IFERROR(__xludf.DUMMYFUNCTION("IFERROR(VLOOKUP(A217,IMPORTRANGE(""1QaxxyUjrDq2kgz300C1Bq1tacFk6e-xX218cSXCQUK0"",""Form Responses 1!B:C""),2,FALSE),)"),"")</f>
        <v/>
      </c>
      <c r="F217" s="70" t="str">
        <f>IFERROR(__xludf.DUMMYFUNCTION("IFERROR(VLOOKUP(A217,IMPORTRANGE(""1fn2ECph_y8Uz78DhjLaiXcwgt6kh3oe-0Le36Uw0noE"",""Form Responses 1!B:C""),2,FALSE),)"),"")</f>
        <v/>
      </c>
      <c r="G217" s="70"/>
      <c r="H217" s="70"/>
      <c r="I217" s="70"/>
      <c r="J217" s="70"/>
      <c r="K217" s="70"/>
      <c r="L217" s="70"/>
      <c r="M217" s="70"/>
      <c r="N217" s="70"/>
      <c r="O217" s="70"/>
      <c r="P217" s="70"/>
      <c r="Q217" s="70" t="str">
        <f>IFERROR(__xludf.DUMMYFUNCTION("IFERROR(IF(COUNTIF(IMPORTRANGE(""1WjiLR_MTMxI_IZUKuvPO4Sg2rTSIqBzP3edakSRXbOA"",""Form Responses 1!B:B""),F217)&gt;0,10,),0)"),"")</f>
        <v/>
      </c>
      <c r="R217" s="70" t="str">
        <f>IFERROR(__xludf.DUMMYFUNCTION("IFERROR(VLOOKUP(F217,IMPORTRANGE(""1Ixzbal5tEbtWhozsFEppQzOYE6ZSrkNXHg_HW5k3Wt4"",""Form Responses 1!B:C""),2,FALSE),)"),"")</f>
        <v/>
      </c>
      <c r="S217" s="70" t="str">
        <f>IFERROR(__xludf.DUMMYFUNCTION("IFERROR(VLOOKUP(F217,IMPORTRANGE(""1zxjtEKGvVIJPIDqZdnxENwVpPXYa88EihzyI44hcQUo"",""Form Responses 1!B:C""),2,FALSE),)"),"")</f>
        <v/>
      </c>
      <c r="T217" s="70" t="str">
        <f>IFERROR(__xludf.DUMMYFUNCTION("IFERROR(VLOOKUP(F217,IMPORTRANGE(""1H3cO01obd5zFULYqaT5NAqecZBFFIHeDFn4CeQLZF3w"",""Form Responses 1!B:C""),2,FALSE),)"),"")</f>
        <v/>
      </c>
      <c r="U217" s="70" t="str">
        <f>IFERROR(__xludf.DUMMYFUNCTION("IFERROR(IF(COUNTIF(IMPORTRANGE(""1IG9qoa6PeLdDDFzKpW39lxXshN0-M8Z25a_R1EpsYyg"",""Form Responses 1!B:B""),F217)&gt;0,10,),0)"),"")</f>
        <v/>
      </c>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row>
    <row r="218">
      <c r="B218" s="70" t="str">
        <f>IFERROR(__xludf.DUMMYFUNCTION("IFERROR(IF(COUNTIF(IMPORTRANGE(""1RTcwEJsI_0aJRebhNwO_H_AoKl9r46k7hWYbtciIyM4"",""Form Responses 1!B:B""),A218)&gt;0,10,),0)"),"")</f>
        <v/>
      </c>
      <c r="C218" s="70" t="str">
        <f>IFERROR(__xludf.DUMMYFUNCTION("IFERROR(VLOOKUP(A218,IMPORTRANGE(""11i8IUhq_U6RRKRV3CBWIKqYed_fMvFgNUHTq1YDJfp8"",""Form Responses 1!B:C""),2,FALSE),)"),"")</f>
        <v/>
      </c>
      <c r="D218" s="70" t="str">
        <f>IFERROR(__xludf.DUMMYFUNCTION("IFERROR(VLOOKUP(A218,IMPORTRANGE(""1StiHxuxrFhYdrq5WLR2JMORicW0TbnJf3J-oTHeMRtM"",""Form Responses 1!B:C""),2,FALSE),)"),"")</f>
        <v/>
      </c>
      <c r="E218" s="70" t="str">
        <f>IFERROR(__xludf.DUMMYFUNCTION("IFERROR(VLOOKUP(A218,IMPORTRANGE(""1QaxxyUjrDq2kgz300C1Bq1tacFk6e-xX218cSXCQUK0"",""Form Responses 1!B:C""),2,FALSE),)"),"")</f>
        <v/>
      </c>
      <c r="F218" s="70" t="str">
        <f>IFERROR(__xludf.DUMMYFUNCTION("IFERROR(VLOOKUP(A218,IMPORTRANGE(""1fn2ECph_y8Uz78DhjLaiXcwgt6kh3oe-0Le36Uw0noE"",""Form Responses 1!B:C""),2,FALSE),)"),"")</f>
        <v/>
      </c>
      <c r="G218" s="70"/>
      <c r="H218" s="70"/>
      <c r="I218" s="70"/>
      <c r="J218" s="70"/>
      <c r="K218" s="70"/>
      <c r="L218" s="70"/>
      <c r="M218" s="70"/>
      <c r="N218" s="70"/>
      <c r="O218" s="70"/>
      <c r="P218" s="70"/>
      <c r="Q218" s="70" t="str">
        <f>IFERROR(__xludf.DUMMYFUNCTION("IFERROR(IF(COUNTIF(IMPORTRANGE(""1WjiLR_MTMxI_IZUKuvPO4Sg2rTSIqBzP3edakSRXbOA"",""Form Responses 1!B:B""),F218)&gt;0,10,),0)"),"")</f>
        <v/>
      </c>
      <c r="R218" s="70" t="str">
        <f>IFERROR(__xludf.DUMMYFUNCTION("IFERROR(VLOOKUP(F218,IMPORTRANGE(""1Ixzbal5tEbtWhozsFEppQzOYE6ZSrkNXHg_HW5k3Wt4"",""Form Responses 1!B:C""),2,FALSE),)"),"")</f>
        <v/>
      </c>
      <c r="S218" s="70" t="str">
        <f>IFERROR(__xludf.DUMMYFUNCTION("IFERROR(VLOOKUP(F218,IMPORTRANGE(""1zxjtEKGvVIJPIDqZdnxENwVpPXYa88EihzyI44hcQUo"",""Form Responses 1!B:C""),2,FALSE),)"),"")</f>
        <v/>
      </c>
      <c r="T218" s="70" t="str">
        <f>IFERROR(__xludf.DUMMYFUNCTION("IFERROR(VLOOKUP(F218,IMPORTRANGE(""1H3cO01obd5zFULYqaT5NAqecZBFFIHeDFn4CeQLZF3w"",""Form Responses 1!B:C""),2,FALSE),)"),"")</f>
        <v/>
      </c>
      <c r="U218" s="70" t="str">
        <f>IFERROR(__xludf.DUMMYFUNCTION("IFERROR(IF(COUNTIF(IMPORTRANGE(""1IG9qoa6PeLdDDFzKpW39lxXshN0-M8Z25a_R1EpsYyg"",""Form Responses 1!B:B""),F218)&gt;0,10,),0)"),"")</f>
        <v/>
      </c>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row>
    <row r="219">
      <c r="B219" s="70" t="str">
        <f>IFERROR(__xludf.DUMMYFUNCTION("IFERROR(IF(COUNTIF(IMPORTRANGE(""1RTcwEJsI_0aJRebhNwO_H_AoKl9r46k7hWYbtciIyM4"",""Form Responses 1!B:B""),A219)&gt;0,10,),0)"),"")</f>
        <v/>
      </c>
      <c r="C219" s="70" t="str">
        <f>IFERROR(__xludf.DUMMYFUNCTION("IFERROR(VLOOKUP(A219,IMPORTRANGE(""11i8IUhq_U6RRKRV3CBWIKqYed_fMvFgNUHTq1YDJfp8"",""Form Responses 1!B:C""),2,FALSE),)"),"")</f>
        <v/>
      </c>
      <c r="D219" s="70" t="str">
        <f>IFERROR(__xludf.DUMMYFUNCTION("IFERROR(VLOOKUP(A219,IMPORTRANGE(""1StiHxuxrFhYdrq5WLR2JMORicW0TbnJf3J-oTHeMRtM"",""Form Responses 1!B:C""),2,FALSE),)"),"")</f>
        <v/>
      </c>
      <c r="E219" s="70" t="str">
        <f>IFERROR(__xludf.DUMMYFUNCTION("IFERROR(VLOOKUP(A219,IMPORTRANGE(""1QaxxyUjrDq2kgz300C1Bq1tacFk6e-xX218cSXCQUK0"",""Form Responses 1!B:C""),2,FALSE),)"),"")</f>
        <v/>
      </c>
      <c r="F219" s="70" t="str">
        <f>IFERROR(__xludf.DUMMYFUNCTION("IFERROR(VLOOKUP(A219,IMPORTRANGE(""1fn2ECph_y8Uz78DhjLaiXcwgt6kh3oe-0Le36Uw0noE"",""Form Responses 1!B:C""),2,FALSE),)"),"")</f>
        <v/>
      </c>
      <c r="G219" s="70"/>
      <c r="H219" s="70"/>
      <c r="I219" s="70"/>
      <c r="J219" s="70"/>
      <c r="K219" s="70"/>
      <c r="L219" s="70"/>
      <c r="M219" s="70"/>
      <c r="N219" s="70"/>
      <c r="O219" s="70"/>
      <c r="P219" s="70"/>
      <c r="Q219" s="70" t="str">
        <f>IFERROR(__xludf.DUMMYFUNCTION("IFERROR(IF(COUNTIF(IMPORTRANGE(""1WjiLR_MTMxI_IZUKuvPO4Sg2rTSIqBzP3edakSRXbOA"",""Form Responses 1!B:B""),F219)&gt;0,10,),0)"),"")</f>
        <v/>
      </c>
      <c r="R219" s="70" t="str">
        <f>IFERROR(__xludf.DUMMYFUNCTION("IFERROR(VLOOKUP(F219,IMPORTRANGE(""1Ixzbal5tEbtWhozsFEppQzOYE6ZSrkNXHg_HW5k3Wt4"",""Form Responses 1!B:C""),2,FALSE),)"),"")</f>
        <v/>
      </c>
      <c r="S219" s="70" t="str">
        <f>IFERROR(__xludf.DUMMYFUNCTION("IFERROR(VLOOKUP(F219,IMPORTRANGE(""1zxjtEKGvVIJPIDqZdnxENwVpPXYa88EihzyI44hcQUo"",""Form Responses 1!B:C""),2,FALSE),)"),"")</f>
        <v/>
      </c>
      <c r="T219" s="70" t="str">
        <f>IFERROR(__xludf.DUMMYFUNCTION("IFERROR(VLOOKUP(F219,IMPORTRANGE(""1H3cO01obd5zFULYqaT5NAqecZBFFIHeDFn4CeQLZF3w"",""Form Responses 1!B:C""),2,FALSE),)"),"")</f>
        <v/>
      </c>
      <c r="U219" s="70" t="str">
        <f>IFERROR(__xludf.DUMMYFUNCTION("IFERROR(IF(COUNTIF(IMPORTRANGE(""1IG9qoa6PeLdDDFzKpW39lxXshN0-M8Z25a_R1EpsYyg"",""Form Responses 1!B:B""),F219)&gt;0,10,),0)"),"")</f>
        <v/>
      </c>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row>
    <row r="220">
      <c r="B220" s="70" t="str">
        <f>IFERROR(__xludf.DUMMYFUNCTION("IFERROR(IF(COUNTIF(IMPORTRANGE(""1RTcwEJsI_0aJRebhNwO_H_AoKl9r46k7hWYbtciIyM4"",""Form Responses 1!B:B""),A220)&gt;0,10,),0)"),"")</f>
        <v/>
      </c>
      <c r="C220" s="70" t="str">
        <f>IFERROR(__xludf.DUMMYFUNCTION("IFERROR(VLOOKUP(A220,IMPORTRANGE(""11i8IUhq_U6RRKRV3CBWIKqYed_fMvFgNUHTq1YDJfp8"",""Form Responses 1!B:C""),2,FALSE),)"),"")</f>
        <v/>
      </c>
      <c r="D220" s="70" t="str">
        <f>IFERROR(__xludf.DUMMYFUNCTION("IFERROR(VLOOKUP(A220,IMPORTRANGE(""1StiHxuxrFhYdrq5WLR2JMORicW0TbnJf3J-oTHeMRtM"",""Form Responses 1!B:C""),2,FALSE),)"),"")</f>
        <v/>
      </c>
      <c r="E220" s="70" t="str">
        <f>IFERROR(__xludf.DUMMYFUNCTION("IFERROR(VLOOKUP(A220,IMPORTRANGE(""1QaxxyUjrDq2kgz300C1Bq1tacFk6e-xX218cSXCQUK0"",""Form Responses 1!B:C""),2,FALSE),)"),"")</f>
        <v/>
      </c>
      <c r="F220" s="70" t="str">
        <f>IFERROR(__xludf.DUMMYFUNCTION("IFERROR(VLOOKUP(A220,IMPORTRANGE(""1fn2ECph_y8Uz78DhjLaiXcwgt6kh3oe-0Le36Uw0noE"",""Form Responses 1!B:C""),2,FALSE),)"),"")</f>
        <v/>
      </c>
      <c r="G220" s="70"/>
      <c r="H220" s="70"/>
      <c r="I220" s="70"/>
      <c r="J220" s="70"/>
      <c r="K220" s="70"/>
      <c r="L220" s="70"/>
      <c r="M220" s="70"/>
      <c r="N220" s="70"/>
      <c r="O220" s="70"/>
      <c r="P220" s="70"/>
      <c r="Q220" s="70" t="str">
        <f>IFERROR(__xludf.DUMMYFUNCTION("IFERROR(IF(COUNTIF(IMPORTRANGE(""1WjiLR_MTMxI_IZUKuvPO4Sg2rTSIqBzP3edakSRXbOA"",""Form Responses 1!B:B""),F220)&gt;0,10,),0)"),"")</f>
        <v/>
      </c>
      <c r="R220" s="70" t="str">
        <f>IFERROR(__xludf.DUMMYFUNCTION("IFERROR(VLOOKUP(F220,IMPORTRANGE(""1Ixzbal5tEbtWhozsFEppQzOYE6ZSrkNXHg_HW5k3Wt4"",""Form Responses 1!B:C""),2,FALSE),)"),"")</f>
        <v/>
      </c>
      <c r="S220" s="70" t="str">
        <f>IFERROR(__xludf.DUMMYFUNCTION("IFERROR(VLOOKUP(F220,IMPORTRANGE(""1zxjtEKGvVIJPIDqZdnxENwVpPXYa88EihzyI44hcQUo"",""Form Responses 1!B:C""),2,FALSE),)"),"")</f>
        <v/>
      </c>
      <c r="T220" s="70" t="str">
        <f>IFERROR(__xludf.DUMMYFUNCTION("IFERROR(VLOOKUP(F220,IMPORTRANGE(""1H3cO01obd5zFULYqaT5NAqecZBFFIHeDFn4CeQLZF3w"",""Form Responses 1!B:C""),2,FALSE),)"),"")</f>
        <v/>
      </c>
      <c r="U220" s="70" t="str">
        <f>IFERROR(__xludf.DUMMYFUNCTION("IFERROR(IF(COUNTIF(IMPORTRANGE(""1IG9qoa6PeLdDDFzKpW39lxXshN0-M8Z25a_R1EpsYyg"",""Form Responses 1!B:B""),F220)&gt;0,10,),0)"),"")</f>
        <v/>
      </c>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row>
    <row r="221">
      <c r="B221" s="70" t="str">
        <f>IFERROR(__xludf.DUMMYFUNCTION("IFERROR(IF(COUNTIF(IMPORTRANGE(""1RTcwEJsI_0aJRebhNwO_H_AoKl9r46k7hWYbtciIyM4"",""Form Responses 1!B:B""),A221)&gt;0,10,),0)"),"")</f>
        <v/>
      </c>
      <c r="C221" s="70" t="str">
        <f>IFERROR(__xludf.DUMMYFUNCTION("IFERROR(VLOOKUP(A221,IMPORTRANGE(""11i8IUhq_U6RRKRV3CBWIKqYed_fMvFgNUHTq1YDJfp8"",""Form Responses 1!B:C""),2,FALSE),)"),"")</f>
        <v/>
      </c>
      <c r="D221" s="70" t="str">
        <f>IFERROR(__xludf.DUMMYFUNCTION("IFERROR(VLOOKUP(A221,IMPORTRANGE(""1StiHxuxrFhYdrq5WLR2JMORicW0TbnJf3J-oTHeMRtM"",""Form Responses 1!B:C""),2,FALSE),)"),"")</f>
        <v/>
      </c>
      <c r="E221" s="70" t="str">
        <f>IFERROR(__xludf.DUMMYFUNCTION("IFERROR(VLOOKUP(A221,IMPORTRANGE(""1QaxxyUjrDq2kgz300C1Bq1tacFk6e-xX218cSXCQUK0"",""Form Responses 1!B:C""),2,FALSE),)"),"")</f>
        <v/>
      </c>
      <c r="F221" s="70" t="str">
        <f>IFERROR(__xludf.DUMMYFUNCTION("IFERROR(VLOOKUP(A221,IMPORTRANGE(""1fn2ECph_y8Uz78DhjLaiXcwgt6kh3oe-0Le36Uw0noE"",""Form Responses 1!B:C""),2,FALSE),)"),"")</f>
        <v/>
      </c>
      <c r="G221" s="70"/>
      <c r="H221" s="70"/>
      <c r="I221" s="70"/>
      <c r="J221" s="70"/>
      <c r="K221" s="70"/>
      <c r="L221" s="70"/>
      <c r="M221" s="70"/>
      <c r="N221" s="70"/>
      <c r="O221" s="70"/>
      <c r="P221" s="70"/>
      <c r="Q221" s="70" t="str">
        <f>IFERROR(__xludf.DUMMYFUNCTION("IFERROR(IF(COUNTIF(IMPORTRANGE(""1WjiLR_MTMxI_IZUKuvPO4Sg2rTSIqBzP3edakSRXbOA"",""Form Responses 1!B:B""),F221)&gt;0,10,),0)"),"")</f>
        <v/>
      </c>
      <c r="R221" s="70" t="str">
        <f>IFERROR(__xludf.DUMMYFUNCTION("IFERROR(VLOOKUP(F221,IMPORTRANGE(""1Ixzbal5tEbtWhozsFEppQzOYE6ZSrkNXHg_HW5k3Wt4"",""Form Responses 1!B:C""),2,FALSE),)"),"")</f>
        <v/>
      </c>
      <c r="S221" s="70" t="str">
        <f>IFERROR(__xludf.DUMMYFUNCTION("IFERROR(VLOOKUP(F221,IMPORTRANGE(""1zxjtEKGvVIJPIDqZdnxENwVpPXYa88EihzyI44hcQUo"",""Form Responses 1!B:C""),2,FALSE),)"),"")</f>
        <v/>
      </c>
      <c r="T221" s="70" t="str">
        <f>IFERROR(__xludf.DUMMYFUNCTION("IFERROR(VLOOKUP(F221,IMPORTRANGE(""1H3cO01obd5zFULYqaT5NAqecZBFFIHeDFn4CeQLZF3w"",""Form Responses 1!B:C""),2,FALSE),)"),"")</f>
        <v/>
      </c>
      <c r="U221" s="70" t="str">
        <f>IFERROR(__xludf.DUMMYFUNCTION("IFERROR(IF(COUNTIF(IMPORTRANGE(""1IG9qoa6PeLdDDFzKpW39lxXshN0-M8Z25a_R1EpsYyg"",""Form Responses 1!B:B""),F221)&gt;0,10,),0)"),"")</f>
        <v/>
      </c>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row>
    <row r="222">
      <c r="B222" s="70" t="str">
        <f>IFERROR(__xludf.DUMMYFUNCTION("IFERROR(IF(COUNTIF(IMPORTRANGE(""1RTcwEJsI_0aJRebhNwO_H_AoKl9r46k7hWYbtciIyM4"",""Form Responses 1!B:B""),A222)&gt;0,10,),0)"),"")</f>
        <v/>
      </c>
      <c r="C222" s="70" t="str">
        <f>IFERROR(__xludf.DUMMYFUNCTION("IFERROR(VLOOKUP(A222,IMPORTRANGE(""11i8IUhq_U6RRKRV3CBWIKqYed_fMvFgNUHTq1YDJfp8"",""Form Responses 1!B:C""),2,FALSE),)"),"")</f>
        <v/>
      </c>
      <c r="D222" s="70" t="str">
        <f>IFERROR(__xludf.DUMMYFUNCTION("IFERROR(VLOOKUP(A222,IMPORTRANGE(""1StiHxuxrFhYdrq5WLR2JMORicW0TbnJf3J-oTHeMRtM"",""Form Responses 1!B:C""),2,FALSE),)"),"")</f>
        <v/>
      </c>
      <c r="E222" s="70" t="str">
        <f>IFERROR(__xludf.DUMMYFUNCTION("IFERROR(VLOOKUP(A222,IMPORTRANGE(""1QaxxyUjrDq2kgz300C1Bq1tacFk6e-xX218cSXCQUK0"",""Form Responses 1!B:C""),2,FALSE),)"),"")</f>
        <v/>
      </c>
      <c r="F222" s="70" t="str">
        <f>IFERROR(__xludf.DUMMYFUNCTION("IFERROR(VLOOKUP(A222,IMPORTRANGE(""1fn2ECph_y8Uz78DhjLaiXcwgt6kh3oe-0Le36Uw0noE"",""Form Responses 1!B:C""),2,FALSE),)"),"")</f>
        <v/>
      </c>
      <c r="G222" s="70"/>
      <c r="H222" s="70"/>
      <c r="I222" s="70"/>
      <c r="J222" s="70"/>
      <c r="K222" s="70"/>
      <c r="L222" s="70"/>
      <c r="M222" s="70"/>
      <c r="N222" s="70"/>
      <c r="O222" s="70"/>
      <c r="P222" s="70"/>
      <c r="Q222" s="70" t="str">
        <f>IFERROR(__xludf.DUMMYFUNCTION("IFERROR(IF(COUNTIF(IMPORTRANGE(""1WjiLR_MTMxI_IZUKuvPO4Sg2rTSIqBzP3edakSRXbOA"",""Form Responses 1!B:B""),F222)&gt;0,10,),0)"),"")</f>
        <v/>
      </c>
      <c r="R222" s="70" t="str">
        <f>IFERROR(__xludf.DUMMYFUNCTION("IFERROR(VLOOKUP(F222,IMPORTRANGE(""1Ixzbal5tEbtWhozsFEppQzOYE6ZSrkNXHg_HW5k3Wt4"",""Form Responses 1!B:C""),2,FALSE),)"),"")</f>
        <v/>
      </c>
      <c r="S222" s="70" t="str">
        <f>IFERROR(__xludf.DUMMYFUNCTION("IFERROR(VLOOKUP(F222,IMPORTRANGE(""1zxjtEKGvVIJPIDqZdnxENwVpPXYa88EihzyI44hcQUo"",""Form Responses 1!B:C""),2,FALSE),)"),"")</f>
        <v/>
      </c>
      <c r="T222" s="70" t="str">
        <f>IFERROR(__xludf.DUMMYFUNCTION("IFERROR(VLOOKUP(F222,IMPORTRANGE(""1H3cO01obd5zFULYqaT5NAqecZBFFIHeDFn4CeQLZF3w"",""Form Responses 1!B:C""),2,FALSE),)"),"")</f>
        <v/>
      </c>
      <c r="U222" s="70" t="str">
        <f>IFERROR(__xludf.DUMMYFUNCTION("IFERROR(IF(COUNTIF(IMPORTRANGE(""1IG9qoa6PeLdDDFzKpW39lxXshN0-M8Z25a_R1EpsYyg"",""Form Responses 1!B:B""),F222)&gt;0,10,),0)"),"")</f>
        <v/>
      </c>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row>
    <row r="223">
      <c r="B223" s="70" t="str">
        <f>IFERROR(__xludf.DUMMYFUNCTION("IFERROR(IF(COUNTIF(IMPORTRANGE(""1RTcwEJsI_0aJRebhNwO_H_AoKl9r46k7hWYbtciIyM4"",""Form Responses 1!B:B""),A223)&gt;0,10,),0)"),"")</f>
        <v/>
      </c>
      <c r="C223" s="70" t="str">
        <f>IFERROR(__xludf.DUMMYFUNCTION("IFERROR(VLOOKUP(A223,IMPORTRANGE(""11i8IUhq_U6RRKRV3CBWIKqYed_fMvFgNUHTq1YDJfp8"",""Form Responses 1!B:C""),2,FALSE),)"),"")</f>
        <v/>
      </c>
      <c r="D223" s="70" t="str">
        <f>IFERROR(__xludf.DUMMYFUNCTION("IFERROR(VLOOKUP(A223,IMPORTRANGE(""1StiHxuxrFhYdrq5WLR2JMORicW0TbnJf3J-oTHeMRtM"",""Form Responses 1!B:C""),2,FALSE),)"),"")</f>
        <v/>
      </c>
      <c r="E223" s="70" t="str">
        <f>IFERROR(__xludf.DUMMYFUNCTION("IFERROR(VLOOKUP(A223,IMPORTRANGE(""1QaxxyUjrDq2kgz300C1Bq1tacFk6e-xX218cSXCQUK0"",""Form Responses 1!B:C""),2,FALSE),)"),"")</f>
        <v/>
      </c>
      <c r="F223" s="70" t="str">
        <f>IFERROR(__xludf.DUMMYFUNCTION("IFERROR(VLOOKUP(A223,IMPORTRANGE(""1fn2ECph_y8Uz78DhjLaiXcwgt6kh3oe-0Le36Uw0noE"",""Form Responses 1!B:C""),2,FALSE),)"),"")</f>
        <v/>
      </c>
      <c r="G223" s="70"/>
      <c r="H223" s="70"/>
      <c r="I223" s="70"/>
      <c r="J223" s="70"/>
      <c r="K223" s="70"/>
      <c r="L223" s="70"/>
      <c r="M223" s="70"/>
      <c r="N223" s="70"/>
      <c r="O223" s="70"/>
      <c r="P223" s="70"/>
      <c r="Q223" s="70" t="str">
        <f>IFERROR(__xludf.DUMMYFUNCTION("IFERROR(IF(COUNTIF(IMPORTRANGE(""1WjiLR_MTMxI_IZUKuvPO4Sg2rTSIqBzP3edakSRXbOA"",""Form Responses 1!B:B""),F223)&gt;0,10,),0)"),"")</f>
        <v/>
      </c>
      <c r="R223" s="70" t="str">
        <f>IFERROR(__xludf.DUMMYFUNCTION("IFERROR(VLOOKUP(F223,IMPORTRANGE(""1Ixzbal5tEbtWhozsFEppQzOYE6ZSrkNXHg_HW5k3Wt4"",""Form Responses 1!B:C""),2,FALSE),)"),"")</f>
        <v/>
      </c>
      <c r="S223" s="70" t="str">
        <f>IFERROR(__xludf.DUMMYFUNCTION("IFERROR(VLOOKUP(F223,IMPORTRANGE(""1zxjtEKGvVIJPIDqZdnxENwVpPXYa88EihzyI44hcQUo"",""Form Responses 1!B:C""),2,FALSE),)"),"")</f>
        <v/>
      </c>
      <c r="T223" s="70" t="str">
        <f>IFERROR(__xludf.DUMMYFUNCTION("IFERROR(VLOOKUP(F223,IMPORTRANGE(""1H3cO01obd5zFULYqaT5NAqecZBFFIHeDFn4CeQLZF3w"",""Form Responses 1!B:C""),2,FALSE),)"),"")</f>
        <v/>
      </c>
      <c r="U223" s="70" t="str">
        <f>IFERROR(__xludf.DUMMYFUNCTION("IFERROR(IF(COUNTIF(IMPORTRANGE(""1IG9qoa6PeLdDDFzKpW39lxXshN0-M8Z25a_R1EpsYyg"",""Form Responses 1!B:B""),F223)&gt;0,10,),0)"),"")</f>
        <v/>
      </c>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row>
    <row r="224">
      <c r="B224" s="70" t="str">
        <f>IFERROR(__xludf.DUMMYFUNCTION("IFERROR(IF(COUNTIF(IMPORTRANGE(""1RTcwEJsI_0aJRebhNwO_H_AoKl9r46k7hWYbtciIyM4"",""Form Responses 1!B:B""),A224)&gt;0,10,),0)"),"")</f>
        <v/>
      </c>
      <c r="C224" s="70" t="str">
        <f>IFERROR(__xludf.DUMMYFUNCTION("IFERROR(VLOOKUP(A224,IMPORTRANGE(""11i8IUhq_U6RRKRV3CBWIKqYed_fMvFgNUHTq1YDJfp8"",""Form Responses 1!B:C""),2,FALSE),)"),"")</f>
        <v/>
      </c>
      <c r="D224" s="70" t="str">
        <f>IFERROR(__xludf.DUMMYFUNCTION("IFERROR(VLOOKUP(A224,IMPORTRANGE(""1StiHxuxrFhYdrq5WLR2JMORicW0TbnJf3J-oTHeMRtM"",""Form Responses 1!B:C""),2,FALSE),)"),"")</f>
        <v/>
      </c>
      <c r="E224" s="70" t="str">
        <f>IFERROR(__xludf.DUMMYFUNCTION("IFERROR(VLOOKUP(A224,IMPORTRANGE(""1QaxxyUjrDq2kgz300C1Bq1tacFk6e-xX218cSXCQUK0"",""Form Responses 1!B:C""),2,FALSE),)"),"")</f>
        <v/>
      </c>
      <c r="F224" s="70" t="str">
        <f>IFERROR(__xludf.DUMMYFUNCTION("IFERROR(VLOOKUP(A224,IMPORTRANGE(""1fn2ECph_y8Uz78DhjLaiXcwgt6kh3oe-0Le36Uw0noE"",""Form Responses 1!B:C""),2,FALSE),)"),"")</f>
        <v/>
      </c>
      <c r="G224" s="70"/>
      <c r="H224" s="70"/>
      <c r="I224" s="70"/>
      <c r="J224" s="70"/>
      <c r="K224" s="70"/>
      <c r="L224" s="70"/>
      <c r="M224" s="70"/>
      <c r="N224" s="70"/>
      <c r="O224" s="70"/>
      <c r="P224" s="70"/>
      <c r="Q224" s="70" t="str">
        <f>IFERROR(__xludf.DUMMYFUNCTION("IFERROR(IF(COUNTIF(IMPORTRANGE(""1WjiLR_MTMxI_IZUKuvPO4Sg2rTSIqBzP3edakSRXbOA"",""Form Responses 1!B:B""),F224)&gt;0,10,),0)"),"")</f>
        <v/>
      </c>
      <c r="R224" s="70" t="str">
        <f>IFERROR(__xludf.DUMMYFUNCTION("IFERROR(VLOOKUP(F224,IMPORTRANGE(""1Ixzbal5tEbtWhozsFEppQzOYE6ZSrkNXHg_HW5k3Wt4"",""Form Responses 1!B:C""),2,FALSE),)"),"")</f>
        <v/>
      </c>
      <c r="S224" s="70" t="str">
        <f>IFERROR(__xludf.DUMMYFUNCTION("IFERROR(VLOOKUP(F224,IMPORTRANGE(""1zxjtEKGvVIJPIDqZdnxENwVpPXYa88EihzyI44hcQUo"",""Form Responses 1!B:C""),2,FALSE),)"),"")</f>
        <v/>
      </c>
      <c r="T224" s="70" t="str">
        <f>IFERROR(__xludf.DUMMYFUNCTION("IFERROR(VLOOKUP(F224,IMPORTRANGE(""1H3cO01obd5zFULYqaT5NAqecZBFFIHeDFn4CeQLZF3w"",""Form Responses 1!B:C""),2,FALSE),)"),"")</f>
        <v/>
      </c>
      <c r="U224" s="70" t="str">
        <f>IFERROR(__xludf.DUMMYFUNCTION("IFERROR(IF(COUNTIF(IMPORTRANGE(""1IG9qoa6PeLdDDFzKpW39lxXshN0-M8Z25a_R1EpsYyg"",""Form Responses 1!B:B""),F224)&gt;0,10,),0)"),"")</f>
        <v/>
      </c>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row>
    <row r="225">
      <c r="B225" s="70" t="str">
        <f>IFERROR(__xludf.DUMMYFUNCTION("IFERROR(IF(COUNTIF(IMPORTRANGE(""1RTcwEJsI_0aJRebhNwO_H_AoKl9r46k7hWYbtciIyM4"",""Form Responses 1!B:B""),A225)&gt;0,10,),0)"),"")</f>
        <v/>
      </c>
      <c r="C225" s="70" t="str">
        <f>IFERROR(__xludf.DUMMYFUNCTION("IFERROR(VLOOKUP(A225,IMPORTRANGE(""11i8IUhq_U6RRKRV3CBWIKqYed_fMvFgNUHTq1YDJfp8"",""Form Responses 1!B:C""),2,FALSE),)"),"")</f>
        <v/>
      </c>
      <c r="D225" s="70" t="str">
        <f>IFERROR(__xludf.DUMMYFUNCTION("IFERROR(VLOOKUP(A225,IMPORTRANGE(""1StiHxuxrFhYdrq5WLR2JMORicW0TbnJf3J-oTHeMRtM"",""Form Responses 1!B:C""),2,FALSE),)"),"")</f>
        <v/>
      </c>
      <c r="E225" s="70" t="str">
        <f>IFERROR(__xludf.DUMMYFUNCTION("IFERROR(VLOOKUP(A225,IMPORTRANGE(""1QaxxyUjrDq2kgz300C1Bq1tacFk6e-xX218cSXCQUK0"",""Form Responses 1!B:C""),2,FALSE),)"),"")</f>
        <v/>
      </c>
      <c r="F225" s="70" t="str">
        <f>IFERROR(__xludf.DUMMYFUNCTION("IFERROR(VLOOKUP(A225,IMPORTRANGE(""1fn2ECph_y8Uz78DhjLaiXcwgt6kh3oe-0Le36Uw0noE"",""Form Responses 1!B:C""),2,FALSE),)"),"")</f>
        <v/>
      </c>
      <c r="G225" s="70"/>
      <c r="H225" s="70"/>
      <c r="I225" s="70"/>
      <c r="J225" s="70"/>
      <c r="K225" s="70"/>
      <c r="L225" s="70"/>
      <c r="M225" s="70"/>
      <c r="N225" s="70"/>
      <c r="O225" s="70"/>
      <c r="P225" s="70"/>
      <c r="Q225" s="70" t="str">
        <f>IFERROR(__xludf.DUMMYFUNCTION("IFERROR(IF(COUNTIF(IMPORTRANGE(""1WjiLR_MTMxI_IZUKuvPO4Sg2rTSIqBzP3edakSRXbOA"",""Form Responses 1!B:B""),F225)&gt;0,10,),0)"),"")</f>
        <v/>
      </c>
      <c r="R225" s="70" t="str">
        <f>IFERROR(__xludf.DUMMYFUNCTION("IFERROR(VLOOKUP(F225,IMPORTRANGE(""1Ixzbal5tEbtWhozsFEppQzOYE6ZSrkNXHg_HW5k3Wt4"",""Form Responses 1!B:C""),2,FALSE),)"),"")</f>
        <v/>
      </c>
      <c r="S225" s="70" t="str">
        <f>IFERROR(__xludf.DUMMYFUNCTION("IFERROR(VLOOKUP(F225,IMPORTRANGE(""1zxjtEKGvVIJPIDqZdnxENwVpPXYa88EihzyI44hcQUo"",""Form Responses 1!B:C""),2,FALSE),)"),"")</f>
        <v/>
      </c>
      <c r="T225" s="70" t="str">
        <f>IFERROR(__xludf.DUMMYFUNCTION("IFERROR(VLOOKUP(F225,IMPORTRANGE(""1H3cO01obd5zFULYqaT5NAqecZBFFIHeDFn4CeQLZF3w"",""Form Responses 1!B:C""),2,FALSE),)"),"")</f>
        <v/>
      </c>
      <c r="U225" s="70" t="str">
        <f>IFERROR(__xludf.DUMMYFUNCTION("IFERROR(IF(COUNTIF(IMPORTRANGE(""1IG9qoa6PeLdDDFzKpW39lxXshN0-M8Z25a_R1EpsYyg"",""Form Responses 1!B:B""),F225)&gt;0,10,),0)"),"")</f>
        <v/>
      </c>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row>
    <row r="226">
      <c r="B226" s="70" t="str">
        <f>IFERROR(__xludf.DUMMYFUNCTION("IFERROR(IF(COUNTIF(IMPORTRANGE(""1RTcwEJsI_0aJRebhNwO_H_AoKl9r46k7hWYbtciIyM4"",""Form Responses 1!B:B""),A226)&gt;0,10,),0)"),"")</f>
        <v/>
      </c>
      <c r="C226" s="70" t="str">
        <f>IFERROR(__xludf.DUMMYFUNCTION("IFERROR(VLOOKUP(A226,IMPORTRANGE(""11i8IUhq_U6RRKRV3CBWIKqYed_fMvFgNUHTq1YDJfp8"",""Form Responses 1!B:C""),2,FALSE),)"),"")</f>
        <v/>
      </c>
      <c r="D226" s="70" t="str">
        <f>IFERROR(__xludf.DUMMYFUNCTION("IFERROR(VLOOKUP(A226,IMPORTRANGE(""1StiHxuxrFhYdrq5WLR2JMORicW0TbnJf3J-oTHeMRtM"",""Form Responses 1!B:C""),2,FALSE),)"),"")</f>
        <v/>
      </c>
      <c r="E226" s="70" t="str">
        <f>IFERROR(__xludf.DUMMYFUNCTION("IFERROR(VLOOKUP(A226,IMPORTRANGE(""1QaxxyUjrDq2kgz300C1Bq1tacFk6e-xX218cSXCQUK0"",""Form Responses 1!B:C""),2,FALSE),)"),"")</f>
        <v/>
      </c>
      <c r="F226" s="70" t="str">
        <f>IFERROR(__xludf.DUMMYFUNCTION("IFERROR(VLOOKUP(A226,IMPORTRANGE(""1fn2ECph_y8Uz78DhjLaiXcwgt6kh3oe-0Le36Uw0noE"",""Form Responses 1!B:C""),2,FALSE),)"),"")</f>
        <v/>
      </c>
      <c r="G226" s="70"/>
      <c r="H226" s="70"/>
      <c r="I226" s="70"/>
      <c r="J226" s="70"/>
      <c r="K226" s="70"/>
      <c r="L226" s="70"/>
      <c r="M226" s="70"/>
      <c r="N226" s="70"/>
      <c r="O226" s="70"/>
      <c r="P226" s="70"/>
      <c r="Q226" s="70" t="str">
        <f>IFERROR(__xludf.DUMMYFUNCTION("IFERROR(IF(COUNTIF(IMPORTRANGE(""1WjiLR_MTMxI_IZUKuvPO4Sg2rTSIqBzP3edakSRXbOA"",""Form Responses 1!B:B""),F226)&gt;0,10,),0)"),"")</f>
        <v/>
      </c>
      <c r="R226" s="70" t="str">
        <f>IFERROR(__xludf.DUMMYFUNCTION("IFERROR(VLOOKUP(F226,IMPORTRANGE(""1Ixzbal5tEbtWhozsFEppQzOYE6ZSrkNXHg_HW5k3Wt4"",""Form Responses 1!B:C""),2,FALSE),)"),"")</f>
        <v/>
      </c>
      <c r="S226" s="70" t="str">
        <f>IFERROR(__xludf.DUMMYFUNCTION("IFERROR(VLOOKUP(F226,IMPORTRANGE(""1zxjtEKGvVIJPIDqZdnxENwVpPXYa88EihzyI44hcQUo"",""Form Responses 1!B:C""),2,FALSE),)"),"")</f>
        <v/>
      </c>
      <c r="T226" s="70" t="str">
        <f>IFERROR(__xludf.DUMMYFUNCTION("IFERROR(VLOOKUP(F226,IMPORTRANGE(""1H3cO01obd5zFULYqaT5NAqecZBFFIHeDFn4CeQLZF3w"",""Form Responses 1!B:C""),2,FALSE),)"),"")</f>
        <v/>
      </c>
      <c r="U226" s="70" t="str">
        <f>IFERROR(__xludf.DUMMYFUNCTION("IFERROR(IF(COUNTIF(IMPORTRANGE(""1IG9qoa6PeLdDDFzKpW39lxXshN0-M8Z25a_R1EpsYyg"",""Form Responses 1!B:B""),F226)&gt;0,10,),0)"),"")</f>
        <v/>
      </c>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row>
    <row r="227">
      <c r="B227" s="70" t="str">
        <f>IFERROR(__xludf.DUMMYFUNCTION("IFERROR(IF(COUNTIF(IMPORTRANGE(""1RTcwEJsI_0aJRebhNwO_H_AoKl9r46k7hWYbtciIyM4"",""Form Responses 1!B:B""),A227)&gt;0,10,),0)"),"")</f>
        <v/>
      </c>
      <c r="C227" s="70" t="str">
        <f>IFERROR(__xludf.DUMMYFUNCTION("IFERROR(VLOOKUP(A227,IMPORTRANGE(""11i8IUhq_U6RRKRV3CBWIKqYed_fMvFgNUHTq1YDJfp8"",""Form Responses 1!B:C""),2,FALSE),)"),"")</f>
        <v/>
      </c>
      <c r="D227" s="70" t="str">
        <f>IFERROR(__xludf.DUMMYFUNCTION("IFERROR(VLOOKUP(A227,IMPORTRANGE(""1StiHxuxrFhYdrq5WLR2JMORicW0TbnJf3J-oTHeMRtM"",""Form Responses 1!B:C""),2,FALSE),)"),"")</f>
        <v/>
      </c>
      <c r="E227" s="70" t="str">
        <f>IFERROR(__xludf.DUMMYFUNCTION("IFERROR(VLOOKUP(A227,IMPORTRANGE(""1QaxxyUjrDq2kgz300C1Bq1tacFk6e-xX218cSXCQUK0"",""Form Responses 1!B:C""),2,FALSE),)"),"")</f>
        <v/>
      </c>
      <c r="F227" s="70" t="str">
        <f>IFERROR(__xludf.DUMMYFUNCTION("IFERROR(VLOOKUP(A227,IMPORTRANGE(""1fn2ECph_y8Uz78DhjLaiXcwgt6kh3oe-0Le36Uw0noE"",""Form Responses 1!B:C""),2,FALSE),)"),"")</f>
        <v/>
      </c>
      <c r="G227" s="70"/>
      <c r="H227" s="70"/>
      <c r="I227" s="70"/>
      <c r="J227" s="70"/>
      <c r="K227" s="70"/>
      <c r="L227" s="70"/>
      <c r="M227" s="70"/>
      <c r="N227" s="70"/>
      <c r="O227" s="70"/>
      <c r="P227" s="70"/>
      <c r="Q227" s="70" t="str">
        <f>IFERROR(__xludf.DUMMYFUNCTION("IFERROR(IF(COUNTIF(IMPORTRANGE(""1WjiLR_MTMxI_IZUKuvPO4Sg2rTSIqBzP3edakSRXbOA"",""Form Responses 1!B:B""),F227)&gt;0,10,),0)"),"")</f>
        <v/>
      </c>
      <c r="R227" s="70" t="str">
        <f>IFERROR(__xludf.DUMMYFUNCTION("IFERROR(VLOOKUP(F227,IMPORTRANGE(""1Ixzbal5tEbtWhozsFEppQzOYE6ZSrkNXHg_HW5k3Wt4"",""Form Responses 1!B:C""),2,FALSE),)"),"")</f>
        <v/>
      </c>
      <c r="S227" s="70" t="str">
        <f>IFERROR(__xludf.DUMMYFUNCTION("IFERROR(VLOOKUP(F227,IMPORTRANGE(""1zxjtEKGvVIJPIDqZdnxENwVpPXYa88EihzyI44hcQUo"",""Form Responses 1!B:C""),2,FALSE),)"),"")</f>
        <v/>
      </c>
      <c r="T227" s="70" t="str">
        <f>IFERROR(__xludf.DUMMYFUNCTION("IFERROR(VLOOKUP(F227,IMPORTRANGE(""1H3cO01obd5zFULYqaT5NAqecZBFFIHeDFn4CeQLZF3w"",""Form Responses 1!B:C""),2,FALSE),)"),"")</f>
        <v/>
      </c>
      <c r="U227" s="70" t="str">
        <f>IFERROR(__xludf.DUMMYFUNCTION("IFERROR(IF(COUNTIF(IMPORTRANGE(""1IG9qoa6PeLdDDFzKpW39lxXshN0-M8Z25a_R1EpsYyg"",""Form Responses 1!B:B""),F227)&gt;0,10,),0)"),"")</f>
        <v/>
      </c>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row>
    <row r="228">
      <c r="B228" s="70" t="str">
        <f>IFERROR(__xludf.DUMMYFUNCTION("IFERROR(IF(COUNTIF(IMPORTRANGE(""1RTcwEJsI_0aJRebhNwO_H_AoKl9r46k7hWYbtciIyM4"",""Form Responses 1!B:B""),A228)&gt;0,10,),0)"),"")</f>
        <v/>
      </c>
      <c r="C228" s="70" t="str">
        <f>IFERROR(__xludf.DUMMYFUNCTION("IFERROR(VLOOKUP(A228,IMPORTRANGE(""11i8IUhq_U6RRKRV3CBWIKqYed_fMvFgNUHTq1YDJfp8"",""Form Responses 1!B:C""),2,FALSE),)"),"")</f>
        <v/>
      </c>
      <c r="D228" s="70" t="str">
        <f>IFERROR(__xludf.DUMMYFUNCTION("IFERROR(VLOOKUP(A228,IMPORTRANGE(""1StiHxuxrFhYdrq5WLR2JMORicW0TbnJf3J-oTHeMRtM"",""Form Responses 1!B:C""),2,FALSE),)"),"")</f>
        <v/>
      </c>
      <c r="E228" s="70" t="str">
        <f>IFERROR(__xludf.DUMMYFUNCTION("IFERROR(VLOOKUP(A228,IMPORTRANGE(""1QaxxyUjrDq2kgz300C1Bq1tacFk6e-xX218cSXCQUK0"",""Form Responses 1!B:C""),2,FALSE),)"),"")</f>
        <v/>
      </c>
      <c r="F228" s="70" t="str">
        <f>IFERROR(__xludf.DUMMYFUNCTION("IFERROR(VLOOKUP(A228,IMPORTRANGE(""1fn2ECph_y8Uz78DhjLaiXcwgt6kh3oe-0Le36Uw0noE"",""Form Responses 1!B:C""),2,FALSE),)"),"")</f>
        <v/>
      </c>
      <c r="G228" s="70"/>
      <c r="H228" s="70"/>
      <c r="I228" s="70"/>
      <c r="J228" s="70"/>
      <c r="K228" s="70"/>
      <c r="L228" s="70"/>
      <c r="M228" s="70"/>
      <c r="N228" s="70"/>
      <c r="O228" s="70"/>
      <c r="P228" s="70"/>
      <c r="Q228" s="70" t="str">
        <f>IFERROR(__xludf.DUMMYFUNCTION("IFERROR(IF(COUNTIF(IMPORTRANGE(""1WjiLR_MTMxI_IZUKuvPO4Sg2rTSIqBzP3edakSRXbOA"",""Form Responses 1!B:B""),F228)&gt;0,10,),0)"),"")</f>
        <v/>
      </c>
      <c r="R228" s="70" t="str">
        <f>IFERROR(__xludf.DUMMYFUNCTION("IFERROR(VLOOKUP(F228,IMPORTRANGE(""1Ixzbal5tEbtWhozsFEppQzOYE6ZSrkNXHg_HW5k3Wt4"",""Form Responses 1!B:C""),2,FALSE),)"),"")</f>
        <v/>
      </c>
      <c r="S228" s="70" t="str">
        <f>IFERROR(__xludf.DUMMYFUNCTION("IFERROR(VLOOKUP(F228,IMPORTRANGE(""1zxjtEKGvVIJPIDqZdnxENwVpPXYa88EihzyI44hcQUo"",""Form Responses 1!B:C""),2,FALSE),)"),"")</f>
        <v/>
      </c>
      <c r="T228" s="70" t="str">
        <f>IFERROR(__xludf.DUMMYFUNCTION("IFERROR(VLOOKUP(F228,IMPORTRANGE(""1H3cO01obd5zFULYqaT5NAqecZBFFIHeDFn4CeQLZF3w"",""Form Responses 1!B:C""),2,FALSE),)"),"")</f>
        <v/>
      </c>
      <c r="U228" s="70" t="str">
        <f>IFERROR(__xludf.DUMMYFUNCTION("IFERROR(IF(COUNTIF(IMPORTRANGE(""1IG9qoa6PeLdDDFzKpW39lxXshN0-M8Z25a_R1EpsYyg"",""Form Responses 1!B:B""),F228)&gt;0,10,),0)"),"")</f>
        <v/>
      </c>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row>
    <row r="229">
      <c r="B229" s="70" t="str">
        <f>IFERROR(__xludf.DUMMYFUNCTION("IFERROR(IF(COUNTIF(IMPORTRANGE(""1RTcwEJsI_0aJRebhNwO_H_AoKl9r46k7hWYbtciIyM4"",""Form Responses 1!B:B""),A229)&gt;0,10,),0)"),"")</f>
        <v/>
      </c>
      <c r="C229" s="70" t="str">
        <f>IFERROR(__xludf.DUMMYFUNCTION("IFERROR(VLOOKUP(A229,IMPORTRANGE(""11i8IUhq_U6RRKRV3CBWIKqYed_fMvFgNUHTq1YDJfp8"",""Form Responses 1!B:C""),2,FALSE),)"),"")</f>
        <v/>
      </c>
      <c r="D229" s="70" t="str">
        <f>IFERROR(__xludf.DUMMYFUNCTION("IFERROR(VLOOKUP(A229,IMPORTRANGE(""1StiHxuxrFhYdrq5WLR2JMORicW0TbnJf3J-oTHeMRtM"",""Form Responses 1!B:C""),2,FALSE),)"),"")</f>
        <v/>
      </c>
      <c r="E229" s="70" t="str">
        <f>IFERROR(__xludf.DUMMYFUNCTION("IFERROR(VLOOKUP(A229,IMPORTRANGE(""1QaxxyUjrDq2kgz300C1Bq1tacFk6e-xX218cSXCQUK0"",""Form Responses 1!B:C""),2,FALSE),)"),"")</f>
        <v/>
      </c>
      <c r="F229" s="70" t="str">
        <f>IFERROR(__xludf.DUMMYFUNCTION("IFERROR(VLOOKUP(A229,IMPORTRANGE(""1fn2ECph_y8Uz78DhjLaiXcwgt6kh3oe-0Le36Uw0noE"",""Form Responses 1!B:C""),2,FALSE),)"),"")</f>
        <v/>
      </c>
      <c r="G229" s="70"/>
      <c r="H229" s="70"/>
      <c r="I229" s="70"/>
      <c r="J229" s="70"/>
      <c r="K229" s="70"/>
      <c r="L229" s="70"/>
      <c r="M229" s="70"/>
      <c r="N229" s="70"/>
      <c r="O229" s="70"/>
      <c r="P229" s="70"/>
      <c r="Q229" s="70" t="str">
        <f>IFERROR(__xludf.DUMMYFUNCTION("IFERROR(IF(COUNTIF(IMPORTRANGE(""1WjiLR_MTMxI_IZUKuvPO4Sg2rTSIqBzP3edakSRXbOA"",""Form Responses 1!B:B""),F229)&gt;0,10,),0)"),"")</f>
        <v/>
      </c>
      <c r="R229" s="70" t="str">
        <f>IFERROR(__xludf.DUMMYFUNCTION("IFERROR(VLOOKUP(F229,IMPORTRANGE(""1Ixzbal5tEbtWhozsFEppQzOYE6ZSrkNXHg_HW5k3Wt4"",""Form Responses 1!B:C""),2,FALSE),)"),"")</f>
        <v/>
      </c>
      <c r="S229" s="70" t="str">
        <f>IFERROR(__xludf.DUMMYFUNCTION("IFERROR(VLOOKUP(F229,IMPORTRANGE(""1zxjtEKGvVIJPIDqZdnxENwVpPXYa88EihzyI44hcQUo"",""Form Responses 1!B:C""),2,FALSE),)"),"")</f>
        <v/>
      </c>
      <c r="T229" s="70" t="str">
        <f>IFERROR(__xludf.DUMMYFUNCTION("IFERROR(VLOOKUP(F229,IMPORTRANGE(""1H3cO01obd5zFULYqaT5NAqecZBFFIHeDFn4CeQLZF3w"",""Form Responses 1!B:C""),2,FALSE),)"),"")</f>
        <v/>
      </c>
      <c r="U229" s="70" t="str">
        <f>IFERROR(__xludf.DUMMYFUNCTION("IFERROR(IF(COUNTIF(IMPORTRANGE(""1IG9qoa6PeLdDDFzKpW39lxXshN0-M8Z25a_R1EpsYyg"",""Form Responses 1!B:B""),F229)&gt;0,10,),0)"),"")</f>
        <v/>
      </c>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row>
    <row r="230">
      <c r="B230" s="70" t="str">
        <f>IFERROR(__xludf.DUMMYFUNCTION("IFERROR(IF(COUNTIF(IMPORTRANGE(""1RTcwEJsI_0aJRebhNwO_H_AoKl9r46k7hWYbtciIyM4"",""Form Responses 1!B:B""),A230)&gt;0,10,),0)"),"")</f>
        <v/>
      </c>
      <c r="C230" s="70" t="str">
        <f>IFERROR(__xludf.DUMMYFUNCTION("IFERROR(VLOOKUP(A230,IMPORTRANGE(""11i8IUhq_U6RRKRV3CBWIKqYed_fMvFgNUHTq1YDJfp8"",""Form Responses 1!B:C""),2,FALSE),)"),"")</f>
        <v/>
      </c>
      <c r="D230" s="70" t="str">
        <f>IFERROR(__xludf.DUMMYFUNCTION("IFERROR(VLOOKUP(A230,IMPORTRANGE(""1StiHxuxrFhYdrq5WLR2JMORicW0TbnJf3J-oTHeMRtM"",""Form Responses 1!B:C""),2,FALSE),)"),"")</f>
        <v/>
      </c>
      <c r="E230" s="70" t="str">
        <f>IFERROR(__xludf.DUMMYFUNCTION("IFERROR(VLOOKUP(A230,IMPORTRANGE(""1QaxxyUjrDq2kgz300C1Bq1tacFk6e-xX218cSXCQUK0"",""Form Responses 1!B:C""),2,FALSE),)"),"")</f>
        <v/>
      </c>
      <c r="F230" s="70" t="str">
        <f>IFERROR(__xludf.DUMMYFUNCTION("IFERROR(VLOOKUP(A230,IMPORTRANGE(""1fn2ECph_y8Uz78DhjLaiXcwgt6kh3oe-0Le36Uw0noE"",""Form Responses 1!B:C""),2,FALSE),)"),"")</f>
        <v/>
      </c>
      <c r="G230" s="70"/>
      <c r="H230" s="70"/>
      <c r="I230" s="70"/>
      <c r="J230" s="70"/>
      <c r="K230" s="70"/>
      <c r="L230" s="70"/>
      <c r="M230" s="70"/>
      <c r="N230" s="70"/>
      <c r="O230" s="70"/>
      <c r="P230" s="70"/>
      <c r="Q230" s="70" t="str">
        <f>IFERROR(__xludf.DUMMYFUNCTION("IFERROR(IF(COUNTIF(IMPORTRANGE(""1WjiLR_MTMxI_IZUKuvPO4Sg2rTSIqBzP3edakSRXbOA"",""Form Responses 1!B:B""),F230)&gt;0,10,),0)"),"")</f>
        <v/>
      </c>
      <c r="R230" s="70" t="str">
        <f>IFERROR(__xludf.DUMMYFUNCTION("IFERROR(VLOOKUP(F230,IMPORTRANGE(""1Ixzbal5tEbtWhozsFEppQzOYE6ZSrkNXHg_HW5k3Wt4"",""Form Responses 1!B:C""),2,FALSE),)"),"")</f>
        <v/>
      </c>
      <c r="S230" s="70" t="str">
        <f>IFERROR(__xludf.DUMMYFUNCTION("IFERROR(VLOOKUP(F230,IMPORTRANGE(""1zxjtEKGvVIJPIDqZdnxENwVpPXYa88EihzyI44hcQUo"",""Form Responses 1!B:C""),2,FALSE),)"),"")</f>
        <v/>
      </c>
      <c r="T230" s="70" t="str">
        <f>IFERROR(__xludf.DUMMYFUNCTION("IFERROR(VLOOKUP(F230,IMPORTRANGE(""1H3cO01obd5zFULYqaT5NAqecZBFFIHeDFn4CeQLZF3w"",""Form Responses 1!B:C""),2,FALSE),)"),"")</f>
        <v/>
      </c>
      <c r="U230" s="70" t="str">
        <f>IFERROR(__xludf.DUMMYFUNCTION("IFERROR(IF(COUNTIF(IMPORTRANGE(""1IG9qoa6PeLdDDFzKpW39lxXshN0-M8Z25a_R1EpsYyg"",""Form Responses 1!B:B""),F230)&gt;0,10,),0)"),"")</f>
        <v/>
      </c>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row>
    <row r="231">
      <c r="B231" s="70" t="str">
        <f>IFERROR(__xludf.DUMMYFUNCTION("IFERROR(IF(COUNTIF(IMPORTRANGE(""1RTcwEJsI_0aJRebhNwO_H_AoKl9r46k7hWYbtciIyM4"",""Form Responses 1!B:B""),A231)&gt;0,10,),0)"),"")</f>
        <v/>
      </c>
      <c r="C231" s="70" t="str">
        <f>IFERROR(__xludf.DUMMYFUNCTION("IFERROR(VLOOKUP(A231,IMPORTRANGE(""11i8IUhq_U6RRKRV3CBWIKqYed_fMvFgNUHTq1YDJfp8"",""Form Responses 1!B:C""),2,FALSE),)"),"")</f>
        <v/>
      </c>
      <c r="D231" s="70" t="str">
        <f>IFERROR(__xludf.DUMMYFUNCTION("IFERROR(VLOOKUP(A231,IMPORTRANGE(""1StiHxuxrFhYdrq5WLR2JMORicW0TbnJf3J-oTHeMRtM"",""Form Responses 1!B:C""),2,FALSE),)"),"")</f>
        <v/>
      </c>
      <c r="E231" s="70" t="str">
        <f>IFERROR(__xludf.DUMMYFUNCTION("IFERROR(VLOOKUP(A231,IMPORTRANGE(""1QaxxyUjrDq2kgz300C1Bq1tacFk6e-xX218cSXCQUK0"",""Form Responses 1!B:C""),2,FALSE),)"),"")</f>
        <v/>
      </c>
      <c r="F231" s="70" t="str">
        <f>IFERROR(__xludf.DUMMYFUNCTION("IFERROR(VLOOKUP(A231,IMPORTRANGE(""1fn2ECph_y8Uz78DhjLaiXcwgt6kh3oe-0Le36Uw0noE"",""Form Responses 1!B:C""),2,FALSE),)"),"")</f>
        <v/>
      </c>
      <c r="G231" s="70"/>
      <c r="H231" s="70"/>
      <c r="I231" s="70"/>
      <c r="J231" s="70"/>
      <c r="K231" s="70"/>
      <c r="L231" s="70"/>
      <c r="M231" s="70"/>
      <c r="N231" s="70"/>
      <c r="O231" s="70"/>
      <c r="P231" s="70"/>
      <c r="Q231" s="70" t="str">
        <f>IFERROR(__xludf.DUMMYFUNCTION("IFERROR(IF(COUNTIF(IMPORTRANGE(""1WjiLR_MTMxI_IZUKuvPO4Sg2rTSIqBzP3edakSRXbOA"",""Form Responses 1!B:B""),F231)&gt;0,10,),0)"),"")</f>
        <v/>
      </c>
      <c r="R231" s="70" t="str">
        <f>IFERROR(__xludf.DUMMYFUNCTION("IFERROR(VLOOKUP(F231,IMPORTRANGE(""1Ixzbal5tEbtWhozsFEppQzOYE6ZSrkNXHg_HW5k3Wt4"",""Form Responses 1!B:C""),2,FALSE),)"),"")</f>
        <v/>
      </c>
      <c r="S231" s="70" t="str">
        <f>IFERROR(__xludf.DUMMYFUNCTION("IFERROR(VLOOKUP(F231,IMPORTRANGE(""1zxjtEKGvVIJPIDqZdnxENwVpPXYa88EihzyI44hcQUo"",""Form Responses 1!B:C""),2,FALSE),)"),"")</f>
        <v/>
      </c>
      <c r="T231" s="70" t="str">
        <f>IFERROR(__xludf.DUMMYFUNCTION("IFERROR(VLOOKUP(F231,IMPORTRANGE(""1H3cO01obd5zFULYqaT5NAqecZBFFIHeDFn4CeQLZF3w"",""Form Responses 1!B:C""),2,FALSE),)"),"")</f>
        <v/>
      </c>
      <c r="U231" s="70" t="str">
        <f>IFERROR(__xludf.DUMMYFUNCTION("IFERROR(IF(COUNTIF(IMPORTRANGE(""1IG9qoa6PeLdDDFzKpW39lxXshN0-M8Z25a_R1EpsYyg"",""Form Responses 1!B:B""),F231)&gt;0,10,),0)"),"")</f>
        <v/>
      </c>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row>
    <row r="232">
      <c r="B232" s="70" t="str">
        <f>IFERROR(__xludf.DUMMYFUNCTION("IFERROR(IF(COUNTIF(IMPORTRANGE(""1RTcwEJsI_0aJRebhNwO_H_AoKl9r46k7hWYbtciIyM4"",""Form Responses 1!B:B""),A232)&gt;0,10,),0)"),"")</f>
        <v/>
      </c>
      <c r="C232" s="70" t="str">
        <f>IFERROR(__xludf.DUMMYFUNCTION("IFERROR(VLOOKUP(A232,IMPORTRANGE(""11i8IUhq_U6RRKRV3CBWIKqYed_fMvFgNUHTq1YDJfp8"",""Form Responses 1!B:C""),2,FALSE),)"),"")</f>
        <v/>
      </c>
      <c r="D232" s="70" t="str">
        <f>IFERROR(__xludf.DUMMYFUNCTION("IFERROR(VLOOKUP(A232,IMPORTRANGE(""1StiHxuxrFhYdrq5WLR2JMORicW0TbnJf3J-oTHeMRtM"",""Form Responses 1!B:C""),2,FALSE),)"),"")</f>
        <v/>
      </c>
      <c r="E232" s="70" t="str">
        <f>IFERROR(__xludf.DUMMYFUNCTION("IFERROR(VLOOKUP(A232,IMPORTRANGE(""1QaxxyUjrDq2kgz300C1Bq1tacFk6e-xX218cSXCQUK0"",""Form Responses 1!B:C""),2,FALSE),)"),"")</f>
        <v/>
      </c>
      <c r="F232" s="70" t="str">
        <f>IFERROR(__xludf.DUMMYFUNCTION("IFERROR(VLOOKUP(A232,IMPORTRANGE(""1fn2ECph_y8Uz78DhjLaiXcwgt6kh3oe-0Le36Uw0noE"",""Form Responses 1!B:C""),2,FALSE),)"),"")</f>
        <v/>
      </c>
      <c r="G232" s="70"/>
      <c r="H232" s="70"/>
      <c r="I232" s="70"/>
      <c r="J232" s="70"/>
      <c r="K232" s="70"/>
      <c r="L232" s="70"/>
      <c r="M232" s="70"/>
      <c r="N232" s="70"/>
      <c r="O232" s="70"/>
      <c r="P232" s="70"/>
      <c r="Q232" s="70" t="str">
        <f>IFERROR(__xludf.DUMMYFUNCTION("IFERROR(IF(COUNTIF(IMPORTRANGE(""1WjiLR_MTMxI_IZUKuvPO4Sg2rTSIqBzP3edakSRXbOA"",""Form Responses 1!B:B""),F232)&gt;0,10,),0)"),"")</f>
        <v/>
      </c>
      <c r="R232" s="70" t="str">
        <f>IFERROR(__xludf.DUMMYFUNCTION("IFERROR(VLOOKUP(F232,IMPORTRANGE(""1Ixzbal5tEbtWhozsFEppQzOYE6ZSrkNXHg_HW5k3Wt4"",""Form Responses 1!B:C""),2,FALSE),)"),"")</f>
        <v/>
      </c>
      <c r="S232" s="70" t="str">
        <f>IFERROR(__xludf.DUMMYFUNCTION("IFERROR(VLOOKUP(F232,IMPORTRANGE(""1zxjtEKGvVIJPIDqZdnxENwVpPXYa88EihzyI44hcQUo"",""Form Responses 1!B:C""),2,FALSE),)"),"")</f>
        <v/>
      </c>
      <c r="T232" s="70" t="str">
        <f>IFERROR(__xludf.DUMMYFUNCTION("IFERROR(VLOOKUP(F232,IMPORTRANGE(""1H3cO01obd5zFULYqaT5NAqecZBFFIHeDFn4CeQLZF3w"",""Form Responses 1!B:C""),2,FALSE),)"),"")</f>
        <v/>
      </c>
      <c r="U232" s="70" t="str">
        <f>IFERROR(__xludf.DUMMYFUNCTION("IFERROR(IF(COUNTIF(IMPORTRANGE(""1IG9qoa6PeLdDDFzKpW39lxXshN0-M8Z25a_R1EpsYyg"",""Form Responses 1!B:B""),F232)&gt;0,10,),0)"),"")</f>
        <v/>
      </c>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row>
    <row r="233">
      <c r="B233" s="70" t="str">
        <f>IFERROR(__xludf.DUMMYFUNCTION("IFERROR(IF(COUNTIF(IMPORTRANGE(""1RTcwEJsI_0aJRebhNwO_H_AoKl9r46k7hWYbtciIyM4"",""Form Responses 1!B:B""),A233)&gt;0,10,),0)"),"")</f>
        <v/>
      </c>
      <c r="C233" s="70" t="str">
        <f>IFERROR(__xludf.DUMMYFUNCTION("IFERROR(VLOOKUP(A233,IMPORTRANGE(""11i8IUhq_U6RRKRV3CBWIKqYed_fMvFgNUHTq1YDJfp8"",""Form Responses 1!B:C""),2,FALSE),)"),"")</f>
        <v/>
      </c>
      <c r="D233" s="70" t="str">
        <f>IFERROR(__xludf.DUMMYFUNCTION("IFERROR(VLOOKUP(A233,IMPORTRANGE(""1StiHxuxrFhYdrq5WLR2JMORicW0TbnJf3J-oTHeMRtM"",""Form Responses 1!B:C""),2,FALSE),)"),"")</f>
        <v/>
      </c>
      <c r="E233" s="70" t="str">
        <f>IFERROR(__xludf.DUMMYFUNCTION("IFERROR(VLOOKUP(A233,IMPORTRANGE(""1QaxxyUjrDq2kgz300C1Bq1tacFk6e-xX218cSXCQUK0"",""Form Responses 1!B:C""),2,FALSE),)"),"")</f>
        <v/>
      </c>
      <c r="F233" s="70" t="str">
        <f>IFERROR(__xludf.DUMMYFUNCTION("IFERROR(VLOOKUP(A233,IMPORTRANGE(""1fn2ECph_y8Uz78DhjLaiXcwgt6kh3oe-0Le36Uw0noE"",""Form Responses 1!B:C""),2,FALSE),)"),"")</f>
        <v/>
      </c>
      <c r="G233" s="70"/>
      <c r="H233" s="70"/>
      <c r="I233" s="70"/>
      <c r="J233" s="70"/>
      <c r="K233" s="70"/>
      <c r="L233" s="70"/>
      <c r="M233" s="70"/>
      <c r="N233" s="70"/>
      <c r="O233" s="70"/>
      <c r="P233" s="70"/>
      <c r="Q233" s="70" t="str">
        <f>IFERROR(__xludf.DUMMYFUNCTION("IFERROR(IF(COUNTIF(IMPORTRANGE(""1WjiLR_MTMxI_IZUKuvPO4Sg2rTSIqBzP3edakSRXbOA"",""Form Responses 1!B:B""),F233)&gt;0,10,),0)"),"")</f>
        <v/>
      </c>
      <c r="R233" s="70" t="str">
        <f>IFERROR(__xludf.DUMMYFUNCTION("IFERROR(VLOOKUP(F233,IMPORTRANGE(""1Ixzbal5tEbtWhozsFEppQzOYE6ZSrkNXHg_HW5k3Wt4"",""Form Responses 1!B:C""),2,FALSE),)"),"")</f>
        <v/>
      </c>
      <c r="S233" s="70" t="str">
        <f>IFERROR(__xludf.DUMMYFUNCTION("IFERROR(VLOOKUP(F233,IMPORTRANGE(""1zxjtEKGvVIJPIDqZdnxENwVpPXYa88EihzyI44hcQUo"",""Form Responses 1!B:C""),2,FALSE),)"),"")</f>
        <v/>
      </c>
      <c r="T233" s="70" t="str">
        <f>IFERROR(__xludf.DUMMYFUNCTION("IFERROR(VLOOKUP(F233,IMPORTRANGE(""1H3cO01obd5zFULYqaT5NAqecZBFFIHeDFn4CeQLZF3w"",""Form Responses 1!B:C""),2,FALSE),)"),"")</f>
        <v/>
      </c>
      <c r="U233" s="70" t="str">
        <f>IFERROR(__xludf.DUMMYFUNCTION("IFERROR(IF(COUNTIF(IMPORTRANGE(""1IG9qoa6PeLdDDFzKpW39lxXshN0-M8Z25a_R1EpsYyg"",""Form Responses 1!B:B""),F233)&gt;0,10,),0)"),"")</f>
        <v/>
      </c>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row>
    <row r="234">
      <c r="B234" s="70" t="str">
        <f>IFERROR(__xludf.DUMMYFUNCTION("IFERROR(IF(COUNTIF(IMPORTRANGE(""1RTcwEJsI_0aJRebhNwO_H_AoKl9r46k7hWYbtciIyM4"",""Form Responses 1!B:B""),A234)&gt;0,10,),0)"),"")</f>
        <v/>
      </c>
      <c r="C234" s="70" t="str">
        <f>IFERROR(__xludf.DUMMYFUNCTION("IFERROR(VLOOKUP(A234,IMPORTRANGE(""11i8IUhq_U6RRKRV3CBWIKqYed_fMvFgNUHTq1YDJfp8"",""Form Responses 1!B:C""),2,FALSE),)"),"")</f>
        <v/>
      </c>
      <c r="D234" s="70" t="str">
        <f>IFERROR(__xludf.DUMMYFUNCTION("IFERROR(VLOOKUP(A234,IMPORTRANGE(""1StiHxuxrFhYdrq5WLR2JMORicW0TbnJf3J-oTHeMRtM"",""Form Responses 1!B:C""),2,FALSE),)"),"")</f>
        <v/>
      </c>
      <c r="E234" s="70" t="str">
        <f>IFERROR(__xludf.DUMMYFUNCTION("IFERROR(VLOOKUP(A234,IMPORTRANGE(""1QaxxyUjrDq2kgz300C1Bq1tacFk6e-xX218cSXCQUK0"",""Form Responses 1!B:C""),2,FALSE),)"),"")</f>
        <v/>
      </c>
      <c r="F234" s="70" t="str">
        <f>IFERROR(__xludf.DUMMYFUNCTION("IFERROR(VLOOKUP(A234,IMPORTRANGE(""1fn2ECph_y8Uz78DhjLaiXcwgt6kh3oe-0Le36Uw0noE"",""Form Responses 1!B:C""),2,FALSE),)"),"")</f>
        <v/>
      </c>
      <c r="G234" s="70"/>
      <c r="H234" s="70"/>
      <c r="I234" s="70"/>
      <c r="J234" s="70"/>
      <c r="K234" s="70"/>
      <c r="L234" s="70"/>
      <c r="M234" s="70"/>
      <c r="N234" s="70"/>
      <c r="O234" s="70"/>
      <c r="P234" s="70"/>
      <c r="Q234" s="70" t="str">
        <f>IFERROR(__xludf.DUMMYFUNCTION("IFERROR(IF(COUNTIF(IMPORTRANGE(""1WjiLR_MTMxI_IZUKuvPO4Sg2rTSIqBzP3edakSRXbOA"",""Form Responses 1!B:B""),F234)&gt;0,10,),0)"),"")</f>
        <v/>
      </c>
      <c r="R234" s="70" t="str">
        <f>IFERROR(__xludf.DUMMYFUNCTION("IFERROR(VLOOKUP(F234,IMPORTRANGE(""1Ixzbal5tEbtWhozsFEppQzOYE6ZSrkNXHg_HW5k3Wt4"",""Form Responses 1!B:C""),2,FALSE),)"),"")</f>
        <v/>
      </c>
      <c r="S234" s="70" t="str">
        <f>IFERROR(__xludf.DUMMYFUNCTION("IFERROR(VLOOKUP(F234,IMPORTRANGE(""1zxjtEKGvVIJPIDqZdnxENwVpPXYa88EihzyI44hcQUo"",""Form Responses 1!B:C""),2,FALSE),)"),"")</f>
        <v/>
      </c>
      <c r="T234" s="70" t="str">
        <f>IFERROR(__xludf.DUMMYFUNCTION("IFERROR(VLOOKUP(F234,IMPORTRANGE(""1H3cO01obd5zFULYqaT5NAqecZBFFIHeDFn4CeQLZF3w"",""Form Responses 1!B:C""),2,FALSE),)"),"")</f>
        <v/>
      </c>
      <c r="U234" s="70" t="str">
        <f>IFERROR(__xludf.DUMMYFUNCTION("IFERROR(IF(COUNTIF(IMPORTRANGE(""1IG9qoa6PeLdDDFzKpW39lxXshN0-M8Z25a_R1EpsYyg"",""Form Responses 1!B:B""),F234)&gt;0,10,),0)"),"")</f>
        <v/>
      </c>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row>
    <row r="235">
      <c r="B235" s="70" t="str">
        <f>IFERROR(__xludf.DUMMYFUNCTION("IFERROR(IF(COUNTIF(IMPORTRANGE(""1RTcwEJsI_0aJRebhNwO_H_AoKl9r46k7hWYbtciIyM4"",""Form Responses 1!B:B""),A235)&gt;0,10,),0)"),"")</f>
        <v/>
      </c>
      <c r="C235" s="70" t="str">
        <f>IFERROR(__xludf.DUMMYFUNCTION("IFERROR(VLOOKUP(A235,IMPORTRANGE(""11i8IUhq_U6RRKRV3CBWIKqYed_fMvFgNUHTq1YDJfp8"",""Form Responses 1!B:C""),2,FALSE),)"),"")</f>
        <v/>
      </c>
      <c r="D235" s="70" t="str">
        <f>IFERROR(__xludf.DUMMYFUNCTION("IFERROR(VLOOKUP(A235,IMPORTRANGE(""1StiHxuxrFhYdrq5WLR2JMORicW0TbnJf3J-oTHeMRtM"",""Form Responses 1!B:C""),2,FALSE),)"),"")</f>
        <v/>
      </c>
      <c r="E235" s="70" t="str">
        <f>IFERROR(__xludf.DUMMYFUNCTION("IFERROR(VLOOKUP(A235,IMPORTRANGE(""1QaxxyUjrDq2kgz300C1Bq1tacFk6e-xX218cSXCQUK0"",""Form Responses 1!B:C""),2,FALSE),)"),"")</f>
        <v/>
      </c>
      <c r="F235" s="70" t="str">
        <f>IFERROR(__xludf.DUMMYFUNCTION("IFERROR(VLOOKUP(A235,IMPORTRANGE(""1fn2ECph_y8Uz78DhjLaiXcwgt6kh3oe-0Le36Uw0noE"",""Form Responses 1!B:C""),2,FALSE),)"),"")</f>
        <v/>
      </c>
      <c r="G235" s="70"/>
      <c r="H235" s="70"/>
      <c r="I235" s="70"/>
      <c r="J235" s="70"/>
      <c r="K235" s="70"/>
      <c r="L235" s="70"/>
      <c r="M235" s="70"/>
      <c r="N235" s="70"/>
      <c r="O235" s="70"/>
      <c r="P235" s="70"/>
      <c r="Q235" s="70" t="str">
        <f>IFERROR(__xludf.DUMMYFUNCTION("IFERROR(IF(COUNTIF(IMPORTRANGE(""1WjiLR_MTMxI_IZUKuvPO4Sg2rTSIqBzP3edakSRXbOA"",""Form Responses 1!B:B""),F235)&gt;0,10,),0)"),"")</f>
        <v/>
      </c>
      <c r="R235" s="70" t="str">
        <f>IFERROR(__xludf.DUMMYFUNCTION("IFERROR(VLOOKUP(F235,IMPORTRANGE(""1Ixzbal5tEbtWhozsFEppQzOYE6ZSrkNXHg_HW5k3Wt4"",""Form Responses 1!B:C""),2,FALSE),)"),"")</f>
        <v/>
      </c>
      <c r="S235" s="70" t="str">
        <f>IFERROR(__xludf.DUMMYFUNCTION("IFERROR(VLOOKUP(F235,IMPORTRANGE(""1zxjtEKGvVIJPIDqZdnxENwVpPXYa88EihzyI44hcQUo"",""Form Responses 1!B:C""),2,FALSE),)"),"")</f>
        <v/>
      </c>
      <c r="T235" s="70" t="str">
        <f>IFERROR(__xludf.DUMMYFUNCTION("IFERROR(VLOOKUP(F235,IMPORTRANGE(""1H3cO01obd5zFULYqaT5NAqecZBFFIHeDFn4CeQLZF3w"",""Form Responses 1!B:C""),2,FALSE),)"),"")</f>
        <v/>
      </c>
      <c r="U235" s="70" t="str">
        <f>IFERROR(__xludf.DUMMYFUNCTION("IFERROR(IF(COUNTIF(IMPORTRANGE(""1IG9qoa6PeLdDDFzKpW39lxXshN0-M8Z25a_R1EpsYyg"",""Form Responses 1!B:B""),F235)&gt;0,10,),0)"),"")</f>
        <v/>
      </c>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row>
    <row r="236">
      <c r="B236" s="70" t="str">
        <f>IFERROR(__xludf.DUMMYFUNCTION("IFERROR(IF(COUNTIF(IMPORTRANGE(""1RTcwEJsI_0aJRebhNwO_H_AoKl9r46k7hWYbtciIyM4"",""Form Responses 1!B:B""),A236)&gt;0,10,),0)"),"")</f>
        <v/>
      </c>
      <c r="C236" s="70" t="str">
        <f>IFERROR(__xludf.DUMMYFUNCTION("IFERROR(VLOOKUP(A236,IMPORTRANGE(""11i8IUhq_U6RRKRV3CBWIKqYed_fMvFgNUHTq1YDJfp8"",""Form Responses 1!B:C""),2,FALSE),)"),"")</f>
        <v/>
      </c>
      <c r="D236" s="70" t="str">
        <f>IFERROR(__xludf.DUMMYFUNCTION("IFERROR(VLOOKUP(A236,IMPORTRANGE(""1StiHxuxrFhYdrq5WLR2JMORicW0TbnJf3J-oTHeMRtM"",""Form Responses 1!B:C""),2,FALSE),)"),"")</f>
        <v/>
      </c>
      <c r="E236" s="70" t="str">
        <f>IFERROR(__xludf.DUMMYFUNCTION("IFERROR(VLOOKUP(A236,IMPORTRANGE(""1QaxxyUjrDq2kgz300C1Bq1tacFk6e-xX218cSXCQUK0"",""Form Responses 1!B:C""),2,FALSE),)"),"")</f>
        <v/>
      </c>
      <c r="F236" s="70" t="str">
        <f>IFERROR(__xludf.DUMMYFUNCTION("IFERROR(VLOOKUP(A236,IMPORTRANGE(""1fn2ECph_y8Uz78DhjLaiXcwgt6kh3oe-0Le36Uw0noE"",""Form Responses 1!B:C""),2,FALSE),)"),"")</f>
        <v/>
      </c>
      <c r="G236" s="70"/>
      <c r="H236" s="70"/>
      <c r="I236" s="70"/>
      <c r="J236" s="70"/>
      <c r="K236" s="70"/>
      <c r="L236" s="70"/>
      <c r="M236" s="70"/>
      <c r="N236" s="70"/>
      <c r="O236" s="70"/>
      <c r="P236" s="70"/>
      <c r="Q236" s="70" t="str">
        <f>IFERROR(__xludf.DUMMYFUNCTION("IFERROR(IF(COUNTIF(IMPORTRANGE(""1WjiLR_MTMxI_IZUKuvPO4Sg2rTSIqBzP3edakSRXbOA"",""Form Responses 1!B:B""),F236)&gt;0,10,),0)"),"")</f>
        <v/>
      </c>
      <c r="R236" s="70" t="str">
        <f>IFERROR(__xludf.DUMMYFUNCTION("IFERROR(VLOOKUP(F236,IMPORTRANGE(""1Ixzbal5tEbtWhozsFEppQzOYE6ZSrkNXHg_HW5k3Wt4"",""Form Responses 1!B:C""),2,FALSE),)"),"")</f>
        <v/>
      </c>
      <c r="S236" s="70" t="str">
        <f>IFERROR(__xludf.DUMMYFUNCTION("IFERROR(VLOOKUP(F236,IMPORTRANGE(""1zxjtEKGvVIJPIDqZdnxENwVpPXYa88EihzyI44hcQUo"",""Form Responses 1!B:C""),2,FALSE),)"),"")</f>
        <v/>
      </c>
      <c r="T236" s="70" t="str">
        <f>IFERROR(__xludf.DUMMYFUNCTION("IFERROR(VLOOKUP(F236,IMPORTRANGE(""1H3cO01obd5zFULYqaT5NAqecZBFFIHeDFn4CeQLZF3w"",""Form Responses 1!B:C""),2,FALSE),)"),"")</f>
        <v/>
      </c>
      <c r="U236" s="70" t="str">
        <f>IFERROR(__xludf.DUMMYFUNCTION("IFERROR(IF(COUNTIF(IMPORTRANGE(""1IG9qoa6PeLdDDFzKpW39lxXshN0-M8Z25a_R1EpsYyg"",""Form Responses 1!B:B""),F236)&gt;0,10,),0)"),"")</f>
        <v/>
      </c>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row>
    <row r="237">
      <c r="B237" s="70" t="str">
        <f>IFERROR(__xludf.DUMMYFUNCTION("IFERROR(IF(COUNTIF(IMPORTRANGE(""1RTcwEJsI_0aJRebhNwO_H_AoKl9r46k7hWYbtciIyM4"",""Form Responses 1!B:B""),A237)&gt;0,10,),0)"),"")</f>
        <v/>
      </c>
      <c r="C237" s="70" t="str">
        <f>IFERROR(__xludf.DUMMYFUNCTION("IFERROR(VLOOKUP(A237,IMPORTRANGE(""11i8IUhq_U6RRKRV3CBWIKqYed_fMvFgNUHTq1YDJfp8"",""Form Responses 1!B:C""),2,FALSE),)"),"")</f>
        <v/>
      </c>
      <c r="D237" s="70" t="str">
        <f>IFERROR(__xludf.DUMMYFUNCTION("IFERROR(VLOOKUP(A237,IMPORTRANGE(""1StiHxuxrFhYdrq5WLR2JMORicW0TbnJf3J-oTHeMRtM"",""Form Responses 1!B:C""),2,FALSE),)"),"")</f>
        <v/>
      </c>
      <c r="E237" s="70" t="str">
        <f>IFERROR(__xludf.DUMMYFUNCTION("IFERROR(VLOOKUP(A237,IMPORTRANGE(""1QaxxyUjrDq2kgz300C1Bq1tacFk6e-xX218cSXCQUK0"",""Form Responses 1!B:C""),2,FALSE),)"),"")</f>
        <v/>
      </c>
      <c r="F237" s="70" t="str">
        <f>IFERROR(__xludf.DUMMYFUNCTION("IFERROR(VLOOKUP(A237,IMPORTRANGE(""1fn2ECph_y8Uz78DhjLaiXcwgt6kh3oe-0Le36Uw0noE"",""Form Responses 1!B:C""),2,FALSE),)"),"")</f>
        <v/>
      </c>
      <c r="G237" s="70"/>
      <c r="H237" s="70"/>
      <c r="I237" s="70"/>
      <c r="J237" s="70"/>
      <c r="K237" s="70"/>
      <c r="L237" s="70"/>
      <c r="M237" s="70"/>
      <c r="N237" s="70"/>
      <c r="O237" s="70"/>
      <c r="P237" s="70"/>
      <c r="Q237" s="70" t="str">
        <f>IFERROR(__xludf.DUMMYFUNCTION("IFERROR(IF(COUNTIF(IMPORTRANGE(""1WjiLR_MTMxI_IZUKuvPO4Sg2rTSIqBzP3edakSRXbOA"",""Form Responses 1!B:B""),F237)&gt;0,10,),0)"),"")</f>
        <v/>
      </c>
      <c r="R237" s="70" t="str">
        <f>IFERROR(__xludf.DUMMYFUNCTION("IFERROR(VLOOKUP(F237,IMPORTRANGE(""1Ixzbal5tEbtWhozsFEppQzOYE6ZSrkNXHg_HW5k3Wt4"",""Form Responses 1!B:C""),2,FALSE),)"),"")</f>
        <v/>
      </c>
      <c r="S237" s="70" t="str">
        <f>IFERROR(__xludf.DUMMYFUNCTION("IFERROR(VLOOKUP(F237,IMPORTRANGE(""1zxjtEKGvVIJPIDqZdnxENwVpPXYa88EihzyI44hcQUo"",""Form Responses 1!B:C""),2,FALSE),)"),"")</f>
        <v/>
      </c>
      <c r="T237" s="70" t="str">
        <f>IFERROR(__xludf.DUMMYFUNCTION("IFERROR(VLOOKUP(F237,IMPORTRANGE(""1H3cO01obd5zFULYqaT5NAqecZBFFIHeDFn4CeQLZF3w"",""Form Responses 1!B:C""),2,FALSE),)"),"")</f>
        <v/>
      </c>
      <c r="U237" s="70" t="str">
        <f>IFERROR(__xludf.DUMMYFUNCTION("IFERROR(IF(COUNTIF(IMPORTRANGE(""1IG9qoa6PeLdDDFzKpW39lxXshN0-M8Z25a_R1EpsYyg"",""Form Responses 1!B:B""),F237)&gt;0,10,),0)"),"")</f>
        <v/>
      </c>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row>
    <row r="238">
      <c r="B238" s="70" t="str">
        <f>IFERROR(__xludf.DUMMYFUNCTION("IFERROR(IF(COUNTIF(IMPORTRANGE(""1RTcwEJsI_0aJRebhNwO_H_AoKl9r46k7hWYbtciIyM4"",""Form Responses 1!B:B""),A238)&gt;0,10,),0)"),"")</f>
        <v/>
      </c>
      <c r="C238" s="70" t="str">
        <f>IFERROR(__xludf.DUMMYFUNCTION("IFERROR(VLOOKUP(A238,IMPORTRANGE(""11i8IUhq_U6RRKRV3CBWIKqYed_fMvFgNUHTq1YDJfp8"",""Form Responses 1!B:C""),2,FALSE),)"),"")</f>
        <v/>
      </c>
      <c r="D238" s="70" t="str">
        <f>IFERROR(__xludf.DUMMYFUNCTION("IFERROR(VLOOKUP(A238,IMPORTRANGE(""1StiHxuxrFhYdrq5WLR2JMORicW0TbnJf3J-oTHeMRtM"",""Form Responses 1!B:C""),2,FALSE),)"),"")</f>
        <v/>
      </c>
      <c r="E238" s="70" t="str">
        <f>IFERROR(__xludf.DUMMYFUNCTION("IFERROR(VLOOKUP(A238,IMPORTRANGE(""1QaxxyUjrDq2kgz300C1Bq1tacFk6e-xX218cSXCQUK0"",""Form Responses 1!B:C""),2,FALSE),)"),"")</f>
        <v/>
      </c>
      <c r="F238" s="70" t="str">
        <f>IFERROR(__xludf.DUMMYFUNCTION("IFERROR(VLOOKUP(A238,IMPORTRANGE(""1fn2ECph_y8Uz78DhjLaiXcwgt6kh3oe-0Le36Uw0noE"",""Form Responses 1!B:C""),2,FALSE),)"),"")</f>
        <v/>
      </c>
      <c r="G238" s="70"/>
      <c r="H238" s="70"/>
      <c r="I238" s="70"/>
      <c r="J238" s="70"/>
      <c r="K238" s="70"/>
      <c r="L238" s="70"/>
      <c r="M238" s="70"/>
      <c r="N238" s="70"/>
      <c r="O238" s="70"/>
      <c r="P238" s="70"/>
      <c r="Q238" s="70" t="str">
        <f>IFERROR(__xludf.DUMMYFUNCTION("IFERROR(IF(COUNTIF(IMPORTRANGE(""1WjiLR_MTMxI_IZUKuvPO4Sg2rTSIqBzP3edakSRXbOA"",""Form Responses 1!B:B""),F238)&gt;0,10,),0)"),"")</f>
        <v/>
      </c>
      <c r="R238" s="70" t="str">
        <f>IFERROR(__xludf.DUMMYFUNCTION("IFERROR(VLOOKUP(F238,IMPORTRANGE(""1Ixzbal5tEbtWhozsFEppQzOYE6ZSrkNXHg_HW5k3Wt4"",""Form Responses 1!B:C""),2,FALSE),)"),"")</f>
        <v/>
      </c>
      <c r="S238" s="70" t="str">
        <f>IFERROR(__xludf.DUMMYFUNCTION("IFERROR(VLOOKUP(F238,IMPORTRANGE(""1zxjtEKGvVIJPIDqZdnxENwVpPXYa88EihzyI44hcQUo"",""Form Responses 1!B:C""),2,FALSE),)"),"")</f>
        <v/>
      </c>
      <c r="T238" s="70" t="str">
        <f>IFERROR(__xludf.DUMMYFUNCTION("IFERROR(VLOOKUP(F238,IMPORTRANGE(""1H3cO01obd5zFULYqaT5NAqecZBFFIHeDFn4CeQLZF3w"",""Form Responses 1!B:C""),2,FALSE),)"),"")</f>
        <v/>
      </c>
      <c r="U238" s="70" t="str">
        <f>IFERROR(__xludf.DUMMYFUNCTION("IFERROR(IF(COUNTIF(IMPORTRANGE(""1IG9qoa6PeLdDDFzKpW39lxXshN0-M8Z25a_R1EpsYyg"",""Form Responses 1!B:B""),F238)&gt;0,10,),0)"),"")</f>
        <v/>
      </c>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row>
    <row r="239">
      <c r="B239" s="70" t="str">
        <f>IFERROR(__xludf.DUMMYFUNCTION("IFERROR(IF(COUNTIF(IMPORTRANGE(""1RTcwEJsI_0aJRebhNwO_H_AoKl9r46k7hWYbtciIyM4"",""Form Responses 1!B:B""),A239)&gt;0,10,),0)"),"")</f>
        <v/>
      </c>
      <c r="C239" s="70" t="str">
        <f>IFERROR(__xludf.DUMMYFUNCTION("IFERROR(VLOOKUP(A239,IMPORTRANGE(""11i8IUhq_U6RRKRV3CBWIKqYed_fMvFgNUHTq1YDJfp8"",""Form Responses 1!B:C""),2,FALSE),)"),"")</f>
        <v/>
      </c>
      <c r="D239" s="70" t="str">
        <f>IFERROR(__xludf.DUMMYFUNCTION("IFERROR(VLOOKUP(A239,IMPORTRANGE(""1StiHxuxrFhYdrq5WLR2JMORicW0TbnJf3J-oTHeMRtM"",""Form Responses 1!B:C""),2,FALSE),)"),"")</f>
        <v/>
      </c>
      <c r="E239" s="70" t="str">
        <f>IFERROR(__xludf.DUMMYFUNCTION("IFERROR(VLOOKUP(A239,IMPORTRANGE(""1QaxxyUjrDq2kgz300C1Bq1tacFk6e-xX218cSXCQUK0"",""Form Responses 1!B:C""),2,FALSE),)"),"")</f>
        <v/>
      </c>
      <c r="F239" s="70" t="str">
        <f>IFERROR(__xludf.DUMMYFUNCTION("IFERROR(VLOOKUP(A239,IMPORTRANGE(""1fn2ECph_y8Uz78DhjLaiXcwgt6kh3oe-0Le36Uw0noE"",""Form Responses 1!B:C""),2,FALSE),)"),"")</f>
        <v/>
      </c>
      <c r="G239" s="70"/>
      <c r="H239" s="70"/>
      <c r="I239" s="70"/>
      <c r="J239" s="70"/>
      <c r="K239" s="70"/>
      <c r="L239" s="70"/>
      <c r="M239" s="70"/>
      <c r="N239" s="70"/>
      <c r="O239" s="70"/>
      <c r="P239" s="70"/>
      <c r="Q239" s="70" t="str">
        <f>IFERROR(__xludf.DUMMYFUNCTION("IFERROR(IF(COUNTIF(IMPORTRANGE(""1WjiLR_MTMxI_IZUKuvPO4Sg2rTSIqBzP3edakSRXbOA"",""Form Responses 1!B:B""),F239)&gt;0,10,),0)"),"")</f>
        <v/>
      </c>
      <c r="R239" s="70" t="str">
        <f>IFERROR(__xludf.DUMMYFUNCTION("IFERROR(VLOOKUP(F239,IMPORTRANGE(""1Ixzbal5tEbtWhozsFEppQzOYE6ZSrkNXHg_HW5k3Wt4"",""Form Responses 1!B:C""),2,FALSE),)"),"")</f>
        <v/>
      </c>
      <c r="S239" s="70" t="str">
        <f>IFERROR(__xludf.DUMMYFUNCTION("IFERROR(VLOOKUP(F239,IMPORTRANGE(""1zxjtEKGvVIJPIDqZdnxENwVpPXYa88EihzyI44hcQUo"",""Form Responses 1!B:C""),2,FALSE),)"),"")</f>
        <v/>
      </c>
      <c r="T239" s="70" t="str">
        <f>IFERROR(__xludf.DUMMYFUNCTION("IFERROR(VLOOKUP(F239,IMPORTRANGE(""1H3cO01obd5zFULYqaT5NAqecZBFFIHeDFn4CeQLZF3w"",""Form Responses 1!B:C""),2,FALSE),)"),"")</f>
        <v/>
      </c>
      <c r="U239" s="70" t="str">
        <f>IFERROR(__xludf.DUMMYFUNCTION("IFERROR(IF(COUNTIF(IMPORTRANGE(""1IG9qoa6PeLdDDFzKpW39lxXshN0-M8Z25a_R1EpsYyg"",""Form Responses 1!B:B""),F239)&gt;0,10,),0)"),"")</f>
        <v/>
      </c>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row>
    <row r="240">
      <c r="B240" s="70" t="str">
        <f>IFERROR(__xludf.DUMMYFUNCTION("IFERROR(IF(COUNTIF(IMPORTRANGE(""1RTcwEJsI_0aJRebhNwO_H_AoKl9r46k7hWYbtciIyM4"",""Form Responses 1!B:B""),A240)&gt;0,10,),0)"),"")</f>
        <v/>
      </c>
      <c r="C240" s="70" t="str">
        <f>IFERROR(__xludf.DUMMYFUNCTION("IFERROR(VLOOKUP(A240,IMPORTRANGE(""11i8IUhq_U6RRKRV3CBWIKqYed_fMvFgNUHTq1YDJfp8"",""Form Responses 1!B:C""),2,FALSE),)"),"")</f>
        <v/>
      </c>
      <c r="D240" s="70" t="str">
        <f>IFERROR(__xludf.DUMMYFUNCTION("IFERROR(VLOOKUP(A240,IMPORTRANGE(""1StiHxuxrFhYdrq5WLR2JMORicW0TbnJf3J-oTHeMRtM"",""Form Responses 1!B:C""),2,FALSE),)"),"")</f>
        <v/>
      </c>
      <c r="E240" s="70" t="str">
        <f>IFERROR(__xludf.DUMMYFUNCTION("IFERROR(VLOOKUP(A240,IMPORTRANGE(""1QaxxyUjrDq2kgz300C1Bq1tacFk6e-xX218cSXCQUK0"",""Form Responses 1!B:C""),2,FALSE),)"),"")</f>
        <v/>
      </c>
      <c r="F240" s="70" t="str">
        <f>IFERROR(__xludf.DUMMYFUNCTION("IFERROR(VLOOKUP(A240,IMPORTRANGE(""1fn2ECph_y8Uz78DhjLaiXcwgt6kh3oe-0Le36Uw0noE"",""Form Responses 1!B:C""),2,FALSE),)"),"")</f>
        <v/>
      </c>
      <c r="G240" s="70"/>
      <c r="H240" s="70"/>
      <c r="I240" s="70"/>
      <c r="J240" s="70"/>
      <c r="K240" s="70"/>
      <c r="L240" s="70"/>
      <c r="M240" s="70"/>
      <c r="N240" s="70"/>
      <c r="O240" s="70"/>
      <c r="P240" s="70"/>
      <c r="Q240" s="70" t="str">
        <f>IFERROR(__xludf.DUMMYFUNCTION("IFERROR(IF(COUNTIF(IMPORTRANGE(""1WjiLR_MTMxI_IZUKuvPO4Sg2rTSIqBzP3edakSRXbOA"",""Form Responses 1!B:B""),F240)&gt;0,10,),0)"),"")</f>
        <v/>
      </c>
      <c r="R240" s="70" t="str">
        <f>IFERROR(__xludf.DUMMYFUNCTION("IFERROR(VLOOKUP(F240,IMPORTRANGE(""1Ixzbal5tEbtWhozsFEppQzOYE6ZSrkNXHg_HW5k3Wt4"",""Form Responses 1!B:C""),2,FALSE),)"),"")</f>
        <v/>
      </c>
      <c r="S240" s="70" t="str">
        <f>IFERROR(__xludf.DUMMYFUNCTION("IFERROR(VLOOKUP(F240,IMPORTRANGE(""1zxjtEKGvVIJPIDqZdnxENwVpPXYa88EihzyI44hcQUo"",""Form Responses 1!B:C""),2,FALSE),)"),"")</f>
        <v/>
      </c>
      <c r="T240" s="70" t="str">
        <f>IFERROR(__xludf.DUMMYFUNCTION("IFERROR(VLOOKUP(F240,IMPORTRANGE(""1H3cO01obd5zFULYqaT5NAqecZBFFIHeDFn4CeQLZF3w"",""Form Responses 1!B:C""),2,FALSE),)"),"")</f>
        <v/>
      </c>
      <c r="U240" s="70" t="str">
        <f>IFERROR(__xludf.DUMMYFUNCTION("IFERROR(IF(COUNTIF(IMPORTRANGE(""1IG9qoa6PeLdDDFzKpW39lxXshN0-M8Z25a_R1EpsYyg"",""Form Responses 1!B:B""),F240)&gt;0,10,),0)"),"")</f>
        <v/>
      </c>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row>
    <row r="241">
      <c r="B241" s="70" t="str">
        <f>IFERROR(__xludf.DUMMYFUNCTION("IFERROR(IF(COUNTIF(IMPORTRANGE(""1RTcwEJsI_0aJRebhNwO_H_AoKl9r46k7hWYbtciIyM4"",""Form Responses 1!B:B""),A241)&gt;0,10,),0)"),"")</f>
        <v/>
      </c>
      <c r="C241" s="70" t="str">
        <f>IFERROR(__xludf.DUMMYFUNCTION("IFERROR(VLOOKUP(A241,IMPORTRANGE(""11i8IUhq_U6RRKRV3CBWIKqYed_fMvFgNUHTq1YDJfp8"",""Form Responses 1!B:C""),2,FALSE),)"),"")</f>
        <v/>
      </c>
      <c r="D241" s="70" t="str">
        <f>IFERROR(__xludf.DUMMYFUNCTION("IFERROR(VLOOKUP(A241,IMPORTRANGE(""1StiHxuxrFhYdrq5WLR2JMORicW0TbnJf3J-oTHeMRtM"",""Form Responses 1!B:C""),2,FALSE),)"),"")</f>
        <v/>
      </c>
      <c r="E241" s="70" t="str">
        <f>IFERROR(__xludf.DUMMYFUNCTION("IFERROR(VLOOKUP(A241,IMPORTRANGE(""1QaxxyUjrDq2kgz300C1Bq1tacFk6e-xX218cSXCQUK0"",""Form Responses 1!B:C""),2,FALSE),)"),"")</f>
        <v/>
      </c>
      <c r="F241" s="70" t="str">
        <f>IFERROR(__xludf.DUMMYFUNCTION("IFERROR(VLOOKUP(A241,IMPORTRANGE(""1fn2ECph_y8Uz78DhjLaiXcwgt6kh3oe-0Le36Uw0noE"",""Form Responses 1!B:C""),2,FALSE),)"),"")</f>
        <v/>
      </c>
      <c r="G241" s="70"/>
      <c r="H241" s="70"/>
      <c r="I241" s="70"/>
      <c r="J241" s="70"/>
      <c r="K241" s="70"/>
      <c r="L241" s="70"/>
      <c r="M241" s="70"/>
      <c r="N241" s="70"/>
      <c r="O241" s="70"/>
      <c r="P241" s="70"/>
      <c r="Q241" s="70" t="str">
        <f>IFERROR(__xludf.DUMMYFUNCTION("IFERROR(IF(COUNTIF(IMPORTRANGE(""1WjiLR_MTMxI_IZUKuvPO4Sg2rTSIqBzP3edakSRXbOA"",""Form Responses 1!B:B""),F241)&gt;0,10,),0)"),"")</f>
        <v/>
      </c>
      <c r="R241" s="70" t="str">
        <f>IFERROR(__xludf.DUMMYFUNCTION("IFERROR(VLOOKUP(F241,IMPORTRANGE(""1Ixzbal5tEbtWhozsFEppQzOYE6ZSrkNXHg_HW5k3Wt4"",""Form Responses 1!B:C""),2,FALSE),)"),"")</f>
        <v/>
      </c>
      <c r="S241" s="70" t="str">
        <f>IFERROR(__xludf.DUMMYFUNCTION("IFERROR(VLOOKUP(F241,IMPORTRANGE(""1zxjtEKGvVIJPIDqZdnxENwVpPXYa88EihzyI44hcQUo"",""Form Responses 1!B:C""),2,FALSE),)"),"")</f>
        <v/>
      </c>
      <c r="T241" s="70" t="str">
        <f>IFERROR(__xludf.DUMMYFUNCTION("IFERROR(VLOOKUP(F241,IMPORTRANGE(""1H3cO01obd5zFULYqaT5NAqecZBFFIHeDFn4CeQLZF3w"",""Form Responses 1!B:C""),2,FALSE),)"),"")</f>
        <v/>
      </c>
      <c r="U241" s="70" t="str">
        <f>IFERROR(__xludf.DUMMYFUNCTION("IFERROR(IF(COUNTIF(IMPORTRANGE(""1IG9qoa6PeLdDDFzKpW39lxXshN0-M8Z25a_R1EpsYyg"",""Form Responses 1!B:B""),F241)&gt;0,10,),0)"),"")</f>
        <v/>
      </c>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row>
    <row r="242">
      <c r="B242" s="70" t="str">
        <f>IFERROR(__xludf.DUMMYFUNCTION("IFERROR(IF(COUNTIF(IMPORTRANGE(""1RTcwEJsI_0aJRebhNwO_H_AoKl9r46k7hWYbtciIyM4"",""Form Responses 1!B:B""),A242)&gt;0,10,),0)"),"")</f>
        <v/>
      </c>
      <c r="C242" s="70" t="str">
        <f>IFERROR(__xludf.DUMMYFUNCTION("IFERROR(VLOOKUP(A242,IMPORTRANGE(""11i8IUhq_U6RRKRV3CBWIKqYed_fMvFgNUHTq1YDJfp8"",""Form Responses 1!B:C""),2,FALSE),)"),"")</f>
        <v/>
      </c>
      <c r="D242" s="70" t="str">
        <f>IFERROR(__xludf.DUMMYFUNCTION("IFERROR(VLOOKUP(A242,IMPORTRANGE(""1StiHxuxrFhYdrq5WLR2JMORicW0TbnJf3J-oTHeMRtM"",""Form Responses 1!B:C""),2,FALSE),)"),"")</f>
        <v/>
      </c>
      <c r="E242" s="70" t="str">
        <f>IFERROR(__xludf.DUMMYFUNCTION("IFERROR(VLOOKUP(A242,IMPORTRANGE(""1QaxxyUjrDq2kgz300C1Bq1tacFk6e-xX218cSXCQUK0"",""Form Responses 1!B:C""),2,FALSE),)"),"")</f>
        <v/>
      </c>
      <c r="F242" s="70" t="str">
        <f>IFERROR(__xludf.DUMMYFUNCTION("IFERROR(VLOOKUP(A242,IMPORTRANGE(""1fn2ECph_y8Uz78DhjLaiXcwgt6kh3oe-0Le36Uw0noE"",""Form Responses 1!B:C""),2,FALSE),)"),"")</f>
        <v/>
      </c>
      <c r="G242" s="70"/>
      <c r="H242" s="70"/>
      <c r="I242" s="70"/>
      <c r="J242" s="70"/>
      <c r="K242" s="70"/>
      <c r="L242" s="70"/>
      <c r="M242" s="70"/>
      <c r="N242" s="70"/>
      <c r="O242" s="70"/>
      <c r="P242" s="70"/>
      <c r="Q242" s="70" t="str">
        <f>IFERROR(__xludf.DUMMYFUNCTION("IFERROR(IF(COUNTIF(IMPORTRANGE(""1WjiLR_MTMxI_IZUKuvPO4Sg2rTSIqBzP3edakSRXbOA"",""Form Responses 1!B:B""),F242)&gt;0,10,),0)"),"")</f>
        <v/>
      </c>
      <c r="R242" s="70" t="str">
        <f>IFERROR(__xludf.DUMMYFUNCTION("IFERROR(VLOOKUP(F242,IMPORTRANGE(""1Ixzbal5tEbtWhozsFEppQzOYE6ZSrkNXHg_HW5k3Wt4"",""Form Responses 1!B:C""),2,FALSE),)"),"")</f>
        <v/>
      </c>
      <c r="S242" s="70" t="str">
        <f>IFERROR(__xludf.DUMMYFUNCTION("IFERROR(VLOOKUP(F242,IMPORTRANGE(""1zxjtEKGvVIJPIDqZdnxENwVpPXYa88EihzyI44hcQUo"",""Form Responses 1!B:C""),2,FALSE),)"),"")</f>
        <v/>
      </c>
      <c r="T242" s="70" t="str">
        <f>IFERROR(__xludf.DUMMYFUNCTION("IFERROR(VLOOKUP(F242,IMPORTRANGE(""1H3cO01obd5zFULYqaT5NAqecZBFFIHeDFn4CeQLZF3w"",""Form Responses 1!B:C""),2,FALSE),)"),"")</f>
        <v/>
      </c>
      <c r="U242" s="70" t="str">
        <f>IFERROR(__xludf.DUMMYFUNCTION("IFERROR(IF(COUNTIF(IMPORTRANGE(""1IG9qoa6PeLdDDFzKpW39lxXshN0-M8Z25a_R1EpsYyg"",""Form Responses 1!B:B""),F242)&gt;0,10,),0)"),"")</f>
        <v/>
      </c>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row>
    <row r="243">
      <c r="B243" s="70" t="str">
        <f>IFERROR(__xludf.DUMMYFUNCTION("IFERROR(IF(COUNTIF(IMPORTRANGE(""1RTcwEJsI_0aJRebhNwO_H_AoKl9r46k7hWYbtciIyM4"",""Form Responses 1!B:B""),A243)&gt;0,10,),0)"),"")</f>
        <v/>
      </c>
      <c r="C243" s="70" t="str">
        <f>IFERROR(__xludf.DUMMYFUNCTION("IFERROR(VLOOKUP(A243,IMPORTRANGE(""11i8IUhq_U6RRKRV3CBWIKqYed_fMvFgNUHTq1YDJfp8"",""Form Responses 1!B:C""),2,FALSE),)"),"")</f>
        <v/>
      </c>
      <c r="D243" s="70" t="str">
        <f>IFERROR(__xludf.DUMMYFUNCTION("IFERROR(VLOOKUP(A243,IMPORTRANGE(""1StiHxuxrFhYdrq5WLR2JMORicW0TbnJf3J-oTHeMRtM"",""Form Responses 1!B:C""),2,FALSE),)"),"")</f>
        <v/>
      </c>
      <c r="E243" s="70" t="str">
        <f>IFERROR(__xludf.DUMMYFUNCTION("IFERROR(VLOOKUP(A243,IMPORTRANGE(""1QaxxyUjrDq2kgz300C1Bq1tacFk6e-xX218cSXCQUK0"",""Form Responses 1!B:C""),2,FALSE),)"),"")</f>
        <v/>
      </c>
      <c r="F243" s="70" t="str">
        <f>IFERROR(__xludf.DUMMYFUNCTION("IFERROR(VLOOKUP(A243,IMPORTRANGE(""1fn2ECph_y8Uz78DhjLaiXcwgt6kh3oe-0Le36Uw0noE"",""Form Responses 1!B:C""),2,FALSE),)"),"")</f>
        <v/>
      </c>
      <c r="G243" s="70"/>
      <c r="H243" s="70"/>
      <c r="I243" s="70"/>
      <c r="J243" s="70"/>
      <c r="K243" s="70"/>
      <c r="L243" s="70"/>
      <c r="M243" s="70"/>
      <c r="N243" s="70"/>
      <c r="O243" s="70"/>
      <c r="P243" s="70"/>
      <c r="Q243" s="70" t="str">
        <f>IFERROR(__xludf.DUMMYFUNCTION("IFERROR(IF(COUNTIF(IMPORTRANGE(""1WjiLR_MTMxI_IZUKuvPO4Sg2rTSIqBzP3edakSRXbOA"",""Form Responses 1!B:B""),F243)&gt;0,10,),0)"),"")</f>
        <v/>
      </c>
      <c r="R243" s="70" t="str">
        <f>IFERROR(__xludf.DUMMYFUNCTION("IFERROR(VLOOKUP(F243,IMPORTRANGE(""1Ixzbal5tEbtWhozsFEppQzOYE6ZSrkNXHg_HW5k3Wt4"",""Form Responses 1!B:C""),2,FALSE),)"),"")</f>
        <v/>
      </c>
      <c r="S243" s="70" t="str">
        <f>IFERROR(__xludf.DUMMYFUNCTION("IFERROR(VLOOKUP(F243,IMPORTRANGE(""1zxjtEKGvVIJPIDqZdnxENwVpPXYa88EihzyI44hcQUo"",""Form Responses 1!B:C""),2,FALSE),)"),"")</f>
        <v/>
      </c>
      <c r="T243" s="70" t="str">
        <f>IFERROR(__xludf.DUMMYFUNCTION("IFERROR(VLOOKUP(F243,IMPORTRANGE(""1H3cO01obd5zFULYqaT5NAqecZBFFIHeDFn4CeQLZF3w"",""Form Responses 1!B:C""),2,FALSE),)"),"")</f>
        <v/>
      </c>
      <c r="U243" s="70" t="str">
        <f>IFERROR(__xludf.DUMMYFUNCTION("IFERROR(IF(COUNTIF(IMPORTRANGE(""1IG9qoa6PeLdDDFzKpW39lxXshN0-M8Z25a_R1EpsYyg"",""Form Responses 1!B:B""),F243)&gt;0,10,),0)"),"")</f>
        <v/>
      </c>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row>
    <row r="244">
      <c r="B244" s="70" t="str">
        <f>IFERROR(__xludf.DUMMYFUNCTION("IFERROR(IF(COUNTIF(IMPORTRANGE(""1RTcwEJsI_0aJRebhNwO_H_AoKl9r46k7hWYbtciIyM4"",""Form Responses 1!B:B""),A244)&gt;0,10,),0)"),"")</f>
        <v/>
      </c>
      <c r="C244" s="70" t="str">
        <f>IFERROR(__xludf.DUMMYFUNCTION("IFERROR(VLOOKUP(A244,IMPORTRANGE(""11i8IUhq_U6RRKRV3CBWIKqYed_fMvFgNUHTq1YDJfp8"",""Form Responses 1!B:C""),2,FALSE),)"),"")</f>
        <v/>
      </c>
      <c r="D244" s="70" t="str">
        <f>IFERROR(__xludf.DUMMYFUNCTION("IFERROR(VLOOKUP(A244,IMPORTRANGE(""1StiHxuxrFhYdrq5WLR2JMORicW0TbnJf3J-oTHeMRtM"",""Form Responses 1!B:C""),2,FALSE),)"),"")</f>
        <v/>
      </c>
      <c r="E244" s="70" t="str">
        <f>IFERROR(__xludf.DUMMYFUNCTION("IFERROR(VLOOKUP(A244,IMPORTRANGE(""1QaxxyUjrDq2kgz300C1Bq1tacFk6e-xX218cSXCQUK0"",""Form Responses 1!B:C""),2,FALSE),)"),"")</f>
        <v/>
      </c>
      <c r="F244" s="70" t="str">
        <f>IFERROR(__xludf.DUMMYFUNCTION("IFERROR(VLOOKUP(A244,IMPORTRANGE(""1fn2ECph_y8Uz78DhjLaiXcwgt6kh3oe-0Le36Uw0noE"",""Form Responses 1!B:C""),2,FALSE),)"),"")</f>
        <v/>
      </c>
      <c r="G244" s="70"/>
      <c r="H244" s="70"/>
      <c r="I244" s="70"/>
      <c r="J244" s="70"/>
      <c r="K244" s="70"/>
      <c r="L244" s="70"/>
      <c r="M244" s="70"/>
      <c r="N244" s="70"/>
      <c r="O244" s="70"/>
      <c r="P244" s="70"/>
      <c r="Q244" s="70" t="str">
        <f>IFERROR(__xludf.DUMMYFUNCTION("IFERROR(IF(COUNTIF(IMPORTRANGE(""1WjiLR_MTMxI_IZUKuvPO4Sg2rTSIqBzP3edakSRXbOA"",""Form Responses 1!B:B""),F244)&gt;0,10,),0)"),"")</f>
        <v/>
      </c>
      <c r="R244" s="70" t="str">
        <f>IFERROR(__xludf.DUMMYFUNCTION("IFERROR(VLOOKUP(F244,IMPORTRANGE(""1Ixzbal5tEbtWhozsFEppQzOYE6ZSrkNXHg_HW5k3Wt4"",""Form Responses 1!B:C""),2,FALSE),)"),"")</f>
        <v/>
      </c>
      <c r="S244" s="70" t="str">
        <f>IFERROR(__xludf.DUMMYFUNCTION("IFERROR(VLOOKUP(F244,IMPORTRANGE(""1zxjtEKGvVIJPIDqZdnxENwVpPXYa88EihzyI44hcQUo"",""Form Responses 1!B:C""),2,FALSE),)"),"")</f>
        <v/>
      </c>
      <c r="T244" s="70" t="str">
        <f>IFERROR(__xludf.DUMMYFUNCTION("IFERROR(VLOOKUP(F244,IMPORTRANGE(""1H3cO01obd5zFULYqaT5NAqecZBFFIHeDFn4CeQLZF3w"",""Form Responses 1!B:C""),2,FALSE),)"),"")</f>
        <v/>
      </c>
      <c r="U244" s="70" t="str">
        <f>IFERROR(__xludf.DUMMYFUNCTION("IFERROR(IF(COUNTIF(IMPORTRANGE(""1IG9qoa6PeLdDDFzKpW39lxXshN0-M8Z25a_R1EpsYyg"",""Form Responses 1!B:B""),F244)&gt;0,10,),0)"),"")</f>
        <v/>
      </c>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row>
    <row r="245">
      <c r="B245" s="70" t="str">
        <f>IFERROR(__xludf.DUMMYFUNCTION("IFERROR(IF(COUNTIF(IMPORTRANGE(""1RTcwEJsI_0aJRebhNwO_H_AoKl9r46k7hWYbtciIyM4"",""Form Responses 1!B:B""),A245)&gt;0,10,),0)"),"")</f>
        <v/>
      </c>
      <c r="C245" s="70" t="str">
        <f>IFERROR(__xludf.DUMMYFUNCTION("IFERROR(VLOOKUP(A245,IMPORTRANGE(""11i8IUhq_U6RRKRV3CBWIKqYed_fMvFgNUHTq1YDJfp8"",""Form Responses 1!B:C""),2,FALSE),)"),"")</f>
        <v/>
      </c>
      <c r="D245" s="70" t="str">
        <f>IFERROR(__xludf.DUMMYFUNCTION("IFERROR(VLOOKUP(A245,IMPORTRANGE(""1StiHxuxrFhYdrq5WLR2JMORicW0TbnJf3J-oTHeMRtM"",""Form Responses 1!B:C""),2,FALSE),)"),"")</f>
        <v/>
      </c>
      <c r="E245" s="70" t="str">
        <f>IFERROR(__xludf.DUMMYFUNCTION("IFERROR(VLOOKUP(A245,IMPORTRANGE(""1QaxxyUjrDq2kgz300C1Bq1tacFk6e-xX218cSXCQUK0"",""Form Responses 1!B:C""),2,FALSE),)"),"")</f>
        <v/>
      </c>
      <c r="F245" s="70" t="str">
        <f>IFERROR(__xludf.DUMMYFUNCTION("IFERROR(VLOOKUP(A245,IMPORTRANGE(""1fn2ECph_y8Uz78DhjLaiXcwgt6kh3oe-0Le36Uw0noE"",""Form Responses 1!B:C""),2,FALSE),)"),"")</f>
        <v/>
      </c>
      <c r="G245" s="70"/>
      <c r="H245" s="70"/>
      <c r="I245" s="70"/>
      <c r="J245" s="70"/>
      <c r="K245" s="70"/>
      <c r="L245" s="70"/>
      <c r="M245" s="70"/>
      <c r="N245" s="70"/>
      <c r="O245" s="70"/>
      <c r="P245" s="70"/>
      <c r="Q245" s="70" t="str">
        <f>IFERROR(__xludf.DUMMYFUNCTION("IFERROR(IF(COUNTIF(IMPORTRANGE(""1WjiLR_MTMxI_IZUKuvPO4Sg2rTSIqBzP3edakSRXbOA"",""Form Responses 1!B:B""),F245)&gt;0,10,),0)"),"")</f>
        <v/>
      </c>
      <c r="R245" s="70" t="str">
        <f>IFERROR(__xludf.DUMMYFUNCTION("IFERROR(VLOOKUP(F245,IMPORTRANGE(""1Ixzbal5tEbtWhozsFEppQzOYE6ZSrkNXHg_HW5k3Wt4"",""Form Responses 1!B:C""),2,FALSE),)"),"")</f>
        <v/>
      </c>
      <c r="S245" s="70" t="str">
        <f>IFERROR(__xludf.DUMMYFUNCTION("IFERROR(VLOOKUP(F245,IMPORTRANGE(""1zxjtEKGvVIJPIDqZdnxENwVpPXYa88EihzyI44hcQUo"",""Form Responses 1!B:C""),2,FALSE),)"),"")</f>
        <v/>
      </c>
      <c r="T245" s="70" t="str">
        <f>IFERROR(__xludf.DUMMYFUNCTION("IFERROR(VLOOKUP(F245,IMPORTRANGE(""1H3cO01obd5zFULYqaT5NAqecZBFFIHeDFn4CeQLZF3w"",""Form Responses 1!B:C""),2,FALSE),)"),"")</f>
        <v/>
      </c>
      <c r="U245" s="70" t="str">
        <f>IFERROR(__xludf.DUMMYFUNCTION("IFERROR(IF(COUNTIF(IMPORTRANGE(""1IG9qoa6PeLdDDFzKpW39lxXshN0-M8Z25a_R1EpsYyg"",""Form Responses 1!B:B""),F245)&gt;0,10,),0)"),"")</f>
        <v/>
      </c>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row>
    <row r="246">
      <c r="B246" s="70" t="str">
        <f>IFERROR(__xludf.DUMMYFUNCTION("IFERROR(IF(COUNTIF(IMPORTRANGE(""1RTcwEJsI_0aJRebhNwO_H_AoKl9r46k7hWYbtciIyM4"",""Form Responses 1!B:B""),A246)&gt;0,10,),0)"),"")</f>
        <v/>
      </c>
      <c r="C246" s="70" t="str">
        <f>IFERROR(__xludf.DUMMYFUNCTION("IFERROR(VLOOKUP(A246,IMPORTRANGE(""11i8IUhq_U6RRKRV3CBWIKqYed_fMvFgNUHTq1YDJfp8"",""Form Responses 1!B:C""),2,FALSE),)"),"")</f>
        <v/>
      </c>
      <c r="D246" s="70" t="str">
        <f>IFERROR(__xludf.DUMMYFUNCTION("IFERROR(VLOOKUP(A246,IMPORTRANGE(""1StiHxuxrFhYdrq5WLR2JMORicW0TbnJf3J-oTHeMRtM"",""Form Responses 1!B:C""),2,FALSE),)"),"")</f>
        <v/>
      </c>
      <c r="E246" s="70" t="str">
        <f>IFERROR(__xludf.DUMMYFUNCTION("IFERROR(VLOOKUP(A246,IMPORTRANGE(""1QaxxyUjrDq2kgz300C1Bq1tacFk6e-xX218cSXCQUK0"",""Form Responses 1!B:C""),2,FALSE),)"),"")</f>
        <v/>
      </c>
      <c r="F246" s="70" t="str">
        <f>IFERROR(__xludf.DUMMYFUNCTION("IFERROR(VLOOKUP(A246,IMPORTRANGE(""1fn2ECph_y8Uz78DhjLaiXcwgt6kh3oe-0Le36Uw0noE"",""Form Responses 1!B:C""),2,FALSE),)"),"")</f>
        <v/>
      </c>
      <c r="G246" s="70"/>
      <c r="H246" s="70"/>
      <c r="I246" s="70"/>
      <c r="J246" s="70"/>
      <c r="K246" s="70"/>
      <c r="L246" s="70"/>
      <c r="M246" s="70"/>
      <c r="N246" s="70"/>
      <c r="O246" s="70"/>
      <c r="P246" s="70"/>
      <c r="Q246" s="70" t="str">
        <f>IFERROR(__xludf.DUMMYFUNCTION("IFERROR(IF(COUNTIF(IMPORTRANGE(""1WjiLR_MTMxI_IZUKuvPO4Sg2rTSIqBzP3edakSRXbOA"",""Form Responses 1!B:B""),F246)&gt;0,10,),0)"),"")</f>
        <v/>
      </c>
      <c r="R246" s="70" t="str">
        <f>IFERROR(__xludf.DUMMYFUNCTION("IFERROR(VLOOKUP(F246,IMPORTRANGE(""1Ixzbal5tEbtWhozsFEppQzOYE6ZSrkNXHg_HW5k3Wt4"",""Form Responses 1!B:C""),2,FALSE),)"),"")</f>
        <v/>
      </c>
      <c r="S246" s="70" t="str">
        <f>IFERROR(__xludf.DUMMYFUNCTION("IFERROR(VLOOKUP(F246,IMPORTRANGE(""1zxjtEKGvVIJPIDqZdnxENwVpPXYa88EihzyI44hcQUo"",""Form Responses 1!B:C""),2,FALSE),)"),"")</f>
        <v/>
      </c>
      <c r="T246" s="70" t="str">
        <f>IFERROR(__xludf.DUMMYFUNCTION("IFERROR(VLOOKUP(F246,IMPORTRANGE(""1H3cO01obd5zFULYqaT5NAqecZBFFIHeDFn4CeQLZF3w"",""Form Responses 1!B:C""),2,FALSE),)"),"")</f>
        <v/>
      </c>
      <c r="U246" s="70" t="str">
        <f>IFERROR(__xludf.DUMMYFUNCTION("IFERROR(IF(COUNTIF(IMPORTRANGE(""1IG9qoa6PeLdDDFzKpW39lxXshN0-M8Z25a_R1EpsYyg"",""Form Responses 1!B:B""),F246)&gt;0,10,),0)"),"")</f>
        <v/>
      </c>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row>
    <row r="247">
      <c r="B247" s="70" t="str">
        <f>IFERROR(__xludf.DUMMYFUNCTION("IFERROR(IF(COUNTIF(IMPORTRANGE(""1RTcwEJsI_0aJRebhNwO_H_AoKl9r46k7hWYbtciIyM4"",""Form Responses 1!B:B""),A247)&gt;0,10,),0)"),"")</f>
        <v/>
      </c>
      <c r="C247" s="70" t="str">
        <f>IFERROR(__xludf.DUMMYFUNCTION("IFERROR(VLOOKUP(A247,IMPORTRANGE(""11i8IUhq_U6RRKRV3CBWIKqYed_fMvFgNUHTq1YDJfp8"",""Form Responses 1!B:C""),2,FALSE),)"),"")</f>
        <v/>
      </c>
      <c r="D247" s="70" t="str">
        <f>IFERROR(__xludf.DUMMYFUNCTION("IFERROR(VLOOKUP(A247,IMPORTRANGE(""1StiHxuxrFhYdrq5WLR2JMORicW0TbnJf3J-oTHeMRtM"",""Form Responses 1!B:C""),2,FALSE),)"),"")</f>
        <v/>
      </c>
      <c r="E247" s="70" t="str">
        <f>IFERROR(__xludf.DUMMYFUNCTION("IFERROR(VLOOKUP(A247,IMPORTRANGE(""1QaxxyUjrDq2kgz300C1Bq1tacFk6e-xX218cSXCQUK0"",""Form Responses 1!B:C""),2,FALSE),)"),"")</f>
        <v/>
      </c>
      <c r="F247" s="70" t="str">
        <f>IFERROR(__xludf.DUMMYFUNCTION("IFERROR(VLOOKUP(A247,IMPORTRANGE(""1fn2ECph_y8Uz78DhjLaiXcwgt6kh3oe-0Le36Uw0noE"",""Form Responses 1!B:C""),2,FALSE),)"),"")</f>
        <v/>
      </c>
      <c r="G247" s="70"/>
      <c r="H247" s="70"/>
      <c r="I247" s="70"/>
      <c r="J247" s="70"/>
      <c r="K247" s="70"/>
      <c r="L247" s="70"/>
      <c r="M247" s="70"/>
      <c r="N247" s="70"/>
      <c r="O247" s="70"/>
      <c r="P247" s="70"/>
      <c r="Q247" s="70" t="str">
        <f>IFERROR(__xludf.DUMMYFUNCTION("IFERROR(IF(COUNTIF(IMPORTRANGE(""1WjiLR_MTMxI_IZUKuvPO4Sg2rTSIqBzP3edakSRXbOA"",""Form Responses 1!B:B""),F247)&gt;0,10,),0)"),"")</f>
        <v/>
      </c>
      <c r="R247" s="70" t="str">
        <f>IFERROR(__xludf.DUMMYFUNCTION("IFERROR(VLOOKUP(F247,IMPORTRANGE(""1Ixzbal5tEbtWhozsFEppQzOYE6ZSrkNXHg_HW5k3Wt4"",""Form Responses 1!B:C""),2,FALSE),)"),"")</f>
        <v/>
      </c>
      <c r="S247" s="70" t="str">
        <f>IFERROR(__xludf.DUMMYFUNCTION("IFERROR(VLOOKUP(F247,IMPORTRANGE(""1zxjtEKGvVIJPIDqZdnxENwVpPXYa88EihzyI44hcQUo"",""Form Responses 1!B:C""),2,FALSE),)"),"")</f>
        <v/>
      </c>
      <c r="T247" s="70" t="str">
        <f>IFERROR(__xludf.DUMMYFUNCTION("IFERROR(VLOOKUP(F247,IMPORTRANGE(""1H3cO01obd5zFULYqaT5NAqecZBFFIHeDFn4CeQLZF3w"",""Form Responses 1!B:C""),2,FALSE),)"),"")</f>
        <v/>
      </c>
      <c r="U247" s="70" t="str">
        <f>IFERROR(__xludf.DUMMYFUNCTION("IFERROR(IF(COUNTIF(IMPORTRANGE(""1IG9qoa6PeLdDDFzKpW39lxXshN0-M8Z25a_R1EpsYyg"",""Form Responses 1!B:B""),F247)&gt;0,10,),0)"),"")</f>
        <v/>
      </c>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row>
    <row r="248">
      <c r="B248" s="70" t="str">
        <f>IFERROR(__xludf.DUMMYFUNCTION("IFERROR(IF(COUNTIF(IMPORTRANGE(""1RTcwEJsI_0aJRebhNwO_H_AoKl9r46k7hWYbtciIyM4"",""Form Responses 1!B:B""),A248)&gt;0,10,),0)"),"")</f>
        <v/>
      </c>
      <c r="C248" s="70" t="str">
        <f>IFERROR(__xludf.DUMMYFUNCTION("IFERROR(VLOOKUP(A248,IMPORTRANGE(""11i8IUhq_U6RRKRV3CBWIKqYed_fMvFgNUHTq1YDJfp8"",""Form Responses 1!B:C""),2,FALSE),)"),"")</f>
        <v/>
      </c>
      <c r="D248" s="70" t="str">
        <f>IFERROR(__xludf.DUMMYFUNCTION("IFERROR(VLOOKUP(A248,IMPORTRANGE(""1StiHxuxrFhYdrq5WLR2JMORicW0TbnJf3J-oTHeMRtM"",""Form Responses 1!B:C""),2,FALSE),)"),"")</f>
        <v/>
      </c>
      <c r="E248" s="70" t="str">
        <f>IFERROR(__xludf.DUMMYFUNCTION("IFERROR(VLOOKUP(A248,IMPORTRANGE(""1QaxxyUjrDq2kgz300C1Bq1tacFk6e-xX218cSXCQUK0"",""Form Responses 1!B:C""),2,FALSE),)"),"")</f>
        <v/>
      </c>
      <c r="F248" s="70" t="str">
        <f>IFERROR(__xludf.DUMMYFUNCTION("IFERROR(VLOOKUP(A248,IMPORTRANGE(""1fn2ECph_y8Uz78DhjLaiXcwgt6kh3oe-0Le36Uw0noE"",""Form Responses 1!B:C""),2,FALSE),)"),"")</f>
        <v/>
      </c>
      <c r="G248" s="70"/>
      <c r="H248" s="70"/>
      <c r="I248" s="70"/>
      <c r="J248" s="70"/>
      <c r="K248" s="70"/>
      <c r="L248" s="70"/>
      <c r="M248" s="70"/>
      <c r="N248" s="70"/>
      <c r="O248" s="70"/>
      <c r="P248" s="70"/>
      <c r="Q248" s="70" t="str">
        <f>IFERROR(__xludf.DUMMYFUNCTION("IFERROR(IF(COUNTIF(IMPORTRANGE(""1WjiLR_MTMxI_IZUKuvPO4Sg2rTSIqBzP3edakSRXbOA"",""Form Responses 1!B:B""),F248)&gt;0,10,),0)"),"")</f>
        <v/>
      </c>
      <c r="R248" s="70" t="str">
        <f>IFERROR(__xludf.DUMMYFUNCTION("IFERROR(VLOOKUP(F248,IMPORTRANGE(""1Ixzbal5tEbtWhozsFEppQzOYE6ZSrkNXHg_HW5k3Wt4"",""Form Responses 1!B:C""),2,FALSE),)"),"")</f>
        <v/>
      </c>
      <c r="S248" s="70" t="str">
        <f>IFERROR(__xludf.DUMMYFUNCTION("IFERROR(VLOOKUP(F248,IMPORTRANGE(""1zxjtEKGvVIJPIDqZdnxENwVpPXYa88EihzyI44hcQUo"",""Form Responses 1!B:C""),2,FALSE),)"),"")</f>
        <v/>
      </c>
      <c r="T248" s="70" t="str">
        <f>IFERROR(__xludf.DUMMYFUNCTION("IFERROR(VLOOKUP(F248,IMPORTRANGE(""1H3cO01obd5zFULYqaT5NAqecZBFFIHeDFn4CeQLZF3w"",""Form Responses 1!B:C""),2,FALSE),)"),"")</f>
        <v/>
      </c>
      <c r="U248" s="70" t="str">
        <f>IFERROR(__xludf.DUMMYFUNCTION("IFERROR(IF(COUNTIF(IMPORTRANGE(""1IG9qoa6PeLdDDFzKpW39lxXshN0-M8Z25a_R1EpsYyg"",""Form Responses 1!B:B""),F248)&gt;0,10,),0)"),"")</f>
        <v/>
      </c>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row>
    <row r="249">
      <c r="B249" s="70" t="str">
        <f>IFERROR(__xludf.DUMMYFUNCTION("IFERROR(IF(COUNTIF(IMPORTRANGE(""1RTcwEJsI_0aJRebhNwO_H_AoKl9r46k7hWYbtciIyM4"",""Form Responses 1!B:B""),A249)&gt;0,10,),0)"),"")</f>
        <v/>
      </c>
      <c r="C249" s="70" t="str">
        <f>IFERROR(__xludf.DUMMYFUNCTION("IFERROR(VLOOKUP(A249,IMPORTRANGE(""11i8IUhq_U6RRKRV3CBWIKqYed_fMvFgNUHTq1YDJfp8"",""Form Responses 1!B:C""),2,FALSE),)"),"")</f>
        <v/>
      </c>
      <c r="D249" s="70" t="str">
        <f>IFERROR(__xludf.DUMMYFUNCTION("IFERROR(VLOOKUP(A249,IMPORTRANGE(""1StiHxuxrFhYdrq5WLR2JMORicW0TbnJf3J-oTHeMRtM"",""Form Responses 1!B:C""),2,FALSE),)"),"")</f>
        <v/>
      </c>
      <c r="E249" s="70" t="str">
        <f>IFERROR(__xludf.DUMMYFUNCTION("IFERROR(VLOOKUP(A249,IMPORTRANGE(""1QaxxyUjrDq2kgz300C1Bq1tacFk6e-xX218cSXCQUK0"",""Form Responses 1!B:C""),2,FALSE),)"),"")</f>
        <v/>
      </c>
      <c r="F249" s="70" t="str">
        <f>IFERROR(__xludf.DUMMYFUNCTION("IFERROR(VLOOKUP(A249,IMPORTRANGE(""1fn2ECph_y8Uz78DhjLaiXcwgt6kh3oe-0Le36Uw0noE"",""Form Responses 1!B:C""),2,FALSE),)"),"")</f>
        <v/>
      </c>
      <c r="G249" s="70"/>
      <c r="H249" s="70"/>
      <c r="I249" s="70"/>
      <c r="J249" s="70"/>
      <c r="K249" s="70"/>
      <c r="L249" s="70"/>
      <c r="M249" s="70"/>
      <c r="N249" s="70"/>
      <c r="O249" s="70"/>
      <c r="P249" s="70"/>
      <c r="Q249" s="70" t="str">
        <f>IFERROR(__xludf.DUMMYFUNCTION("IFERROR(IF(COUNTIF(IMPORTRANGE(""1WjiLR_MTMxI_IZUKuvPO4Sg2rTSIqBzP3edakSRXbOA"",""Form Responses 1!B:B""),F249)&gt;0,10,),0)"),"")</f>
        <v/>
      </c>
      <c r="R249" s="70" t="str">
        <f>IFERROR(__xludf.DUMMYFUNCTION("IFERROR(VLOOKUP(F249,IMPORTRANGE(""1Ixzbal5tEbtWhozsFEppQzOYE6ZSrkNXHg_HW5k3Wt4"",""Form Responses 1!B:C""),2,FALSE),)"),"")</f>
        <v/>
      </c>
      <c r="S249" s="70" t="str">
        <f>IFERROR(__xludf.DUMMYFUNCTION("IFERROR(VLOOKUP(F249,IMPORTRANGE(""1zxjtEKGvVIJPIDqZdnxENwVpPXYa88EihzyI44hcQUo"",""Form Responses 1!B:C""),2,FALSE),)"),"")</f>
        <v/>
      </c>
      <c r="T249" s="70" t="str">
        <f>IFERROR(__xludf.DUMMYFUNCTION("IFERROR(VLOOKUP(F249,IMPORTRANGE(""1H3cO01obd5zFULYqaT5NAqecZBFFIHeDFn4CeQLZF3w"",""Form Responses 1!B:C""),2,FALSE),)"),"")</f>
        <v/>
      </c>
      <c r="U249" s="70" t="str">
        <f>IFERROR(__xludf.DUMMYFUNCTION("IFERROR(IF(COUNTIF(IMPORTRANGE(""1IG9qoa6PeLdDDFzKpW39lxXshN0-M8Z25a_R1EpsYyg"",""Form Responses 1!B:B""),F249)&gt;0,10,),0)"),"")</f>
        <v/>
      </c>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row>
    <row r="250">
      <c r="B250" s="70" t="str">
        <f>IFERROR(__xludf.DUMMYFUNCTION("IFERROR(IF(COUNTIF(IMPORTRANGE(""1RTcwEJsI_0aJRebhNwO_H_AoKl9r46k7hWYbtciIyM4"",""Form Responses 1!B:B""),A250)&gt;0,10,),0)"),"")</f>
        <v/>
      </c>
      <c r="C250" s="70" t="str">
        <f>IFERROR(__xludf.DUMMYFUNCTION("IFERROR(VLOOKUP(A250,IMPORTRANGE(""11i8IUhq_U6RRKRV3CBWIKqYed_fMvFgNUHTq1YDJfp8"",""Form Responses 1!B:C""),2,FALSE),)"),"")</f>
        <v/>
      </c>
      <c r="D250" s="70" t="str">
        <f>IFERROR(__xludf.DUMMYFUNCTION("IFERROR(VLOOKUP(A250,IMPORTRANGE(""1StiHxuxrFhYdrq5WLR2JMORicW0TbnJf3J-oTHeMRtM"",""Form Responses 1!B:C""),2,FALSE),)"),"")</f>
        <v/>
      </c>
      <c r="E250" s="70" t="str">
        <f>IFERROR(__xludf.DUMMYFUNCTION("IFERROR(VLOOKUP(A250,IMPORTRANGE(""1QaxxyUjrDq2kgz300C1Bq1tacFk6e-xX218cSXCQUK0"",""Form Responses 1!B:C""),2,FALSE),)"),"")</f>
        <v/>
      </c>
      <c r="F250" s="70" t="str">
        <f>IFERROR(__xludf.DUMMYFUNCTION("IFERROR(VLOOKUP(A250,IMPORTRANGE(""1fn2ECph_y8Uz78DhjLaiXcwgt6kh3oe-0Le36Uw0noE"",""Form Responses 1!B:C""),2,FALSE),)"),"")</f>
        <v/>
      </c>
      <c r="G250" s="70"/>
      <c r="H250" s="70"/>
      <c r="I250" s="70"/>
      <c r="J250" s="70"/>
      <c r="K250" s="70"/>
      <c r="L250" s="70"/>
      <c r="M250" s="70"/>
      <c r="N250" s="70"/>
      <c r="O250" s="70"/>
      <c r="P250" s="70"/>
      <c r="Q250" s="70" t="str">
        <f>IFERROR(__xludf.DUMMYFUNCTION("IFERROR(IF(COUNTIF(IMPORTRANGE(""1WjiLR_MTMxI_IZUKuvPO4Sg2rTSIqBzP3edakSRXbOA"",""Form Responses 1!B:B""),F250)&gt;0,10,),0)"),"")</f>
        <v/>
      </c>
      <c r="R250" s="70" t="str">
        <f>IFERROR(__xludf.DUMMYFUNCTION("IFERROR(VLOOKUP(F250,IMPORTRANGE(""1Ixzbal5tEbtWhozsFEppQzOYE6ZSrkNXHg_HW5k3Wt4"",""Form Responses 1!B:C""),2,FALSE),)"),"")</f>
        <v/>
      </c>
      <c r="S250" s="70" t="str">
        <f>IFERROR(__xludf.DUMMYFUNCTION("IFERROR(VLOOKUP(F250,IMPORTRANGE(""1zxjtEKGvVIJPIDqZdnxENwVpPXYa88EihzyI44hcQUo"",""Form Responses 1!B:C""),2,FALSE),)"),"")</f>
        <v/>
      </c>
      <c r="T250" s="70" t="str">
        <f>IFERROR(__xludf.DUMMYFUNCTION("IFERROR(VLOOKUP(F250,IMPORTRANGE(""1H3cO01obd5zFULYqaT5NAqecZBFFIHeDFn4CeQLZF3w"",""Form Responses 1!B:C""),2,FALSE),)"),"")</f>
        <v/>
      </c>
      <c r="U250" s="70" t="str">
        <f>IFERROR(__xludf.DUMMYFUNCTION("IFERROR(IF(COUNTIF(IMPORTRANGE(""1IG9qoa6PeLdDDFzKpW39lxXshN0-M8Z25a_R1EpsYyg"",""Form Responses 1!B:B""),F250)&gt;0,10,),0)"),"")</f>
        <v/>
      </c>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row>
    <row r="251">
      <c r="B251" s="70" t="str">
        <f>IFERROR(__xludf.DUMMYFUNCTION("IFERROR(IF(COUNTIF(IMPORTRANGE(""1RTcwEJsI_0aJRebhNwO_H_AoKl9r46k7hWYbtciIyM4"",""Form Responses 1!B:B""),A251)&gt;0,10,),0)"),"")</f>
        <v/>
      </c>
      <c r="C251" s="70" t="str">
        <f>IFERROR(__xludf.DUMMYFUNCTION("IFERROR(VLOOKUP(A251,IMPORTRANGE(""11i8IUhq_U6RRKRV3CBWIKqYed_fMvFgNUHTq1YDJfp8"",""Form Responses 1!B:C""),2,FALSE),)"),"")</f>
        <v/>
      </c>
      <c r="D251" s="70" t="str">
        <f>IFERROR(__xludf.DUMMYFUNCTION("IFERROR(VLOOKUP(A251,IMPORTRANGE(""1StiHxuxrFhYdrq5WLR2JMORicW0TbnJf3J-oTHeMRtM"",""Form Responses 1!B:C""),2,FALSE),)"),"")</f>
        <v/>
      </c>
      <c r="E251" s="70" t="str">
        <f>IFERROR(__xludf.DUMMYFUNCTION("IFERROR(VLOOKUP(A251,IMPORTRANGE(""1QaxxyUjrDq2kgz300C1Bq1tacFk6e-xX218cSXCQUK0"",""Form Responses 1!B:C""),2,FALSE),)"),"")</f>
        <v/>
      </c>
      <c r="F251" s="70" t="str">
        <f>IFERROR(__xludf.DUMMYFUNCTION("IFERROR(VLOOKUP(A251,IMPORTRANGE(""1fn2ECph_y8Uz78DhjLaiXcwgt6kh3oe-0Le36Uw0noE"",""Form Responses 1!B:C""),2,FALSE),)"),"")</f>
        <v/>
      </c>
      <c r="G251" s="70"/>
      <c r="H251" s="70"/>
      <c r="I251" s="70"/>
      <c r="J251" s="70"/>
      <c r="K251" s="70"/>
      <c r="L251" s="70"/>
      <c r="M251" s="70"/>
      <c r="N251" s="70"/>
      <c r="O251" s="70"/>
      <c r="P251" s="70"/>
      <c r="Q251" s="70" t="str">
        <f>IFERROR(__xludf.DUMMYFUNCTION("IFERROR(IF(COUNTIF(IMPORTRANGE(""1WjiLR_MTMxI_IZUKuvPO4Sg2rTSIqBzP3edakSRXbOA"",""Form Responses 1!B:B""),F251)&gt;0,10,),0)"),"")</f>
        <v/>
      </c>
      <c r="R251" s="70" t="str">
        <f>IFERROR(__xludf.DUMMYFUNCTION("IFERROR(VLOOKUP(F251,IMPORTRANGE(""1Ixzbal5tEbtWhozsFEppQzOYE6ZSrkNXHg_HW5k3Wt4"",""Form Responses 1!B:C""),2,FALSE),)"),"")</f>
        <v/>
      </c>
      <c r="S251" s="70" t="str">
        <f>IFERROR(__xludf.DUMMYFUNCTION("IFERROR(VLOOKUP(F251,IMPORTRANGE(""1zxjtEKGvVIJPIDqZdnxENwVpPXYa88EihzyI44hcQUo"",""Form Responses 1!B:C""),2,FALSE),)"),"")</f>
        <v/>
      </c>
      <c r="T251" s="70" t="str">
        <f>IFERROR(__xludf.DUMMYFUNCTION("IFERROR(VLOOKUP(F251,IMPORTRANGE(""1H3cO01obd5zFULYqaT5NAqecZBFFIHeDFn4CeQLZF3w"",""Form Responses 1!B:C""),2,FALSE),)"),"")</f>
        <v/>
      </c>
      <c r="U251" s="70" t="str">
        <f>IFERROR(__xludf.DUMMYFUNCTION("IFERROR(IF(COUNTIF(IMPORTRANGE(""1IG9qoa6PeLdDDFzKpW39lxXshN0-M8Z25a_R1EpsYyg"",""Form Responses 1!B:B""),F251)&gt;0,10,),0)"),"")</f>
        <v/>
      </c>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row>
    <row r="252">
      <c r="B252" s="70" t="str">
        <f>IFERROR(__xludf.DUMMYFUNCTION("IFERROR(IF(COUNTIF(IMPORTRANGE(""1RTcwEJsI_0aJRebhNwO_H_AoKl9r46k7hWYbtciIyM4"",""Form Responses 1!B:B""),A252)&gt;0,10,),0)"),"")</f>
        <v/>
      </c>
      <c r="C252" s="70" t="str">
        <f>IFERROR(__xludf.DUMMYFUNCTION("IFERROR(VLOOKUP(A252,IMPORTRANGE(""11i8IUhq_U6RRKRV3CBWIKqYed_fMvFgNUHTq1YDJfp8"",""Form Responses 1!B:C""),2,FALSE),)"),"")</f>
        <v/>
      </c>
      <c r="D252" s="70" t="str">
        <f>IFERROR(__xludf.DUMMYFUNCTION("IFERROR(VLOOKUP(A252,IMPORTRANGE(""1StiHxuxrFhYdrq5WLR2JMORicW0TbnJf3J-oTHeMRtM"",""Form Responses 1!B:C""),2,FALSE),)"),"")</f>
        <v/>
      </c>
      <c r="E252" s="70" t="str">
        <f>IFERROR(__xludf.DUMMYFUNCTION("IFERROR(VLOOKUP(A252,IMPORTRANGE(""1QaxxyUjrDq2kgz300C1Bq1tacFk6e-xX218cSXCQUK0"",""Form Responses 1!B:C""),2,FALSE),)"),"")</f>
        <v/>
      </c>
      <c r="F252" s="70" t="str">
        <f>IFERROR(__xludf.DUMMYFUNCTION("IFERROR(VLOOKUP(A252,IMPORTRANGE(""1fn2ECph_y8Uz78DhjLaiXcwgt6kh3oe-0Le36Uw0noE"",""Form Responses 1!B:C""),2,FALSE),)"),"")</f>
        <v/>
      </c>
      <c r="G252" s="70"/>
      <c r="H252" s="70"/>
      <c r="I252" s="70"/>
      <c r="J252" s="70"/>
      <c r="K252" s="70"/>
      <c r="L252" s="70"/>
      <c r="M252" s="70"/>
      <c r="N252" s="70"/>
      <c r="O252" s="70"/>
      <c r="P252" s="70"/>
      <c r="Q252" s="70" t="str">
        <f>IFERROR(__xludf.DUMMYFUNCTION("IFERROR(IF(COUNTIF(IMPORTRANGE(""1WjiLR_MTMxI_IZUKuvPO4Sg2rTSIqBzP3edakSRXbOA"",""Form Responses 1!B:B""),F252)&gt;0,10,),0)"),"")</f>
        <v/>
      </c>
      <c r="R252" s="70" t="str">
        <f>IFERROR(__xludf.DUMMYFUNCTION("IFERROR(VLOOKUP(F252,IMPORTRANGE(""1Ixzbal5tEbtWhozsFEppQzOYE6ZSrkNXHg_HW5k3Wt4"",""Form Responses 1!B:C""),2,FALSE),)"),"")</f>
        <v/>
      </c>
      <c r="S252" s="70" t="str">
        <f>IFERROR(__xludf.DUMMYFUNCTION("IFERROR(VLOOKUP(F252,IMPORTRANGE(""1zxjtEKGvVIJPIDqZdnxENwVpPXYa88EihzyI44hcQUo"",""Form Responses 1!B:C""),2,FALSE),)"),"")</f>
        <v/>
      </c>
      <c r="T252" s="70" t="str">
        <f>IFERROR(__xludf.DUMMYFUNCTION("IFERROR(VLOOKUP(F252,IMPORTRANGE(""1H3cO01obd5zFULYqaT5NAqecZBFFIHeDFn4CeQLZF3w"",""Form Responses 1!B:C""),2,FALSE),)"),"")</f>
        <v/>
      </c>
      <c r="U252" s="70" t="str">
        <f>IFERROR(__xludf.DUMMYFUNCTION("IFERROR(IF(COUNTIF(IMPORTRANGE(""1IG9qoa6PeLdDDFzKpW39lxXshN0-M8Z25a_R1EpsYyg"",""Form Responses 1!B:B""),F252)&gt;0,10,),0)"),"")</f>
        <v/>
      </c>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row>
    <row r="253">
      <c r="B253" s="70" t="str">
        <f>IFERROR(__xludf.DUMMYFUNCTION("IFERROR(IF(COUNTIF(IMPORTRANGE(""1RTcwEJsI_0aJRebhNwO_H_AoKl9r46k7hWYbtciIyM4"",""Form Responses 1!B:B""),A253)&gt;0,10,),0)"),"")</f>
        <v/>
      </c>
      <c r="C253" s="70" t="str">
        <f>IFERROR(__xludf.DUMMYFUNCTION("IFERROR(VLOOKUP(A253,IMPORTRANGE(""11i8IUhq_U6RRKRV3CBWIKqYed_fMvFgNUHTq1YDJfp8"",""Form Responses 1!B:C""),2,FALSE),)"),"")</f>
        <v/>
      </c>
      <c r="D253" s="70" t="str">
        <f>IFERROR(__xludf.DUMMYFUNCTION("IFERROR(VLOOKUP(A253,IMPORTRANGE(""1StiHxuxrFhYdrq5WLR2JMORicW0TbnJf3J-oTHeMRtM"",""Form Responses 1!B:C""),2,FALSE),)"),"")</f>
        <v/>
      </c>
      <c r="E253" s="70" t="str">
        <f>IFERROR(__xludf.DUMMYFUNCTION("IFERROR(VLOOKUP(A253,IMPORTRANGE(""1QaxxyUjrDq2kgz300C1Bq1tacFk6e-xX218cSXCQUK0"",""Form Responses 1!B:C""),2,FALSE),)"),"")</f>
        <v/>
      </c>
      <c r="F253" s="70" t="str">
        <f>IFERROR(__xludf.DUMMYFUNCTION("IFERROR(VLOOKUP(A253,IMPORTRANGE(""1fn2ECph_y8Uz78DhjLaiXcwgt6kh3oe-0Le36Uw0noE"",""Form Responses 1!B:C""),2,FALSE),)"),"")</f>
        <v/>
      </c>
      <c r="G253" s="70"/>
      <c r="H253" s="70"/>
      <c r="I253" s="70"/>
      <c r="J253" s="70"/>
      <c r="K253" s="70"/>
      <c r="L253" s="70"/>
      <c r="M253" s="70"/>
      <c r="N253" s="70"/>
      <c r="O253" s="70"/>
      <c r="P253" s="70"/>
      <c r="Q253" s="70" t="str">
        <f>IFERROR(__xludf.DUMMYFUNCTION("IFERROR(IF(COUNTIF(IMPORTRANGE(""1WjiLR_MTMxI_IZUKuvPO4Sg2rTSIqBzP3edakSRXbOA"",""Form Responses 1!B:B""),F253)&gt;0,10,),0)"),"")</f>
        <v/>
      </c>
      <c r="R253" s="70" t="str">
        <f>IFERROR(__xludf.DUMMYFUNCTION("IFERROR(VLOOKUP(F253,IMPORTRANGE(""1Ixzbal5tEbtWhozsFEppQzOYE6ZSrkNXHg_HW5k3Wt4"",""Form Responses 1!B:C""),2,FALSE),)"),"")</f>
        <v/>
      </c>
      <c r="S253" s="70" t="str">
        <f>IFERROR(__xludf.DUMMYFUNCTION("IFERROR(VLOOKUP(F253,IMPORTRANGE(""1zxjtEKGvVIJPIDqZdnxENwVpPXYa88EihzyI44hcQUo"",""Form Responses 1!B:C""),2,FALSE),)"),"")</f>
        <v/>
      </c>
      <c r="T253" s="70" t="str">
        <f>IFERROR(__xludf.DUMMYFUNCTION("IFERROR(VLOOKUP(F253,IMPORTRANGE(""1H3cO01obd5zFULYqaT5NAqecZBFFIHeDFn4CeQLZF3w"",""Form Responses 1!B:C""),2,FALSE),)"),"")</f>
        <v/>
      </c>
      <c r="U253" s="70" t="str">
        <f>IFERROR(__xludf.DUMMYFUNCTION("IFERROR(IF(COUNTIF(IMPORTRANGE(""1IG9qoa6PeLdDDFzKpW39lxXshN0-M8Z25a_R1EpsYyg"",""Form Responses 1!B:B""),F253)&gt;0,10,),0)"),"")</f>
        <v/>
      </c>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row>
    <row r="254">
      <c r="B254" s="70" t="str">
        <f>IFERROR(__xludf.DUMMYFUNCTION("IFERROR(IF(COUNTIF(IMPORTRANGE(""1RTcwEJsI_0aJRebhNwO_H_AoKl9r46k7hWYbtciIyM4"",""Form Responses 1!B:B""),A254)&gt;0,10,),0)"),"")</f>
        <v/>
      </c>
      <c r="C254" s="70" t="str">
        <f>IFERROR(__xludf.DUMMYFUNCTION("IFERROR(VLOOKUP(A254,IMPORTRANGE(""11i8IUhq_U6RRKRV3CBWIKqYed_fMvFgNUHTq1YDJfp8"",""Form Responses 1!B:C""),2,FALSE),)"),"")</f>
        <v/>
      </c>
      <c r="D254" s="70" t="str">
        <f>IFERROR(__xludf.DUMMYFUNCTION("IFERROR(VLOOKUP(A254,IMPORTRANGE(""1StiHxuxrFhYdrq5WLR2JMORicW0TbnJf3J-oTHeMRtM"",""Form Responses 1!B:C""),2,FALSE),)"),"")</f>
        <v/>
      </c>
      <c r="E254" s="70" t="str">
        <f>IFERROR(__xludf.DUMMYFUNCTION("IFERROR(VLOOKUP(A254,IMPORTRANGE(""1QaxxyUjrDq2kgz300C1Bq1tacFk6e-xX218cSXCQUK0"",""Form Responses 1!B:C""),2,FALSE),)"),"")</f>
        <v/>
      </c>
      <c r="F254" s="70" t="str">
        <f>IFERROR(__xludf.DUMMYFUNCTION("IFERROR(VLOOKUP(A254,IMPORTRANGE(""1fn2ECph_y8Uz78DhjLaiXcwgt6kh3oe-0Le36Uw0noE"",""Form Responses 1!B:C""),2,FALSE),)"),"")</f>
        <v/>
      </c>
      <c r="G254" s="70"/>
      <c r="H254" s="70"/>
      <c r="I254" s="70"/>
      <c r="J254" s="70"/>
      <c r="K254" s="70"/>
      <c r="L254" s="70"/>
      <c r="M254" s="70"/>
      <c r="N254" s="70"/>
      <c r="O254" s="70"/>
      <c r="P254" s="70"/>
      <c r="Q254" s="70" t="str">
        <f>IFERROR(__xludf.DUMMYFUNCTION("IFERROR(IF(COUNTIF(IMPORTRANGE(""1WjiLR_MTMxI_IZUKuvPO4Sg2rTSIqBzP3edakSRXbOA"",""Form Responses 1!B:B""),F254)&gt;0,10,),0)"),"")</f>
        <v/>
      </c>
      <c r="R254" s="70" t="str">
        <f>IFERROR(__xludf.DUMMYFUNCTION("IFERROR(VLOOKUP(F254,IMPORTRANGE(""1Ixzbal5tEbtWhozsFEppQzOYE6ZSrkNXHg_HW5k3Wt4"",""Form Responses 1!B:C""),2,FALSE),)"),"")</f>
        <v/>
      </c>
      <c r="S254" s="70" t="str">
        <f>IFERROR(__xludf.DUMMYFUNCTION("IFERROR(VLOOKUP(F254,IMPORTRANGE(""1zxjtEKGvVIJPIDqZdnxENwVpPXYa88EihzyI44hcQUo"",""Form Responses 1!B:C""),2,FALSE),)"),"")</f>
        <v/>
      </c>
      <c r="T254" s="70" t="str">
        <f>IFERROR(__xludf.DUMMYFUNCTION("IFERROR(VLOOKUP(F254,IMPORTRANGE(""1H3cO01obd5zFULYqaT5NAqecZBFFIHeDFn4CeQLZF3w"",""Form Responses 1!B:C""),2,FALSE),)"),"")</f>
        <v/>
      </c>
      <c r="U254" s="70" t="str">
        <f>IFERROR(__xludf.DUMMYFUNCTION("IFERROR(IF(COUNTIF(IMPORTRANGE(""1IG9qoa6PeLdDDFzKpW39lxXshN0-M8Z25a_R1EpsYyg"",""Form Responses 1!B:B""),F254)&gt;0,10,),0)"),"")</f>
        <v/>
      </c>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row>
    <row r="255">
      <c r="B255" s="70" t="str">
        <f>IFERROR(__xludf.DUMMYFUNCTION("IFERROR(IF(COUNTIF(IMPORTRANGE(""1RTcwEJsI_0aJRebhNwO_H_AoKl9r46k7hWYbtciIyM4"",""Form Responses 1!B:B""),A255)&gt;0,10,),0)"),"")</f>
        <v/>
      </c>
      <c r="C255" s="70" t="str">
        <f>IFERROR(__xludf.DUMMYFUNCTION("IFERROR(VLOOKUP(A255,IMPORTRANGE(""11i8IUhq_U6RRKRV3CBWIKqYed_fMvFgNUHTq1YDJfp8"",""Form Responses 1!B:C""),2,FALSE),)"),"")</f>
        <v/>
      </c>
      <c r="D255" s="70" t="str">
        <f>IFERROR(__xludf.DUMMYFUNCTION("IFERROR(VLOOKUP(A255,IMPORTRANGE(""1StiHxuxrFhYdrq5WLR2JMORicW0TbnJf3J-oTHeMRtM"",""Form Responses 1!B:C""),2,FALSE),)"),"")</f>
        <v/>
      </c>
      <c r="E255" s="70" t="str">
        <f>IFERROR(__xludf.DUMMYFUNCTION("IFERROR(VLOOKUP(A255,IMPORTRANGE(""1QaxxyUjrDq2kgz300C1Bq1tacFk6e-xX218cSXCQUK0"",""Form Responses 1!B:C""),2,FALSE),)"),"")</f>
        <v/>
      </c>
      <c r="F255" s="70" t="str">
        <f>IFERROR(__xludf.DUMMYFUNCTION("IFERROR(VLOOKUP(A255,IMPORTRANGE(""1fn2ECph_y8Uz78DhjLaiXcwgt6kh3oe-0Le36Uw0noE"",""Form Responses 1!B:C""),2,FALSE),)"),"")</f>
        <v/>
      </c>
      <c r="G255" s="70"/>
      <c r="H255" s="70"/>
      <c r="I255" s="70"/>
      <c r="J255" s="70"/>
      <c r="K255" s="70"/>
      <c r="L255" s="70"/>
      <c r="M255" s="70"/>
      <c r="N255" s="70"/>
      <c r="O255" s="70"/>
      <c r="P255" s="70"/>
      <c r="Q255" s="70" t="str">
        <f>IFERROR(__xludf.DUMMYFUNCTION("IFERROR(IF(COUNTIF(IMPORTRANGE(""1WjiLR_MTMxI_IZUKuvPO4Sg2rTSIqBzP3edakSRXbOA"",""Form Responses 1!B:B""),F255)&gt;0,10,),0)"),"")</f>
        <v/>
      </c>
      <c r="R255" s="70" t="str">
        <f>IFERROR(__xludf.DUMMYFUNCTION("IFERROR(VLOOKUP(F255,IMPORTRANGE(""1Ixzbal5tEbtWhozsFEppQzOYE6ZSrkNXHg_HW5k3Wt4"",""Form Responses 1!B:C""),2,FALSE),)"),"")</f>
        <v/>
      </c>
      <c r="S255" s="70" t="str">
        <f>IFERROR(__xludf.DUMMYFUNCTION("IFERROR(VLOOKUP(F255,IMPORTRANGE(""1zxjtEKGvVIJPIDqZdnxENwVpPXYa88EihzyI44hcQUo"",""Form Responses 1!B:C""),2,FALSE),)"),"")</f>
        <v/>
      </c>
      <c r="T255" s="70" t="str">
        <f>IFERROR(__xludf.DUMMYFUNCTION("IFERROR(VLOOKUP(F255,IMPORTRANGE(""1H3cO01obd5zFULYqaT5NAqecZBFFIHeDFn4CeQLZF3w"",""Form Responses 1!B:C""),2,FALSE),)"),"")</f>
        <v/>
      </c>
      <c r="U255" s="70" t="str">
        <f>IFERROR(__xludf.DUMMYFUNCTION("IFERROR(IF(COUNTIF(IMPORTRANGE(""1IG9qoa6PeLdDDFzKpW39lxXshN0-M8Z25a_R1EpsYyg"",""Form Responses 1!B:B""),F255)&gt;0,10,),0)"),"")</f>
        <v/>
      </c>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row>
    <row r="256">
      <c r="B256" s="70" t="str">
        <f>IFERROR(__xludf.DUMMYFUNCTION("IFERROR(IF(COUNTIF(IMPORTRANGE(""1RTcwEJsI_0aJRebhNwO_H_AoKl9r46k7hWYbtciIyM4"",""Form Responses 1!B:B""),A256)&gt;0,10,),0)"),"")</f>
        <v/>
      </c>
      <c r="C256" s="70" t="str">
        <f>IFERROR(__xludf.DUMMYFUNCTION("IFERROR(VLOOKUP(A256,IMPORTRANGE(""11i8IUhq_U6RRKRV3CBWIKqYed_fMvFgNUHTq1YDJfp8"",""Form Responses 1!B:C""),2,FALSE),)"),"")</f>
        <v/>
      </c>
      <c r="D256" s="70" t="str">
        <f>IFERROR(__xludf.DUMMYFUNCTION("IFERROR(VLOOKUP(A256,IMPORTRANGE(""1StiHxuxrFhYdrq5WLR2JMORicW0TbnJf3J-oTHeMRtM"",""Form Responses 1!B:C""),2,FALSE),)"),"")</f>
        <v/>
      </c>
      <c r="E256" s="70" t="str">
        <f>IFERROR(__xludf.DUMMYFUNCTION("IFERROR(VLOOKUP(A256,IMPORTRANGE(""1QaxxyUjrDq2kgz300C1Bq1tacFk6e-xX218cSXCQUK0"",""Form Responses 1!B:C""),2,FALSE),)"),"")</f>
        <v/>
      </c>
      <c r="F256" s="70" t="str">
        <f>IFERROR(__xludf.DUMMYFUNCTION("IFERROR(VLOOKUP(A256,IMPORTRANGE(""1fn2ECph_y8Uz78DhjLaiXcwgt6kh3oe-0Le36Uw0noE"",""Form Responses 1!B:C""),2,FALSE),)"),"")</f>
        <v/>
      </c>
      <c r="G256" s="70"/>
      <c r="H256" s="70"/>
      <c r="I256" s="70"/>
      <c r="J256" s="70"/>
      <c r="K256" s="70"/>
      <c r="L256" s="70"/>
      <c r="M256" s="70"/>
      <c r="N256" s="70"/>
      <c r="O256" s="70"/>
      <c r="P256" s="70"/>
      <c r="Q256" s="70" t="str">
        <f>IFERROR(__xludf.DUMMYFUNCTION("IFERROR(IF(COUNTIF(IMPORTRANGE(""1WjiLR_MTMxI_IZUKuvPO4Sg2rTSIqBzP3edakSRXbOA"",""Form Responses 1!B:B""),F256)&gt;0,10,),0)"),"")</f>
        <v/>
      </c>
      <c r="R256" s="70" t="str">
        <f>IFERROR(__xludf.DUMMYFUNCTION("IFERROR(VLOOKUP(F256,IMPORTRANGE(""1Ixzbal5tEbtWhozsFEppQzOYE6ZSrkNXHg_HW5k3Wt4"",""Form Responses 1!B:C""),2,FALSE),)"),"")</f>
        <v/>
      </c>
      <c r="S256" s="70" t="str">
        <f>IFERROR(__xludf.DUMMYFUNCTION("IFERROR(VLOOKUP(F256,IMPORTRANGE(""1zxjtEKGvVIJPIDqZdnxENwVpPXYa88EihzyI44hcQUo"",""Form Responses 1!B:C""),2,FALSE),)"),"")</f>
        <v/>
      </c>
      <c r="T256" s="70" t="str">
        <f>IFERROR(__xludf.DUMMYFUNCTION("IFERROR(VLOOKUP(F256,IMPORTRANGE(""1H3cO01obd5zFULYqaT5NAqecZBFFIHeDFn4CeQLZF3w"",""Form Responses 1!B:C""),2,FALSE),)"),"")</f>
        <v/>
      </c>
      <c r="U256" s="70" t="str">
        <f>IFERROR(__xludf.DUMMYFUNCTION("IFERROR(IF(COUNTIF(IMPORTRANGE(""1IG9qoa6PeLdDDFzKpW39lxXshN0-M8Z25a_R1EpsYyg"",""Form Responses 1!B:B""),F256)&gt;0,10,),0)"),"")</f>
        <v/>
      </c>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row>
    <row r="257">
      <c r="B257" s="70" t="str">
        <f>IFERROR(__xludf.DUMMYFUNCTION("IFERROR(IF(COUNTIF(IMPORTRANGE(""1RTcwEJsI_0aJRebhNwO_H_AoKl9r46k7hWYbtciIyM4"",""Form Responses 1!B:B""),A257)&gt;0,10,),0)"),"")</f>
        <v/>
      </c>
      <c r="C257" s="70" t="str">
        <f>IFERROR(__xludf.DUMMYFUNCTION("IFERROR(VLOOKUP(A257,IMPORTRANGE(""11i8IUhq_U6RRKRV3CBWIKqYed_fMvFgNUHTq1YDJfp8"",""Form Responses 1!B:C""),2,FALSE),)"),"")</f>
        <v/>
      </c>
      <c r="D257" s="70" t="str">
        <f>IFERROR(__xludf.DUMMYFUNCTION("IFERROR(VLOOKUP(A257,IMPORTRANGE(""1StiHxuxrFhYdrq5WLR2JMORicW0TbnJf3J-oTHeMRtM"",""Form Responses 1!B:C""),2,FALSE),)"),"")</f>
        <v/>
      </c>
      <c r="E257" s="70" t="str">
        <f>IFERROR(__xludf.DUMMYFUNCTION("IFERROR(VLOOKUP(A257,IMPORTRANGE(""1QaxxyUjrDq2kgz300C1Bq1tacFk6e-xX218cSXCQUK0"",""Form Responses 1!B:C""),2,FALSE),)"),"")</f>
        <v/>
      </c>
      <c r="F257" s="70" t="str">
        <f>IFERROR(__xludf.DUMMYFUNCTION("IFERROR(VLOOKUP(A257,IMPORTRANGE(""1fn2ECph_y8Uz78DhjLaiXcwgt6kh3oe-0Le36Uw0noE"",""Form Responses 1!B:C""),2,FALSE),)"),"")</f>
        <v/>
      </c>
      <c r="G257" s="70"/>
      <c r="H257" s="70"/>
      <c r="I257" s="70"/>
      <c r="J257" s="70"/>
      <c r="K257" s="70"/>
      <c r="L257" s="70"/>
      <c r="M257" s="70"/>
      <c r="N257" s="70"/>
      <c r="O257" s="70"/>
      <c r="P257" s="70"/>
      <c r="Q257" s="70" t="str">
        <f>IFERROR(__xludf.DUMMYFUNCTION("IFERROR(IF(COUNTIF(IMPORTRANGE(""1WjiLR_MTMxI_IZUKuvPO4Sg2rTSIqBzP3edakSRXbOA"",""Form Responses 1!B:B""),F257)&gt;0,10,),0)"),"")</f>
        <v/>
      </c>
      <c r="R257" s="70" t="str">
        <f>IFERROR(__xludf.DUMMYFUNCTION("IFERROR(VLOOKUP(F257,IMPORTRANGE(""1Ixzbal5tEbtWhozsFEppQzOYE6ZSrkNXHg_HW5k3Wt4"",""Form Responses 1!B:C""),2,FALSE),)"),"")</f>
        <v/>
      </c>
      <c r="S257" s="70" t="str">
        <f>IFERROR(__xludf.DUMMYFUNCTION("IFERROR(VLOOKUP(F257,IMPORTRANGE(""1zxjtEKGvVIJPIDqZdnxENwVpPXYa88EihzyI44hcQUo"",""Form Responses 1!B:C""),2,FALSE),)"),"")</f>
        <v/>
      </c>
      <c r="T257" s="70" t="str">
        <f>IFERROR(__xludf.DUMMYFUNCTION("IFERROR(VLOOKUP(F257,IMPORTRANGE(""1H3cO01obd5zFULYqaT5NAqecZBFFIHeDFn4CeQLZF3w"",""Form Responses 1!B:C""),2,FALSE),)"),"")</f>
        <v/>
      </c>
      <c r="U257" s="70" t="str">
        <f>IFERROR(__xludf.DUMMYFUNCTION("IFERROR(IF(COUNTIF(IMPORTRANGE(""1IG9qoa6PeLdDDFzKpW39lxXshN0-M8Z25a_R1EpsYyg"",""Form Responses 1!B:B""),F257)&gt;0,10,),0)"),"")</f>
        <v/>
      </c>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row>
    <row r="258">
      <c r="B258" s="70" t="str">
        <f>IFERROR(__xludf.DUMMYFUNCTION("IFERROR(IF(COUNTIF(IMPORTRANGE(""1RTcwEJsI_0aJRebhNwO_H_AoKl9r46k7hWYbtciIyM4"",""Form Responses 1!B:B""),A258)&gt;0,10,),0)"),"")</f>
        <v/>
      </c>
      <c r="C258" s="70" t="str">
        <f>IFERROR(__xludf.DUMMYFUNCTION("IFERROR(VLOOKUP(A258,IMPORTRANGE(""11i8IUhq_U6RRKRV3CBWIKqYed_fMvFgNUHTq1YDJfp8"",""Form Responses 1!B:C""),2,FALSE),)"),"")</f>
        <v/>
      </c>
      <c r="D258" s="70" t="str">
        <f>IFERROR(__xludf.DUMMYFUNCTION("IFERROR(VLOOKUP(A258,IMPORTRANGE(""1StiHxuxrFhYdrq5WLR2JMORicW0TbnJf3J-oTHeMRtM"",""Form Responses 1!B:C""),2,FALSE),)"),"")</f>
        <v/>
      </c>
      <c r="E258" s="70" t="str">
        <f>IFERROR(__xludf.DUMMYFUNCTION("IFERROR(VLOOKUP(A258,IMPORTRANGE(""1QaxxyUjrDq2kgz300C1Bq1tacFk6e-xX218cSXCQUK0"",""Form Responses 1!B:C""),2,FALSE),)"),"")</f>
        <v/>
      </c>
      <c r="F258" s="70" t="str">
        <f>IFERROR(__xludf.DUMMYFUNCTION("IFERROR(VLOOKUP(A258,IMPORTRANGE(""1fn2ECph_y8Uz78DhjLaiXcwgt6kh3oe-0Le36Uw0noE"",""Form Responses 1!B:C""),2,FALSE),)"),"")</f>
        <v/>
      </c>
      <c r="G258" s="70"/>
      <c r="H258" s="70"/>
      <c r="I258" s="70"/>
      <c r="J258" s="70"/>
      <c r="K258" s="70"/>
      <c r="L258" s="70"/>
      <c r="M258" s="70"/>
      <c r="N258" s="70"/>
      <c r="O258" s="70"/>
      <c r="P258" s="70"/>
      <c r="Q258" s="70" t="str">
        <f>IFERROR(__xludf.DUMMYFUNCTION("IFERROR(IF(COUNTIF(IMPORTRANGE(""1WjiLR_MTMxI_IZUKuvPO4Sg2rTSIqBzP3edakSRXbOA"",""Form Responses 1!B:B""),F258)&gt;0,10,),0)"),"")</f>
        <v/>
      </c>
      <c r="R258" s="70" t="str">
        <f>IFERROR(__xludf.DUMMYFUNCTION("IFERROR(VLOOKUP(F258,IMPORTRANGE(""1Ixzbal5tEbtWhozsFEppQzOYE6ZSrkNXHg_HW5k3Wt4"",""Form Responses 1!B:C""),2,FALSE),)"),"")</f>
        <v/>
      </c>
      <c r="S258" s="70" t="str">
        <f>IFERROR(__xludf.DUMMYFUNCTION("IFERROR(VLOOKUP(F258,IMPORTRANGE(""1zxjtEKGvVIJPIDqZdnxENwVpPXYa88EihzyI44hcQUo"",""Form Responses 1!B:C""),2,FALSE),)"),"")</f>
        <v/>
      </c>
      <c r="T258" s="70" t="str">
        <f>IFERROR(__xludf.DUMMYFUNCTION("IFERROR(VLOOKUP(F258,IMPORTRANGE(""1H3cO01obd5zFULYqaT5NAqecZBFFIHeDFn4CeQLZF3w"",""Form Responses 1!B:C""),2,FALSE),)"),"")</f>
        <v/>
      </c>
      <c r="U258" s="70" t="str">
        <f>IFERROR(__xludf.DUMMYFUNCTION("IFERROR(IF(COUNTIF(IMPORTRANGE(""1IG9qoa6PeLdDDFzKpW39lxXshN0-M8Z25a_R1EpsYyg"",""Form Responses 1!B:B""),F258)&gt;0,10,),0)"),"")</f>
        <v/>
      </c>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row>
    <row r="259">
      <c r="B259" s="70" t="str">
        <f>IFERROR(__xludf.DUMMYFUNCTION("IFERROR(IF(COUNTIF(IMPORTRANGE(""1RTcwEJsI_0aJRebhNwO_H_AoKl9r46k7hWYbtciIyM4"",""Form Responses 1!B:B""),A259)&gt;0,10,),0)"),"")</f>
        <v/>
      </c>
      <c r="C259" s="70" t="str">
        <f>IFERROR(__xludf.DUMMYFUNCTION("IFERROR(VLOOKUP(A259,IMPORTRANGE(""11i8IUhq_U6RRKRV3CBWIKqYed_fMvFgNUHTq1YDJfp8"",""Form Responses 1!B:C""),2,FALSE),)"),"")</f>
        <v/>
      </c>
      <c r="D259" s="70" t="str">
        <f>IFERROR(__xludf.DUMMYFUNCTION("IFERROR(VLOOKUP(A259,IMPORTRANGE(""1StiHxuxrFhYdrq5WLR2JMORicW0TbnJf3J-oTHeMRtM"",""Form Responses 1!B:C""),2,FALSE),)"),"")</f>
        <v/>
      </c>
      <c r="E259" s="70" t="str">
        <f>IFERROR(__xludf.DUMMYFUNCTION("IFERROR(VLOOKUP(A259,IMPORTRANGE(""1QaxxyUjrDq2kgz300C1Bq1tacFk6e-xX218cSXCQUK0"",""Form Responses 1!B:C""),2,FALSE),)"),"")</f>
        <v/>
      </c>
      <c r="F259" s="70" t="str">
        <f>IFERROR(__xludf.DUMMYFUNCTION("IFERROR(VLOOKUP(A259,IMPORTRANGE(""1fn2ECph_y8Uz78DhjLaiXcwgt6kh3oe-0Le36Uw0noE"",""Form Responses 1!B:C""),2,FALSE),)"),"")</f>
        <v/>
      </c>
      <c r="G259" s="70"/>
      <c r="H259" s="70"/>
      <c r="I259" s="70"/>
      <c r="J259" s="70"/>
      <c r="K259" s="70"/>
      <c r="L259" s="70"/>
      <c r="M259" s="70"/>
      <c r="N259" s="70"/>
      <c r="O259" s="70"/>
      <c r="P259" s="70"/>
      <c r="Q259" s="70" t="str">
        <f>IFERROR(__xludf.DUMMYFUNCTION("IFERROR(IF(COUNTIF(IMPORTRANGE(""1WjiLR_MTMxI_IZUKuvPO4Sg2rTSIqBzP3edakSRXbOA"",""Form Responses 1!B:B""),F259)&gt;0,10,),0)"),"")</f>
        <v/>
      </c>
      <c r="R259" s="70" t="str">
        <f>IFERROR(__xludf.DUMMYFUNCTION("IFERROR(VLOOKUP(F259,IMPORTRANGE(""1Ixzbal5tEbtWhozsFEppQzOYE6ZSrkNXHg_HW5k3Wt4"",""Form Responses 1!B:C""),2,FALSE),)"),"")</f>
        <v/>
      </c>
      <c r="S259" s="70" t="str">
        <f>IFERROR(__xludf.DUMMYFUNCTION("IFERROR(VLOOKUP(F259,IMPORTRANGE(""1zxjtEKGvVIJPIDqZdnxENwVpPXYa88EihzyI44hcQUo"",""Form Responses 1!B:C""),2,FALSE),)"),"")</f>
        <v/>
      </c>
      <c r="T259" s="70" t="str">
        <f>IFERROR(__xludf.DUMMYFUNCTION("IFERROR(VLOOKUP(F259,IMPORTRANGE(""1H3cO01obd5zFULYqaT5NAqecZBFFIHeDFn4CeQLZF3w"",""Form Responses 1!B:C""),2,FALSE),)"),"")</f>
        <v/>
      </c>
      <c r="U259" s="70" t="str">
        <f>IFERROR(__xludf.DUMMYFUNCTION("IFERROR(IF(COUNTIF(IMPORTRANGE(""1IG9qoa6PeLdDDFzKpW39lxXshN0-M8Z25a_R1EpsYyg"",""Form Responses 1!B:B""),F259)&gt;0,10,),0)"),"")</f>
        <v/>
      </c>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row>
    <row r="260">
      <c r="B260" s="70" t="str">
        <f>IFERROR(__xludf.DUMMYFUNCTION("IFERROR(IF(COUNTIF(IMPORTRANGE(""1RTcwEJsI_0aJRebhNwO_H_AoKl9r46k7hWYbtciIyM4"",""Form Responses 1!B:B""),A260)&gt;0,10,),0)"),"")</f>
        <v/>
      </c>
      <c r="C260" s="70" t="str">
        <f>IFERROR(__xludf.DUMMYFUNCTION("IFERROR(VLOOKUP(A260,IMPORTRANGE(""11i8IUhq_U6RRKRV3CBWIKqYed_fMvFgNUHTq1YDJfp8"",""Form Responses 1!B:C""),2,FALSE),)"),"")</f>
        <v/>
      </c>
      <c r="D260" s="70" t="str">
        <f>IFERROR(__xludf.DUMMYFUNCTION("IFERROR(VLOOKUP(A260,IMPORTRANGE(""1StiHxuxrFhYdrq5WLR2JMORicW0TbnJf3J-oTHeMRtM"",""Form Responses 1!B:C""),2,FALSE),)"),"")</f>
        <v/>
      </c>
      <c r="E260" s="70" t="str">
        <f>IFERROR(__xludf.DUMMYFUNCTION("IFERROR(VLOOKUP(A260,IMPORTRANGE(""1QaxxyUjrDq2kgz300C1Bq1tacFk6e-xX218cSXCQUK0"",""Form Responses 1!B:C""),2,FALSE),)"),"")</f>
        <v/>
      </c>
      <c r="F260" s="70" t="str">
        <f>IFERROR(__xludf.DUMMYFUNCTION("IFERROR(VLOOKUP(A260,IMPORTRANGE(""1fn2ECph_y8Uz78DhjLaiXcwgt6kh3oe-0Le36Uw0noE"",""Form Responses 1!B:C""),2,FALSE),)"),"")</f>
        <v/>
      </c>
      <c r="G260" s="70"/>
      <c r="H260" s="70"/>
      <c r="I260" s="70"/>
      <c r="J260" s="70"/>
      <c r="K260" s="70"/>
      <c r="L260" s="70"/>
      <c r="M260" s="70"/>
      <c r="N260" s="70"/>
      <c r="O260" s="70"/>
      <c r="P260" s="70"/>
      <c r="Q260" s="70" t="str">
        <f>IFERROR(__xludf.DUMMYFUNCTION("IFERROR(IF(COUNTIF(IMPORTRANGE(""1WjiLR_MTMxI_IZUKuvPO4Sg2rTSIqBzP3edakSRXbOA"",""Form Responses 1!B:B""),F260)&gt;0,10,),0)"),"")</f>
        <v/>
      </c>
      <c r="R260" s="70" t="str">
        <f>IFERROR(__xludf.DUMMYFUNCTION("IFERROR(VLOOKUP(F260,IMPORTRANGE(""1Ixzbal5tEbtWhozsFEppQzOYE6ZSrkNXHg_HW5k3Wt4"",""Form Responses 1!B:C""),2,FALSE),)"),"")</f>
        <v/>
      </c>
      <c r="S260" s="70" t="str">
        <f>IFERROR(__xludf.DUMMYFUNCTION("IFERROR(VLOOKUP(F260,IMPORTRANGE(""1zxjtEKGvVIJPIDqZdnxENwVpPXYa88EihzyI44hcQUo"",""Form Responses 1!B:C""),2,FALSE),)"),"")</f>
        <v/>
      </c>
      <c r="T260" s="70" t="str">
        <f>IFERROR(__xludf.DUMMYFUNCTION("IFERROR(VLOOKUP(F260,IMPORTRANGE(""1H3cO01obd5zFULYqaT5NAqecZBFFIHeDFn4CeQLZF3w"",""Form Responses 1!B:C""),2,FALSE),)"),"")</f>
        <v/>
      </c>
      <c r="U260" s="70" t="str">
        <f>IFERROR(__xludf.DUMMYFUNCTION("IFERROR(IF(COUNTIF(IMPORTRANGE(""1IG9qoa6PeLdDDFzKpW39lxXshN0-M8Z25a_R1EpsYyg"",""Form Responses 1!B:B""),F260)&gt;0,10,),0)"),"")</f>
        <v/>
      </c>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row>
    <row r="261">
      <c r="B261" s="70" t="str">
        <f>IFERROR(__xludf.DUMMYFUNCTION("IFERROR(IF(COUNTIF(IMPORTRANGE(""1RTcwEJsI_0aJRebhNwO_H_AoKl9r46k7hWYbtciIyM4"",""Form Responses 1!B:B""),A261)&gt;0,10,),0)"),"")</f>
        <v/>
      </c>
      <c r="C261" s="70" t="str">
        <f>IFERROR(__xludf.DUMMYFUNCTION("IFERROR(VLOOKUP(A261,IMPORTRANGE(""11i8IUhq_U6RRKRV3CBWIKqYed_fMvFgNUHTq1YDJfp8"",""Form Responses 1!B:C""),2,FALSE),)"),"")</f>
        <v/>
      </c>
      <c r="D261" s="70" t="str">
        <f>IFERROR(__xludf.DUMMYFUNCTION("IFERROR(VLOOKUP(A261,IMPORTRANGE(""1StiHxuxrFhYdrq5WLR2JMORicW0TbnJf3J-oTHeMRtM"",""Form Responses 1!B:C""),2,FALSE),)"),"")</f>
        <v/>
      </c>
      <c r="E261" s="70" t="str">
        <f>IFERROR(__xludf.DUMMYFUNCTION("IFERROR(VLOOKUP(A261,IMPORTRANGE(""1QaxxyUjrDq2kgz300C1Bq1tacFk6e-xX218cSXCQUK0"",""Form Responses 1!B:C""),2,FALSE),)"),"")</f>
        <v/>
      </c>
      <c r="F261" s="70" t="str">
        <f>IFERROR(__xludf.DUMMYFUNCTION("IFERROR(VLOOKUP(A261,IMPORTRANGE(""1fn2ECph_y8Uz78DhjLaiXcwgt6kh3oe-0Le36Uw0noE"",""Form Responses 1!B:C""),2,FALSE),)"),"")</f>
        <v/>
      </c>
      <c r="G261" s="70"/>
      <c r="H261" s="70"/>
      <c r="I261" s="70"/>
      <c r="J261" s="70"/>
      <c r="K261" s="70"/>
      <c r="L261" s="70"/>
      <c r="M261" s="70"/>
      <c r="N261" s="70"/>
      <c r="O261" s="70"/>
      <c r="P261" s="70"/>
      <c r="Q261" s="70" t="str">
        <f>IFERROR(__xludf.DUMMYFUNCTION("IFERROR(IF(COUNTIF(IMPORTRANGE(""1WjiLR_MTMxI_IZUKuvPO4Sg2rTSIqBzP3edakSRXbOA"",""Form Responses 1!B:B""),F261)&gt;0,10,),0)"),"")</f>
        <v/>
      </c>
      <c r="R261" s="70" t="str">
        <f>IFERROR(__xludf.DUMMYFUNCTION("IFERROR(VLOOKUP(F261,IMPORTRANGE(""1Ixzbal5tEbtWhozsFEppQzOYE6ZSrkNXHg_HW5k3Wt4"",""Form Responses 1!B:C""),2,FALSE),)"),"")</f>
        <v/>
      </c>
      <c r="S261" s="70" t="str">
        <f>IFERROR(__xludf.DUMMYFUNCTION("IFERROR(VLOOKUP(F261,IMPORTRANGE(""1zxjtEKGvVIJPIDqZdnxENwVpPXYa88EihzyI44hcQUo"",""Form Responses 1!B:C""),2,FALSE),)"),"")</f>
        <v/>
      </c>
      <c r="T261" s="70" t="str">
        <f>IFERROR(__xludf.DUMMYFUNCTION("IFERROR(VLOOKUP(F261,IMPORTRANGE(""1H3cO01obd5zFULYqaT5NAqecZBFFIHeDFn4CeQLZF3w"",""Form Responses 1!B:C""),2,FALSE),)"),"")</f>
        <v/>
      </c>
      <c r="U261" s="70" t="str">
        <f>IFERROR(__xludf.DUMMYFUNCTION("IFERROR(IF(COUNTIF(IMPORTRANGE(""1IG9qoa6PeLdDDFzKpW39lxXshN0-M8Z25a_R1EpsYyg"",""Form Responses 1!B:B""),F261)&gt;0,10,),0)"),"")</f>
        <v/>
      </c>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row>
    <row r="262">
      <c r="B262" s="70" t="str">
        <f>IFERROR(__xludf.DUMMYFUNCTION("IFERROR(IF(COUNTIF(IMPORTRANGE(""1RTcwEJsI_0aJRebhNwO_H_AoKl9r46k7hWYbtciIyM4"",""Form Responses 1!B:B""),A262)&gt;0,10,),0)"),"")</f>
        <v/>
      </c>
      <c r="C262" s="70" t="str">
        <f>IFERROR(__xludf.DUMMYFUNCTION("IFERROR(VLOOKUP(A262,IMPORTRANGE(""11i8IUhq_U6RRKRV3CBWIKqYed_fMvFgNUHTq1YDJfp8"",""Form Responses 1!B:C""),2,FALSE),)"),"")</f>
        <v/>
      </c>
      <c r="D262" s="70" t="str">
        <f>IFERROR(__xludf.DUMMYFUNCTION("IFERROR(VLOOKUP(A262,IMPORTRANGE(""1StiHxuxrFhYdrq5WLR2JMORicW0TbnJf3J-oTHeMRtM"",""Form Responses 1!B:C""),2,FALSE),)"),"")</f>
        <v/>
      </c>
      <c r="E262" s="70" t="str">
        <f>IFERROR(__xludf.DUMMYFUNCTION("IFERROR(VLOOKUP(A262,IMPORTRANGE(""1QaxxyUjrDq2kgz300C1Bq1tacFk6e-xX218cSXCQUK0"",""Form Responses 1!B:C""),2,FALSE),)"),"")</f>
        <v/>
      </c>
      <c r="F262" s="70" t="str">
        <f>IFERROR(__xludf.DUMMYFUNCTION("IFERROR(VLOOKUP(A262,IMPORTRANGE(""1fn2ECph_y8Uz78DhjLaiXcwgt6kh3oe-0Le36Uw0noE"",""Form Responses 1!B:C""),2,FALSE),)"),"")</f>
        <v/>
      </c>
      <c r="G262" s="70"/>
      <c r="H262" s="70"/>
      <c r="I262" s="70"/>
      <c r="J262" s="70"/>
      <c r="K262" s="70"/>
      <c r="L262" s="70"/>
      <c r="M262" s="70"/>
      <c r="N262" s="70"/>
      <c r="O262" s="70"/>
      <c r="P262" s="70"/>
      <c r="Q262" s="70" t="str">
        <f>IFERROR(__xludf.DUMMYFUNCTION("IFERROR(IF(COUNTIF(IMPORTRANGE(""1WjiLR_MTMxI_IZUKuvPO4Sg2rTSIqBzP3edakSRXbOA"",""Form Responses 1!B:B""),F262)&gt;0,10,),0)"),"")</f>
        <v/>
      </c>
      <c r="R262" s="70" t="str">
        <f>IFERROR(__xludf.DUMMYFUNCTION("IFERROR(VLOOKUP(F262,IMPORTRANGE(""1Ixzbal5tEbtWhozsFEppQzOYE6ZSrkNXHg_HW5k3Wt4"",""Form Responses 1!B:C""),2,FALSE),)"),"")</f>
        <v/>
      </c>
      <c r="S262" s="70" t="str">
        <f>IFERROR(__xludf.DUMMYFUNCTION("IFERROR(VLOOKUP(F262,IMPORTRANGE(""1zxjtEKGvVIJPIDqZdnxENwVpPXYa88EihzyI44hcQUo"",""Form Responses 1!B:C""),2,FALSE),)"),"")</f>
        <v/>
      </c>
      <c r="T262" s="70" t="str">
        <f>IFERROR(__xludf.DUMMYFUNCTION("IFERROR(VLOOKUP(F262,IMPORTRANGE(""1H3cO01obd5zFULYqaT5NAqecZBFFIHeDFn4CeQLZF3w"",""Form Responses 1!B:C""),2,FALSE),)"),"")</f>
        <v/>
      </c>
      <c r="U262" s="70" t="str">
        <f>IFERROR(__xludf.DUMMYFUNCTION("IFERROR(IF(COUNTIF(IMPORTRANGE(""1IG9qoa6PeLdDDFzKpW39lxXshN0-M8Z25a_R1EpsYyg"",""Form Responses 1!B:B""),F262)&gt;0,10,),0)"),"")</f>
        <v/>
      </c>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row>
    <row r="263">
      <c r="B263" s="70" t="str">
        <f>IFERROR(__xludf.DUMMYFUNCTION("IFERROR(IF(COUNTIF(IMPORTRANGE(""1RTcwEJsI_0aJRebhNwO_H_AoKl9r46k7hWYbtciIyM4"",""Form Responses 1!B:B""),A263)&gt;0,10,),0)"),"")</f>
        <v/>
      </c>
      <c r="C263" s="70" t="str">
        <f>IFERROR(__xludf.DUMMYFUNCTION("IFERROR(VLOOKUP(A263,IMPORTRANGE(""11i8IUhq_U6RRKRV3CBWIKqYed_fMvFgNUHTq1YDJfp8"",""Form Responses 1!B:C""),2,FALSE),)"),"")</f>
        <v/>
      </c>
      <c r="D263" s="70" t="str">
        <f>IFERROR(__xludf.DUMMYFUNCTION("IFERROR(VLOOKUP(A263,IMPORTRANGE(""1StiHxuxrFhYdrq5WLR2JMORicW0TbnJf3J-oTHeMRtM"",""Form Responses 1!B:C""),2,FALSE),)"),"")</f>
        <v/>
      </c>
      <c r="E263" s="70" t="str">
        <f>IFERROR(__xludf.DUMMYFUNCTION("IFERROR(VLOOKUP(A263,IMPORTRANGE(""1QaxxyUjrDq2kgz300C1Bq1tacFk6e-xX218cSXCQUK0"",""Form Responses 1!B:C""),2,FALSE),)"),"")</f>
        <v/>
      </c>
      <c r="F263" s="70" t="str">
        <f>IFERROR(__xludf.DUMMYFUNCTION("IFERROR(VLOOKUP(A263,IMPORTRANGE(""1fn2ECph_y8Uz78DhjLaiXcwgt6kh3oe-0Le36Uw0noE"",""Form Responses 1!B:C""),2,FALSE),)"),"")</f>
        <v/>
      </c>
      <c r="G263" s="70"/>
      <c r="H263" s="70"/>
      <c r="I263" s="70"/>
      <c r="J263" s="70"/>
      <c r="K263" s="70"/>
      <c r="L263" s="70"/>
      <c r="M263" s="70"/>
      <c r="N263" s="70"/>
      <c r="O263" s="70"/>
      <c r="P263" s="70"/>
      <c r="Q263" s="70" t="str">
        <f>IFERROR(__xludf.DUMMYFUNCTION("IFERROR(IF(COUNTIF(IMPORTRANGE(""1WjiLR_MTMxI_IZUKuvPO4Sg2rTSIqBzP3edakSRXbOA"",""Form Responses 1!B:B""),F263)&gt;0,10,),0)"),"")</f>
        <v/>
      </c>
      <c r="R263" s="70" t="str">
        <f>IFERROR(__xludf.DUMMYFUNCTION("IFERROR(VLOOKUP(F263,IMPORTRANGE(""1Ixzbal5tEbtWhozsFEppQzOYE6ZSrkNXHg_HW5k3Wt4"",""Form Responses 1!B:C""),2,FALSE),)"),"")</f>
        <v/>
      </c>
      <c r="S263" s="70" t="str">
        <f>IFERROR(__xludf.DUMMYFUNCTION("IFERROR(VLOOKUP(F263,IMPORTRANGE(""1zxjtEKGvVIJPIDqZdnxENwVpPXYa88EihzyI44hcQUo"",""Form Responses 1!B:C""),2,FALSE),)"),"")</f>
        <v/>
      </c>
      <c r="T263" s="70" t="str">
        <f>IFERROR(__xludf.DUMMYFUNCTION("IFERROR(VLOOKUP(F263,IMPORTRANGE(""1H3cO01obd5zFULYqaT5NAqecZBFFIHeDFn4CeQLZF3w"",""Form Responses 1!B:C""),2,FALSE),)"),"")</f>
        <v/>
      </c>
      <c r="U263" s="70" t="str">
        <f>IFERROR(__xludf.DUMMYFUNCTION("IFERROR(IF(COUNTIF(IMPORTRANGE(""1IG9qoa6PeLdDDFzKpW39lxXshN0-M8Z25a_R1EpsYyg"",""Form Responses 1!B:B""),F263)&gt;0,10,),0)"),"")</f>
        <v/>
      </c>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row>
    <row r="264">
      <c r="B264" s="70" t="str">
        <f>IFERROR(__xludf.DUMMYFUNCTION("IFERROR(IF(COUNTIF(IMPORTRANGE(""1RTcwEJsI_0aJRebhNwO_H_AoKl9r46k7hWYbtciIyM4"",""Form Responses 1!B:B""),A264)&gt;0,10,),0)"),"")</f>
        <v/>
      </c>
      <c r="C264" s="70" t="str">
        <f>IFERROR(__xludf.DUMMYFUNCTION("IFERROR(VLOOKUP(A264,IMPORTRANGE(""11i8IUhq_U6RRKRV3CBWIKqYed_fMvFgNUHTq1YDJfp8"",""Form Responses 1!B:C""),2,FALSE),)"),"")</f>
        <v/>
      </c>
      <c r="D264" s="70" t="str">
        <f>IFERROR(__xludf.DUMMYFUNCTION("IFERROR(VLOOKUP(A264,IMPORTRANGE(""1StiHxuxrFhYdrq5WLR2JMORicW0TbnJf3J-oTHeMRtM"",""Form Responses 1!B:C""),2,FALSE),)"),"")</f>
        <v/>
      </c>
      <c r="E264" s="70" t="str">
        <f>IFERROR(__xludf.DUMMYFUNCTION("IFERROR(VLOOKUP(A264,IMPORTRANGE(""1QaxxyUjrDq2kgz300C1Bq1tacFk6e-xX218cSXCQUK0"",""Form Responses 1!B:C""),2,FALSE),)"),"")</f>
        <v/>
      </c>
      <c r="F264" s="70" t="str">
        <f>IFERROR(__xludf.DUMMYFUNCTION("IFERROR(VLOOKUP(A264,IMPORTRANGE(""1fn2ECph_y8Uz78DhjLaiXcwgt6kh3oe-0Le36Uw0noE"",""Form Responses 1!B:C""),2,FALSE),)"),"")</f>
        <v/>
      </c>
      <c r="G264" s="70"/>
      <c r="H264" s="70"/>
      <c r="I264" s="70"/>
      <c r="J264" s="70"/>
      <c r="K264" s="70"/>
      <c r="L264" s="70"/>
      <c r="M264" s="70"/>
      <c r="N264" s="70"/>
      <c r="O264" s="70"/>
      <c r="P264" s="70"/>
      <c r="Q264" s="70" t="str">
        <f>IFERROR(__xludf.DUMMYFUNCTION("IFERROR(IF(COUNTIF(IMPORTRANGE(""1WjiLR_MTMxI_IZUKuvPO4Sg2rTSIqBzP3edakSRXbOA"",""Form Responses 1!B:B""),F264)&gt;0,10,),0)"),"")</f>
        <v/>
      </c>
      <c r="R264" s="70" t="str">
        <f>IFERROR(__xludf.DUMMYFUNCTION("IFERROR(VLOOKUP(F264,IMPORTRANGE(""1Ixzbal5tEbtWhozsFEppQzOYE6ZSrkNXHg_HW5k3Wt4"",""Form Responses 1!B:C""),2,FALSE),)"),"")</f>
        <v/>
      </c>
      <c r="S264" s="70" t="str">
        <f>IFERROR(__xludf.DUMMYFUNCTION("IFERROR(VLOOKUP(F264,IMPORTRANGE(""1zxjtEKGvVIJPIDqZdnxENwVpPXYa88EihzyI44hcQUo"",""Form Responses 1!B:C""),2,FALSE),)"),"")</f>
        <v/>
      </c>
      <c r="T264" s="70" t="str">
        <f>IFERROR(__xludf.DUMMYFUNCTION("IFERROR(VLOOKUP(F264,IMPORTRANGE(""1H3cO01obd5zFULYqaT5NAqecZBFFIHeDFn4CeQLZF3w"",""Form Responses 1!B:C""),2,FALSE),)"),"")</f>
        <v/>
      </c>
      <c r="U264" s="70" t="str">
        <f>IFERROR(__xludf.DUMMYFUNCTION("IFERROR(IF(COUNTIF(IMPORTRANGE(""1IG9qoa6PeLdDDFzKpW39lxXshN0-M8Z25a_R1EpsYyg"",""Form Responses 1!B:B""),F264)&gt;0,10,),0)"),"")</f>
        <v/>
      </c>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row>
    <row r="265">
      <c r="B265" s="70" t="str">
        <f>IFERROR(__xludf.DUMMYFUNCTION("IFERROR(IF(COUNTIF(IMPORTRANGE(""1RTcwEJsI_0aJRebhNwO_H_AoKl9r46k7hWYbtciIyM4"",""Form Responses 1!B:B""),A265)&gt;0,10,),0)"),"")</f>
        <v/>
      </c>
      <c r="C265" s="70" t="str">
        <f>IFERROR(__xludf.DUMMYFUNCTION("IFERROR(VLOOKUP(A265,IMPORTRANGE(""11i8IUhq_U6RRKRV3CBWIKqYed_fMvFgNUHTq1YDJfp8"",""Form Responses 1!B:C""),2,FALSE),)"),"")</f>
        <v/>
      </c>
      <c r="D265" s="70" t="str">
        <f>IFERROR(__xludf.DUMMYFUNCTION("IFERROR(VLOOKUP(A265,IMPORTRANGE(""1StiHxuxrFhYdrq5WLR2JMORicW0TbnJf3J-oTHeMRtM"",""Form Responses 1!B:C""),2,FALSE),)"),"")</f>
        <v/>
      </c>
      <c r="E265" s="70" t="str">
        <f>IFERROR(__xludf.DUMMYFUNCTION("IFERROR(VLOOKUP(A265,IMPORTRANGE(""1QaxxyUjrDq2kgz300C1Bq1tacFk6e-xX218cSXCQUK0"",""Form Responses 1!B:C""),2,FALSE),)"),"")</f>
        <v/>
      </c>
      <c r="F265" s="70" t="str">
        <f>IFERROR(__xludf.DUMMYFUNCTION("IFERROR(VLOOKUP(A265,IMPORTRANGE(""1fn2ECph_y8Uz78DhjLaiXcwgt6kh3oe-0Le36Uw0noE"",""Form Responses 1!B:C""),2,FALSE),)"),"")</f>
        <v/>
      </c>
      <c r="G265" s="70"/>
      <c r="H265" s="70"/>
      <c r="I265" s="70"/>
      <c r="J265" s="70"/>
      <c r="K265" s="70"/>
      <c r="L265" s="70"/>
      <c r="M265" s="70"/>
      <c r="N265" s="70"/>
      <c r="O265" s="70"/>
      <c r="P265" s="70"/>
      <c r="Q265" s="70" t="str">
        <f>IFERROR(__xludf.DUMMYFUNCTION("IFERROR(IF(COUNTIF(IMPORTRANGE(""1WjiLR_MTMxI_IZUKuvPO4Sg2rTSIqBzP3edakSRXbOA"",""Form Responses 1!B:B""),F265)&gt;0,10,),0)"),"")</f>
        <v/>
      </c>
      <c r="R265" s="70" t="str">
        <f>IFERROR(__xludf.DUMMYFUNCTION("IFERROR(VLOOKUP(F265,IMPORTRANGE(""1Ixzbal5tEbtWhozsFEppQzOYE6ZSrkNXHg_HW5k3Wt4"",""Form Responses 1!B:C""),2,FALSE),)"),"")</f>
        <v/>
      </c>
      <c r="S265" s="70" t="str">
        <f>IFERROR(__xludf.DUMMYFUNCTION("IFERROR(VLOOKUP(F265,IMPORTRANGE(""1zxjtEKGvVIJPIDqZdnxENwVpPXYa88EihzyI44hcQUo"",""Form Responses 1!B:C""),2,FALSE),)"),"")</f>
        <v/>
      </c>
      <c r="T265" s="70" t="str">
        <f>IFERROR(__xludf.DUMMYFUNCTION("IFERROR(VLOOKUP(F265,IMPORTRANGE(""1H3cO01obd5zFULYqaT5NAqecZBFFIHeDFn4CeQLZF3w"",""Form Responses 1!B:C""),2,FALSE),)"),"")</f>
        <v/>
      </c>
      <c r="U265" s="70" t="str">
        <f>IFERROR(__xludf.DUMMYFUNCTION("IFERROR(IF(COUNTIF(IMPORTRANGE(""1IG9qoa6PeLdDDFzKpW39lxXshN0-M8Z25a_R1EpsYyg"",""Form Responses 1!B:B""),F265)&gt;0,10,),0)"),"")</f>
        <v/>
      </c>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row>
    <row r="266">
      <c r="B266" s="70" t="str">
        <f>IFERROR(__xludf.DUMMYFUNCTION("IFERROR(IF(COUNTIF(IMPORTRANGE(""1RTcwEJsI_0aJRebhNwO_H_AoKl9r46k7hWYbtciIyM4"",""Form Responses 1!B:B""),A266)&gt;0,10,),0)"),"")</f>
        <v/>
      </c>
      <c r="C266" s="70" t="str">
        <f>IFERROR(__xludf.DUMMYFUNCTION("IFERROR(VLOOKUP(A266,IMPORTRANGE(""11i8IUhq_U6RRKRV3CBWIKqYed_fMvFgNUHTq1YDJfp8"",""Form Responses 1!B:C""),2,FALSE),)"),"")</f>
        <v/>
      </c>
      <c r="D266" s="70" t="str">
        <f>IFERROR(__xludf.DUMMYFUNCTION("IFERROR(VLOOKUP(A266,IMPORTRANGE(""1StiHxuxrFhYdrq5WLR2JMORicW0TbnJf3J-oTHeMRtM"",""Form Responses 1!B:C""),2,FALSE),)"),"")</f>
        <v/>
      </c>
      <c r="E266" s="70" t="str">
        <f>IFERROR(__xludf.DUMMYFUNCTION("IFERROR(VLOOKUP(A266,IMPORTRANGE(""1QaxxyUjrDq2kgz300C1Bq1tacFk6e-xX218cSXCQUK0"",""Form Responses 1!B:C""),2,FALSE),)"),"")</f>
        <v/>
      </c>
      <c r="F266" s="70" t="str">
        <f>IFERROR(__xludf.DUMMYFUNCTION("IFERROR(VLOOKUP(A266,IMPORTRANGE(""1fn2ECph_y8Uz78DhjLaiXcwgt6kh3oe-0Le36Uw0noE"",""Form Responses 1!B:C""),2,FALSE),)"),"")</f>
        <v/>
      </c>
      <c r="G266" s="70"/>
      <c r="H266" s="70"/>
      <c r="I266" s="70"/>
      <c r="J266" s="70"/>
      <c r="K266" s="70"/>
      <c r="L266" s="70"/>
      <c r="M266" s="70"/>
      <c r="N266" s="70"/>
      <c r="O266" s="70"/>
      <c r="P266" s="70"/>
      <c r="Q266" s="70" t="str">
        <f>IFERROR(__xludf.DUMMYFUNCTION("IFERROR(IF(COUNTIF(IMPORTRANGE(""1WjiLR_MTMxI_IZUKuvPO4Sg2rTSIqBzP3edakSRXbOA"",""Form Responses 1!B:B""),F266)&gt;0,10,),0)"),"")</f>
        <v/>
      </c>
      <c r="R266" s="70" t="str">
        <f>IFERROR(__xludf.DUMMYFUNCTION("IFERROR(VLOOKUP(F266,IMPORTRANGE(""1Ixzbal5tEbtWhozsFEppQzOYE6ZSrkNXHg_HW5k3Wt4"",""Form Responses 1!B:C""),2,FALSE),)"),"")</f>
        <v/>
      </c>
      <c r="S266" s="70" t="str">
        <f>IFERROR(__xludf.DUMMYFUNCTION("IFERROR(VLOOKUP(F266,IMPORTRANGE(""1zxjtEKGvVIJPIDqZdnxENwVpPXYa88EihzyI44hcQUo"",""Form Responses 1!B:C""),2,FALSE),)"),"")</f>
        <v/>
      </c>
      <c r="T266" s="70" t="str">
        <f>IFERROR(__xludf.DUMMYFUNCTION("IFERROR(VLOOKUP(F266,IMPORTRANGE(""1H3cO01obd5zFULYqaT5NAqecZBFFIHeDFn4CeQLZF3w"",""Form Responses 1!B:C""),2,FALSE),)"),"")</f>
        <v/>
      </c>
      <c r="U266" s="70" t="str">
        <f>IFERROR(__xludf.DUMMYFUNCTION("IFERROR(IF(COUNTIF(IMPORTRANGE(""1IG9qoa6PeLdDDFzKpW39lxXshN0-M8Z25a_R1EpsYyg"",""Form Responses 1!B:B""),F266)&gt;0,10,),0)"),"")</f>
        <v/>
      </c>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row>
    <row r="267">
      <c r="B267" s="70" t="str">
        <f>IFERROR(__xludf.DUMMYFUNCTION("IFERROR(IF(COUNTIF(IMPORTRANGE(""1RTcwEJsI_0aJRebhNwO_H_AoKl9r46k7hWYbtciIyM4"",""Form Responses 1!B:B""),A267)&gt;0,10,),0)"),"")</f>
        <v/>
      </c>
      <c r="C267" s="70" t="str">
        <f>IFERROR(__xludf.DUMMYFUNCTION("IFERROR(VLOOKUP(A267,IMPORTRANGE(""11i8IUhq_U6RRKRV3CBWIKqYed_fMvFgNUHTq1YDJfp8"",""Form Responses 1!B:C""),2,FALSE),)"),"")</f>
        <v/>
      </c>
      <c r="D267" s="70" t="str">
        <f>IFERROR(__xludf.DUMMYFUNCTION("IFERROR(VLOOKUP(A267,IMPORTRANGE(""1StiHxuxrFhYdrq5WLR2JMORicW0TbnJf3J-oTHeMRtM"",""Form Responses 1!B:C""),2,FALSE),)"),"")</f>
        <v/>
      </c>
      <c r="E267" s="70" t="str">
        <f>IFERROR(__xludf.DUMMYFUNCTION("IFERROR(VLOOKUP(A267,IMPORTRANGE(""1QaxxyUjrDq2kgz300C1Bq1tacFk6e-xX218cSXCQUK0"",""Form Responses 1!B:C""),2,FALSE),)"),"")</f>
        <v/>
      </c>
      <c r="F267" s="70" t="str">
        <f>IFERROR(__xludf.DUMMYFUNCTION("IFERROR(VLOOKUP(A267,IMPORTRANGE(""1fn2ECph_y8Uz78DhjLaiXcwgt6kh3oe-0Le36Uw0noE"",""Form Responses 1!B:C""),2,FALSE),)"),"")</f>
        <v/>
      </c>
      <c r="G267" s="70"/>
      <c r="H267" s="70"/>
      <c r="I267" s="70"/>
      <c r="J267" s="70"/>
      <c r="K267" s="70"/>
      <c r="L267" s="70"/>
      <c r="M267" s="70"/>
      <c r="N267" s="70"/>
      <c r="O267" s="70"/>
      <c r="P267" s="70"/>
      <c r="Q267" s="70" t="str">
        <f>IFERROR(__xludf.DUMMYFUNCTION("IFERROR(IF(COUNTIF(IMPORTRANGE(""1WjiLR_MTMxI_IZUKuvPO4Sg2rTSIqBzP3edakSRXbOA"",""Form Responses 1!B:B""),F267)&gt;0,10,),0)"),"")</f>
        <v/>
      </c>
      <c r="R267" s="70" t="str">
        <f>IFERROR(__xludf.DUMMYFUNCTION("IFERROR(VLOOKUP(F267,IMPORTRANGE(""1Ixzbal5tEbtWhozsFEppQzOYE6ZSrkNXHg_HW5k3Wt4"",""Form Responses 1!B:C""),2,FALSE),)"),"")</f>
        <v/>
      </c>
      <c r="S267" s="70" t="str">
        <f>IFERROR(__xludf.DUMMYFUNCTION("IFERROR(VLOOKUP(F267,IMPORTRANGE(""1zxjtEKGvVIJPIDqZdnxENwVpPXYa88EihzyI44hcQUo"",""Form Responses 1!B:C""),2,FALSE),)"),"")</f>
        <v/>
      </c>
      <c r="T267" s="70" t="str">
        <f>IFERROR(__xludf.DUMMYFUNCTION("IFERROR(VLOOKUP(F267,IMPORTRANGE(""1H3cO01obd5zFULYqaT5NAqecZBFFIHeDFn4CeQLZF3w"",""Form Responses 1!B:C""),2,FALSE),)"),"")</f>
        <v/>
      </c>
      <c r="U267" s="70" t="str">
        <f>IFERROR(__xludf.DUMMYFUNCTION("IFERROR(IF(COUNTIF(IMPORTRANGE(""1IG9qoa6PeLdDDFzKpW39lxXshN0-M8Z25a_R1EpsYyg"",""Form Responses 1!B:B""),F267)&gt;0,10,),0)"),"")</f>
        <v/>
      </c>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row>
    <row r="268">
      <c r="B268" s="70" t="str">
        <f>IFERROR(__xludf.DUMMYFUNCTION("IFERROR(IF(COUNTIF(IMPORTRANGE(""1RTcwEJsI_0aJRebhNwO_H_AoKl9r46k7hWYbtciIyM4"",""Form Responses 1!B:B""),A268)&gt;0,10,),0)"),"")</f>
        <v/>
      </c>
      <c r="C268" s="70" t="str">
        <f>IFERROR(__xludf.DUMMYFUNCTION("IFERROR(VLOOKUP(A268,IMPORTRANGE(""11i8IUhq_U6RRKRV3CBWIKqYed_fMvFgNUHTq1YDJfp8"",""Form Responses 1!B:C""),2,FALSE),)"),"")</f>
        <v/>
      </c>
      <c r="D268" s="70" t="str">
        <f>IFERROR(__xludf.DUMMYFUNCTION("IFERROR(VLOOKUP(A268,IMPORTRANGE(""1StiHxuxrFhYdrq5WLR2JMORicW0TbnJf3J-oTHeMRtM"",""Form Responses 1!B:C""),2,FALSE),)"),"")</f>
        <v/>
      </c>
      <c r="E268" s="70" t="str">
        <f>IFERROR(__xludf.DUMMYFUNCTION("IFERROR(VLOOKUP(A268,IMPORTRANGE(""1QaxxyUjrDq2kgz300C1Bq1tacFk6e-xX218cSXCQUK0"",""Form Responses 1!B:C""),2,FALSE),)"),"")</f>
        <v/>
      </c>
      <c r="F268" s="70" t="str">
        <f>IFERROR(__xludf.DUMMYFUNCTION("IFERROR(VLOOKUP(A268,IMPORTRANGE(""1fn2ECph_y8Uz78DhjLaiXcwgt6kh3oe-0Le36Uw0noE"",""Form Responses 1!B:C""),2,FALSE),)"),"")</f>
        <v/>
      </c>
      <c r="G268" s="70"/>
      <c r="H268" s="70"/>
      <c r="I268" s="70"/>
      <c r="J268" s="70"/>
      <c r="K268" s="70"/>
      <c r="L268" s="70"/>
      <c r="M268" s="70"/>
      <c r="N268" s="70"/>
      <c r="O268" s="70"/>
      <c r="P268" s="70"/>
      <c r="Q268" s="70" t="str">
        <f>IFERROR(__xludf.DUMMYFUNCTION("IFERROR(IF(COUNTIF(IMPORTRANGE(""1WjiLR_MTMxI_IZUKuvPO4Sg2rTSIqBzP3edakSRXbOA"",""Form Responses 1!B:B""),F268)&gt;0,10,),0)"),"")</f>
        <v/>
      </c>
      <c r="R268" s="70" t="str">
        <f>IFERROR(__xludf.DUMMYFUNCTION("IFERROR(VLOOKUP(F268,IMPORTRANGE(""1Ixzbal5tEbtWhozsFEppQzOYE6ZSrkNXHg_HW5k3Wt4"",""Form Responses 1!B:C""),2,FALSE),)"),"")</f>
        <v/>
      </c>
      <c r="S268" s="70" t="str">
        <f>IFERROR(__xludf.DUMMYFUNCTION("IFERROR(VLOOKUP(F268,IMPORTRANGE(""1zxjtEKGvVIJPIDqZdnxENwVpPXYa88EihzyI44hcQUo"",""Form Responses 1!B:C""),2,FALSE),)"),"")</f>
        <v/>
      </c>
      <c r="T268" s="70" t="str">
        <f>IFERROR(__xludf.DUMMYFUNCTION("IFERROR(VLOOKUP(F268,IMPORTRANGE(""1H3cO01obd5zFULYqaT5NAqecZBFFIHeDFn4CeQLZF3w"",""Form Responses 1!B:C""),2,FALSE),)"),"")</f>
        <v/>
      </c>
      <c r="U268" s="70" t="str">
        <f>IFERROR(__xludf.DUMMYFUNCTION("IFERROR(IF(COUNTIF(IMPORTRANGE(""1IG9qoa6PeLdDDFzKpW39lxXshN0-M8Z25a_R1EpsYyg"",""Form Responses 1!B:B""),F268)&gt;0,10,),0)"),"")</f>
        <v/>
      </c>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row>
    <row r="269">
      <c r="B269" s="70" t="str">
        <f>IFERROR(__xludf.DUMMYFUNCTION("IFERROR(IF(COUNTIF(IMPORTRANGE(""1RTcwEJsI_0aJRebhNwO_H_AoKl9r46k7hWYbtciIyM4"",""Form Responses 1!B:B""),A269)&gt;0,10,),0)"),"")</f>
        <v/>
      </c>
      <c r="C269" s="70" t="str">
        <f>IFERROR(__xludf.DUMMYFUNCTION("IFERROR(VLOOKUP(A269,IMPORTRANGE(""11i8IUhq_U6RRKRV3CBWIKqYed_fMvFgNUHTq1YDJfp8"",""Form Responses 1!B:C""),2,FALSE),)"),"")</f>
        <v/>
      </c>
      <c r="D269" s="70" t="str">
        <f>IFERROR(__xludf.DUMMYFUNCTION("IFERROR(VLOOKUP(A269,IMPORTRANGE(""1StiHxuxrFhYdrq5WLR2JMORicW0TbnJf3J-oTHeMRtM"",""Form Responses 1!B:C""),2,FALSE),)"),"")</f>
        <v/>
      </c>
      <c r="E269" s="70" t="str">
        <f>IFERROR(__xludf.DUMMYFUNCTION("IFERROR(VLOOKUP(A269,IMPORTRANGE(""1QaxxyUjrDq2kgz300C1Bq1tacFk6e-xX218cSXCQUK0"",""Form Responses 1!B:C""),2,FALSE),)"),"")</f>
        <v/>
      </c>
      <c r="F269" s="70" t="str">
        <f>IFERROR(__xludf.DUMMYFUNCTION("IFERROR(VLOOKUP(A269,IMPORTRANGE(""1fn2ECph_y8Uz78DhjLaiXcwgt6kh3oe-0Le36Uw0noE"",""Form Responses 1!B:C""),2,FALSE),)"),"")</f>
        <v/>
      </c>
      <c r="G269" s="70"/>
      <c r="H269" s="70"/>
      <c r="I269" s="70"/>
      <c r="J269" s="70"/>
      <c r="K269" s="70"/>
      <c r="L269" s="70"/>
      <c r="M269" s="70"/>
      <c r="N269" s="70"/>
      <c r="O269" s="70"/>
      <c r="P269" s="70"/>
      <c r="Q269" s="70" t="str">
        <f>IFERROR(__xludf.DUMMYFUNCTION("IFERROR(IF(COUNTIF(IMPORTRANGE(""1WjiLR_MTMxI_IZUKuvPO4Sg2rTSIqBzP3edakSRXbOA"",""Form Responses 1!B:B""),F269)&gt;0,10,),0)"),"")</f>
        <v/>
      </c>
      <c r="R269" s="70" t="str">
        <f>IFERROR(__xludf.DUMMYFUNCTION("IFERROR(VLOOKUP(F269,IMPORTRANGE(""1Ixzbal5tEbtWhozsFEppQzOYE6ZSrkNXHg_HW5k3Wt4"",""Form Responses 1!B:C""),2,FALSE),)"),"")</f>
        <v/>
      </c>
      <c r="S269" s="70" t="str">
        <f>IFERROR(__xludf.DUMMYFUNCTION("IFERROR(VLOOKUP(F269,IMPORTRANGE(""1zxjtEKGvVIJPIDqZdnxENwVpPXYa88EihzyI44hcQUo"",""Form Responses 1!B:C""),2,FALSE),)"),"")</f>
        <v/>
      </c>
      <c r="T269" s="70" t="str">
        <f>IFERROR(__xludf.DUMMYFUNCTION("IFERROR(VLOOKUP(F269,IMPORTRANGE(""1H3cO01obd5zFULYqaT5NAqecZBFFIHeDFn4CeQLZF3w"",""Form Responses 1!B:C""),2,FALSE),)"),"")</f>
        <v/>
      </c>
      <c r="U269" s="70" t="str">
        <f>IFERROR(__xludf.DUMMYFUNCTION("IFERROR(IF(COUNTIF(IMPORTRANGE(""1IG9qoa6PeLdDDFzKpW39lxXshN0-M8Z25a_R1EpsYyg"",""Form Responses 1!B:B""),F269)&gt;0,10,),0)"),"")</f>
        <v/>
      </c>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row>
    <row r="270">
      <c r="B270" s="70" t="str">
        <f>IFERROR(__xludf.DUMMYFUNCTION("IFERROR(IF(COUNTIF(IMPORTRANGE(""1RTcwEJsI_0aJRebhNwO_H_AoKl9r46k7hWYbtciIyM4"",""Form Responses 1!B:B""),A270)&gt;0,10,),0)"),"")</f>
        <v/>
      </c>
      <c r="C270" s="70" t="str">
        <f>IFERROR(__xludf.DUMMYFUNCTION("IFERROR(VLOOKUP(A270,IMPORTRANGE(""11i8IUhq_U6RRKRV3CBWIKqYed_fMvFgNUHTq1YDJfp8"",""Form Responses 1!B:C""),2,FALSE),)"),"")</f>
        <v/>
      </c>
      <c r="D270" s="70" t="str">
        <f>IFERROR(__xludf.DUMMYFUNCTION("IFERROR(VLOOKUP(A270,IMPORTRANGE(""1StiHxuxrFhYdrq5WLR2JMORicW0TbnJf3J-oTHeMRtM"",""Form Responses 1!B:C""),2,FALSE),)"),"")</f>
        <v/>
      </c>
      <c r="E270" s="70" t="str">
        <f>IFERROR(__xludf.DUMMYFUNCTION("IFERROR(VLOOKUP(A270,IMPORTRANGE(""1QaxxyUjrDq2kgz300C1Bq1tacFk6e-xX218cSXCQUK0"",""Form Responses 1!B:C""),2,FALSE),)"),"")</f>
        <v/>
      </c>
      <c r="F270" s="70" t="str">
        <f>IFERROR(__xludf.DUMMYFUNCTION("IFERROR(VLOOKUP(A270,IMPORTRANGE(""1fn2ECph_y8Uz78DhjLaiXcwgt6kh3oe-0Le36Uw0noE"",""Form Responses 1!B:C""),2,FALSE),)"),"")</f>
        <v/>
      </c>
      <c r="G270" s="70"/>
      <c r="H270" s="70"/>
      <c r="I270" s="70"/>
      <c r="J270" s="70"/>
      <c r="K270" s="70"/>
      <c r="L270" s="70"/>
      <c r="M270" s="70"/>
      <c r="N270" s="70"/>
      <c r="O270" s="70"/>
      <c r="P270" s="70"/>
      <c r="Q270" s="70" t="str">
        <f>IFERROR(__xludf.DUMMYFUNCTION("IFERROR(IF(COUNTIF(IMPORTRANGE(""1WjiLR_MTMxI_IZUKuvPO4Sg2rTSIqBzP3edakSRXbOA"",""Form Responses 1!B:B""),F270)&gt;0,10,),0)"),"")</f>
        <v/>
      </c>
      <c r="R270" s="70" t="str">
        <f>IFERROR(__xludf.DUMMYFUNCTION("IFERROR(VLOOKUP(F270,IMPORTRANGE(""1Ixzbal5tEbtWhozsFEppQzOYE6ZSrkNXHg_HW5k3Wt4"",""Form Responses 1!B:C""),2,FALSE),)"),"")</f>
        <v/>
      </c>
      <c r="S270" s="70" t="str">
        <f>IFERROR(__xludf.DUMMYFUNCTION("IFERROR(VLOOKUP(F270,IMPORTRANGE(""1zxjtEKGvVIJPIDqZdnxENwVpPXYa88EihzyI44hcQUo"",""Form Responses 1!B:C""),2,FALSE),)"),"")</f>
        <v/>
      </c>
      <c r="T270" s="70" t="str">
        <f>IFERROR(__xludf.DUMMYFUNCTION("IFERROR(VLOOKUP(F270,IMPORTRANGE(""1H3cO01obd5zFULYqaT5NAqecZBFFIHeDFn4CeQLZF3w"",""Form Responses 1!B:C""),2,FALSE),)"),"")</f>
        <v/>
      </c>
      <c r="U270" s="70" t="str">
        <f>IFERROR(__xludf.DUMMYFUNCTION("IFERROR(IF(COUNTIF(IMPORTRANGE(""1IG9qoa6PeLdDDFzKpW39lxXshN0-M8Z25a_R1EpsYyg"",""Form Responses 1!B:B""),F270)&gt;0,10,),0)"),"")</f>
        <v/>
      </c>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row>
    <row r="271">
      <c r="B271" s="70" t="str">
        <f>IFERROR(__xludf.DUMMYFUNCTION("IFERROR(IF(COUNTIF(IMPORTRANGE(""1RTcwEJsI_0aJRebhNwO_H_AoKl9r46k7hWYbtciIyM4"",""Form Responses 1!B:B""),A271)&gt;0,10,),0)"),"")</f>
        <v/>
      </c>
      <c r="C271" s="70" t="str">
        <f>IFERROR(__xludf.DUMMYFUNCTION("IFERROR(VLOOKUP(A271,IMPORTRANGE(""11i8IUhq_U6RRKRV3CBWIKqYed_fMvFgNUHTq1YDJfp8"",""Form Responses 1!B:C""),2,FALSE),)"),"")</f>
        <v/>
      </c>
      <c r="D271" s="70" t="str">
        <f>IFERROR(__xludf.DUMMYFUNCTION("IFERROR(VLOOKUP(A271,IMPORTRANGE(""1StiHxuxrFhYdrq5WLR2JMORicW0TbnJf3J-oTHeMRtM"",""Form Responses 1!B:C""),2,FALSE),)"),"")</f>
        <v/>
      </c>
      <c r="E271" s="70" t="str">
        <f>IFERROR(__xludf.DUMMYFUNCTION("IFERROR(VLOOKUP(A271,IMPORTRANGE(""1QaxxyUjrDq2kgz300C1Bq1tacFk6e-xX218cSXCQUK0"",""Form Responses 1!B:C""),2,FALSE),)"),"")</f>
        <v/>
      </c>
      <c r="F271" s="70" t="str">
        <f>IFERROR(__xludf.DUMMYFUNCTION("IFERROR(VLOOKUP(A271,IMPORTRANGE(""1fn2ECph_y8Uz78DhjLaiXcwgt6kh3oe-0Le36Uw0noE"",""Form Responses 1!B:C""),2,FALSE),)"),"")</f>
        <v/>
      </c>
      <c r="G271" s="70"/>
      <c r="H271" s="70"/>
      <c r="I271" s="70"/>
      <c r="J271" s="70"/>
      <c r="K271" s="70"/>
      <c r="L271" s="70"/>
      <c r="M271" s="70"/>
      <c r="N271" s="70"/>
      <c r="O271" s="70"/>
      <c r="P271" s="70"/>
      <c r="Q271" s="70" t="str">
        <f>IFERROR(__xludf.DUMMYFUNCTION("IFERROR(IF(COUNTIF(IMPORTRANGE(""1WjiLR_MTMxI_IZUKuvPO4Sg2rTSIqBzP3edakSRXbOA"",""Form Responses 1!B:B""),F271)&gt;0,10,),0)"),"")</f>
        <v/>
      </c>
      <c r="R271" s="70" t="str">
        <f>IFERROR(__xludf.DUMMYFUNCTION("IFERROR(VLOOKUP(F271,IMPORTRANGE(""1Ixzbal5tEbtWhozsFEppQzOYE6ZSrkNXHg_HW5k3Wt4"",""Form Responses 1!B:C""),2,FALSE),)"),"")</f>
        <v/>
      </c>
      <c r="S271" s="70" t="str">
        <f>IFERROR(__xludf.DUMMYFUNCTION("IFERROR(VLOOKUP(F271,IMPORTRANGE(""1zxjtEKGvVIJPIDqZdnxENwVpPXYa88EihzyI44hcQUo"",""Form Responses 1!B:C""),2,FALSE),)"),"")</f>
        <v/>
      </c>
      <c r="T271" s="70" t="str">
        <f>IFERROR(__xludf.DUMMYFUNCTION("IFERROR(VLOOKUP(F271,IMPORTRANGE(""1H3cO01obd5zFULYqaT5NAqecZBFFIHeDFn4CeQLZF3w"",""Form Responses 1!B:C""),2,FALSE),)"),"")</f>
        <v/>
      </c>
      <c r="U271" s="70" t="str">
        <f>IFERROR(__xludf.DUMMYFUNCTION("IFERROR(IF(COUNTIF(IMPORTRANGE(""1IG9qoa6PeLdDDFzKpW39lxXshN0-M8Z25a_R1EpsYyg"",""Form Responses 1!B:B""),F271)&gt;0,10,),0)"),"")</f>
        <v/>
      </c>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row>
    <row r="272">
      <c r="B272" s="70" t="str">
        <f>IFERROR(__xludf.DUMMYFUNCTION("IFERROR(IF(COUNTIF(IMPORTRANGE(""1RTcwEJsI_0aJRebhNwO_H_AoKl9r46k7hWYbtciIyM4"",""Form Responses 1!B:B""),A272)&gt;0,10,),0)"),"")</f>
        <v/>
      </c>
      <c r="C272" s="70" t="str">
        <f>IFERROR(__xludf.DUMMYFUNCTION("IFERROR(VLOOKUP(A272,IMPORTRANGE(""11i8IUhq_U6RRKRV3CBWIKqYed_fMvFgNUHTq1YDJfp8"",""Form Responses 1!B:C""),2,FALSE),)"),"")</f>
        <v/>
      </c>
      <c r="D272" s="70" t="str">
        <f>IFERROR(__xludf.DUMMYFUNCTION("IFERROR(VLOOKUP(A272,IMPORTRANGE(""1StiHxuxrFhYdrq5WLR2JMORicW0TbnJf3J-oTHeMRtM"",""Form Responses 1!B:C""),2,FALSE),)"),"")</f>
        <v/>
      </c>
      <c r="E272" s="70" t="str">
        <f>IFERROR(__xludf.DUMMYFUNCTION("IFERROR(VLOOKUP(A272,IMPORTRANGE(""1QaxxyUjrDq2kgz300C1Bq1tacFk6e-xX218cSXCQUK0"",""Form Responses 1!B:C""),2,FALSE),)"),"")</f>
        <v/>
      </c>
      <c r="F272" s="70" t="str">
        <f>IFERROR(__xludf.DUMMYFUNCTION("IFERROR(VLOOKUP(A272,IMPORTRANGE(""1fn2ECph_y8Uz78DhjLaiXcwgt6kh3oe-0Le36Uw0noE"",""Form Responses 1!B:C""),2,FALSE),)"),"")</f>
        <v/>
      </c>
      <c r="G272" s="70"/>
      <c r="H272" s="70"/>
      <c r="I272" s="70"/>
      <c r="J272" s="70"/>
      <c r="K272" s="70"/>
      <c r="L272" s="70"/>
      <c r="M272" s="70"/>
      <c r="N272" s="70"/>
      <c r="O272" s="70"/>
      <c r="P272" s="70"/>
      <c r="Q272" s="70" t="str">
        <f>IFERROR(__xludf.DUMMYFUNCTION("IFERROR(IF(COUNTIF(IMPORTRANGE(""1WjiLR_MTMxI_IZUKuvPO4Sg2rTSIqBzP3edakSRXbOA"",""Form Responses 1!B:B""),F272)&gt;0,10,),0)"),"")</f>
        <v/>
      </c>
      <c r="R272" s="70" t="str">
        <f>IFERROR(__xludf.DUMMYFUNCTION("IFERROR(VLOOKUP(F272,IMPORTRANGE(""1Ixzbal5tEbtWhozsFEppQzOYE6ZSrkNXHg_HW5k3Wt4"",""Form Responses 1!B:C""),2,FALSE),)"),"")</f>
        <v/>
      </c>
      <c r="S272" s="70" t="str">
        <f>IFERROR(__xludf.DUMMYFUNCTION("IFERROR(VLOOKUP(F272,IMPORTRANGE(""1zxjtEKGvVIJPIDqZdnxENwVpPXYa88EihzyI44hcQUo"",""Form Responses 1!B:C""),2,FALSE),)"),"")</f>
        <v/>
      </c>
      <c r="T272" s="70" t="str">
        <f>IFERROR(__xludf.DUMMYFUNCTION("IFERROR(VLOOKUP(F272,IMPORTRANGE(""1H3cO01obd5zFULYqaT5NAqecZBFFIHeDFn4CeQLZF3w"",""Form Responses 1!B:C""),2,FALSE),)"),"")</f>
        <v/>
      </c>
      <c r="U272" s="70" t="str">
        <f>IFERROR(__xludf.DUMMYFUNCTION("IFERROR(IF(COUNTIF(IMPORTRANGE(""1IG9qoa6PeLdDDFzKpW39lxXshN0-M8Z25a_R1EpsYyg"",""Form Responses 1!B:B""),F272)&gt;0,10,),0)"),"")</f>
        <v/>
      </c>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row>
    <row r="273">
      <c r="B273" s="70" t="str">
        <f>IFERROR(__xludf.DUMMYFUNCTION("IFERROR(IF(COUNTIF(IMPORTRANGE(""1RTcwEJsI_0aJRebhNwO_H_AoKl9r46k7hWYbtciIyM4"",""Form Responses 1!B:B""),A273)&gt;0,10,),0)"),"")</f>
        <v/>
      </c>
      <c r="C273" s="70" t="str">
        <f>IFERROR(__xludf.DUMMYFUNCTION("IFERROR(VLOOKUP(A273,IMPORTRANGE(""11i8IUhq_U6RRKRV3CBWIKqYed_fMvFgNUHTq1YDJfp8"",""Form Responses 1!B:C""),2,FALSE),)"),"")</f>
        <v/>
      </c>
      <c r="D273" s="70" t="str">
        <f>IFERROR(__xludf.DUMMYFUNCTION("IFERROR(VLOOKUP(A273,IMPORTRANGE(""1StiHxuxrFhYdrq5WLR2JMORicW0TbnJf3J-oTHeMRtM"",""Form Responses 1!B:C""),2,FALSE),)"),"")</f>
        <v/>
      </c>
      <c r="E273" s="70" t="str">
        <f>IFERROR(__xludf.DUMMYFUNCTION("IFERROR(VLOOKUP(A273,IMPORTRANGE(""1QaxxyUjrDq2kgz300C1Bq1tacFk6e-xX218cSXCQUK0"",""Form Responses 1!B:C""),2,FALSE),)"),"")</f>
        <v/>
      </c>
      <c r="F273" s="70" t="str">
        <f>IFERROR(__xludf.DUMMYFUNCTION("IFERROR(VLOOKUP(A273,IMPORTRANGE(""1fn2ECph_y8Uz78DhjLaiXcwgt6kh3oe-0Le36Uw0noE"",""Form Responses 1!B:C""),2,FALSE),)"),"")</f>
        <v/>
      </c>
      <c r="G273" s="70"/>
      <c r="H273" s="70"/>
      <c r="I273" s="70"/>
      <c r="J273" s="70"/>
      <c r="K273" s="70"/>
      <c r="L273" s="70"/>
      <c r="M273" s="70"/>
      <c r="N273" s="70"/>
      <c r="O273" s="70"/>
      <c r="P273" s="70"/>
      <c r="Q273" s="70" t="str">
        <f>IFERROR(__xludf.DUMMYFUNCTION("IFERROR(IF(COUNTIF(IMPORTRANGE(""1WjiLR_MTMxI_IZUKuvPO4Sg2rTSIqBzP3edakSRXbOA"",""Form Responses 1!B:B""),F273)&gt;0,10,),0)"),"")</f>
        <v/>
      </c>
      <c r="R273" s="70" t="str">
        <f>IFERROR(__xludf.DUMMYFUNCTION("IFERROR(VLOOKUP(F273,IMPORTRANGE(""1Ixzbal5tEbtWhozsFEppQzOYE6ZSrkNXHg_HW5k3Wt4"",""Form Responses 1!B:C""),2,FALSE),)"),"")</f>
        <v/>
      </c>
      <c r="S273" s="70" t="str">
        <f>IFERROR(__xludf.DUMMYFUNCTION("IFERROR(VLOOKUP(F273,IMPORTRANGE(""1zxjtEKGvVIJPIDqZdnxENwVpPXYa88EihzyI44hcQUo"",""Form Responses 1!B:C""),2,FALSE),)"),"")</f>
        <v/>
      </c>
      <c r="T273" s="70" t="str">
        <f>IFERROR(__xludf.DUMMYFUNCTION("IFERROR(VLOOKUP(F273,IMPORTRANGE(""1H3cO01obd5zFULYqaT5NAqecZBFFIHeDFn4CeQLZF3w"",""Form Responses 1!B:C""),2,FALSE),)"),"")</f>
        <v/>
      </c>
      <c r="U273" s="70" t="str">
        <f>IFERROR(__xludf.DUMMYFUNCTION("IFERROR(IF(COUNTIF(IMPORTRANGE(""1IG9qoa6PeLdDDFzKpW39lxXshN0-M8Z25a_R1EpsYyg"",""Form Responses 1!B:B""),F273)&gt;0,10,),0)"),"")</f>
        <v/>
      </c>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row>
    <row r="274">
      <c r="B274" s="70" t="str">
        <f>IFERROR(__xludf.DUMMYFUNCTION("IFERROR(IF(COUNTIF(IMPORTRANGE(""1RTcwEJsI_0aJRebhNwO_H_AoKl9r46k7hWYbtciIyM4"",""Form Responses 1!B:B""),A274)&gt;0,10,),0)"),"")</f>
        <v/>
      </c>
      <c r="C274" s="70" t="str">
        <f>IFERROR(__xludf.DUMMYFUNCTION("IFERROR(VLOOKUP(A274,IMPORTRANGE(""11i8IUhq_U6RRKRV3CBWIKqYed_fMvFgNUHTq1YDJfp8"",""Form Responses 1!B:C""),2,FALSE),)"),"")</f>
        <v/>
      </c>
      <c r="D274" s="70" t="str">
        <f>IFERROR(__xludf.DUMMYFUNCTION("IFERROR(VLOOKUP(A274,IMPORTRANGE(""1StiHxuxrFhYdrq5WLR2JMORicW0TbnJf3J-oTHeMRtM"",""Form Responses 1!B:C""),2,FALSE),)"),"")</f>
        <v/>
      </c>
      <c r="E274" s="70" t="str">
        <f>IFERROR(__xludf.DUMMYFUNCTION("IFERROR(VLOOKUP(A274,IMPORTRANGE(""1QaxxyUjrDq2kgz300C1Bq1tacFk6e-xX218cSXCQUK0"",""Form Responses 1!B:C""),2,FALSE),)"),"")</f>
        <v/>
      </c>
      <c r="F274" s="70" t="str">
        <f>IFERROR(__xludf.DUMMYFUNCTION("IFERROR(VLOOKUP(A274,IMPORTRANGE(""1fn2ECph_y8Uz78DhjLaiXcwgt6kh3oe-0Le36Uw0noE"",""Form Responses 1!B:C""),2,FALSE),)"),"")</f>
        <v/>
      </c>
      <c r="G274" s="70"/>
      <c r="H274" s="70"/>
      <c r="I274" s="70"/>
      <c r="J274" s="70"/>
      <c r="K274" s="70"/>
      <c r="L274" s="70"/>
      <c r="M274" s="70"/>
      <c r="N274" s="70"/>
      <c r="O274" s="70"/>
      <c r="P274" s="70"/>
      <c r="Q274" s="70" t="str">
        <f>IFERROR(__xludf.DUMMYFUNCTION("IFERROR(IF(COUNTIF(IMPORTRANGE(""1WjiLR_MTMxI_IZUKuvPO4Sg2rTSIqBzP3edakSRXbOA"",""Form Responses 1!B:B""),F274)&gt;0,10,),0)"),"")</f>
        <v/>
      </c>
      <c r="R274" s="70" t="str">
        <f>IFERROR(__xludf.DUMMYFUNCTION("IFERROR(VLOOKUP(F274,IMPORTRANGE(""1Ixzbal5tEbtWhozsFEppQzOYE6ZSrkNXHg_HW5k3Wt4"",""Form Responses 1!B:C""),2,FALSE),)"),"")</f>
        <v/>
      </c>
      <c r="S274" s="70" t="str">
        <f>IFERROR(__xludf.DUMMYFUNCTION("IFERROR(VLOOKUP(F274,IMPORTRANGE(""1zxjtEKGvVIJPIDqZdnxENwVpPXYa88EihzyI44hcQUo"",""Form Responses 1!B:C""),2,FALSE),)"),"")</f>
        <v/>
      </c>
      <c r="T274" s="70" t="str">
        <f>IFERROR(__xludf.DUMMYFUNCTION("IFERROR(VLOOKUP(F274,IMPORTRANGE(""1H3cO01obd5zFULYqaT5NAqecZBFFIHeDFn4CeQLZF3w"",""Form Responses 1!B:C""),2,FALSE),)"),"")</f>
        <v/>
      </c>
      <c r="U274" s="70" t="str">
        <f>IFERROR(__xludf.DUMMYFUNCTION("IFERROR(IF(COUNTIF(IMPORTRANGE(""1IG9qoa6PeLdDDFzKpW39lxXshN0-M8Z25a_R1EpsYyg"",""Form Responses 1!B:B""),F274)&gt;0,10,),0)"),"")</f>
        <v/>
      </c>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row>
    <row r="275">
      <c r="B275" s="70" t="str">
        <f>IFERROR(__xludf.DUMMYFUNCTION("IFERROR(IF(COUNTIF(IMPORTRANGE(""1RTcwEJsI_0aJRebhNwO_H_AoKl9r46k7hWYbtciIyM4"",""Form Responses 1!B:B""),A275)&gt;0,10,),0)"),"")</f>
        <v/>
      </c>
      <c r="C275" s="70" t="str">
        <f>IFERROR(__xludf.DUMMYFUNCTION("IFERROR(VLOOKUP(A275,IMPORTRANGE(""11i8IUhq_U6RRKRV3CBWIKqYed_fMvFgNUHTq1YDJfp8"",""Form Responses 1!B:C""),2,FALSE),)"),"")</f>
        <v/>
      </c>
      <c r="D275" s="70" t="str">
        <f>IFERROR(__xludf.DUMMYFUNCTION("IFERROR(VLOOKUP(A275,IMPORTRANGE(""1StiHxuxrFhYdrq5WLR2JMORicW0TbnJf3J-oTHeMRtM"",""Form Responses 1!B:C""),2,FALSE),)"),"")</f>
        <v/>
      </c>
      <c r="E275" s="70" t="str">
        <f>IFERROR(__xludf.DUMMYFUNCTION("IFERROR(VLOOKUP(A275,IMPORTRANGE(""1QaxxyUjrDq2kgz300C1Bq1tacFk6e-xX218cSXCQUK0"",""Form Responses 1!B:C""),2,FALSE),)"),"")</f>
        <v/>
      </c>
      <c r="F275" s="70" t="str">
        <f>IFERROR(__xludf.DUMMYFUNCTION("IFERROR(VLOOKUP(A275,IMPORTRANGE(""1fn2ECph_y8Uz78DhjLaiXcwgt6kh3oe-0Le36Uw0noE"",""Form Responses 1!B:C""),2,FALSE),)"),"")</f>
        <v/>
      </c>
      <c r="G275" s="70"/>
      <c r="H275" s="70"/>
      <c r="I275" s="70"/>
      <c r="J275" s="70"/>
      <c r="K275" s="70"/>
      <c r="L275" s="70"/>
      <c r="M275" s="70"/>
      <c r="N275" s="70"/>
      <c r="O275" s="70"/>
      <c r="P275" s="70"/>
      <c r="Q275" s="70" t="str">
        <f>IFERROR(__xludf.DUMMYFUNCTION("IFERROR(IF(COUNTIF(IMPORTRANGE(""1WjiLR_MTMxI_IZUKuvPO4Sg2rTSIqBzP3edakSRXbOA"",""Form Responses 1!B:B""),F275)&gt;0,10,),0)"),"")</f>
        <v/>
      </c>
      <c r="R275" s="70" t="str">
        <f>IFERROR(__xludf.DUMMYFUNCTION("IFERROR(VLOOKUP(F275,IMPORTRANGE(""1Ixzbal5tEbtWhozsFEppQzOYE6ZSrkNXHg_HW5k3Wt4"",""Form Responses 1!B:C""),2,FALSE),)"),"")</f>
        <v/>
      </c>
      <c r="S275" s="70" t="str">
        <f>IFERROR(__xludf.DUMMYFUNCTION("IFERROR(VLOOKUP(F275,IMPORTRANGE(""1zxjtEKGvVIJPIDqZdnxENwVpPXYa88EihzyI44hcQUo"",""Form Responses 1!B:C""),2,FALSE),)"),"")</f>
        <v/>
      </c>
      <c r="T275" s="70" t="str">
        <f>IFERROR(__xludf.DUMMYFUNCTION("IFERROR(VLOOKUP(F275,IMPORTRANGE(""1H3cO01obd5zFULYqaT5NAqecZBFFIHeDFn4CeQLZF3w"",""Form Responses 1!B:C""),2,FALSE),)"),"")</f>
        <v/>
      </c>
      <c r="U275" s="70" t="str">
        <f>IFERROR(__xludf.DUMMYFUNCTION("IFERROR(IF(COUNTIF(IMPORTRANGE(""1IG9qoa6PeLdDDFzKpW39lxXshN0-M8Z25a_R1EpsYyg"",""Form Responses 1!B:B""),F275)&gt;0,10,),0)"),"")</f>
        <v/>
      </c>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row>
    <row r="276">
      <c r="B276" s="70" t="str">
        <f>IFERROR(__xludf.DUMMYFUNCTION("IFERROR(IF(COUNTIF(IMPORTRANGE(""1RTcwEJsI_0aJRebhNwO_H_AoKl9r46k7hWYbtciIyM4"",""Form Responses 1!B:B""),A276)&gt;0,10,),0)"),"")</f>
        <v/>
      </c>
      <c r="C276" s="70" t="str">
        <f>IFERROR(__xludf.DUMMYFUNCTION("IFERROR(VLOOKUP(A276,IMPORTRANGE(""11i8IUhq_U6RRKRV3CBWIKqYed_fMvFgNUHTq1YDJfp8"",""Form Responses 1!B:C""),2,FALSE),)"),"")</f>
        <v/>
      </c>
      <c r="D276" s="70" t="str">
        <f>IFERROR(__xludf.DUMMYFUNCTION("IFERROR(VLOOKUP(A276,IMPORTRANGE(""1StiHxuxrFhYdrq5WLR2JMORicW0TbnJf3J-oTHeMRtM"",""Form Responses 1!B:C""),2,FALSE),)"),"")</f>
        <v/>
      </c>
      <c r="E276" s="70" t="str">
        <f>IFERROR(__xludf.DUMMYFUNCTION("IFERROR(VLOOKUP(A276,IMPORTRANGE(""1QaxxyUjrDq2kgz300C1Bq1tacFk6e-xX218cSXCQUK0"",""Form Responses 1!B:C""),2,FALSE),)"),"")</f>
        <v/>
      </c>
      <c r="F276" s="70" t="str">
        <f>IFERROR(__xludf.DUMMYFUNCTION("IFERROR(VLOOKUP(A276,IMPORTRANGE(""1fn2ECph_y8Uz78DhjLaiXcwgt6kh3oe-0Le36Uw0noE"",""Form Responses 1!B:C""),2,FALSE),)"),"")</f>
        <v/>
      </c>
      <c r="G276" s="70"/>
      <c r="H276" s="70"/>
      <c r="I276" s="70"/>
      <c r="J276" s="70"/>
      <c r="K276" s="70"/>
      <c r="L276" s="70"/>
      <c r="M276" s="70"/>
      <c r="N276" s="70"/>
      <c r="O276" s="70"/>
      <c r="P276" s="70"/>
      <c r="Q276" s="70" t="str">
        <f>IFERROR(__xludf.DUMMYFUNCTION("IFERROR(IF(COUNTIF(IMPORTRANGE(""1WjiLR_MTMxI_IZUKuvPO4Sg2rTSIqBzP3edakSRXbOA"",""Form Responses 1!B:B""),F276)&gt;0,10,),0)"),"")</f>
        <v/>
      </c>
      <c r="R276" s="70" t="str">
        <f>IFERROR(__xludf.DUMMYFUNCTION("IFERROR(VLOOKUP(F276,IMPORTRANGE(""1Ixzbal5tEbtWhozsFEppQzOYE6ZSrkNXHg_HW5k3Wt4"",""Form Responses 1!B:C""),2,FALSE),)"),"")</f>
        <v/>
      </c>
      <c r="S276" s="70" t="str">
        <f>IFERROR(__xludf.DUMMYFUNCTION("IFERROR(VLOOKUP(F276,IMPORTRANGE(""1zxjtEKGvVIJPIDqZdnxENwVpPXYa88EihzyI44hcQUo"",""Form Responses 1!B:C""),2,FALSE),)"),"")</f>
        <v/>
      </c>
      <c r="T276" s="70" t="str">
        <f>IFERROR(__xludf.DUMMYFUNCTION("IFERROR(VLOOKUP(F276,IMPORTRANGE(""1H3cO01obd5zFULYqaT5NAqecZBFFIHeDFn4CeQLZF3w"",""Form Responses 1!B:C""),2,FALSE),)"),"")</f>
        <v/>
      </c>
      <c r="U276" s="70" t="str">
        <f>IFERROR(__xludf.DUMMYFUNCTION("IFERROR(IF(COUNTIF(IMPORTRANGE(""1IG9qoa6PeLdDDFzKpW39lxXshN0-M8Z25a_R1EpsYyg"",""Form Responses 1!B:B""),F276)&gt;0,10,),0)"),"")</f>
        <v/>
      </c>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row>
    <row r="277">
      <c r="B277" s="70" t="str">
        <f>IFERROR(__xludf.DUMMYFUNCTION("IFERROR(IF(COUNTIF(IMPORTRANGE(""1RTcwEJsI_0aJRebhNwO_H_AoKl9r46k7hWYbtciIyM4"",""Form Responses 1!B:B""),A277)&gt;0,10,),0)"),"")</f>
        <v/>
      </c>
      <c r="C277" s="70" t="str">
        <f>IFERROR(__xludf.DUMMYFUNCTION("IFERROR(VLOOKUP(A277,IMPORTRANGE(""11i8IUhq_U6RRKRV3CBWIKqYed_fMvFgNUHTq1YDJfp8"",""Form Responses 1!B:C""),2,FALSE),)"),"")</f>
        <v/>
      </c>
      <c r="D277" s="70" t="str">
        <f>IFERROR(__xludf.DUMMYFUNCTION("IFERROR(VLOOKUP(A277,IMPORTRANGE(""1StiHxuxrFhYdrq5WLR2JMORicW0TbnJf3J-oTHeMRtM"",""Form Responses 1!B:C""),2,FALSE),)"),"")</f>
        <v/>
      </c>
      <c r="E277" s="70" t="str">
        <f>IFERROR(__xludf.DUMMYFUNCTION("IFERROR(VLOOKUP(A277,IMPORTRANGE(""1QaxxyUjrDq2kgz300C1Bq1tacFk6e-xX218cSXCQUK0"",""Form Responses 1!B:C""),2,FALSE),)"),"")</f>
        <v/>
      </c>
      <c r="F277" s="70" t="str">
        <f>IFERROR(__xludf.DUMMYFUNCTION("IFERROR(VLOOKUP(A277,IMPORTRANGE(""1fn2ECph_y8Uz78DhjLaiXcwgt6kh3oe-0Le36Uw0noE"",""Form Responses 1!B:C""),2,FALSE),)"),"")</f>
        <v/>
      </c>
      <c r="G277" s="70"/>
      <c r="H277" s="70"/>
      <c r="I277" s="70"/>
      <c r="J277" s="70"/>
      <c r="K277" s="70"/>
      <c r="L277" s="70"/>
      <c r="M277" s="70"/>
      <c r="N277" s="70"/>
      <c r="O277" s="70"/>
      <c r="P277" s="70"/>
      <c r="Q277" s="70" t="str">
        <f>IFERROR(__xludf.DUMMYFUNCTION("IFERROR(IF(COUNTIF(IMPORTRANGE(""1WjiLR_MTMxI_IZUKuvPO4Sg2rTSIqBzP3edakSRXbOA"",""Form Responses 1!B:B""),F277)&gt;0,10,),0)"),"")</f>
        <v/>
      </c>
      <c r="R277" s="70" t="str">
        <f>IFERROR(__xludf.DUMMYFUNCTION("IFERROR(VLOOKUP(F277,IMPORTRANGE(""1Ixzbal5tEbtWhozsFEppQzOYE6ZSrkNXHg_HW5k3Wt4"",""Form Responses 1!B:C""),2,FALSE),)"),"")</f>
        <v/>
      </c>
      <c r="S277" s="70" t="str">
        <f>IFERROR(__xludf.DUMMYFUNCTION("IFERROR(VLOOKUP(F277,IMPORTRANGE(""1zxjtEKGvVIJPIDqZdnxENwVpPXYa88EihzyI44hcQUo"",""Form Responses 1!B:C""),2,FALSE),)"),"")</f>
        <v/>
      </c>
      <c r="T277" s="70" t="str">
        <f>IFERROR(__xludf.DUMMYFUNCTION("IFERROR(VLOOKUP(F277,IMPORTRANGE(""1H3cO01obd5zFULYqaT5NAqecZBFFIHeDFn4CeQLZF3w"",""Form Responses 1!B:C""),2,FALSE),)"),"")</f>
        <v/>
      </c>
      <c r="U277" s="70" t="str">
        <f>IFERROR(__xludf.DUMMYFUNCTION("IFERROR(IF(COUNTIF(IMPORTRANGE(""1IG9qoa6PeLdDDFzKpW39lxXshN0-M8Z25a_R1EpsYyg"",""Form Responses 1!B:B""),F277)&gt;0,10,),0)"),"")</f>
        <v/>
      </c>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row>
    <row r="278">
      <c r="B278" s="70" t="str">
        <f>IFERROR(__xludf.DUMMYFUNCTION("IFERROR(IF(COUNTIF(IMPORTRANGE(""1RTcwEJsI_0aJRebhNwO_H_AoKl9r46k7hWYbtciIyM4"",""Form Responses 1!B:B""),A278)&gt;0,10,),0)"),"")</f>
        <v/>
      </c>
      <c r="C278" s="70" t="str">
        <f>IFERROR(__xludf.DUMMYFUNCTION("IFERROR(VLOOKUP(A278,IMPORTRANGE(""11i8IUhq_U6RRKRV3CBWIKqYed_fMvFgNUHTq1YDJfp8"",""Form Responses 1!B:C""),2,FALSE),)"),"")</f>
        <v/>
      </c>
      <c r="D278" s="70" t="str">
        <f>IFERROR(__xludf.DUMMYFUNCTION("IFERROR(VLOOKUP(A278,IMPORTRANGE(""1StiHxuxrFhYdrq5WLR2JMORicW0TbnJf3J-oTHeMRtM"",""Form Responses 1!B:C""),2,FALSE),)"),"")</f>
        <v/>
      </c>
      <c r="E278" s="70" t="str">
        <f>IFERROR(__xludf.DUMMYFUNCTION("IFERROR(VLOOKUP(A278,IMPORTRANGE(""1QaxxyUjrDq2kgz300C1Bq1tacFk6e-xX218cSXCQUK0"",""Form Responses 1!B:C""),2,FALSE),)"),"")</f>
        <v/>
      </c>
      <c r="F278" s="70" t="str">
        <f>IFERROR(__xludf.DUMMYFUNCTION("IFERROR(VLOOKUP(A278,IMPORTRANGE(""1fn2ECph_y8Uz78DhjLaiXcwgt6kh3oe-0Le36Uw0noE"",""Form Responses 1!B:C""),2,FALSE),)"),"")</f>
        <v/>
      </c>
      <c r="G278" s="70"/>
      <c r="H278" s="70"/>
      <c r="I278" s="70"/>
      <c r="J278" s="70"/>
      <c r="K278" s="70"/>
      <c r="L278" s="70"/>
      <c r="M278" s="70"/>
      <c r="N278" s="70"/>
      <c r="O278" s="70"/>
      <c r="P278" s="70"/>
      <c r="Q278" s="70" t="str">
        <f>IFERROR(__xludf.DUMMYFUNCTION("IFERROR(IF(COUNTIF(IMPORTRANGE(""1WjiLR_MTMxI_IZUKuvPO4Sg2rTSIqBzP3edakSRXbOA"",""Form Responses 1!B:B""),F278)&gt;0,10,),0)"),"")</f>
        <v/>
      </c>
      <c r="R278" s="70" t="str">
        <f>IFERROR(__xludf.DUMMYFUNCTION("IFERROR(VLOOKUP(F278,IMPORTRANGE(""1Ixzbal5tEbtWhozsFEppQzOYE6ZSrkNXHg_HW5k3Wt4"",""Form Responses 1!B:C""),2,FALSE),)"),"")</f>
        <v/>
      </c>
      <c r="S278" s="70" t="str">
        <f>IFERROR(__xludf.DUMMYFUNCTION("IFERROR(VLOOKUP(F278,IMPORTRANGE(""1zxjtEKGvVIJPIDqZdnxENwVpPXYa88EihzyI44hcQUo"",""Form Responses 1!B:C""),2,FALSE),)"),"")</f>
        <v/>
      </c>
      <c r="T278" s="70" t="str">
        <f>IFERROR(__xludf.DUMMYFUNCTION("IFERROR(VLOOKUP(F278,IMPORTRANGE(""1H3cO01obd5zFULYqaT5NAqecZBFFIHeDFn4CeQLZF3w"",""Form Responses 1!B:C""),2,FALSE),)"),"")</f>
        <v/>
      </c>
      <c r="U278" s="70" t="str">
        <f>IFERROR(__xludf.DUMMYFUNCTION("IFERROR(IF(COUNTIF(IMPORTRANGE(""1IG9qoa6PeLdDDFzKpW39lxXshN0-M8Z25a_R1EpsYyg"",""Form Responses 1!B:B""),F278)&gt;0,10,),0)"),"")</f>
        <v/>
      </c>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row>
    <row r="279">
      <c r="B279" s="70" t="str">
        <f>IFERROR(__xludf.DUMMYFUNCTION("IFERROR(IF(COUNTIF(IMPORTRANGE(""1RTcwEJsI_0aJRebhNwO_H_AoKl9r46k7hWYbtciIyM4"",""Form Responses 1!B:B""),A279)&gt;0,10,),0)"),"")</f>
        <v/>
      </c>
      <c r="C279" s="70" t="str">
        <f>IFERROR(__xludf.DUMMYFUNCTION("IFERROR(VLOOKUP(A279,IMPORTRANGE(""11i8IUhq_U6RRKRV3CBWIKqYed_fMvFgNUHTq1YDJfp8"",""Form Responses 1!B:C""),2,FALSE),)"),"")</f>
        <v/>
      </c>
      <c r="D279" s="70" t="str">
        <f>IFERROR(__xludf.DUMMYFUNCTION("IFERROR(VLOOKUP(A279,IMPORTRANGE(""1StiHxuxrFhYdrq5WLR2JMORicW0TbnJf3J-oTHeMRtM"",""Form Responses 1!B:C""),2,FALSE),)"),"")</f>
        <v/>
      </c>
      <c r="E279" s="70" t="str">
        <f>IFERROR(__xludf.DUMMYFUNCTION("IFERROR(VLOOKUP(A279,IMPORTRANGE(""1QaxxyUjrDq2kgz300C1Bq1tacFk6e-xX218cSXCQUK0"",""Form Responses 1!B:C""),2,FALSE),)"),"")</f>
        <v/>
      </c>
      <c r="F279" s="70" t="str">
        <f>IFERROR(__xludf.DUMMYFUNCTION("IFERROR(VLOOKUP(A279,IMPORTRANGE(""1fn2ECph_y8Uz78DhjLaiXcwgt6kh3oe-0Le36Uw0noE"",""Form Responses 1!B:C""),2,FALSE),)"),"")</f>
        <v/>
      </c>
      <c r="G279" s="70"/>
      <c r="H279" s="70"/>
      <c r="I279" s="70"/>
      <c r="J279" s="70"/>
      <c r="K279" s="70"/>
      <c r="L279" s="70"/>
      <c r="M279" s="70"/>
      <c r="N279" s="70"/>
      <c r="O279" s="70"/>
      <c r="P279" s="70"/>
      <c r="Q279" s="70" t="str">
        <f>IFERROR(__xludf.DUMMYFUNCTION("IFERROR(IF(COUNTIF(IMPORTRANGE(""1WjiLR_MTMxI_IZUKuvPO4Sg2rTSIqBzP3edakSRXbOA"",""Form Responses 1!B:B""),F279)&gt;0,10,),0)"),"")</f>
        <v/>
      </c>
      <c r="R279" s="70" t="str">
        <f>IFERROR(__xludf.DUMMYFUNCTION("IFERROR(VLOOKUP(F279,IMPORTRANGE(""1Ixzbal5tEbtWhozsFEppQzOYE6ZSrkNXHg_HW5k3Wt4"",""Form Responses 1!B:C""),2,FALSE),)"),"")</f>
        <v/>
      </c>
      <c r="S279" s="70" t="str">
        <f>IFERROR(__xludf.DUMMYFUNCTION("IFERROR(VLOOKUP(F279,IMPORTRANGE(""1zxjtEKGvVIJPIDqZdnxENwVpPXYa88EihzyI44hcQUo"",""Form Responses 1!B:C""),2,FALSE),)"),"")</f>
        <v/>
      </c>
      <c r="T279" s="70" t="str">
        <f>IFERROR(__xludf.DUMMYFUNCTION("IFERROR(VLOOKUP(F279,IMPORTRANGE(""1H3cO01obd5zFULYqaT5NAqecZBFFIHeDFn4CeQLZF3w"",""Form Responses 1!B:C""),2,FALSE),)"),"")</f>
        <v/>
      </c>
      <c r="U279" s="70" t="str">
        <f>IFERROR(__xludf.DUMMYFUNCTION("IFERROR(IF(COUNTIF(IMPORTRANGE(""1IG9qoa6PeLdDDFzKpW39lxXshN0-M8Z25a_R1EpsYyg"",""Form Responses 1!B:B""),F279)&gt;0,10,),0)"),"")</f>
        <v/>
      </c>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row>
    <row r="280">
      <c r="B280" s="70" t="str">
        <f>IFERROR(__xludf.DUMMYFUNCTION("IFERROR(IF(COUNTIF(IMPORTRANGE(""1RTcwEJsI_0aJRebhNwO_H_AoKl9r46k7hWYbtciIyM4"",""Form Responses 1!B:B""),A280)&gt;0,10,),0)"),"")</f>
        <v/>
      </c>
      <c r="C280" s="70" t="str">
        <f>IFERROR(__xludf.DUMMYFUNCTION("IFERROR(VLOOKUP(A280,IMPORTRANGE(""11i8IUhq_U6RRKRV3CBWIKqYed_fMvFgNUHTq1YDJfp8"",""Form Responses 1!B:C""),2,FALSE),)"),"")</f>
        <v/>
      </c>
      <c r="D280" s="70" t="str">
        <f>IFERROR(__xludf.DUMMYFUNCTION("IFERROR(VLOOKUP(A280,IMPORTRANGE(""1StiHxuxrFhYdrq5WLR2JMORicW0TbnJf3J-oTHeMRtM"",""Form Responses 1!B:C""),2,FALSE),)"),"")</f>
        <v/>
      </c>
      <c r="E280" s="70" t="str">
        <f>IFERROR(__xludf.DUMMYFUNCTION("IFERROR(VLOOKUP(A280,IMPORTRANGE(""1QaxxyUjrDq2kgz300C1Bq1tacFk6e-xX218cSXCQUK0"",""Form Responses 1!B:C""),2,FALSE),)"),"")</f>
        <v/>
      </c>
      <c r="F280" s="70" t="str">
        <f>IFERROR(__xludf.DUMMYFUNCTION("IFERROR(VLOOKUP(A280,IMPORTRANGE(""1fn2ECph_y8Uz78DhjLaiXcwgt6kh3oe-0Le36Uw0noE"",""Form Responses 1!B:C""),2,FALSE),)"),"")</f>
        <v/>
      </c>
      <c r="G280" s="70"/>
      <c r="H280" s="70"/>
      <c r="I280" s="70"/>
      <c r="J280" s="70"/>
      <c r="K280" s="70"/>
      <c r="L280" s="70"/>
      <c r="M280" s="70"/>
      <c r="N280" s="70"/>
      <c r="O280" s="70"/>
      <c r="P280" s="70"/>
      <c r="Q280" s="70" t="str">
        <f>IFERROR(__xludf.DUMMYFUNCTION("IFERROR(IF(COUNTIF(IMPORTRANGE(""1WjiLR_MTMxI_IZUKuvPO4Sg2rTSIqBzP3edakSRXbOA"",""Form Responses 1!B:B""),F280)&gt;0,10,),0)"),"")</f>
        <v/>
      </c>
      <c r="R280" s="70" t="str">
        <f>IFERROR(__xludf.DUMMYFUNCTION("IFERROR(VLOOKUP(F280,IMPORTRANGE(""1Ixzbal5tEbtWhozsFEppQzOYE6ZSrkNXHg_HW5k3Wt4"",""Form Responses 1!B:C""),2,FALSE),)"),"")</f>
        <v/>
      </c>
      <c r="S280" s="70" t="str">
        <f>IFERROR(__xludf.DUMMYFUNCTION("IFERROR(VLOOKUP(F280,IMPORTRANGE(""1zxjtEKGvVIJPIDqZdnxENwVpPXYa88EihzyI44hcQUo"",""Form Responses 1!B:C""),2,FALSE),)"),"")</f>
        <v/>
      </c>
      <c r="T280" s="70" t="str">
        <f>IFERROR(__xludf.DUMMYFUNCTION("IFERROR(VLOOKUP(F280,IMPORTRANGE(""1H3cO01obd5zFULYqaT5NAqecZBFFIHeDFn4CeQLZF3w"",""Form Responses 1!B:C""),2,FALSE),)"),"")</f>
        <v/>
      </c>
      <c r="U280" s="70" t="str">
        <f>IFERROR(__xludf.DUMMYFUNCTION("IFERROR(IF(COUNTIF(IMPORTRANGE(""1IG9qoa6PeLdDDFzKpW39lxXshN0-M8Z25a_R1EpsYyg"",""Form Responses 1!B:B""),F280)&gt;0,10,),0)"),"")</f>
        <v/>
      </c>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row>
    <row r="281">
      <c r="B281" s="70" t="str">
        <f>IFERROR(__xludf.DUMMYFUNCTION("IFERROR(IF(COUNTIF(IMPORTRANGE(""1RTcwEJsI_0aJRebhNwO_H_AoKl9r46k7hWYbtciIyM4"",""Form Responses 1!B:B""),A281)&gt;0,10,),0)"),"")</f>
        <v/>
      </c>
      <c r="C281" s="70" t="str">
        <f>IFERROR(__xludf.DUMMYFUNCTION("IFERROR(VLOOKUP(A281,IMPORTRANGE(""11i8IUhq_U6RRKRV3CBWIKqYed_fMvFgNUHTq1YDJfp8"",""Form Responses 1!B:C""),2,FALSE),)"),"")</f>
        <v/>
      </c>
      <c r="D281" s="70" t="str">
        <f>IFERROR(__xludf.DUMMYFUNCTION("IFERROR(VLOOKUP(A281,IMPORTRANGE(""1StiHxuxrFhYdrq5WLR2JMORicW0TbnJf3J-oTHeMRtM"",""Form Responses 1!B:C""),2,FALSE),)"),"")</f>
        <v/>
      </c>
      <c r="E281" s="70" t="str">
        <f>IFERROR(__xludf.DUMMYFUNCTION("IFERROR(VLOOKUP(A281,IMPORTRANGE(""1QaxxyUjrDq2kgz300C1Bq1tacFk6e-xX218cSXCQUK0"",""Form Responses 1!B:C""),2,FALSE),)"),"")</f>
        <v/>
      </c>
      <c r="F281" s="70" t="str">
        <f>IFERROR(__xludf.DUMMYFUNCTION("IFERROR(VLOOKUP(A281,IMPORTRANGE(""1fn2ECph_y8Uz78DhjLaiXcwgt6kh3oe-0Le36Uw0noE"",""Form Responses 1!B:C""),2,FALSE),)"),"")</f>
        <v/>
      </c>
      <c r="G281" s="70"/>
      <c r="H281" s="70"/>
      <c r="I281" s="70"/>
      <c r="J281" s="70"/>
      <c r="K281" s="70"/>
      <c r="L281" s="70"/>
      <c r="M281" s="70"/>
      <c r="N281" s="70"/>
      <c r="O281" s="70"/>
      <c r="P281" s="70"/>
      <c r="Q281" s="70" t="str">
        <f>IFERROR(__xludf.DUMMYFUNCTION("IFERROR(IF(COUNTIF(IMPORTRANGE(""1WjiLR_MTMxI_IZUKuvPO4Sg2rTSIqBzP3edakSRXbOA"",""Form Responses 1!B:B""),F281)&gt;0,10,),0)"),"")</f>
        <v/>
      </c>
      <c r="R281" s="70" t="str">
        <f>IFERROR(__xludf.DUMMYFUNCTION("IFERROR(VLOOKUP(F281,IMPORTRANGE(""1Ixzbal5tEbtWhozsFEppQzOYE6ZSrkNXHg_HW5k3Wt4"",""Form Responses 1!B:C""),2,FALSE),)"),"")</f>
        <v/>
      </c>
      <c r="S281" s="70" t="str">
        <f>IFERROR(__xludf.DUMMYFUNCTION("IFERROR(VLOOKUP(F281,IMPORTRANGE(""1zxjtEKGvVIJPIDqZdnxENwVpPXYa88EihzyI44hcQUo"",""Form Responses 1!B:C""),2,FALSE),)"),"")</f>
        <v/>
      </c>
      <c r="T281" s="70" t="str">
        <f>IFERROR(__xludf.DUMMYFUNCTION("IFERROR(VLOOKUP(F281,IMPORTRANGE(""1H3cO01obd5zFULYqaT5NAqecZBFFIHeDFn4CeQLZF3w"",""Form Responses 1!B:C""),2,FALSE),)"),"")</f>
        <v/>
      </c>
      <c r="U281" s="70" t="str">
        <f>IFERROR(__xludf.DUMMYFUNCTION("IFERROR(IF(COUNTIF(IMPORTRANGE(""1IG9qoa6PeLdDDFzKpW39lxXshN0-M8Z25a_R1EpsYyg"",""Form Responses 1!B:B""),F281)&gt;0,10,),0)"),"")</f>
        <v/>
      </c>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row>
    <row r="282">
      <c r="B282" s="70" t="str">
        <f>IFERROR(__xludf.DUMMYFUNCTION("IFERROR(IF(COUNTIF(IMPORTRANGE(""1RTcwEJsI_0aJRebhNwO_H_AoKl9r46k7hWYbtciIyM4"",""Form Responses 1!B:B""),A282)&gt;0,10,),0)"),"")</f>
        <v/>
      </c>
      <c r="C282" s="70" t="str">
        <f>IFERROR(__xludf.DUMMYFUNCTION("IFERROR(VLOOKUP(A282,IMPORTRANGE(""11i8IUhq_U6RRKRV3CBWIKqYed_fMvFgNUHTq1YDJfp8"",""Form Responses 1!B:C""),2,FALSE),)"),"")</f>
        <v/>
      </c>
      <c r="D282" s="70" t="str">
        <f>IFERROR(__xludf.DUMMYFUNCTION("IFERROR(VLOOKUP(A282,IMPORTRANGE(""1StiHxuxrFhYdrq5WLR2JMORicW0TbnJf3J-oTHeMRtM"",""Form Responses 1!B:C""),2,FALSE),)"),"")</f>
        <v/>
      </c>
      <c r="E282" s="70" t="str">
        <f>IFERROR(__xludf.DUMMYFUNCTION("IFERROR(VLOOKUP(A282,IMPORTRANGE(""1QaxxyUjrDq2kgz300C1Bq1tacFk6e-xX218cSXCQUK0"",""Form Responses 1!B:C""),2,FALSE),)"),"")</f>
        <v/>
      </c>
      <c r="F282" s="70" t="str">
        <f>IFERROR(__xludf.DUMMYFUNCTION("IFERROR(VLOOKUP(A282,IMPORTRANGE(""1fn2ECph_y8Uz78DhjLaiXcwgt6kh3oe-0Le36Uw0noE"",""Form Responses 1!B:C""),2,FALSE),)"),"")</f>
        <v/>
      </c>
      <c r="G282" s="70"/>
      <c r="H282" s="70"/>
      <c r="I282" s="70"/>
      <c r="J282" s="70"/>
      <c r="K282" s="70"/>
      <c r="L282" s="70"/>
      <c r="M282" s="70"/>
      <c r="N282" s="70"/>
      <c r="O282" s="70"/>
      <c r="P282" s="70"/>
      <c r="Q282" s="70" t="str">
        <f>IFERROR(__xludf.DUMMYFUNCTION("IFERROR(IF(COUNTIF(IMPORTRANGE(""1WjiLR_MTMxI_IZUKuvPO4Sg2rTSIqBzP3edakSRXbOA"",""Form Responses 1!B:B""),F282)&gt;0,10,),0)"),"")</f>
        <v/>
      </c>
      <c r="R282" s="70" t="str">
        <f>IFERROR(__xludf.DUMMYFUNCTION("IFERROR(VLOOKUP(F282,IMPORTRANGE(""1Ixzbal5tEbtWhozsFEppQzOYE6ZSrkNXHg_HW5k3Wt4"",""Form Responses 1!B:C""),2,FALSE),)"),"")</f>
        <v/>
      </c>
      <c r="S282" s="70" t="str">
        <f>IFERROR(__xludf.DUMMYFUNCTION("IFERROR(VLOOKUP(F282,IMPORTRANGE(""1zxjtEKGvVIJPIDqZdnxENwVpPXYa88EihzyI44hcQUo"",""Form Responses 1!B:C""),2,FALSE),)"),"")</f>
        <v/>
      </c>
      <c r="T282" s="70" t="str">
        <f>IFERROR(__xludf.DUMMYFUNCTION("IFERROR(VLOOKUP(F282,IMPORTRANGE(""1H3cO01obd5zFULYqaT5NAqecZBFFIHeDFn4CeQLZF3w"",""Form Responses 1!B:C""),2,FALSE),)"),"")</f>
        <v/>
      </c>
      <c r="U282" s="70" t="str">
        <f>IFERROR(__xludf.DUMMYFUNCTION("IFERROR(IF(COUNTIF(IMPORTRANGE(""1IG9qoa6PeLdDDFzKpW39lxXshN0-M8Z25a_R1EpsYyg"",""Form Responses 1!B:B""),F282)&gt;0,10,),0)"),"")</f>
        <v/>
      </c>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row>
    <row r="283">
      <c r="B283" s="70" t="str">
        <f>IFERROR(__xludf.DUMMYFUNCTION("IFERROR(IF(COUNTIF(IMPORTRANGE(""1RTcwEJsI_0aJRebhNwO_H_AoKl9r46k7hWYbtciIyM4"",""Form Responses 1!B:B""),A283)&gt;0,10,),0)"),"")</f>
        <v/>
      </c>
      <c r="C283" s="70" t="str">
        <f>IFERROR(__xludf.DUMMYFUNCTION("IFERROR(VLOOKUP(A283,IMPORTRANGE(""11i8IUhq_U6RRKRV3CBWIKqYed_fMvFgNUHTq1YDJfp8"",""Form Responses 1!B:C""),2,FALSE),)"),"")</f>
        <v/>
      </c>
      <c r="D283" s="70" t="str">
        <f>IFERROR(__xludf.DUMMYFUNCTION("IFERROR(VLOOKUP(A283,IMPORTRANGE(""1StiHxuxrFhYdrq5WLR2JMORicW0TbnJf3J-oTHeMRtM"",""Form Responses 1!B:C""),2,FALSE),)"),"")</f>
        <v/>
      </c>
      <c r="E283" s="70" t="str">
        <f>IFERROR(__xludf.DUMMYFUNCTION("IFERROR(VLOOKUP(A283,IMPORTRANGE(""1QaxxyUjrDq2kgz300C1Bq1tacFk6e-xX218cSXCQUK0"",""Form Responses 1!B:C""),2,FALSE),)"),"")</f>
        <v/>
      </c>
      <c r="F283" s="70" t="str">
        <f>IFERROR(__xludf.DUMMYFUNCTION("IFERROR(VLOOKUP(A283,IMPORTRANGE(""1fn2ECph_y8Uz78DhjLaiXcwgt6kh3oe-0Le36Uw0noE"",""Form Responses 1!B:C""),2,FALSE),)"),"")</f>
        <v/>
      </c>
      <c r="G283" s="70"/>
      <c r="H283" s="70"/>
      <c r="I283" s="70"/>
      <c r="J283" s="70"/>
      <c r="K283" s="70"/>
      <c r="L283" s="70"/>
      <c r="M283" s="70"/>
      <c r="N283" s="70"/>
      <c r="O283" s="70"/>
      <c r="P283" s="70"/>
      <c r="Q283" s="70" t="str">
        <f>IFERROR(__xludf.DUMMYFUNCTION("IFERROR(IF(COUNTIF(IMPORTRANGE(""1WjiLR_MTMxI_IZUKuvPO4Sg2rTSIqBzP3edakSRXbOA"",""Form Responses 1!B:B""),F283)&gt;0,10,),0)"),"")</f>
        <v/>
      </c>
      <c r="R283" s="70" t="str">
        <f>IFERROR(__xludf.DUMMYFUNCTION("IFERROR(VLOOKUP(F283,IMPORTRANGE(""1Ixzbal5tEbtWhozsFEppQzOYE6ZSrkNXHg_HW5k3Wt4"",""Form Responses 1!B:C""),2,FALSE),)"),"")</f>
        <v/>
      </c>
      <c r="S283" s="70" t="str">
        <f>IFERROR(__xludf.DUMMYFUNCTION("IFERROR(VLOOKUP(F283,IMPORTRANGE(""1zxjtEKGvVIJPIDqZdnxENwVpPXYa88EihzyI44hcQUo"",""Form Responses 1!B:C""),2,FALSE),)"),"")</f>
        <v/>
      </c>
      <c r="T283" s="70" t="str">
        <f>IFERROR(__xludf.DUMMYFUNCTION("IFERROR(VLOOKUP(F283,IMPORTRANGE(""1H3cO01obd5zFULYqaT5NAqecZBFFIHeDFn4CeQLZF3w"",""Form Responses 1!B:C""),2,FALSE),)"),"")</f>
        <v/>
      </c>
      <c r="U283" s="70" t="str">
        <f>IFERROR(__xludf.DUMMYFUNCTION("IFERROR(IF(COUNTIF(IMPORTRANGE(""1IG9qoa6PeLdDDFzKpW39lxXshN0-M8Z25a_R1EpsYyg"",""Form Responses 1!B:B""),F283)&gt;0,10,),0)"),"")</f>
        <v/>
      </c>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row>
    <row r="284">
      <c r="B284" s="70" t="str">
        <f>IFERROR(__xludf.DUMMYFUNCTION("IFERROR(IF(COUNTIF(IMPORTRANGE(""1RTcwEJsI_0aJRebhNwO_H_AoKl9r46k7hWYbtciIyM4"",""Form Responses 1!B:B""),A284)&gt;0,10,),0)"),"")</f>
        <v/>
      </c>
      <c r="C284" s="70" t="str">
        <f>IFERROR(__xludf.DUMMYFUNCTION("IFERROR(VLOOKUP(A284,IMPORTRANGE(""11i8IUhq_U6RRKRV3CBWIKqYed_fMvFgNUHTq1YDJfp8"",""Form Responses 1!B:C""),2,FALSE),)"),"")</f>
        <v/>
      </c>
      <c r="D284" s="70" t="str">
        <f>IFERROR(__xludf.DUMMYFUNCTION("IFERROR(VLOOKUP(A284,IMPORTRANGE(""1StiHxuxrFhYdrq5WLR2JMORicW0TbnJf3J-oTHeMRtM"",""Form Responses 1!B:C""),2,FALSE),)"),"")</f>
        <v/>
      </c>
      <c r="E284" s="70" t="str">
        <f>IFERROR(__xludf.DUMMYFUNCTION("IFERROR(VLOOKUP(A284,IMPORTRANGE(""1QaxxyUjrDq2kgz300C1Bq1tacFk6e-xX218cSXCQUK0"",""Form Responses 1!B:C""),2,FALSE),)"),"")</f>
        <v/>
      </c>
      <c r="F284" s="70" t="str">
        <f>IFERROR(__xludf.DUMMYFUNCTION("IFERROR(VLOOKUP(A284,IMPORTRANGE(""1fn2ECph_y8Uz78DhjLaiXcwgt6kh3oe-0Le36Uw0noE"",""Form Responses 1!B:C""),2,FALSE),)"),"")</f>
        <v/>
      </c>
      <c r="G284" s="70"/>
      <c r="H284" s="70"/>
      <c r="I284" s="70"/>
      <c r="J284" s="70"/>
      <c r="K284" s="70"/>
      <c r="L284" s="70"/>
      <c r="M284" s="70"/>
      <c r="N284" s="70"/>
      <c r="O284" s="70"/>
      <c r="P284" s="70"/>
      <c r="Q284" s="70" t="str">
        <f>IFERROR(__xludf.DUMMYFUNCTION("IFERROR(IF(COUNTIF(IMPORTRANGE(""1WjiLR_MTMxI_IZUKuvPO4Sg2rTSIqBzP3edakSRXbOA"",""Form Responses 1!B:B""),F284)&gt;0,10,),0)"),"")</f>
        <v/>
      </c>
      <c r="R284" s="70" t="str">
        <f>IFERROR(__xludf.DUMMYFUNCTION("IFERROR(VLOOKUP(F284,IMPORTRANGE(""1Ixzbal5tEbtWhozsFEppQzOYE6ZSrkNXHg_HW5k3Wt4"",""Form Responses 1!B:C""),2,FALSE),)"),"")</f>
        <v/>
      </c>
      <c r="S284" s="70" t="str">
        <f>IFERROR(__xludf.DUMMYFUNCTION("IFERROR(VLOOKUP(F284,IMPORTRANGE(""1zxjtEKGvVIJPIDqZdnxENwVpPXYa88EihzyI44hcQUo"",""Form Responses 1!B:C""),2,FALSE),)"),"")</f>
        <v/>
      </c>
      <c r="T284" s="70" t="str">
        <f>IFERROR(__xludf.DUMMYFUNCTION("IFERROR(VLOOKUP(F284,IMPORTRANGE(""1H3cO01obd5zFULYqaT5NAqecZBFFIHeDFn4CeQLZF3w"",""Form Responses 1!B:C""),2,FALSE),)"),"")</f>
        <v/>
      </c>
      <c r="U284" s="70" t="str">
        <f>IFERROR(__xludf.DUMMYFUNCTION("IFERROR(IF(COUNTIF(IMPORTRANGE(""1IG9qoa6PeLdDDFzKpW39lxXshN0-M8Z25a_R1EpsYyg"",""Form Responses 1!B:B""),F284)&gt;0,10,),0)"),"")</f>
        <v/>
      </c>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row>
    <row r="285">
      <c r="B285" s="70" t="str">
        <f>IFERROR(__xludf.DUMMYFUNCTION("IFERROR(IF(COUNTIF(IMPORTRANGE(""1RTcwEJsI_0aJRebhNwO_H_AoKl9r46k7hWYbtciIyM4"",""Form Responses 1!B:B""),A285)&gt;0,10,),0)"),"")</f>
        <v/>
      </c>
      <c r="C285" s="70" t="str">
        <f>IFERROR(__xludf.DUMMYFUNCTION("IFERROR(VLOOKUP(A285,IMPORTRANGE(""11i8IUhq_U6RRKRV3CBWIKqYed_fMvFgNUHTq1YDJfp8"",""Form Responses 1!B:C""),2,FALSE),)"),"")</f>
        <v/>
      </c>
      <c r="D285" s="70" t="str">
        <f>IFERROR(__xludf.DUMMYFUNCTION("IFERROR(VLOOKUP(A285,IMPORTRANGE(""1StiHxuxrFhYdrq5WLR2JMORicW0TbnJf3J-oTHeMRtM"",""Form Responses 1!B:C""),2,FALSE),)"),"")</f>
        <v/>
      </c>
      <c r="E285" s="70" t="str">
        <f>IFERROR(__xludf.DUMMYFUNCTION("IFERROR(VLOOKUP(A285,IMPORTRANGE(""1QaxxyUjrDq2kgz300C1Bq1tacFk6e-xX218cSXCQUK0"",""Form Responses 1!B:C""),2,FALSE),)"),"")</f>
        <v/>
      </c>
      <c r="F285" s="70" t="str">
        <f>IFERROR(__xludf.DUMMYFUNCTION("IFERROR(VLOOKUP(A285,IMPORTRANGE(""1fn2ECph_y8Uz78DhjLaiXcwgt6kh3oe-0Le36Uw0noE"",""Form Responses 1!B:C""),2,FALSE),)"),"")</f>
        <v/>
      </c>
      <c r="G285" s="70"/>
      <c r="H285" s="70"/>
      <c r="I285" s="70"/>
      <c r="J285" s="70"/>
      <c r="K285" s="70"/>
      <c r="L285" s="70"/>
      <c r="M285" s="70"/>
      <c r="N285" s="70"/>
      <c r="O285" s="70"/>
      <c r="P285" s="70"/>
      <c r="Q285" s="70" t="str">
        <f>IFERROR(__xludf.DUMMYFUNCTION("IFERROR(IF(COUNTIF(IMPORTRANGE(""1WjiLR_MTMxI_IZUKuvPO4Sg2rTSIqBzP3edakSRXbOA"",""Form Responses 1!B:B""),F285)&gt;0,10,),0)"),"")</f>
        <v/>
      </c>
      <c r="R285" s="70" t="str">
        <f>IFERROR(__xludf.DUMMYFUNCTION("IFERROR(VLOOKUP(F285,IMPORTRANGE(""1Ixzbal5tEbtWhozsFEppQzOYE6ZSrkNXHg_HW5k3Wt4"",""Form Responses 1!B:C""),2,FALSE),)"),"")</f>
        <v/>
      </c>
      <c r="S285" s="70" t="str">
        <f>IFERROR(__xludf.DUMMYFUNCTION("IFERROR(VLOOKUP(F285,IMPORTRANGE(""1zxjtEKGvVIJPIDqZdnxENwVpPXYa88EihzyI44hcQUo"",""Form Responses 1!B:C""),2,FALSE),)"),"")</f>
        <v/>
      </c>
      <c r="T285" s="70" t="str">
        <f>IFERROR(__xludf.DUMMYFUNCTION("IFERROR(VLOOKUP(F285,IMPORTRANGE(""1H3cO01obd5zFULYqaT5NAqecZBFFIHeDFn4CeQLZF3w"",""Form Responses 1!B:C""),2,FALSE),)"),"")</f>
        <v/>
      </c>
      <c r="U285" s="70" t="str">
        <f>IFERROR(__xludf.DUMMYFUNCTION("IFERROR(IF(COUNTIF(IMPORTRANGE(""1IG9qoa6PeLdDDFzKpW39lxXshN0-M8Z25a_R1EpsYyg"",""Form Responses 1!B:B""),F285)&gt;0,10,),0)"),"")</f>
        <v/>
      </c>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row>
    <row r="286">
      <c r="B286" s="70" t="str">
        <f>IFERROR(__xludf.DUMMYFUNCTION("IFERROR(IF(COUNTIF(IMPORTRANGE(""1RTcwEJsI_0aJRebhNwO_H_AoKl9r46k7hWYbtciIyM4"",""Form Responses 1!B:B""),A286)&gt;0,10,),0)"),"")</f>
        <v/>
      </c>
      <c r="C286" s="70" t="str">
        <f>IFERROR(__xludf.DUMMYFUNCTION("IFERROR(VLOOKUP(A286,IMPORTRANGE(""11i8IUhq_U6RRKRV3CBWIKqYed_fMvFgNUHTq1YDJfp8"",""Form Responses 1!B:C""),2,FALSE),)"),"")</f>
        <v/>
      </c>
      <c r="D286" s="70" t="str">
        <f>IFERROR(__xludf.DUMMYFUNCTION("IFERROR(VLOOKUP(A286,IMPORTRANGE(""1StiHxuxrFhYdrq5WLR2JMORicW0TbnJf3J-oTHeMRtM"",""Form Responses 1!B:C""),2,FALSE),)"),"")</f>
        <v/>
      </c>
      <c r="E286" s="70" t="str">
        <f>IFERROR(__xludf.DUMMYFUNCTION("IFERROR(VLOOKUP(A286,IMPORTRANGE(""1QaxxyUjrDq2kgz300C1Bq1tacFk6e-xX218cSXCQUK0"",""Form Responses 1!B:C""),2,FALSE),)"),"")</f>
        <v/>
      </c>
      <c r="F286" s="70" t="str">
        <f>IFERROR(__xludf.DUMMYFUNCTION("IFERROR(VLOOKUP(A286,IMPORTRANGE(""1fn2ECph_y8Uz78DhjLaiXcwgt6kh3oe-0Le36Uw0noE"",""Form Responses 1!B:C""),2,FALSE),)"),"")</f>
        <v/>
      </c>
      <c r="G286" s="70"/>
      <c r="H286" s="70"/>
      <c r="I286" s="70"/>
      <c r="J286" s="70"/>
      <c r="K286" s="70"/>
      <c r="L286" s="70"/>
      <c r="M286" s="70"/>
      <c r="N286" s="70"/>
      <c r="O286" s="70"/>
      <c r="P286" s="70"/>
      <c r="Q286" s="70" t="str">
        <f>IFERROR(__xludf.DUMMYFUNCTION("IFERROR(IF(COUNTIF(IMPORTRANGE(""1WjiLR_MTMxI_IZUKuvPO4Sg2rTSIqBzP3edakSRXbOA"",""Form Responses 1!B:B""),F286)&gt;0,10,),0)"),"")</f>
        <v/>
      </c>
      <c r="R286" s="70" t="str">
        <f>IFERROR(__xludf.DUMMYFUNCTION("IFERROR(VLOOKUP(F286,IMPORTRANGE(""1Ixzbal5tEbtWhozsFEppQzOYE6ZSrkNXHg_HW5k3Wt4"",""Form Responses 1!B:C""),2,FALSE),)"),"")</f>
        <v/>
      </c>
      <c r="S286" s="70" t="str">
        <f>IFERROR(__xludf.DUMMYFUNCTION("IFERROR(VLOOKUP(F286,IMPORTRANGE(""1zxjtEKGvVIJPIDqZdnxENwVpPXYa88EihzyI44hcQUo"",""Form Responses 1!B:C""),2,FALSE),)"),"")</f>
        <v/>
      </c>
      <c r="T286" s="70" t="str">
        <f>IFERROR(__xludf.DUMMYFUNCTION("IFERROR(VLOOKUP(F286,IMPORTRANGE(""1H3cO01obd5zFULYqaT5NAqecZBFFIHeDFn4CeQLZF3w"",""Form Responses 1!B:C""),2,FALSE),)"),"")</f>
        <v/>
      </c>
      <c r="U286" s="70" t="str">
        <f>IFERROR(__xludf.DUMMYFUNCTION("IFERROR(IF(COUNTIF(IMPORTRANGE(""1IG9qoa6PeLdDDFzKpW39lxXshN0-M8Z25a_R1EpsYyg"",""Form Responses 1!B:B""),F286)&gt;0,10,),0)"),"")</f>
        <v/>
      </c>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row>
    <row r="287">
      <c r="B287" s="70" t="str">
        <f>IFERROR(__xludf.DUMMYFUNCTION("IFERROR(IF(COUNTIF(IMPORTRANGE(""1RTcwEJsI_0aJRebhNwO_H_AoKl9r46k7hWYbtciIyM4"",""Form Responses 1!B:B""),A287)&gt;0,10,),0)"),"")</f>
        <v/>
      </c>
      <c r="C287" s="70" t="str">
        <f>IFERROR(__xludf.DUMMYFUNCTION("IFERROR(VLOOKUP(A287,IMPORTRANGE(""11i8IUhq_U6RRKRV3CBWIKqYed_fMvFgNUHTq1YDJfp8"",""Form Responses 1!B:C""),2,FALSE),)"),"")</f>
        <v/>
      </c>
      <c r="D287" s="70" t="str">
        <f>IFERROR(__xludf.DUMMYFUNCTION("IFERROR(VLOOKUP(A287,IMPORTRANGE(""1StiHxuxrFhYdrq5WLR2JMORicW0TbnJf3J-oTHeMRtM"",""Form Responses 1!B:C""),2,FALSE),)"),"")</f>
        <v/>
      </c>
      <c r="E287" s="70" t="str">
        <f>IFERROR(__xludf.DUMMYFUNCTION("IFERROR(VLOOKUP(A287,IMPORTRANGE(""1QaxxyUjrDq2kgz300C1Bq1tacFk6e-xX218cSXCQUK0"",""Form Responses 1!B:C""),2,FALSE),)"),"")</f>
        <v/>
      </c>
      <c r="F287" s="70" t="str">
        <f>IFERROR(__xludf.DUMMYFUNCTION("IFERROR(VLOOKUP(A287,IMPORTRANGE(""1fn2ECph_y8Uz78DhjLaiXcwgt6kh3oe-0Le36Uw0noE"",""Form Responses 1!B:C""),2,FALSE),)"),"")</f>
        <v/>
      </c>
      <c r="G287" s="70"/>
      <c r="H287" s="70"/>
      <c r="I287" s="70"/>
      <c r="J287" s="70"/>
      <c r="K287" s="70"/>
      <c r="L287" s="70"/>
      <c r="M287" s="70"/>
      <c r="N287" s="70"/>
      <c r="O287" s="70"/>
      <c r="P287" s="70"/>
      <c r="Q287" s="70" t="str">
        <f>IFERROR(__xludf.DUMMYFUNCTION("IFERROR(IF(COUNTIF(IMPORTRANGE(""1WjiLR_MTMxI_IZUKuvPO4Sg2rTSIqBzP3edakSRXbOA"",""Form Responses 1!B:B""),F287)&gt;0,10,),0)"),"")</f>
        <v/>
      </c>
      <c r="R287" s="70" t="str">
        <f>IFERROR(__xludf.DUMMYFUNCTION("IFERROR(VLOOKUP(F287,IMPORTRANGE(""1Ixzbal5tEbtWhozsFEppQzOYE6ZSrkNXHg_HW5k3Wt4"",""Form Responses 1!B:C""),2,FALSE),)"),"")</f>
        <v/>
      </c>
      <c r="S287" s="70" t="str">
        <f>IFERROR(__xludf.DUMMYFUNCTION("IFERROR(VLOOKUP(F287,IMPORTRANGE(""1zxjtEKGvVIJPIDqZdnxENwVpPXYa88EihzyI44hcQUo"",""Form Responses 1!B:C""),2,FALSE),)"),"")</f>
        <v/>
      </c>
      <c r="T287" s="70" t="str">
        <f>IFERROR(__xludf.DUMMYFUNCTION("IFERROR(VLOOKUP(F287,IMPORTRANGE(""1H3cO01obd5zFULYqaT5NAqecZBFFIHeDFn4CeQLZF3w"",""Form Responses 1!B:C""),2,FALSE),)"),"")</f>
        <v/>
      </c>
      <c r="U287" s="70" t="str">
        <f>IFERROR(__xludf.DUMMYFUNCTION("IFERROR(IF(COUNTIF(IMPORTRANGE(""1IG9qoa6PeLdDDFzKpW39lxXshN0-M8Z25a_R1EpsYyg"",""Form Responses 1!B:B""),F287)&gt;0,10,),0)"),"")</f>
        <v/>
      </c>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row>
    <row r="288">
      <c r="B288" s="70" t="str">
        <f>IFERROR(__xludf.DUMMYFUNCTION("IFERROR(IF(COUNTIF(IMPORTRANGE(""1RTcwEJsI_0aJRebhNwO_H_AoKl9r46k7hWYbtciIyM4"",""Form Responses 1!B:B""),A288)&gt;0,10,),0)"),"")</f>
        <v/>
      </c>
      <c r="C288" s="70" t="str">
        <f>IFERROR(__xludf.DUMMYFUNCTION("IFERROR(VLOOKUP(A288,IMPORTRANGE(""11i8IUhq_U6RRKRV3CBWIKqYed_fMvFgNUHTq1YDJfp8"",""Form Responses 1!B:C""),2,FALSE),)"),"")</f>
        <v/>
      </c>
      <c r="D288" s="70" t="str">
        <f>IFERROR(__xludf.DUMMYFUNCTION("IFERROR(VLOOKUP(A288,IMPORTRANGE(""1StiHxuxrFhYdrq5WLR2JMORicW0TbnJf3J-oTHeMRtM"",""Form Responses 1!B:C""),2,FALSE),)"),"")</f>
        <v/>
      </c>
      <c r="E288" s="70" t="str">
        <f>IFERROR(__xludf.DUMMYFUNCTION("IFERROR(VLOOKUP(A288,IMPORTRANGE(""1QaxxyUjrDq2kgz300C1Bq1tacFk6e-xX218cSXCQUK0"",""Form Responses 1!B:C""),2,FALSE),)"),"")</f>
        <v/>
      </c>
      <c r="F288" s="70" t="str">
        <f>IFERROR(__xludf.DUMMYFUNCTION("IFERROR(VLOOKUP(A288,IMPORTRANGE(""1fn2ECph_y8Uz78DhjLaiXcwgt6kh3oe-0Le36Uw0noE"",""Form Responses 1!B:C""),2,FALSE),)"),"")</f>
        <v/>
      </c>
      <c r="G288" s="70"/>
      <c r="H288" s="70"/>
      <c r="I288" s="70"/>
      <c r="J288" s="70"/>
      <c r="K288" s="70"/>
      <c r="L288" s="70"/>
      <c r="M288" s="70"/>
      <c r="N288" s="70"/>
      <c r="O288" s="70"/>
      <c r="P288" s="70"/>
      <c r="Q288" s="70" t="str">
        <f>IFERROR(__xludf.DUMMYFUNCTION("IFERROR(IF(COUNTIF(IMPORTRANGE(""1WjiLR_MTMxI_IZUKuvPO4Sg2rTSIqBzP3edakSRXbOA"",""Form Responses 1!B:B""),F288)&gt;0,10,),0)"),"")</f>
        <v/>
      </c>
      <c r="R288" s="70" t="str">
        <f>IFERROR(__xludf.DUMMYFUNCTION("IFERROR(VLOOKUP(F288,IMPORTRANGE(""1Ixzbal5tEbtWhozsFEppQzOYE6ZSrkNXHg_HW5k3Wt4"",""Form Responses 1!B:C""),2,FALSE),)"),"")</f>
        <v/>
      </c>
      <c r="S288" s="70" t="str">
        <f>IFERROR(__xludf.DUMMYFUNCTION("IFERROR(VLOOKUP(F288,IMPORTRANGE(""1zxjtEKGvVIJPIDqZdnxENwVpPXYa88EihzyI44hcQUo"",""Form Responses 1!B:C""),2,FALSE),)"),"")</f>
        <v/>
      </c>
      <c r="T288" s="70" t="str">
        <f>IFERROR(__xludf.DUMMYFUNCTION("IFERROR(VLOOKUP(F288,IMPORTRANGE(""1H3cO01obd5zFULYqaT5NAqecZBFFIHeDFn4CeQLZF3w"",""Form Responses 1!B:C""),2,FALSE),)"),"")</f>
        <v/>
      </c>
      <c r="U288" s="70" t="str">
        <f>IFERROR(__xludf.DUMMYFUNCTION("IFERROR(IF(COUNTIF(IMPORTRANGE(""1IG9qoa6PeLdDDFzKpW39lxXshN0-M8Z25a_R1EpsYyg"",""Form Responses 1!B:B""),F288)&gt;0,10,),0)"),"")</f>
        <v/>
      </c>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row>
    <row r="289">
      <c r="B289" s="70" t="str">
        <f>IFERROR(__xludf.DUMMYFUNCTION("IFERROR(IF(COUNTIF(IMPORTRANGE(""1RTcwEJsI_0aJRebhNwO_H_AoKl9r46k7hWYbtciIyM4"",""Form Responses 1!B:B""),A289)&gt;0,10,),0)"),"")</f>
        <v/>
      </c>
      <c r="C289" s="70" t="str">
        <f>IFERROR(__xludf.DUMMYFUNCTION("IFERROR(VLOOKUP(A289,IMPORTRANGE(""11i8IUhq_U6RRKRV3CBWIKqYed_fMvFgNUHTq1YDJfp8"",""Form Responses 1!B:C""),2,FALSE),)"),"")</f>
        <v/>
      </c>
      <c r="D289" s="70" t="str">
        <f>IFERROR(__xludf.DUMMYFUNCTION("IFERROR(VLOOKUP(A289,IMPORTRANGE(""1StiHxuxrFhYdrq5WLR2JMORicW0TbnJf3J-oTHeMRtM"",""Form Responses 1!B:C""),2,FALSE),)"),"")</f>
        <v/>
      </c>
      <c r="E289" s="70" t="str">
        <f>IFERROR(__xludf.DUMMYFUNCTION("IFERROR(VLOOKUP(A289,IMPORTRANGE(""1QaxxyUjrDq2kgz300C1Bq1tacFk6e-xX218cSXCQUK0"",""Form Responses 1!B:C""),2,FALSE),)"),"")</f>
        <v/>
      </c>
      <c r="F289" s="70" t="str">
        <f>IFERROR(__xludf.DUMMYFUNCTION("IFERROR(VLOOKUP(A289,IMPORTRANGE(""1fn2ECph_y8Uz78DhjLaiXcwgt6kh3oe-0Le36Uw0noE"",""Form Responses 1!B:C""),2,FALSE),)"),"")</f>
        <v/>
      </c>
      <c r="G289" s="70"/>
      <c r="H289" s="70"/>
      <c r="I289" s="70"/>
      <c r="J289" s="70"/>
      <c r="K289" s="70"/>
      <c r="L289" s="70"/>
      <c r="M289" s="70"/>
      <c r="N289" s="70"/>
      <c r="O289" s="70"/>
      <c r="P289" s="70"/>
      <c r="Q289" s="70" t="str">
        <f>IFERROR(__xludf.DUMMYFUNCTION("IFERROR(IF(COUNTIF(IMPORTRANGE(""1WjiLR_MTMxI_IZUKuvPO4Sg2rTSIqBzP3edakSRXbOA"",""Form Responses 1!B:B""),F289)&gt;0,10,),0)"),"")</f>
        <v/>
      </c>
      <c r="R289" s="70" t="str">
        <f>IFERROR(__xludf.DUMMYFUNCTION("IFERROR(VLOOKUP(F289,IMPORTRANGE(""1Ixzbal5tEbtWhozsFEppQzOYE6ZSrkNXHg_HW5k3Wt4"",""Form Responses 1!B:C""),2,FALSE),)"),"")</f>
        <v/>
      </c>
      <c r="S289" s="70" t="str">
        <f>IFERROR(__xludf.DUMMYFUNCTION("IFERROR(VLOOKUP(F289,IMPORTRANGE(""1zxjtEKGvVIJPIDqZdnxENwVpPXYa88EihzyI44hcQUo"",""Form Responses 1!B:C""),2,FALSE),)"),"")</f>
        <v/>
      </c>
      <c r="T289" s="70" t="str">
        <f>IFERROR(__xludf.DUMMYFUNCTION("IFERROR(VLOOKUP(F289,IMPORTRANGE(""1H3cO01obd5zFULYqaT5NAqecZBFFIHeDFn4CeQLZF3w"",""Form Responses 1!B:C""),2,FALSE),)"),"")</f>
        <v/>
      </c>
      <c r="U289" s="70" t="str">
        <f>IFERROR(__xludf.DUMMYFUNCTION("IFERROR(IF(COUNTIF(IMPORTRANGE(""1IG9qoa6PeLdDDFzKpW39lxXshN0-M8Z25a_R1EpsYyg"",""Form Responses 1!B:B""),F289)&gt;0,10,),0)"),"")</f>
        <v/>
      </c>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row>
    <row r="290">
      <c r="B290" s="70" t="str">
        <f>IFERROR(__xludf.DUMMYFUNCTION("IFERROR(IF(COUNTIF(IMPORTRANGE(""1RTcwEJsI_0aJRebhNwO_H_AoKl9r46k7hWYbtciIyM4"",""Form Responses 1!B:B""),A290)&gt;0,10,),0)"),"")</f>
        <v/>
      </c>
      <c r="C290" s="70" t="str">
        <f>IFERROR(__xludf.DUMMYFUNCTION("IFERROR(VLOOKUP(A290,IMPORTRANGE(""11i8IUhq_U6RRKRV3CBWIKqYed_fMvFgNUHTq1YDJfp8"",""Form Responses 1!B:C""),2,FALSE),)"),"")</f>
        <v/>
      </c>
      <c r="D290" s="70" t="str">
        <f>IFERROR(__xludf.DUMMYFUNCTION("IFERROR(VLOOKUP(A290,IMPORTRANGE(""1StiHxuxrFhYdrq5WLR2JMORicW0TbnJf3J-oTHeMRtM"",""Form Responses 1!B:C""),2,FALSE),)"),"")</f>
        <v/>
      </c>
      <c r="E290" s="70" t="str">
        <f>IFERROR(__xludf.DUMMYFUNCTION("IFERROR(VLOOKUP(A290,IMPORTRANGE(""1QaxxyUjrDq2kgz300C1Bq1tacFk6e-xX218cSXCQUK0"",""Form Responses 1!B:C""),2,FALSE),)"),"")</f>
        <v/>
      </c>
      <c r="F290" s="70" t="str">
        <f>IFERROR(__xludf.DUMMYFUNCTION("IFERROR(VLOOKUP(A290,IMPORTRANGE(""1fn2ECph_y8Uz78DhjLaiXcwgt6kh3oe-0Le36Uw0noE"",""Form Responses 1!B:C""),2,FALSE),)"),"")</f>
        <v/>
      </c>
      <c r="G290" s="70"/>
      <c r="H290" s="70"/>
      <c r="I290" s="70"/>
      <c r="J290" s="70"/>
      <c r="K290" s="70"/>
      <c r="L290" s="70"/>
      <c r="M290" s="70"/>
      <c r="N290" s="70"/>
      <c r="O290" s="70"/>
      <c r="P290" s="70"/>
      <c r="Q290" s="70" t="str">
        <f>IFERROR(__xludf.DUMMYFUNCTION("IFERROR(IF(COUNTIF(IMPORTRANGE(""1WjiLR_MTMxI_IZUKuvPO4Sg2rTSIqBzP3edakSRXbOA"",""Form Responses 1!B:B""),F290)&gt;0,10,),0)"),"")</f>
        <v/>
      </c>
      <c r="R290" s="70" t="str">
        <f>IFERROR(__xludf.DUMMYFUNCTION("IFERROR(VLOOKUP(F290,IMPORTRANGE(""1Ixzbal5tEbtWhozsFEppQzOYE6ZSrkNXHg_HW5k3Wt4"",""Form Responses 1!B:C""),2,FALSE),)"),"")</f>
        <v/>
      </c>
      <c r="S290" s="70" t="str">
        <f>IFERROR(__xludf.DUMMYFUNCTION("IFERROR(VLOOKUP(F290,IMPORTRANGE(""1zxjtEKGvVIJPIDqZdnxENwVpPXYa88EihzyI44hcQUo"",""Form Responses 1!B:C""),2,FALSE),)"),"")</f>
        <v/>
      </c>
      <c r="T290" s="70" t="str">
        <f>IFERROR(__xludf.DUMMYFUNCTION("IFERROR(VLOOKUP(F290,IMPORTRANGE(""1H3cO01obd5zFULYqaT5NAqecZBFFIHeDFn4CeQLZF3w"",""Form Responses 1!B:C""),2,FALSE),)"),"")</f>
        <v/>
      </c>
      <c r="U290" s="70" t="str">
        <f>IFERROR(__xludf.DUMMYFUNCTION("IFERROR(IF(COUNTIF(IMPORTRANGE(""1IG9qoa6PeLdDDFzKpW39lxXshN0-M8Z25a_R1EpsYyg"",""Form Responses 1!B:B""),F290)&gt;0,10,),0)"),"")</f>
        <v/>
      </c>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row>
    <row r="291">
      <c r="B291" s="70" t="str">
        <f>IFERROR(__xludf.DUMMYFUNCTION("IFERROR(IF(COUNTIF(IMPORTRANGE(""1RTcwEJsI_0aJRebhNwO_H_AoKl9r46k7hWYbtciIyM4"",""Form Responses 1!B:B""),A291)&gt;0,10,),0)"),"")</f>
        <v/>
      </c>
      <c r="C291" s="70" t="str">
        <f>IFERROR(__xludf.DUMMYFUNCTION("IFERROR(VLOOKUP(A291,IMPORTRANGE(""11i8IUhq_U6RRKRV3CBWIKqYed_fMvFgNUHTq1YDJfp8"",""Form Responses 1!B:C""),2,FALSE),)"),"")</f>
        <v/>
      </c>
      <c r="D291" s="70" t="str">
        <f>IFERROR(__xludf.DUMMYFUNCTION("IFERROR(VLOOKUP(A291,IMPORTRANGE(""1StiHxuxrFhYdrq5WLR2JMORicW0TbnJf3J-oTHeMRtM"",""Form Responses 1!B:C""),2,FALSE),)"),"")</f>
        <v/>
      </c>
      <c r="E291" s="70" t="str">
        <f>IFERROR(__xludf.DUMMYFUNCTION("IFERROR(VLOOKUP(A291,IMPORTRANGE(""1QaxxyUjrDq2kgz300C1Bq1tacFk6e-xX218cSXCQUK0"",""Form Responses 1!B:C""),2,FALSE),)"),"")</f>
        <v/>
      </c>
      <c r="F291" s="70" t="str">
        <f>IFERROR(__xludf.DUMMYFUNCTION("IFERROR(VLOOKUP(A291,IMPORTRANGE(""1fn2ECph_y8Uz78DhjLaiXcwgt6kh3oe-0Le36Uw0noE"",""Form Responses 1!B:C""),2,FALSE),)"),"")</f>
        <v/>
      </c>
      <c r="G291" s="70"/>
      <c r="H291" s="70"/>
      <c r="I291" s="70"/>
      <c r="J291" s="70"/>
      <c r="K291" s="70"/>
      <c r="L291" s="70"/>
      <c r="M291" s="70"/>
      <c r="N291" s="70"/>
      <c r="O291" s="70"/>
      <c r="P291" s="70"/>
      <c r="Q291" s="70" t="str">
        <f>IFERROR(__xludf.DUMMYFUNCTION("IFERROR(IF(COUNTIF(IMPORTRANGE(""1WjiLR_MTMxI_IZUKuvPO4Sg2rTSIqBzP3edakSRXbOA"",""Form Responses 1!B:B""),F291)&gt;0,10,),0)"),"")</f>
        <v/>
      </c>
      <c r="R291" s="70" t="str">
        <f>IFERROR(__xludf.DUMMYFUNCTION("IFERROR(VLOOKUP(F291,IMPORTRANGE(""1Ixzbal5tEbtWhozsFEppQzOYE6ZSrkNXHg_HW5k3Wt4"",""Form Responses 1!B:C""),2,FALSE),)"),"")</f>
        <v/>
      </c>
      <c r="S291" s="70" t="str">
        <f>IFERROR(__xludf.DUMMYFUNCTION("IFERROR(VLOOKUP(F291,IMPORTRANGE(""1zxjtEKGvVIJPIDqZdnxENwVpPXYa88EihzyI44hcQUo"",""Form Responses 1!B:C""),2,FALSE),)"),"")</f>
        <v/>
      </c>
      <c r="T291" s="70" t="str">
        <f>IFERROR(__xludf.DUMMYFUNCTION("IFERROR(VLOOKUP(F291,IMPORTRANGE(""1H3cO01obd5zFULYqaT5NAqecZBFFIHeDFn4CeQLZF3w"",""Form Responses 1!B:C""),2,FALSE),)"),"")</f>
        <v/>
      </c>
      <c r="U291" s="70" t="str">
        <f>IFERROR(__xludf.DUMMYFUNCTION("IFERROR(IF(COUNTIF(IMPORTRANGE(""1IG9qoa6PeLdDDFzKpW39lxXshN0-M8Z25a_R1EpsYyg"",""Form Responses 1!B:B""),F291)&gt;0,10,),0)"),"")</f>
        <v/>
      </c>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row>
    <row r="292">
      <c r="B292" s="70" t="str">
        <f>IFERROR(__xludf.DUMMYFUNCTION("IFERROR(IF(COUNTIF(IMPORTRANGE(""1RTcwEJsI_0aJRebhNwO_H_AoKl9r46k7hWYbtciIyM4"",""Form Responses 1!B:B""),A292)&gt;0,10,),0)"),"")</f>
        <v/>
      </c>
      <c r="C292" s="70" t="str">
        <f>IFERROR(__xludf.DUMMYFUNCTION("IFERROR(VLOOKUP(A292,IMPORTRANGE(""11i8IUhq_U6RRKRV3CBWIKqYed_fMvFgNUHTq1YDJfp8"",""Form Responses 1!B:C""),2,FALSE),)"),"")</f>
        <v/>
      </c>
      <c r="D292" s="70" t="str">
        <f>IFERROR(__xludf.DUMMYFUNCTION("IFERROR(VLOOKUP(A292,IMPORTRANGE(""1StiHxuxrFhYdrq5WLR2JMORicW0TbnJf3J-oTHeMRtM"",""Form Responses 1!B:C""),2,FALSE),)"),"")</f>
        <v/>
      </c>
      <c r="E292" s="70" t="str">
        <f>IFERROR(__xludf.DUMMYFUNCTION("IFERROR(VLOOKUP(A292,IMPORTRANGE(""1QaxxyUjrDq2kgz300C1Bq1tacFk6e-xX218cSXCQUK0"",""Form Responses 1!B:C""),2,FALSE),)"),"")</f>
        <v/>
      </c>
      <c r="F292" s="70" t="str">
        <f>IFERROR(__xludf.DUMMYFUNCTION("IFERROR(VLOOKUP(A292,IMPORTRANGE(""1fn2ECph_y8Uz78DhjLaiXcwgt6kh3oe-0Le36Uw0noE"",""Form Responses 1!B:C""),2,FALSE),)"),"")</f>
        <v/>
      </c>
      <c r="G292" s="70"/>
      <c r="H292" s="70"/>
      <c r="I292" s="70"/>
      <c r="J292" s="70"/>
      <c r="K292" s="70"/>
      <c r="L292" s="70"/>
      <c r="M292" s="70"/>
      <c r="N292" s="70"/>
      <c r="O292" s="70"/>
      <c r="P292" s="70"/>
      <c r="Q292" s="70" t="str">
        <f>IFERROR(__xludf.DUMMYFUNCTION("IFERROR(IF(COUNTIF(IMPORTRANGE(""1WjiLR_MTMxI_IZUKuvPO4Sg2rTSIqBzP3edakSRXbOA"",""Form Responses 1!B:B""),F292)&gt;0,10,),0)"),"")</f>
        <v/>
      </c>
      <c r="R292" s="70" t="str">
        <f>IFERROR(__xludf.DUMMYFUNCTION("IFERROR(VLOOKUP(F292,IMPORTRANGE(""1Ixzbal5tEbtWhozsFEppQzOYE6ZSrkNXHg_HW5k3Wt4"",""Form Responses 1!B:C""),2,FALSE),)"),"")</f>
        <v/>
      </c>
      <c r="S292" s="70" t="str">
        <f>IFERROR(__xludf.DUMMYFUNCTION("IFERROR(VLOOKUP(F292,IMPORTRANGE(""1zxjtEKGvVIJPIDqZdnxENwVpPXYa88EihzyI44hcQUo"",""Form Responses 1!B:C""),2,FALSE),)"),"")</f>
        <v/>
      </c>
      <c r="T292" s="70" t="str">
        <f>IFERROR(__xludf.DUMMYFUNCTION("IFERROR(VLOOKUP(F292,IMPORTRANGE(""1H3cO01obd5zFULYqaT5NAqecZBFFIHeDFn4CeQLZF3w"",""Form Responses 1!B:C""),2,FALSE),)"),"")</f>
        <v/>
      </c>
      <c r="U292" s="70" t="str">
        <f>IFERROR(__xludf.DUMMYFUNCTION("IFERROR(IF(COUNTIF(IMPORTRANGE(""1IG9qoa6PeLdDDFzKpW39lxXshN0-M8Z25a_R1EpsYyg"",""Form Responses 1!B:B""),F292)&gt;0,10,),0)"),"")</f>
        <v/>
      </c>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row>
    <row r="293">
      <c r="B293" s="70" t="str">
        <f>IFERROR(__xludf.DUMMYFUNCTION("IFERROR(IF(COUNTIF(IMPORTRANGE(""1RTcwEJsI_0aJRebhNwO_H_AoKl9r46k7hWYbtciIyM4"",""Form Responses 1!B:B""),A293)&gt;0,10,),0)"),"")</f>
        <v/>
      </c>
      <c r="C293" s="70" t="str">
        <f>IFERROR(__xludf.DUMMYFUNCTION("IFERROR(VLOOKUP(A293,IMPORTRANGE(""11i8IUhq_U6RRKRV3CBWIKqYed_fMvFgNUHTq1YDJfp8"",""Form Responses 1!B:C""),2,FALSE),)"),"")</f>
        <v/>
      </c>
      <c r="D293" s="70" t="str">
        <f>IFERROR(__xludf.DUMMYFUNCTION("IFERROR(VLOOKUP(A293,IMPORTRANGE(""1StiHxuxrFhYdrq5WLR2JMORicW0TbnJf3J-oTHeMRtM"",""Form Responses 1!B:C""),2,FALSE),)"),"")</f>
        <v/>
      </c>
      <c r="E293" s="70" t="str">
        <f>IFERROR(__xludf.DUMMYFUNCTION("IFERROR(VLOOKUP(A293,IMPORTRANGE(""1QaxxyUjrDq2kgz300C1Bq1tacFk6e-xX218cSXCQUK0"",""Form Responses 1!B:C""),2,FALSE),)"),"")</f>
        <v/>
      </c>
      <c r="F293" s="70" t="str">
        <f>IFERROR(__xludf.DUMMYFUNCTION("IFERROR(VLOOKUP(A293,IMPORTRANGE(""1fn2ECph_y8Uz78DhjLaiXcwgt6kh3oe-0Le36Uw0noE"",""Form Responses 1!B:C""),2,FALSE),)"),"")</f>
        <v/>
      </c>
      <c r="G293" s="70"/>
      <c r="H293" s="70"/>
      <c r="I293" s="70"/>
      <c r="J293" s="70"/>
      <c r="K293" s="70"/>
      <c r="L293" s="70"/>
      <c r="M293" s="70"/>
      <c r="N293" s="70"/>
      <c r="O293" s="70"/>
      <c r="P293" s="70"/>
      <c r="Q293" s="70" t="str">
        <f>IFERROR(__xludf.DUMMYFUNCTION("IFERROR(IF(COUNTIF(IMPORTRANGE(""1WjiLR_MTMxI_IZUKuvPO4Sg2rTSIqBzP3edakSRXbOA"",""Form Responses 1!B:B""),F293)&gt;0,10,),0)"),"")</f>
        <v/>
      </c>
      <c r="R293" s="70" t="str">
        <f>IFERROR(__xludf.DUMMYFUNCTION("IFERROR(VLOOKUP(F293,IMPORTRANGE(""1Ixzbal5tEbtWhozsFEppQzOYE6ZSrkNXHg_HW5k3Wt4"",""Form Responses 1!B:C""),2,FALSE),)"),"")</f>
        <v/>
      </c>
      <c r="S293" s="70" t="str">
        <f>IFERROR(__xludf.DUMMYFUNCTION("IFERROR(VLOOKUP(F293,IMPORTRANGE(""1zxjtEKGvVIJPIDqZdnxENwVpPXYa88EihzyI44hcQUo"",""Form Responses 1!B:C""),2,FALSE),)"),"")</f>
        <v/>
      </c>
      <c r="T293" s="70" t="str">
        <f>IFERROR(__xludf.DUMMYFUNCTION("IFERROR(VLOOKUP(F293,IMPORTRANGE(""1H3cO01obd5zFULYqaT5NAqecZBFFIHeDFn4CeQLZF3w"",""Form Responses 1!B:C""),2,FALSE),)"),"")</f>
        <v/>
      </c>
      <c r="U293" s="70" t="str">
        <f>IFERROR(__xludf.DUMMYFUNCTION("IFERROR(IF(COUNTIF(IMPORTRANGE(""1IG9qoa6PeLdDDFzKpW39lxXshN0-M8Z25a_R1EpsYyg"",""Form Responses 1!B:B""),F293)&gt;0,10,),0)"),"")</f>
        <v/>
      </c>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row>
    <row r="294">
      <c r="B294" s="70" t="str">
        <f>IFERROR(__xludf.DUMMYFUNCTION("IFERROR(IF(COUNTIF(IMPORTRANGE(""1RTcwEJsI_0aJRebhNwO_H_AoKl9r46k7hWYbtciIyM4"",""Form Responses 1!B:B""),A294)&gt;0,10,),0)"),"")</f>
        <v/>
      </c>
      <c r="C294" s="70" t="str">
        <f>IFERROR(__xludf.DUMMYFUNCTION("IFERROR(VLOOKUP(A294,IMPORTRANGE(""11i8IUhq_U6RRKRV3CBWIKqYed_fMvFgNUHTq1YDJfp8"",""Form Responses 1!B:C""),2,FALSE),)"),"")</f>
        <v/>
      </c>
      <c r="D294" s="70" t="str">
        <f>IFERROR(__xludf.DUMMYFUNCTION("IFERROR(VLOOKUP(A294,IMPORTRANGE(""1StiHxuxrFhYdrq5WLR2JMORicW0TbnJf3J-oTHeMRtM"",""Form Responses 1!B:C""),2,FALSE),)"),"")</f>
        <v/>
      </c>
      <c r="E294" s="70" t="str">
        <f>IFERROR(__xludf.DUMMYFUNCTION("IFERROR(VLOOKUP(A294,IMPORTRANGE(""1QaxxyUjrDq2kgz300C1Bq1tacFk6e-xX218cSXCQUK0"",""Form Responses 1!B:C""),2,FALSE),)"),"")</f>
        <v/>
      </c>
      <c r="F294" s="70" t="str">
        <f>IFERROR(__xludf.DUMMYFUNCTION("IFERROR(VLOOKUP(A294,IMPORTRANGE(""1fn2ECph_y8Uz78DhjLaiXcwgt6kh3oe-0Le36Uw0noE"",""Form Responses 1!B:C""),2,FALSE),)"),"")</f>
        <v/>
      </c>
      <c r="G294" s="70"/>
      <c r="H294" s="70"/>
      <c r="I294" s="70"/>
      <c r="J294" s="70"/>
      <c r="K294" s="70"/>
      <c r="L294" s="70"/>
      <c r="M294" s="70"/>
      <c r="N294" s="70"/>
      <c r="O294" s="70"/>
      <c r="P294" s="70"/>
      <c r="Q294" s="70" t="str">
        <f>IFERROR(__xludf.DUMMYFUNCTION("IFERROR(IF(COUNTIF(IMPORTRANGE(""1WjiLR_MTMxI_IZUKuvPO4Sg2rTSIqBzP3edakSRXbOA"",""Form Responses 1!B:B""),F294)&gt;0,10,),0)"),"")</f>
        <v/>
      </c>
      <c r="R294" s="70" t="str">
        <f>IFERROR(__xludf.DUMMYFUNCTION("IFERROR(VLOOKUP(F294,IMPORTRANGE(""1Ixzbal5tEbtWhozsFEppQzOYE6ZSrkNXHg_HW5k3Wt4"",""Form Responses 1!B:C""),2,FALSE),)"),"")</f>
        <v/>
      </c>
      <c r="S294" s="70" t="str">
        <f>IFERROR(__xludf.DUMMYFUNCTION("IFERROR(VLOOKUP(F294,IMPORTRANGE(""1zxjtEKGvVIJPIDqZdnxENwVpPXYa88EihzyI44hcQUo"",""Form Responses 1!B:C""),2,FALSE),)"),"")</f>
        <v/>
      </c>
      <c r="T294" s="70" t="str">
        <f>IFERROR(__xludf.DUMMYFUNCTION("IFERROR(VLOOKUP(F294,IMPORTRANGE(""1H3cO01obd5zFULYqaT5NAqecZBFFIHeDFn4CeQLZF3w"",""Form Responses 1!B:C""),2,FALSE),)"),"")</f>
        <v/>
      </c>
      <c r="U294" s="70" t="str">
        <f>IFERROR(__xludf.DUMMYFUNCTION("IFERROR(IF(COUNTIF(IMPORTRANGE(""1IG9qoa6PeLdDDFzKpW39lxXshN0-M8Z25a_R1EpsYyg"",""Form Responses 1!B:B""),F294)&gt;0,10,),0)"),"")</f>
        <v/>
      </c>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row>
    <row r="295">
      <c r="B295" s="70" t="str">
        <f>IFERROR(__xludf.DUMMYFUNCTION("IFERROR(IF(COUNTIF(IMPORTRANGE(""1RTcwEJsI_0aJRebhNwO_H_AoKl9r46k7hWYbtciIyM4"",""Form Responses 1!B:B""),A295)&gt;0,10,),0)"),"")</f>
        <v/>
      </c>
      <c r="C295" s="70" t="str">
        <f>IFERROR(__xludf.DUMMYFUNCTION("IFERROR(VLOOKUP(A295,IMPORTRANGE(""11i8IUhq_U6RRKRV3CBWIKqYed_fMvFgNUHTq1YDJfp8"",""Form Responses 1!B:C""),2,FALSE),)"),"")</f>
        <v/>
      </c>
      <c r="D295" s="70" t="str">
        <f>IFERROR(__xludf.DUMMYFUNCTION("IFERROR(VLOOKUP(A295,IMPORTRANGE(""1StiHxuxrFhYdrq5WLR2JMORicW0TbnJf3J-oTHeMRtM"",""Form Responses 1!B:C""),2,FALSE),)"),"")</f>
        <v/>
      </c>
      <c r="E295" s="70" t="str">
        <f>IFERROR(__xludf.DUMMYFUNCTION("IFERROR(VLOOKUP(A295,IMPORTRANGE(""1QaxxyUjrDq2kgz300C1Bq1tacFk6e-xX218cSXCQUK0"",""Form Responses 1!B:C""),2,FALSE),)"),"")</f>
        <v/>
      </c>
      <c r="F295" s="70" t="str">
        <f>IFERROR(__xludf.DUMMYFUNCTION("IFERROR(VLOOKUP(A295,IMPORTRANGE(""1fn2ECph_y8Uz78DhjLaiXcwgt6kh3oe-0Le36Uw0noE"",""Form Responses 1!B:C""),2,FALSE),)"),"")</f>
        <v/>
      </c>
      <c r="G295" s="70"/>
      <c r="H295" s="70"/>
      <c r="I295" s="70"/>
      <c r="J295" s="70"/>
      <c r="K295" s="70"/>
      <c r="L295" s="70"/>
      <c r="M295" s="70"/>
      <c r="N295" s="70"/>
      <c r="O295" s="70"/>
      <c r="P295" s="70"/>
      <c r="Q295" s="70" t="str">
        <f>IFERROR(__xludf.DUMMYFUNCTION("IFERROR(IF(COUNTIF(IMPORTRANGE(""1WjiLR_MTMxI_IZUKuvPO4Sg2rTSIqBzP3edakSRXbOA"",""Form Responses 1!B:B""),F295)&gt;0,10,),0)"),"")</f>
        <v/>
      </c>
      <c r="R295" s="70" t="str">
        <f>IFERROR(__xludf.DUMMYFUNCTION("IFERROR(VLOOKUP(F295,IMPORTRANGE(""1Ixzbal5tEbtWhozsFEppQzOYE6ZSrkNXHg_HW5k3Wt4"",""Form Responses 1!B:C""),2,FALSE),)"),"")</f>
        <v/>
      </c>
      <c r="S295" s="70" t="str">
        <f>IFERROR(__xludf.DUMMYFUNCTION("IFERROR(VLOOKUP(F295,IMPORTRANGE(""1zxjtEKGvVIJPIDqZdnxENwVpPXYa88EihzyI44hcQUo"",""Form Responses 1!B:C""),2,FALSE),)"),"")</f>
        <v/>
      </c>
      <c r="T295" s="70" t="str">
        <f>IFERROR(__xludf.DUMMYFUNCTION("IFERROR(VLOOKUP(F295,IMPORTRANGE(""1H3cO01obd5zFULYqaT5NAqecZBFFIHeDFn4CeQLZF3w"",""Form Responses 1!B:C""),2,FALSE),)"),"")</f>
        <v/>
      </c>
      <c r="U295" s="70" t="str">
        <f>IFERROR(__xludf.DUMMYFUNCTION("IFERROR(IF(COUNTIF(IMPORTRANGE(""1IG9qoa6PeLdDDFzKpW39lxXshN0-M8Z25a_R1EpsYyg"",""Form Responses 1!B:B""),F295)&gt;0,10,),0)"),"")</f>
        <v/>
      </c>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row>
    <row r="296">
      <c r="B296" s="70" t="str">
        <f>IFERROR(__xludf.DUMMYFUNCTION("IFERROR(IF(COUNTIF(IMPORTRANGE(""1RTcwEJsI_0aJRebhNwO_H_AoKl9r46k7hWYbtciIyM4"",""Form Responses 1!B:B""),A296)&gt;0,10,),0)"),"")</f>
        <v/>
      </c>
      <c r="C296" s="70" t="str">
        <f>IFERROR(__xludf.DUMMYFUNCTION("IFERROR(VLOOKUP(A296,IMPORTRANGE(""11i8IUhq_U6RRKRV3CBWIKqYed_fMvFgNUHTq1YDJfp8"",""Form Responses 1!B:C""),2,FALSE),)"),"")</f>
        <v/>
      </c>
      <c r="D296" s="70" t="str">
        <f>IFERROR(__xludf.DUMMYFUNCTION("IFERROR(VLOOKUP(A296,IMPORTRANGE(""1StiHxuxrFhYdrq5WLR2JMORicW0TbnJf3J-oTHeMRtM"",""Form Responses 1!B:C""),2,FALSE),)"),"")</f>
        <v/>
      </c>
      <c r="E296" s="70" t="str">
        <f>IFERROR(__xludf.DUMMYFUNCTION("IFERROR(VLOOKUP(A296,IMPORTRANGE(""1QaxxyUjrDq2kgz300C1Bq1tacFk6e-xX218cSXCQUK0"",""Form Responses 1!B:C""),2,FALSE),)"),"")</f>
        <v/>
      </c>
      <c r="F296" s="70" t="str">
        <f>IFERROR(__xludf.DUMMYFUNCTION("IFERROR(VLOOKUP(A296,IMPORTRANGE(""1fn2ECph_y8Uz78DhjLaiXcwgt6kh3oe-0Le36Uw0noE"",""Form Responses 1!B:C""),2,FALSE),)"),"")</f>
        <v/>
      </c>
      <c r="G296" s="70"/>
      <c r="H296" s="70"/>
      <c r="I296" s="70"/>
      <c r="J296" s="70"/>
      <c r="K296" s="70"/>
      <c r="L296" s="70"/>
      <c r="M296" s="70"/>
      <c r="N296" s="70"/>
      <c r="O296" s="70"/>
      <c r="P296" s="70"/>
      <c r="Q296" s="70" t="str">
        <f>IFERROR(__xludf.DUMMYFUNCTION("IFERROR(IF(COUNTIF(IMPORTRANGE(""1WjiLR_MTMxI_IZUKuvPO4Sg2rTSIqBzP3edakSRXbOA"",""Form Responses 1!B:B""),F296)&gt;0,10,),0)"),"")</f>
        <v/>
      </c>
      <c r="R296" s="70" t="str">
        <f>IFERROR(__xludf.DUMMYFUNCTION("IFERROR(VLOOKUP(F296,IMPORTRANGE(""1Ixzbal5tEbtWhozsFEppQzOYE6ZSrkNXHg_HW5k3Wt4"",""Form Responses 1!B:C""),2,FALSE),)"),"")</f>
        <v/>
      </c>
      <c r="S296" s="70" t="str">
        <f>IFERROR(__xludf.DUMMYFUNCTION("IFERROR(VLOOKUP(F296,IMPORTRANGE(""1zxjtEKGvVIJPIDqZdnxENwVpPXYa88EihzyI44hcQUo"",""Form Responses 1!B:C""),2,FALSE),)"),"")</f>
        <v/>
      </c>
      <c r="T296" s="70" t="str">
        <f>IFERROR(__xludf.DUMMYFUNCTION("IFERROR(VLOOKUP(F296,IMPORTRANGE(""1H3cO01obd5zFULYqaT5NAqecZBFFIHeDFn4CeQLZF3w"",""Form Responses 1!B:C""),2,FALSE),)"),"")</f>
        <v/>
      </c>
      <c r="U296" s="70" t="str">
        <f>IFERROR(__xludf.DUMMYFUNCTION("IFERROR(IF(COUNTIF(IMPORTRANGE(""1IG9qoa6PeLdDDFzKpW39lxXshN0-M8Z25a_R1EpsYyg"",""Form Responses 1!B:B""),F296)&gt;0,10,),0)"),"")</f>
        <v/>
      </c>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row>
    <row r="297">
      <c r="B297" s="70" t="str">
        <f>IFERROR(__xludf.DUMMYFUNCTION("IFERROR(IF(COUNTIF(IMPORTRANGE(""1RTcwEJsI_0aJRebhNwO_H_AoKl9r46k7hWYbtciIyM4"",""Form Responses 1!B:B""),A297)&gt;0,10,),0)"),"")</f>
        <v/>
      </c>
      <c r="C297" s="70" t="str">
        <f>IFERROR(__xludf.DUMMYFUNCTION("IFERROR(VLOOKUP(A297,IMPORTRANGE(""11i8IUhq_U6RRKRV3CBWIKqYed_fMvFgNUHTq1YDJfp8"",""Form Responses 1!B:C""),2,FALSE),)"),"")</f>
        <v/>
      </c>
      <c r="D297" s="70" t="str">
        <f>IFERROR(__xludf.DUMMYFUNCTION("IFERROR(VLOOKUP(A297,IMPORTRANGE(""1StiHxuxrFhYdrq5WLR2JMORicW0TbnJf3J-oTHeMRtM"",""Form Responses 1!B:C""),2,FALSE),)"),"")</f>
        <v/>
      </c>
      <c r="E297" s="70" t="str">
        <f>IFERROR(__xludf.DUMMYFUNCTION("IFERROR(VLOOKUP(A297,IMPORTRANGE(""1QaxxyUjrDq2kgz300C1Bq1tacFk6e-xX218cSXCQUK0"",""Form Responses 1!B:C""),2,FALSE),)"),"")</f>
        <v/>
      </c>
      <c r="F297" s="70" t="str">
        <f>IFERROR(__xludf.DUMMYFUNCTION("IFERROR(VLOOKUP(A297,IMPORTRANGE(""1fn2ECph_y8Uz78DhjLaiXcwgt6kh3oe-0Le36Uw0noE"",""Form Responses 1!B:C""),2,FALSE),)"),"")</f>
        <v/>
      </c>
      <c r="G297" s="70"/>
      <c r="H297" s="70"/>
      <c r="I297" s="70"/>
      <c r="J297" s="70"/>
      <c r="K297" s="70"/>
      <c r="L297" s="70"/>
      <c r="M297" s="70"/>
      <c r="N297" s="70"/>
      <c r="O297" s="70"/>
      <c r="P297" s="70"/>
      <c r="Q297" s="70" t="str">
        <f>IFERROR(__xludf.DUMMYFUNCTION("IFERROR(IF(COUNTIF(IMPORTRANGE(""1WjiLR_MTMxI_IZUKuvPO4Sg2rTSIqBzP3edakSRXbOA"",""Form Responses 1!B:B""),F297)&gt;0,10,),0)"),"")</f>
        <v/>
      </c>
      <c r="R297" s="70" t="str">
        <f>IFERROR(__xludf.DUMMYFUNCTION("IFERROR(VLOOKUP(F297,IMPORTRANGE(""1Ixzbal5tEbtWhozsFEppQzOYE6ZSrkNXHg_HW5k3Wt4"",""Form Responses 1!B:C""),2,FALSE),)"),"")</f>
        <v/>
      </c>
      <c r="S297" s="70" t="str">
        <f>IFERROR(__xludf.DUMMYFUNCTION("IFERROR(VLOOKUP(F297,IMPORTRANGE(""1zxjtEKGvVIJPIDqZdnxENwVpPXYa88EihzyI44hcQUo"",""Form Responses 1!B:C""),2,FALSE),)"),"")</f>
        <v/>
      </c>
      <c r="T297" s="70" t="str">
        <f>IFERROR(__xludf.DUMMYFUNCTION("IFERROR(VLOOKUP(F297,IMPORTRANGE(""1H3cO01obd5zFULYqaT5NAqecZBFFIHeDFn4CeQLZF3w"",""Form Responses 1!B:C""),2,FALSE),)"),"")</f>
        <v/>
      </c>
      <c r="U297" s="70" t="str">
        <f>IFERROR(__xludf.DUMMYFUNCTION("IFERROR(IF(COUNTIF(IMPORTRANGE(""1IG9qoa6PeLdDDFzKpW39lxXshN0-M8Z25a_R1EpsYyg"",""Form Responses 1!B:B""),F297)&gt;0,10,),0)"),"")</f>
        <v/>
      </c>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row>
    <row r="298">
      <c r="B298" s="70" t="str">
        <f>IFERROR(__xludf.DUMMYFUNCTION("IFERROR(IF(COUNTIF(IMPORTRANGE(""1RTcwEJsI_0aJRebhNwO_H_AoKl9r46k7hWYbtciIyM4"",""Form Responses 1!B:B""),A298)&gt;0,10,),0)"),"")</f>
        <v/>
      </c>
      <c r="C298" s="70" t="str">
        <f>IFERROR(__xludf.DUMMYFUNCTION("IFERROR(VLOOKUP(A298,IMPORTRANGE(""11i8IUhq_U6RRKRV3CBWIKqYed_fMvFgNUHTq1YDJfp8"",""Form Responses 1!B:C""),2,FALSE),)"),"")</f>
        <v/>
      </c>
      <c r="D298" s="70" t="str">
        <f>IFERROR(__xludf.DUMMYFUNCTION("IFERROR(VLOOKUP(A298,IMPORTRANGE(""1StiHxuxrFhYdrq5WLR2JMORicW0TbnJf3J-oTHeMRtM"",""Form Responses 1!B:C""),2,FALSE),)"),"")</f>
        <v/>
      </c>
      <c r="E298" s="70" t="str">
        <f>IFERROR(__xludf.DUMMYFUNCTION("IFERROR(VLOOKUP(A298,IMPORTRANGE(""1QaxxyUjrDq2kgz300C1Bq1tacFk6e-xX218cSXCQUK0"",""Form Responses 1!B:C""),2,FALSE),)"),"")</f>
        <v/>
      </c>
      <c r="F298" s="70" t="str">
        <f>IFERROR(__xludf.DUMMYFUNCTION("IFERROR(VLOOKUP(A298,IMPORTRANGE(""1fn2ECph_y8Uz78DhjLaiXcwgt6kh3oe-0Le36Uw0noE"",""Form Responses 1!B:C""),2,FALSE),)"),"")</f>
        <v/>
      </c>
      <c r="G298" s="70"/>
      <c r="H298" s="70"/>
      <c r="I298" s="70"/>
      <c r="J298" s="70"/>
      <c r="K298" s="70"/>
      <c r="L298" s="70"/>
      <c r="M298" s="70"/>
      <c r="N298" s="70"/>
      <c r="O298" s="70"/>
      <c r="P298" s="70"/>
      <c r="Q298" s="70" t="str">
        <f>IFERROR(__xludf.DUMMYFUNCTION("IFERROR(IF(COUNTIF(IMPORTRANGE(""1WjiLR_MTMxI_IZUKuvPO4Sg2rTSIqBzP3edakSRXbOA"",""Form Responses 1!B:B""),F298)&gt;0,10,),0)"),"")</f>
        <v/>
      </c>
      <c r="R298" s="70" t="str">
        <f>IFERROR(__xludf.DUMMYFUNCTION("IFERROR(VLOOKUP(F298,IMPORTRANGE(""1Ixzbal5tEbtWhozsFEppQzOYE6ZSrkNXHg_HW5k3Wt4"",""Form Responses 1!B:C""),2,FALSE),)"),"")</f>
        <v/>
      </c>
      <c r="S298" s="70" t="str">
        <f>IFERROR(__xludf.DUMMYFUNCTION("IFERROR(VLOOKUP(F298,IMPORTRANGE(""1zxjtEKGvVIJPIDqZdnxENwVpPXYa88EihzyI44hcQUo"",""Form Responses 1!B:C""),2,FALSE),)"),"")</f>
        <v/>
      </c>
      <c r="T298" s="70" t="str">
        <f>IFERROR(__xludf.DUMMYFUNCTION("IFERROR(VLOOKUP(F298,IMPORTRANGE(""1H3cO01obd5zFULYqaT5NAqecZBFFIHeDFn4CeQLZF3w"",""Form Responses 1!B:C""),2,FALSE),)"),"")</f>
        <v/>
      </c>
      <c r="U298" s="70" t="str">
        <f>IFERROR(__xludf.DUMMYFUNCTION("IFERROR(IF(COUNTIF(IMPORTRANGE(""1IG9qoa6PeLdDDFzKpW39lxXshN0-M8Z25a_R1EpsYyg"",""Form Responses 1!B:B""),F298)&gt;0,10,),0)"),"")</f>
        <v/>
      </c>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row>
    <row r="299">
      <c r="B299" s="70" t="str">
        <f>IFERROR(__xludf.DUMMYFUNCTION("IFERROR(IF(COUNTIF(IMPORTRANGE(""1RTcwEJsI_0aJRebhNwO_H_AoKl9r46k7hWYbtciIyM4"",""Form Responses 1!B:B""),A299)&gt;0,10,),0)"),"")</f>
        <v/>
      </c>
      <c r="C299" s="70" t="str">
        <f>IFERROR(__xludf.DUMMYFUNCTION("IFERROR(VLOOKUP(A299,IMPORTRANGE(""11i8IUhq_U6RRKRV3CBWIKqYed_fMvFgNUHTq1YDJfp8"",""Form Responses 1!B:C""),2,FALSE),)"),"")</f>
        <v/>
      </c>
      <c r="D299" s="70" t="str">
        <f>IFERROR(__xludf.DUMMYFUNCTION("IFERROR(VLOOKUP(A299,IMPORTRANGE(""1StiHxuxrFhYdrq5WLR2JMORicW0TbnJf3J-oTHeMRtM"",""Form Responses 1!B:C""),2,FALSE),)"),"")</f>
        <v/>
      </c>
      <c r="E299" s="70" t="str">
        <f>IFERROR(__xludf.DUMMYFUNCTION("IFERROR(VLOOKUP(A299,IMPORTRANGE(""1QaxxyUjrDq2kgz300C1Bq1tacFk6e-xX218cSXCQUK0"",""Form Responses 1!B:C""),2,FALSE),)"),"")</f>
        <v/>
      </c>
      <c r="F299" s="70" t="str">
        <f>IFERROR(__xludf.DUMMYFUNCTION("IFERROR(VLOOKUP(A299,IMPORTRANGE(""1fn2ECph_y8Uz78DhjLaiXcwgt6kh3oe-0Le36Uw0noE"",""Form Responses 1!B:C""),2,FALSE),)"),"")</f>
        <v/>
      </c>
      <c r="G299" s="70"/>
      <c r="H299" s="70"/>
      <c r="I299" s="70"/>
      <c r="J299" s="70"/>
      <c r="K299" s="70"/>
      <c r="L299" s="70"/>
      <c r="M299" s="70"/>
      <c r="N299" s="70"/>
      <c r="O299" s="70"/>
      <c r="P299" s="70"/>
      <c r="Q299" s="70" t="str">
        <f>IFERROR(__xludf.DUMMYFUNCTION("IFERROR(IF(COUNTIF(IMPORTRANGE(""1WjiLR_MTMxI_IZUKuvPO4Sg2rTSIqBzP3edakSRXbOA"",""Form Responses 1!B:B""),F299)&gt;0,10,),0)"),"")</f>
        <v/>
      </c>
      <c r="R299" s="70" t="str">
        <f>IFERROR(__xludf.DUMMYFUNCTION("IFERROR(VLOOKUP(F299,IMPORTRANGE(""1Ixzbal5tEbtWhozsFEppQzOYE6ZSrkNXHg_HW5k3Wt4"",""Form Responses 1!B:C""),2,FALSE),)"),"")</f>
        <v/>
      </c>
      <c r="S299" s="70" t="str">
        <f>IFERROR(__xludf.DUMMYFUNCTION("IFERROR(VLOOKUP(F299,IMPORTRANGE(""1zxjtEKGvVIJPIDqZdnxENwVpPXYa88EihzyI44hcQUo"",""Form Responses 1!B:C""),2,FALSE),)"),"")</f>
        <v/>
      </c>
      <c r="T299" s="70" t="str">
        <f>IFERROR(__xludf.DUMMYFUNCTION("IFERROR(VLOOKUP(F299,IMPORTRANGE(""1H3cO01obd5zFULYqaT5NAqecZBFFIHeDFn4CeQLZF3w"",""Form Responses 1!B:C""),2,FALSE),)"),"")</f>
        <v/>
      </c>
      <c r="U299" s="70" t="str">
        <f>IFERROR(__xludf.DUMMYFUNCTION("IFERROR(IF(COUNTIF(IMPORTRANGE(""1IG9qoa6PeLdDDFzKpW39lxXshN0-M8Z25a_R1EpsYyg"",""Form Responses 1!B:B""),F299)&gt;0,10,),0)"),"")</f>
        <v/>
      </c>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row>
    <row r="300">
      <c r="B300" s="70" t="str">
        <f>IFERROR(__xludf.DUMMYFUNCTION("IFERROR(IF(COUNTIF(IMPORTRANGE(""1RTcwEJsI_0aJRebhNwO_H_AoKl9r46k7hWYbtciIyM4"",""Form Responses 1!B:B""),A300)&gt;0,10,),0)"),"")</f>
        <v/>
      </c>
      <c r="C300" s="70" t="str">
        <f>IFERROR(__xludf.DUMMYFUNCTION("IFERROR(VLOOKUP(A300,IMPORTRANGE(""11i8IUhq_U6RRKRV3CBWIKqYed_fMvFgNUHTq1YDJfp8"",""Form Responses 1!B:C""),2,FALSE),)"),"")</f>
        <v/>
      </c>
      <c r="D300" s="70" t="str">
        <f>IFERROR(__xludf.DUMMYFUNCTION("IFERROR(VLOOKUP(A300,IMPORTRANGE(""1StiHxuxrFhYdrq5WLR2JMORicW0TbnJf3J-oTHeMRtM"",""Form Responses 1!B:C""),2,FALSE),)"),"")</f>
        <v/>
      </c>
      <c r="E300" s="70" t="str">
        <f>IFERROR(__xludf.DUMMYFUNCTION("IFERROR(VLOOKUP(A300,IMPORTRANGE(""1QaxxyUjrDq2kgz300C1Bq1tacFk6e-xX218cSXCQUK0"",""Form Responses 1!B:C""),2,FALSE),)"),"")</f>
        <v/>
      </c>
      <c r="F300" s="70" t="str">
        <f>IFERROR(__xludf.DUMMYFUNCTION("IFERROR(VLOOKUP(A300,IMPORTRANGE(""1fn2ECph_y8Uz78DhjLaiXcwgt6kh3oe-0Le36Uw0noE"",""Form Responses 1!B:C""),2,FALSE),)"),"")</f>
        <v/>
      </c>
      <c r="G300" s="70"/>
      <c r="H300" s="70"/>
      <c r="I300" s="70"/>
      <c r="J300" s="70"/>
      <c r="K300" s="70"/>
      <c r="L300" s="70"/>
      <c r="M300" s="70"/>
      <c r="N300" s="70"/>
      <c r="O300" s="70"/>
      <c r="P300" s="70"/>
      <c r="Q300" s="70" t="str">
        <f>IFERROR(__xludf.DUMMYFUNCTION("IFERROR(IF(COUNTIF(IMPORTRANGE(""1WjiLR_MTMxI_IZUKuvPO4Sg2rTSIqBzP3edakSRXbOA"",""Form Responses 1!B:B""),F300)&gt;0,10,),0)"),"")</f>
        <v/>
      </c>
      <c r="R300" s="70" t="str">
        <f>IFERROR(__xludf.DUMMYFUNCTION("IFERROR(VLOOKUP(F300,IMPORTRANGE(""1Ixzbal5tEbtWhozsFEppQzOYE6ZSrkNXHg_HW5k3Wt4"",""Form Responses 1!B:C""),2,FALSE),)"),"")</f>
        <v/>
      </c>
      <c r="S300" s="70" t="str">
        <f>IFERROR(__xludf.DUMMYFUNCTION("IFERROR(VLOOKUP(F300,IMPORTRANGE(""1zxjtEKGvVIJPIDqZdnxENwVpPXYa88EihzyI44hcQUo"",""Form Responses 1!B:C""),2,FALSE),)"),"")</f>
        <v/>
      </c>
      <c r="T300" s="70" t="str">
        <f>IFERROR(__xludf.DUMMYFUNCTION("IFERROR(VLOOKUP(F300,IMPORTRANGE(""1H3cO01obd5zFULYqaT5NAqecZBFFIHeDFn4CeQLZF3w"",""Form Responses 1!B:C""),2,FALSE),)"),"")</f>
        <v/>
      </c>
      <c r="U300" s="70" t="str">
        <f>IFERROR(__xludf.DUMMYFUNCTION("IFERROR(IF(COUNTIF(IMPORTRANGE(""1IG9qoa6PeLdDDFzKpW39lxXshN0-M8Z25a_R1EpsYyg"",""Form Responses 1!B:B""),F300)&gt;0,10,),0)"),"")</f>
        <v/>
      </c>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row>
    <row r="301">
      <c r="B301" s="70" t="str">
        <f>IFERROR(__xludf.DUMMYFUNCTION("IFERROR(IF(COUNTIF(IMPORTRANGE(""1RTcwEJsI_0aJRebhNwO_H_AoKl9r46k7hWYbtciIyM4"",""Form Responses 1!B:B""),A301)&gt;0,10,),0)"),"")</f>
        <v/>
      </c>
      <c r="C301" s="70" t="str">
        <f>IFERROR(__xludf.DUMMYFUNCTION("IFERROR(VLOOKUP(A301,IMPORTRANGE(""11i8IUhq_U6RRKRV3CBWIKqYed_fMvFgNUHTq1YDJfp8"",""Form Responses 1!B:C""),2,FALSE),)"),"")</f>
        <v/>
      </c>
      <c r="D301" s="70" t="str">
        <f>IFERROR(__xludf.DUMMYFUNCTION("IFERROR(VLOOKUP(A301,IMPORTRANGE(""1StiHxuxrFhYdrq5WLR2JMORicW0TbnJf3J-oTHeMRtM"",""Form Responses 1!B:C""),2,FALSE),)"),"")</f>
        <v/>
      </c>
      <c r="E301" s="70" t="str">
        <f>IFERROR(__xludf.DUMMYFUNCTION("IFERROR(VLOOKUP(A301,IMPORTRANGE(""1QaxxyUjrDq2kgz300C1Bq1tacFk6e-xX218cSXCQUK0"",""Form Responses 1!B:C""),2,FALSE),)"),"")</f>
        <v/>
      </c>
      <c r="F301" s="70" t="str">
        <f>IFERROR(__xludf.DUMMYFUNCTION("IFERROR(VLOOKUP(A301,IMPORTRANGE(""1fn2ECph_y8Uz78DhjLaiXcwgt6kh3oe-0Le36Uw0noE"",""Form Responses 1!B:C""),2,FALSE),)"),"")</f>
        <v/>
      </c>
      <c r="G301" s="70"/>
      <c r="H301" s="70"/>
      <c r="I301" s="70"/>
      <c r="J301" s="70"/>
      <c r="K301" s="70"/>
      <c r="L301" s="70"/>
      <c r="M301" s="70"/>
      <c r="N301" s="70"/>
      <c r="O301" s="70"/>
      <c r="P301" s="70"/>
      <c r="Q301" s="70" t="str">
        <f>IFERROR(__xludf.DUMMYFUNCTION("IFERROR(IF(COUNTIF(IMPORTRANGE(""1WjiLR_MTMxI_IZUKuvPO4Sg2rTSIqBzP3edakSRXbOA"",""Form Responses 1!B:B""),F301)&gt;0,10,),0)"),"")</f>
        <v/>
      </c>
      <c r="R301" s="70" t="str">
        <f>IFERROR(__xludf.DUMMYFUNCTION("IFERROR(VLOOKUP(F301,IMPORTRANGE(""1Ixzbal5tEbtWhozsFEppQzOYE6ZSrkNXHg_HW5k3Wt4"",""Form Responses 1!B:C""),2,FALSE),)"),"")</f>
        <v/>
      </c>
      <c r="S301" s="70" t="str">
        <f>IFERROR(__xludf.DUMMYFUNCTION("IFERROR(VLOOKUP(F301,IMPORTRANGE(""1zxjtEKGvVIJPIDqZdnxENwVpPXYa88EihzyI44hcQUo"",""Form Responses 1!B:C""),2,FALSE),)"),"")</f>
        <v/>
      </c>
      <c r="T301" s="70" t="str">
        <f>IFERROR(__xludf.DUMMYFUNCTION("IFERROR(VLOOKUP(F301,IMPORTRANGE(""1H3cO01obd5zFULYqaT5NAqecZBFFIHeDFn4CeQLZF3w"",""Form Responses 1!B:C""),2,FALSE),)"),"")</f>
        <v/>
      </c>
      <c r="U301" s="70" t="str">
        <f>IFERROR(__xludf.DUMMYFUNCTION("IFERROR(IF(COUNTIF(IMPORTRANGE(""1IG9qoa6PeLdDDFzKpW39lxXshN0-M8Z25a_R1EpsYyg"",""Form Responses 1!B:B""),F301)&gt;0,10,),0)"),"")</f>
        <v/>
      </c>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row>
    <row r="302">
      <c r="B302" s="70" t="str">
        <f>IFERROR(__xludf.DUMMYFUNCTION("IFERROR(IF(COUNTIF(IMPORTRANGE(""1RTcwEJsI_0aJRebhNwO_H_AoKl9r46k7hWYbtciIyM4"",""Form Responses 1!B:B""),A302)&gt;0,10,),0)"),"")</f>
        <v/>
      </c>
      <c r="C302" s="70" t="str">
        <f>IFERROR(__xludf.DUMMYFUNCTION("IFERROR(VLOOKUP(A302,IMPORTRANGE(""11i8IUhq_U6RRKRV3CBWIKqYed_fMvFgNUHTq1YDJfp8"",""Form Responses 1!B:C""),2,FALSE),)"),"")</f>
        <v/>
      </c>
      <c r="D302" s="70" t="str">
        <f>IFERROR(__xludf.DUMMYFUNCTION("IFERROR(VLOOKUP(A302,IMPORTRANGE(""1StiHxuxrFhYdrq5WLR2JMORicW0TbnJf3J-oTHeMRtM"",""Form Responses 1!B:C""),2,FALSE),)"),"")</f>
        <v/>
      </c>
      <c r="E302" s="70" t="str">
        <f>IFERROR(__xludf.DUMMYFUNCTION("IFERROR(VLOOKUP(A302,IMPORTRANGE(""1QaxxyUjrDq2kgz300C1Bq1tacFk6e-xX218cSXCQUK0"",""Form Responses 1!B:C""),2,FALSE),)"),"")</f>
        <v/>
      </c>
      <c r="F302" s="70" t="str">
        <f>IFERROR(__xludf.DUMMYFUNCTION("IFERROR(VLOOKUP(A302,IMPORTRANGE(""1fn2ECph_y8Uz78DhjLaiXcwgt6kh3oe-0Le36Uw0noE"",""Form Responses 1!B:C""),2,FALSE),)"),"")</f>
        <v/>
      </c>
      <c r="G302" s="70"/>
      <c r="H302" s="70"/>
      <c r="I302" s="70"/>
      <c r="J302" s="70"/>
      <c r="K302" s="70"/>
      <c r="L302" s="70"/>
      <c r="M302" s="70"/>
      <c r="N302" s="70"/>
      <c r="O302" s="70"/>
      <c r="P302" s="70"/>
      <c r="Q302" s="70" t="str">
        <f>IFERROR(__xludf.DUMMYFUNCTION("IFERROR(IF(COUNTIF(IMPORTRANGE(""1WjiLR_MTMxI_IZUKuvPO4Sg2rTSIqBzP3edakSRXbOA"",""Form Responses 1!B:B""),F302)&gt;0,10,),0)"),"")</f>
        <v/>
      </c>
      <c r="R302" s="70" t="str">
        <f>IFERROR(__xludf.DUMMYFUNCTION("IFERROR(VLOOKUP(F302,IMPORTRANGE(""1Ixzbal5tEbtWhozsFEppQzOYE6ZSrkNXHg_HW5k3Wt4"",""Form Responses 1!B:C""),2,FALSE),)"),"")</f>
        <v/>
      </c>
      <c r="S302" s="70" t="str">
        <f>IFERROR(__xludf.DUMMYFUNCTION("IFERROR(VLOOKUP(F302,IMPORTRANGE(""1zxjtEKGvVIJPIDqZdnxENwVpPXYa88EihzyI44hcQUo"",""Form Responses 1!B:C""),2,FALSE),)"),"")</f>
        <v/>
      </c>
      <c r="T302" s="70" t="str">
        <f>IFERROR(__xludf.DUMMYFUNCTION("IFERROR(VLOOKUP(F302,IMPORTRANGE(""1H3cO01obd5zFULYqaT5NAqecZBFFIHeDFn4CeQLZF3w"",""Form Responses 1!B:C""),2,FALSE),)"),"")</f>
        <v/>
      </c>
      <c r="U302" s="70" t="str">
        <f>IFERROR(__xludf.DUMMYFUNCTION("IFERROR(IF(COUNTIF(IMPORTRANGE(""1IG9qoa6PeLdDDFzKpW39lxXshN0-M8Z25a_R1EpsYyg"",""Form Responses 1!B:B""),F302)&gt;0,10,),0)"),"")</f>
        <v/>
      </c>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row>
    <row r="303">
      <c r="B303" s="70" t="str">
        <f>IFERROR(__xludf.DUMMYFUNCTION("IFERROR(IF(COUNTIF(IMPORTRANGE(""1RTcwEJsI_0aJRebhNwO_H_AoKl9r46k7hWYbtciIyM4"",""Form Responses 1!B:B""),A303)&gt;0,10,),0)"),"")</f>
        <v/>
      </c>
      <c r="C303" s="70" t="str">
        <f>IFERROR(__xludf.DUMMYFUNCTION("IFERROR(VLOOKUP(A303,IMPORTRANGE(""11i8IUhq_U6RRKRV3CBWIKqYed_fMvFgNUHTq1YDJfp8"",""Form Responses 1!B:C""),2,FALSE),)"),"")</f>
        <v/>
      </c>
      <c r="D303" s="70" t="str">
        <f>IFERROR(__xludf.DUMMYFUNCTION("IFERROR(VLOOKUP(A303,IMPORTRANGE(""1StiHxuxrFhYdrq5WLR2JMORicW0TbnJf3J-oTHeMRtM"",""Form Responses 1!B:C""),2,FALSE),)"),"")</f>
        <v/>
      </c>
      <c r="E303" s="70" t="str">
        <f>IFERROR(__xludf.DUMMYFUNCTION("IFERROR(VLOOKUP(A303,IMPORTRANGE(""1QaxxyUjrDq2kgz300C1Bq1tacFk6e-xX218cSXCQUK0"",""Form Responses 1!B:C""),2,FALSE),)"),"")</f>
        <v/>
      </c>
      <c r="F303" s="70" t="str">
        <f>IFERROR(__xludf.DUMMYFUNCTION("IFERROR(VLOOKUP(A303,IMPORTRANGE(""1fn2ECph_y8Uz78DhjLaiXcwgt6kh3oe-0Le36Uw0noE"",""Form Responses 1!B:C""),2,FALSE),)"),"")</f>
        <v/>
      </c>
      <c r="G303" s="70"/>
      <c r="H303" s="70"/>
      <c r="I303" s="70"/>
      <c r="J303" s="70"/>
      <c r="K303" s="70"/>
      <c r="L303" s="70"/>
      <c r="M303" s="70"/>
      <c r="N303" s="70"/>
      <c r="O303" s="70"/>
      <c r="P303" s="70"/>
      <c r="Q303" s="70" t="str">
        <f>IFERROR(__xludf.DUMMYFUNCTION("IFERROR(IF(COUNTIF(IMPORTRANGE(""1WjiLR_MTMxI_IZUKuvPO4Sg2rTSIqBzP3edakSRXbOA"",""Form Responses 1!B:B""),F303)&gt;0,10,),0)"),"")</f>
        <v/>
      </c>
      <c r="R303" s="70" t="str">
        <f>IFERROR(__xludf.DUMMYFUNCTION("IFERROR(VLOOKUP(F303,IMPORTRANGE(""1Ixzbal5tEbtWhozsFEppQzOYE6ZSrkNXHg_HW5k3Wt4"",""Form Responses 1!B:C""),2,FALSE),)"),"")</f>
        <v/>
      </c>
      <c r="S303" s="70" t="str">
        <f>IFERROR(__xludf.DUMMYFUNCTION("IFERROR(VLOOKUP(F303,IMPORTRANGE(""1zxjtEKGvVIJPIDqZdnxENwVpPXYa88EihzyI44hcQUo"",""Form Responses 1!B:C""),2,FALSE),)"),"")</f>
        <v/>
      </c>
      <c r="T303" s="70" t="str">
        <f>IFERROR(__xludf.DUMMYFUNCTION("IFERROR(VLOOKUP(F303,IMPORTRANGE(""1H3cO01obd5zFULYqaT5NAqecZBFFIHeDFn4CeQLZF3w"",""Form Responses 1!B:C""),2,FALSE),)"),"")</f>
        <v/>
      </c>
      <c r="U303" s="70" t="str">
        <f>IFERROR(__xludf.DUMMYFUNCTION("IFERROR(IF(COUNTIF(IMPORTRANGE(""1IG9qoa6PeLdDDFzKpW39lxXshN0-M8Z25a_R1EpsYyg"",""Form Responses 1!B:B""),F303)&gt;0,10,),0)"),"")</f>
        <v/>
      </c>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row>
    <row r="304">
      <c r="B304" s="70" t="str">
        <f>IFERROR(__xludf.DUMMYFUNCTION("IFERROR(IF(COUNTIF(IMPORTRANGE(""1RTcwEJsI_0aJRebhNwO_H_AoKl9r46k7hWYbtciIyM4"",""Form Responses 1!B:B""),A304)&gt;0,10,),0)"),"")</f>
        <v/>
      </c>
      <c r="C304" s="70" t="str">
        <f>IFERROR(__xludf.DUMMYFUNCTION("IFERROR(VLOOKUP(A304,IMPORTRANGE(""11i8IUhq_U6RRKRV3CBWIKqYed_fMvFgNUHTq1YDJfp8"",""Form Responses 1!B:C""),2,FALSE),)"),"")</f>
        <v/>
      </c>
      <c r="D304" s="70" t="str">
        <f>IFERROR(__xludf.DUMMYFUNCTION("IFERROR(VLOOKUP(A304,IMPORTRANGE(""1StiHxuxrFhYdrq5WLR2JMORicW0TbnJf3J-oTHeMRtM"",""Form Responses 1!B:C""),2,FALSE),)"),"")</f>
        <v/>
      </c>
      <c r="E304" s="70" t="str">
        <f>IFERROR(__xludf.DUMMYFUNCTION("IFERROR(VLOOKUP(A304,IMPORTRANGE(""1QaxxyUjrDq2kgz300C1Bq1tacFk6e-xX218cSXCQUK0"",""Form Responses 1!B:C""),2,FALSE),)"),"")</f>
        <v/>
      </c>
      <c r="F304" s="70" t="str">
        <f>IFERROR(__xludf.DUMMYFUNCTION("IFERROR(VLOOKUP(A304,IMPORTRANGE(""1fn2ECph_y8Uz78DhjLaiXcwgt6kh3oe-0Le36Uw0noE"",""Form Responses 1!B:C""),2,FALSE),)"),"")</f>
        <v/>
      </c>
      <c r="G304" s="70"/>
      <c r="H304" s="70"/>
      <c r="I304" s="70"/>
      <c r="J304" s="70"/>
      <c r="K304" s="70"/>
      <c r="L304" s="70"/>
      <c r="M304" s="70"/>
      <c r="N304" s="70"/>
      <c r="O304" s="70"/>
      <c r="P304" s="70"/>
      <c r="Q304" s="70" t="str">
        <f>IFERROR(__xludf.DUMMYFUNCTION("IFERROR(IF(COUNTIF(IMPORTRANGE(""1WjiLR_MTMxI_IZUKuvPO4Sg2rTSIqBzP3edakSRXbOA"",""Form Responses 1!B:B""),F304)&gt;0,10,),0)"),"")</f>
        <v/>
      </c>
      <c r="R304" s="70" t="str">
        <f>IFERROR(__xludf.DUMMYFUNCTION("IFERROR(VLOOKUP(F304,IMPORTRANGE(""1Ixzbal5tEbtWhozsFEppQzOYE6ZSrkNXHg_HW5k3Wt4"",""Form Responses 1!B:C""),2,FALSE),)"),"")</f>
        <v/>
      </c>
      <c r="S304" s="70" t="str">
        <f>IFERROR(__xludf.DUMMYFUNCTION("IFERROR(VLOOKUP(F304,IMPORTRANGE(""1zxjtEKGvVIJPIDqZdnxENwVpPXYa88EihzyI44hcQUo"",""Form Responses 1!B:C""),2,FALSE),)"),"")</f>
        <v/>
      </c>
      <c r="T304" s="70" t="str">
        <f>IFERROR(__xludf.DUMMYFUNCTION("IFERROR(VLOOKUP(F304,IMPORTRANGE(""1H3cO01obd5zFULYqaT5NAqecZBFFIHeDFn4CeQLZF3w"",""Form Responses 1!B:C""),2,FALSE),)"),"")</f>
        <v/>
      </c>
      <c r="U304" s="70" t="str">
        <f>IFERROR(__xludf.DUMMYFUNCTION("IFERROR(IF(COUNTIF(IMPORTRANGE(""1IG9qoa6PeLdDDFzKpW39lxXshN0-M8Z25a_R1EpsYyg"",""Form Responses 1!B:B""),F304)&gt;0,10,),0)"),"")</f>
        <v/>
      </c>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row>
    <row r="305">
      <c r="B305" s="70" t="str">
        <f>IFERROR(__xludf.DUMMYFUNCTION("IFERROR(IF(COUNTIF(IMPORTRANGE(""1RTcwEJsI_0aJRebhNwO_H_AoKl9r46k7hWYbtciIyM4"",""Form Responses 1!B:B""),A305)&gt;0,10,),0)"),"")</f>
        <v/>
      </c>
      <c r="C305" s="70" t="str">
        <f>IFERROR(__xludf.DUMMYFUNCTION("IFERROR(VLOOKUP(A305,IMPORTRANGE(""11i8IUhq_U6RRKRV3CBWIKqYed_fMvFgNUHTq1YDJfp8"",""Form Responses 1!B:C""),2,FALSE),)"),"")</f>
        <v/>
      </c>
      <c r="D305" s="70" t="str">
        <f>IFERROR(__xludf.DUMMYFUNCTION("IFERROR(VLOOKUP(A305,IMPORTRANGE(""1StiHxuxrFhYdrq5WLR2JMORicW0TbnJf3J-oTHeMRtM"",""Form Responses 1!B:C""),2,FALSE),)"),"")</f>
        <v/>
      </c>
      <c r="E305" s="70" t="str">
        <f>IFERROR(__xludf.DUMMYFUNCTION("IFERROR(VLOOKUP(A305,IMPORTRANGE(""1QaxxyUjrDq2kgz300C1Bq1tacFk6e-xX218cSXCQUK0"",""Form Responses 1!B:C""),2,FALSE),)"),"")</f>
        <v/>
      </c>
      <c r="F305" s="70" t="str">
        <f>IFERROR(__xludf.DUMMYFUNCTION("IFERROR(VLOOKUP(A305,IMPORTRANGE(""1fn2ECph_y8Uz78DhjLaiXcwgt6kh3oe-0Le36Uw0noE"",""Form Responses 1!B:C""),2,FALSE),)"),"")</f>
        <v/>
      </c>
      <c r="G305" s="70"/>
      <c r="H305" s="70"/>
      <c r="I305" s="70"/>
      <c r="J305" s="70"/>
      <c r="K305" s="70"/>
      <c r="L305" s="70"/>
      <c r="M305" s="70"/>
      <c r="N305" s="70"/>
      <c r="O305" s="70"/>
      <c r="P305" s="70"/>
      <c r="Q305" s="70" t="str">
        <f>IFERROR(__xludf.DUMMYFUNCTION("IFERROR(IF(COUNTIF(IMPORTRANGE(""1WjiLR_MTMxI_IZUKuvPO4Sg2rTSIqBzP3edakSRXbOA"",""Form Responses 1!B:B""),F305)&gt;0,10,),0)"),"")</f>
        <v/>
      </c>
      <c r="R305" s="70" t="str">
        <f>IFERROR(__xludf.DUMMYFUNCTION("IFERROR(VLOOKUP(F305,IMPORTRANGE(""1Ixzbal5tEbtWhozsFEppQzOYE6ZSrkNXHg_HW5k3Wt4"",""Form Responses 1!B:C""),2,FALSE),)"),"")</f>
        <v/>
      </c>
      <c r="S305" s="70" t="str">
        <f>IFERROR(__xludf.DUMMYFUNCTION("IFERROR(VLOOKUP(F305,IMPORTRANGE(""1zxjtEKGvVIJPIDqZdnxENwVpPXYa88EihzyI44hcQUo"",""Form Responses 1!B:C""),2,FALSE),)"),"")</f>
        <v/>
      </c>
      <c r="T305" s="70" t="str">
        <f>IFERROR(__xludf.DUMMYFUNCTION("IFERROR(VLOOKUP(F305,IMPORTRANGE(""1H3cO01obd5zFULYqaT5NAqecZBFFIHeDFn4CeQLZF3w"",""Form Responses 1!B:C""),2,FALSE),)"),"")</f>
        <v/>
      </c>
      <c r="U305" s="70" t="str">
        <f>IFERROR(__xludf.DUMMYFUNCTION("IFERROR(IF(COUNTIF(IMPORTRANGE(""1IG9qoa6PeLdDDFzKpW39lxXshN0-M8Z25a_R1EpsYyg"",""Form Responses 1!B:B""),F305)&gt;0,10,),0)"),"")</f>
        <v/>
      </c>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row>
    <row r="306">
      <c r="B306" s="70" t="str">
        <f>IFERROR(__xludf.DUMMYFUNCTION("IFERROR(IF(COUNTIF(IMPORTRANGE(""1RTcwEJsI_0aJRebhNwO_H_AoKl9r46k7hWYbtciIyM4"",""Form Responses 1!B:B""),A306)&gt;0,10,),0)"),"")</f>
        <v/>
      </c>
      <c r="C306" s="70" t="str">
        <f>IFERROR(__xludf.DUMMYFUNCTION("IFERROR(VLOOKUP(A306,IMPORTRANGE(""11i8IUhq_U6RRKRV3CBWIKqYed_fMvFgNUHTq1YDJfp8"",""Form Responses 1!B:C""),2,FALSE),)"),"")</f>
        <v/>
      </c>
      <c r="D306" s="70" t="str">
        <f>IFERROR(__xludf.DUMMYFUNCTION("IFERROR(VLOOKUP(A306,IMPORTRANGE(""1StiHxuxrFhYdrq5WLR2JMORicW0TbnJf3J-oTHeMRtM"",""Form Responses 1!B:C""),2,FALSE),)"),"")</f>
        <v/>
      </c>
      <c r="E306" s="70" t="str">
        <f>IFERROR(__xludf.DUMMYFUNCTION("IFERROR(VLOOKUP(A306,IMPORTRANGE(""1QaxxyUjrDq2kgz300C1Bq1tacFk6e-xX218cSXCQUK0"",""Form Responses 1!B:C""),2,FALSE),)"),"")</f>
        <v/>
      </c>
      <c r="F306" s="70" t="str">
        <f>IFERROR(__xludf.DUMMYFUNCTION("IFERROR(VLOOKUP(A306,IMPORTRANGE(""1fn2ECph_y8Uz78DhjLaiXcwgt6kh3oe-0Le36Uw0noE"",""Form Responses 1!B:C""),2,FALSE),)"),"")</f>
        <v/>
      </c>
      <c r="G306" s="70"/>
      <c r="H306" s="70"/>
      <c r="I306" s="70"/>
      <c r="J306" s="70"/>
      <c r="K306" s="70"/>
      <c r="L306" s="70"/>
      <c r="M306" s="70"/>
      <c r="N306" s="70"/>
      <c r="O306" s="70"/>
      <c r="P306" s="70"/>
      <c r="Q306" s="70" t="str">
        <f>IFERROR(__xludf.DUMMYFUNCTION("IFERROR(IF(COUNTIF(IMPORTRANGE(""1WjiLR_MTMxI_IZUKuvPO4Sg2rTSIqBzP3edakSRXbOA"",""Form Responses 1!B:B""),F306)&gt;0,10,),0)"),"")</f>
        <v/>
      </c>
      <c r="R306" s="70" t="str">
        <f>IFERROR(__xludf.DUMMYFUNCTION("IFERROR(VLOOKUP(F306,IMPORTRANGE(""1Ixzbal5tEbtWhozsFEppQzOYE6ZSrkNXHg_HW5k3Wt4"",""Form Responses 1!B:C""),2,FALSE),)"),"")</f>
        <v/>
      </c>
      <c r="S306" s="70" t="str">
        <f>IFERROR(__xludf.DUMMYFUNCTION("IFERROR(VLOOKUP(F306,IMPORTRANGE(""1zxjtEKGvVIJPIDqZdnxENwVpPXYa88EihzyI44hcQUo"",""Form Responses 1!B:C""),2,FALSE),)"),"")</f>
        <v/>
      </c>
      <c r="T306" s="70" t="str">
        <f>IFERROR(__xludf.DUMMYFUNCTION("IFERROR(VLOOKUP(F306,IMPORTRANGE(""1H3cO01obd5zFULYqaT5NAqecZBFFIHeDFn4CeQLZF3w"",""Form Responses 1!B:C""),2,FALSE),)"),"")</f>
        <v/>
      </c>
      <c r="U306" s="70" t="str">
        <f>IFERROR(__xludf.DUMMYFUNCTION("IFERROR(IF(COUNTIF(IMPORTRANGE(""1IG9qoa6PeLdDDFzKpW39lxXshN0-M8Z25a_R1EpsYyg"",""Form Responses 1!B:B""),F306)&gt;0,10,),0)"),"")</f>
        <v/>
      </c>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row>
    <row r="307">
      <c r="B307" s="70" t="str">
        <f>IFERROR(__xludf.DUMMYFUNCTION("IFERROR(IF(COUNTIF(IMPORTRANGE(""1RTcwEJsI_0aJRebhNwO_H_AoKl9r46k7hWYbtciIyM4"",""Form Responses 1!B:B""),A307)&gt;0,10,),0)"),"")</f>
        <v/>
      </c>
      <c r="C307" s="70" t="str">
        <f>IFERROR(__xludf.DUMMYFUNCTION("IFERROR(VLOOKUP(A307,IMPORTRANGE(""11i8IUhq_U6RRKRV3CBWIKqYed_fMvFgNUHTq1YDJfp8"",""Form Responses 1!B:C""),2,FALSE),)"),"")</f>
        <v/>
      </c>
      <c r="D307" s="70" t="str">
        <f>IFERROR(__xludf.DUMMYFUNCTION("IFERROR(VLOOKUP(A307,IMPORTRANGE(""1StiHxuxrFhYdrq5WLR2JMORicW0TbnJf3J-oTHeMRtM"",""Form Responses 1!B:C""),2,FALSE),)"),"")</f>
        <v/>
      </c>
      <c r="E307" s="70" t="str">
        <f>IFERROR(__xludf.DUMMYFUNCTION("IFERROR(VLOOKUP(A307,IMPORTRANGE(""1QaxxyUjrDq2kgz300C1Bq1tacFk6e-xX218cSXCQUK0"",""Form Responses 1!B:C""),2,FALSE),)"),"")</f>
        <v/>
      </c>
      <c r="F307" s="70" t="str">
        <f>IFERROR(__xludf.DUMMYFUNCTION("IFERROR(VLOOKUP(A307,IMPORTRANGE(""1fn2ECph_y8Uz78DhjLaiXcwgt6kh3oe-0Le36Uw0noE"",""Form Responses 1!B:C""),2,FALSE),)"),"")</f>
        <v/>
      </c>
      <c r="G307" s="70"/>
      <c r="H307" s="70"/>
      <c r="I307" s="70"/>
      <c r="J307" s="70"/>
      <c r="K307" s="70"/>
      <c r="L307" s="70"/>
      <c r="M307" s="70"/>
      <c r="N307" s="70"/>
      <c r="O307" s="70"/>
      <c r="P307" s="70"/>
      <c r="Q307" s="70" t="str">
        <f>IFERROR(__xludf.DUMMYFUNCTION("IFERROR(IF(COUNTIF(IMPORTRANGE(""1WjiLR_MTMxI_IZUKuvPO4Sg2rTSIqBzP3edakSRXbOA"",""Form Responses 1!B:B""),F307)&gt;0,10,),0)"),"")</f>
        <v/>
      </c>
      <c r="R307" s="70" t="str">
        <f>IFERROR(__xludf.DUMMYFUNCTION("IFERROR(VLOOKUP(F307,IMPORTRANGE(""1Ixzbal5tEbtWhozsFEppQzOYE6ZSrkNXHg_HW5k3Wt4"",""Form Responses 1!B:C""),2,FALSE),)"),"")</f>
        <v/>
      </c>
      <c r="S307" s="70" t="str">
        <f>IFERROR(__xludf.DUMMYFUNCTION("IFERROR(VLOOKUP(F307,IMPORTRANGE(""1zxjtEKGvVIJPIDqZdnxENwVpPXYa88EihzyI44hcQUo"",""Form Responses 1!B:C""),2,FALSE),)"),"")</f>
        <v/>
      </c>
      <c r="T307" s="70" t="str">
        <f>IFERROR(__xludf.DUMMYFUNCTION("IFERROR(VLOOKUP(F307,IMPORTRANGE(""1H3cO01obd5zFULYqaT5NAqecZBFFIHeDFn4CeQLZF3w"",""Form Responses 1!B:C""),2,FALSE),)"),"")</f>
        <v/>
      </c>
      <c r="U307" s="70" t="str">
        <f>IFERROR(__xludf.DUMMYFUNCTION("IFERROR(IF(COUNTIF(IMPORTRANGE(""1IG9qoa6PeLdDDFzKpW39lxXshN0-M8Z25a_R1EpsYyg"",""Form Responses 1!B:B""),F307)&gt;0,10,),0)"),"")</f>
        <v/>
      </c>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row>
    <row r="308">
      <c r="B308" s="70" t="str">
        <f>IFERROR(__xludf.DUMMYFUNCTION("IFERROR(IF(COUNTIF(IMPORTRANGE(""1RTcwEJsI_0aJRebhNwO_H_AoKl9r46k7hWYbtciIyM4"",""Form Responses 1!B:B""),A308)&gt;0,10,),0)"),"")</f>
        <v/>
      </c>
      <c r="C308" s="70" t="str">
        <f>IFERROR(__xludf.DUMMYFUNCTION("IFERROR(VLOOKUP(A308,IMPORTRANGE(""11i8IUhq_U6RRKRV3CBWIKqYed_fMvFgNUHTq1YDJfp8"",""Form Responses 1!B:C""),2,FALSE),)"),"")</f>
        <v/>
      </c>
      <c r="D308" s="70" t="str">
        <f>IFERROR(__xludf.DUMMYFUNCTION("IFERROR(VLOOKUP(A308,IMPORTRANGE(""1StiHxuxrFhYdrq5WLR2JMORicW0TbnJf3J-oTHeMRtM"",""Form Responses 1!B:C""),2,FALSE),)"),"")</f>
        <v/>
      </c>
      <c r="E308" s="70" t="str">
        <f>IFERROR(__xludf.DUMMYFUNCTION("IFERROR(VLOOKUP(A308,IMPORTRANGE(""1QaxxyUjrDq2kgz300C1Bq1tacFk6e-xX218cSXCQUK0"",""Form Responses 1!B:C""),2,FALSE),)"),"")</f>
        <v/>
      </c>
      <c r="F308" s="70" t="str">
        <f>IFERROR(__xludf.DUMMYFUNCTION("IFERROR(VLOOKUP(A308,IMPORTRANGE(""1fn2ECph_y8Uz78DhjLaiXcwgt6kh3oe-0Le36Uw0noE"",""Form Responses 1!B:C""),2,FALSE),)"),"")</f>
        <v/>
      </c>
      <c r="G308" s="70"/>
      <c r="H308" s="70"/>
      <c r="I308" s="70"/>
      <c r="J308" s="70"/>
      <c r="K308" s="70"/>
      <c r="L308" s="70"/>
      <c r="M308" s="70"/>
      <c r="N308" s="70"/>
      <c r="O308" s="70"/>
      <c r="P308" s="70"/>
      <c r="Q308" s="70" t="str">
        <f>IFERROR(__xludf.DUMMYFUNCTION("IFERROR(IF(COUNTIF(IMPORTRANGE(""1WjiLR_MTMxI_IZUKuvPO4Sg2rTSIqBzP3edakSRXbOA"",""Form Responses 1!B:B""),F308)&gt;0,10,),0)"),"")</f>
        <v/>
      </c>
      <c r="R308" s="70" t="str">
        <f>IFERROR(__xludf.DUMMYFUNCTION("IFERROR(VLOOKUP(F308,IMPORTRANGE(""1Ixzbal5tEbtWhozsFEppQzOYE6ZSrkNXHg_HW5k3Wt4"",""Form Responses 1!B:C""),2,FALSE),)"),"")</f>
        <v/>
      </c>
      <c r="S308" s="70" t="str">
        <f>IFERROR(__xludf.DUMMYFUNCTION("IFERROR(VLOOKUP(F308,IMPORTRANGE(""1zxjtEKGvVIJPIDqZdnxENwVpPXYa88EihzyI44hcQUo"",""Form Responses 1!B:C""),2,FALSE),)"),"")</f>
        <v/>
      </c>
      <c r="T308" s="70" t="str">
        <f>IFERROR(__xludf.DUMMYFUNCTION("IFERROR(VLOOKUP(F308,IMPORTRANGE(""1H3cO01obd5zFULYqaT5NAqecZBFFIHeDFn4CeQLZF3w"",""Form Responses 1!B:C""),2,FALSE),)"),"")</f>
        <v/>
      </c>
      <c r="U308" s="70" t="str">
        <f>IFERROR(__xludf.DUMMYFUNCTION("IFERROR(IF(COUNTIF(IMPORTRANGE(""1IG9qoa6PeLdDDFzKpW39lxXshN0-M8Z25a_R1EpsYyg"",""Form Responses 1!B:B""),F308)&gt;0,10,),0)"),"")</f>
        <v/>
      </c>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row>
    <row r="309">
      <c r="B309" s="70" t="str">
        <f>IFERROR(__xludf.DUMMYFUNCTION("IFERROR(IF(COUNTIF(IMPORTRANGE(""1RTcwEJsI_0aJRebhNwO_H_AoKl9r46k7hWYbtciIyM4"",""Form Responses 1!B:B""),A309)&gt;0,10,),0)"),"")</f>
        <v/>
      </c>
      <c r="C309" s="70" t="str">
        <f>IFERROR(__xludf.DUMMYFUNCTION("IFERROR(VLOOKUP(A309,IMPORTRANGE(""11i8IUhq_U6RRKRV3CBWIKqYed_fMvFgNUHTq1YDJfp8"",""Form Responses 1!B:C""),2,FALSE),)"),"")</f>
        <v/>
      </c>
      <c r="D309" s="70" t="str">
        <f>IFERROR(__xludf.DUMMYFUNCTION("IFERROR(VLOOKUP(A309,IMPORTRANGE(""1StiHxuxrFhYdrq5WLR2JMORicW0TbnJf3J-oTHeMRtM"",""Form Responses 1!B:C""),2,FALSE),)"),"")</f>
        <v/>
      </c>
      <c r="E309" s="70" t="str">
        <f>IFERROR(__xludf.DUMMYFUNCTION("IFERROR(VLOOKUP(A309,IMPORTRANGE(""1QaxxyUjrDq2kgz300C1Bq1tacFk6e-xX218cSXCQUK0"",""Form Responses 1!B:C""),2,FALSE),)"),"")</f>
        <v/>
      </c>
      <c r="F309" s="70" t="str">
        <f>IFERROR(__xludf.DUMMYFUNCTION("IFERROR(VLOOKUP(A309,IMPORTRANGE(""1fn2ECph_y8Uz78DhjLaiXcwgt6kh3oe-0Le36Uw0noE"",""Form Responses 1!B:C""),2,FALSE),)"),"")</f>
        <v/>
      </c>
      <c r="G309" s="70"/>
      <c r="H309" s="70"/>
      <c r="I309" s="70"/>
      <c r="J309" s="70"/>
      <c r="K309" s="70"/>
      <c r="L309" s="70"/>
      <c r="M309" s="70"/>
      <c r="N309" s="70"/>
      <c r="O309" s="70"/>
      <c r="P309" s="70"/>
      <c r="Q309" s="70" t="str">
        <f>IFERROR(__xludf.DUMMYFUNCTION("IFERROR(IF(COUNTIF(IMPORTRANGE(""1WjiLR_MTMxI_IZUKuvPO4Sg2rTSIqBzP3edakSRXbOA"",""Form Responses 1!B:B""),F309)&gt;0,10,),0)"),"")</f>
        <v/>
      </c>
      <c r="R309" s="70" t="str">
        <f>IFERROR(__xludf.DUMMYFUNCTION("IFERROR(VLOOKUP(F309,IMPORTRANGE(""1Ixzbal5tEbtWhozsFEppQzOYE6ZSrkNXHg_HW5k3Wt4"",""Form Responses 1!B:C""),2,FALSE),)"),"")</f>
        <v/>
      </c>
      <c r="S309" s="70" t="str">
        <f>IFERROR(__xludf.DUMMYFUNCTION("IFERROR(VLOOKUP(F309,IMPORTRANGE(""1zxjtEKGvVIJPIDqZdnxENwVpPXYa88EihzyI44hcQUo"",""Form Responses 1!B:C""),2,FALSE),)"),"")</f>
        <v/>
      </c>
      <c r="T309" s="70" t="str">
        <f>IFERROR(__xludf.DUMMYFUNCTION("IFERROR(VLOOKUP(F309,IMPORTRANGE(""1H3cO01obd5zFULYqaT5NAqecZBFFIHeDFn4CeQLZF3w"",""Form Responses 1!B:C""),2,FALSE),)"),"")</f>
        <v/>
      </c>
      <c r="U309" s="70" t="str">
        <f>IFERROR(__xludf.DUMMYFUNCTION("IFERROR(IF(COUNTIF(IMPORTRANGE(""1IG9qoa6PeLdDDFzKpW39lxXshN0-M8Z25a_R1EpsYyg"",""Form Responses 1!B:B""),F309)&gt;0,10,),0)"),"")</f>
        <v/>
      </c>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row>
    <row r="310">
      <c r="B310" s="70" t="str">
        <f>IFERROR(__xludf.DUMMYFUNCTION("IFERROR(IF(COUNTIF(IMPORTRANGE(""1RTcwEJsI_0aJRebhNwO_H_AoKl9r46k7hWYbtciIyM4"",""Form Responses 1!B:B""),A310)&gt;0,10,),0)"),"")</f>
        <v/>
      </c>
      <c r="C310" s="70" t="str">
        <f>IFERROR(__xludf.DUMMYFUNCTION("IFERROR(VLOOKUP(A310,IMPORTRANGE(""11i8IUhq_U6RRKRV3CBWIKqYed_fMvFgNUHTq1YDJfp8"",""Form Responses 1!B:C""),2,FALSE),)"),"")</f>
        <v/>
      </c>
      <c r="D310" s="70" t="str">
        <f>IFERROR(__xludf.DUMMYFUNCTION("IFERROR(VLOOKUP(A310,IMPORTRANGE(""1StiHxuxrFhYdrq5WLR2JMORicW0TbnJf3J-oTHeMRtM"",""Form Responses 1!B:C""),2,FALSE),)"),"")</f>
        <v/>
      </c>
      <c r="E310" s="70" t="str">
        <f>IFERROR(__xludf.DUMMYFUNCTION("IFERROR(VLOOKUP(A310,IMPORTRANGE(""1QaxxyUjrDq2kgz300C1Bq1tacFk6e-xX218cSXCQUK0"",""Form Responses 1!B:C""),2,FALSE),)"),"")</f>
        <v/>
      </c>
      <c r="F310" s="70" t="str">
        <f>IFERROR(__xludf.DUMMYFUNCTION("IFERROR(VLOOKUP(A310,IMPORTRANGE(""1fn2ECph_y8Uz78DhjLaiXcwgt6kh3oe-0Le36Uw0noE"",""Form Responses 1!B:C""),2,FALSE),)"),"")</f>
        <v/>
      </c>
      <c r="G310" s="70"/>
      <c r="H310" s="70"/>
      <c r="I310" s="70"/>
      <c r="J310" s="70"/>
      <c r="K310" s="70"/>
      <c r="L310" s="70"/>
      <c r="M310" s="70"/>
      <c r="N310" s="70"/>
      <c r="O310" s="70"/>
      <c r="P310" s="70"/>
      <c r="Q310" s="70" t="str">
        <f>IFERROR(__xludf.DUMMYFUNCTION("IFERROR(IF(COUNTIF(IMPORTRANGE(""1WjiLR_MTMxI_IZUKuvPO4Sg2rTSIqBzP3edakSRXbOA"",""Form Responses 1!B:B""),F310)&gt;0,10,),0)"),"")</f>
        <v/>
      </c>
      <c r="R310" s="70" t="str">
        <f>IFERROR(__xludf.DUMMYFUNCTION("IFERROR(VLOOKUP(F310,IMPORTRANGE(""1Ixzbal5tEbtWhozsFEppQzOYE6ZSrkNXHg_HW5k3Wt4"",""Form Responses 1!B:C""),2,FALSE),)"),"")</f>
        <v/>
      </c>
      <c r="S310" s="70" t="str">
        <f>IFERROR(__xludf.DUMMYFUNCTION("IFERROR(VLOOKUP(F310,IMPORTRANGE(""1zxjtEKGvVIJPIDqZdnxENwVpPXYa88EihzyI44hcQUo"",""Form Responses 1!B:C""),2,FALSE),)"),"")</f>
        <v/>
      </c>
      <c r="T310" s="70" t="str">
        <f>IFERROR(__xludf.DUMMYFUNCTION("IFERROR(VLOOKUP(F310,IMPORTRANGE(""1H3cO01obd5zFULYqaT5NAqecZBFFIHeDFn4CeQLZF3w"",""Form Responses 1!B:C""),2,FALSE),)"),"")</f>
        <v/>
      </c>
      <c r="U310" s="70" t="str">
        <f>IFERROR(__xludf.DUMMYFUNCTION("IFERROR(IF(COUNTIF(IMPORTRANGE(""1IG9qoa6PeLdDDFzKpW39lxXshN0-M8Z25a_R1EpsYyg"",""Form Responses 1!B:B""),F310)&gt;0,10,),0)"),"")</f>
        <v/>
      </c>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row>
    <row r="311">
      <c r="B311" s="70" t="str">
        <f>IFERROR(__xludf.DUMMYFUNCTION("IFERROR(IF(COUNTIF(IMPORTRANGE(""1RTcwEJsI_0aJRebhNwO_H_AoKl9r46k7hWYbtciIyM4"",""Form Responses 1!B:B""),A311)&gt;0,10,),0)"),"")</f>
        <v/>
      </c>
      <c r="C311" s="70" t="str">
        <f>IFERROR(__xludf.DUMMYFUNCTION("IFERROR(VLOOKUP(A311,IMPORTRANGE(""11i8IUhq_U6RRKRV3CBWIKqYed_fMvFgNUHTq1YDJfp8"",""Form Responses 1!B:C""),2,FALSE),)"),"")</f>
        <v/>
      </c>
      <c r="D311" s="70" t="str">
        <f>IFERROR(__xludf.DUMMYFUNCTION("IFERROR(VLOOKUP(A311,IMPORTRANGE(""1StiHxuxrFhYdrq5WLR2JMORicW0TbnJf3J-oTHeMRtM"",""Form Responses 1!B:C""),2,FALSE),)"),"")</f>
        <v/>
      </c>
      <c r="E311" s="70" t="str">
        <f>IFERROR(__xludf.DUMMYFUNCTION("IFERROR(VLOOKUP(A311,IMPORTRANGE(""1QaxxyUjrDq2kgz300C1Bq1tacFk6e-xX218cSXCQUK0"",""Form Responses 1!B:C""),2,FALSE),)"),"")</f>
        <v/>
      </c>
      <c r="F311" s="70" t="str">
        <f>IFERROR(__xludf.DUMMYFUNCTION("IFERROR(VLOOKUP(A311,IMPORTRANGE(""1fn2ECph_y8Uz78DhjLaiXcwgt6kh3oe-0Le36Uw0noE"",""Form Responses 1!B:C""),2,FALSE),)"),"")</f>
        <v/>
      </c>
      <c r="G311" s="70"/>
      <c r="H311" s="70"/>
      <c r="I311" s="70"/>
      <c r="J311" s="70"/>
      <c r="K311" s="70"/>
      <c r="L311" s="70"/>
      <c r="M311" s="70"/>
      <c r="N311" s="70"/>
      <c r="O311" s="70"/>
      <c r="P311" s="70"/>
      <c r="Q311" s="70" t="str">
        <f>IFERROR(__xludf.DUMMYFUNCTION("IFERROR(IF(COUNTIF(IMPORTRANGE(""1WjiLR_MTMxI_IZUKuvPO4Sg2rTSIqBzP3edakSRXbOA"",""Form Responses 1!B:B""),F311)&gt;0,10,),0)"),"")</f>
        <v/>
      </c>
      <c r="R311" s="70" t="str">
        <f>IFERROR(__xludf.DUMMYFUNCTION("IFERROR(VLOOKUP(F311,IMPORTRANGE(""1Ixzbal5tEbtWhozsFEppQzOYE6ZSrkNXHg_HW5k3Wt4"",""Form Responses 1!B:C""),2,FALSE),)"),"")</f>
        <v/>
      </c>
      <c r="S311" s="70" t="str">
        <f>IFERROR(__xludf.DUMMYFUNCTION("IFERROR(VLOOKUP(F311,IMPORTRANGE(""1zxjtEKGvVIJPIDqZdnxENwVpPXYa88EihzyI44hcQUo"",""Form Responses 1!B:C""),2,FALSE),)"),"")</f>
        <v/>
      </c>
      <c r="T311" s="70" t="str">
        <f>IFERROR(__xludf.DUMMYFUNCTION("IFERROR(VLOOKUP(F311,IMPORTRANGE(""1H3cO01obd5zFULYqaT5NAqecZBFFIHeDFn4CeQLZF3w"",""Form Responses 1!B:C""),2,FALSE),)"),"")</f>
        <v/>
      </c>
      <c r="U311" s="70" t="str">
        <f>IFERROR(__xludf.DUMMYFUNCTION("IFERROR(IF(COUNTIF(IMPORTRANGE(""1IG9qoa6PeLdDDFzKpW39lxXshN0-M8Z25a_R1EpsYyg"",""Form Responses 1!B:B""),F311)&gt;0,10,),0)"),"")</f>
        <v/>
      </c>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row>
    <row r="312">
      <c r="B312" s="70" t="str">
        <f>IFERROR(__xludf.DUMMYFUNCTION("IFERROR(IF(COUNTIF(IMPORTRANGE(""1RTcwEJsI_0aJRebhNwO_H_AoKl9r46k7hWYbtciIyM4"",""Form Responses 1!B:B""),A312)&gt;0,10,),0)"),"")</f>
        <v/>
      </c>
      <c r="C312" s="70" t="str">
        <f>IFERROR(__xludf.DUMMYFUNCTION("IFERROR(VLOOKUP(A312,IMPORTRANGE(""11i8IUhq_U6RRKRV3CBWIKqYed_fMvFgNUHTq1YDJfp8"",""Form Responses 1!B:C""),2,FALSE),)"),"")</f>
        <v/>
      </c>
      <c r="D312" s="70" t="str">
        <f>IFERROR(__xludf.DUMMYFUNCTION("IFERROR(VLOOKUP(A312,IMPORTRANGE(""1StiHxuxrFhYdrq5WLR2JMORicW0TbnJf3J-oTHeMRtM"",""Form Responses 1!B:C""),2,FALSE),)"),"")</f>
        <v/>
      </c>
      <c r="E312" s="70" t="str">
        <f>IFERROR(__xludf.DUMMYFUNCTION("IFERROR(VLOOKUP(A312,IMPORTRANGE(""1QaxxyUjrDq2kgz300C1Bq1tacFk6e-xX218cSXCQUK0"",""Form Responses 1!B:C""),2,FALSE),)"),"")</f>
        <v/>
      </c>
      <c r="F312" s="70" t="str">
        <f>IFERROR(__xludf.DUMMYFUNCTION("IFERROR(VLOOKUP(A312,IMPORTRANGE(""1fn2ECph_y8Uz78DhjLaiXcwgt6kh3oe-0Le36Uw0noE"",""Form Responses 1!B:C""),2,FALSE),)"),"")</f>
        <v/>
      </c>
      <c r="G312" s="70"/>
      <c r="H312" s="70"/>
      <c r="I312" s="70"/>
      <c r="J312" s="70"/>
      <c r="K312" s="70"/>
      <c r="L312" s="70"/>
      <c r="M312" s="70"/>
      <c r="N312" s="70"/>
      <c r="O312" s="70"/>
      <c r="P312" s="70"/>
      <c r="Q312" s="70" t="str">
        <f>IFERROR(__xludf.DUMMYFUNCTION("IFERROR(IF(COUNTIF(IMPORTRANGE(""1WjiLR_MTMxI_IZUKuvPO4Sg2rTSIqBzP3edakSRXbOA"",""Form Responses 1!B:B""),F312)&gt;0,10,),0)"),"")</f>
        <v/>
      </c>
      <c r="R312" s="70" t="str">
        <f>IFERROR(__xludf.DUMMYFUNCTION("IFERROR(VLOOKUP(F312,IMPORTRANGE(""1Ixzbal5tEbtWhozsFEppQzOYE6ZSrkNXHg_HW5k3Wt4"",""Form Responses 1!B:C""),2,FALSE),)"),"")</f>
        <v/>
      </c>
      <c r="S312" s="70" t="str">
        <f>IFERROR(__xludf.DUMMYFUNCTION("IFERROR(VLOOKUP(F312,IMPORTRANGE(""1zxjtEKGvVIJPIDqZdnxENwVpPXYa88EihzyI44hcQUo"",""Form Responses 1!B:C""),2,FALSE),)"),"")</f>
        <v/>
      </c>
      <c r="T312" s="70" t="str">
        <f>IFERROR(__xludf.DUMMYFUNCTION("IFERROR(VLOOKUP(F312,IMPORTRANGE(""1H3cO01obd5zFULYqaT5NAqecZBFFIHeDFn4CeQLZF3w"",""Form Responses 1!B:C""),2,FALSE),)"),"")</f>
        <v/>
      </c>
      <c r="U312" s="70" t="str">
        <f>IFERROR(__xludf.DUMMYFUNCTION("IFERROR(IF(COUNTIF(IMPORTRANGE(""1IG9qoa6PeLdDDFzKpW39lxXshN0-M8Z25a_R1EpsYyg"",""Form Responses 1!B:B""),F312)&gt;0,10,),0)"),"")</f>
        <v/>
      </c>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row>
    <row r="313">
      <c r="B313" s="70" t="str">
        <f>IFERROR(__xludf.DUMMYFUNCTION("IFERROR(IF(COUNTIF(IMPORTRANGE(""1RTcwEJsI_0aJRebhNwO_H_AoKl9r46k7hWYbtciIyM4"",""Form Responses 1!B:B""),A313)&gt;0,10,),0)"),"")</f>
        <v/>
      </c>
      <c r="C313" s="70" t="str">
        <f>IFERROR(__xludf.DUMMYFUNCTION("IFERROR(VLOOKUP(A313,IMPORTRANGE(""11i8IUhq_U6RRKRV3CBWIKqYed_fMvFgNUHTq1YDJfp8"",""Form Responses 1!B:C""),2,FALSE),)"),"")</f>
        <v/>
      </c>
      <c r="D313" s="70" t="str">
        <f>IFERROR(__xludf.DUMMYFUNCTION("IFERROR(VLOOKUP(A313,IMPORTRANGE(""1StiHxuxrFhYdrq5WLR2JMORicW0TbnJf3J-oTHeMRtM"",""Form Responses 1!B:C""),2,FALSE),)"),"")</f>
        <v/>
      </c>
      <c r="E313" s="70" t="str">
        <f>IFERROR(__xludf.DUMMYFUNCTION("IFERROR(VLOOKUP(A313,IMPORTRANGE(""1QaxxyUjrDq2kgz300C1Bq1tacFk6e-xX218cSXCQUK0"",""Form Responses 1!B:C""),2,FALSE),)"),"")</f>
        <v/>
      </c>
      <c r="F313" s="70" t="str">
        <f>IFERROR(__xludf.DUMMYFUNCTION("IFERROR(VLOOKUP(A313,IMPORTRANGE(""1fn2ECph_y8Uz78DhjLaiXcwgt6kh3oe-0Le36Uw0noE"",""Form Responses 1!B:C""),2,FALSE),)"),"")</f>
        <v/>
      </c>
      <c r="G313" s="70"/>
      <c r="H313" s="70"/>
      <c r="I313" s="70"/>
      <c r="J313" s="70"/>
      <c r="K313" s="70"/>
      <c r="L313" s="70"/>
      <c r="M313" s="70"/>
      <c r="N313" s="70"/>
      <c r="O313" s="70"/>
      <c r="P313" s="70"/>
      <c r="Q313" s="70" t="str">
        <f>IFERROR(__xludf.DUMMYFUNCTION("IFERROR(IF(COUNTIF(IMPORTRANGE(""1WjiLR_MTMxI_IZUKuvPO4Sg2rTSIqBzP3edakSRXbOA"",""Form Responses 1!B:B""),F313)&gt;0,10,),0)"),"")</f>
        <v/>
      </c>
      <c r="R313" s="70" t="str">
        <f>IFERROR(__xludf.DUMMYFUNCTION("IFERROR(VLOOKUP(F313,IMPORTRANGE(""1Ixzbal5tEbtWhozsFEppQzOYE6ZSrkNXHg_HW5k3Wt4"",""Form Responses 1!B:C""),2,FALSE),)"),"")</f>
        <v/>
      </c>
      <c r="S313" s="70" t="str">
        <f>IFERROR(__xludf.DUMMYFUNCTION("IFERROR(VLOOKUP(F313,IMPORTRANGE(""1zxjtEKGvVIJPIDqZdnxENwVpPXYa88EihzyI44hcQUo"",""Form Responses 1!B:C""),2,FALSE),)"),"")</f>
        <v/>
      </c>
      <c r="T313" s="70" t="str">
        <f>IFERROR(__xludf.DUMMYFUNCTION("IFERROR(VLOOKUP(F313,IMPORTRANGE(""1H3cO01obd5zFULYqaT5NAqecZBFFIHeDFn4CeQLZF3w"",""Form Responses 1!B:C""),2,FALSE),)"),"")</f>
        <v/>
      </c>
      <c r="U313" s="70" t="str">
        <f>IFERROR(__xludf.DUMMYFUNCTION("IFERROR(IF(COUNTIF(IMPORTRANGE(""1IG9qoa6PeLdDDFzKpW39lxXshN0-M8Z25a_R1EpsYyg"",""Form Responses 1!B:B""),F313)&gt;0,10,),0)"),"")</f>
        <v/>
      </c>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row>
    <row r="314">
      <c r="B314" s="70" t="str">
        <f>IFERROR(__xludf.DUMMYFUNCTION("IFERROR(IF(COUNTIF(IMPORTRANGE(""1RTcwEJsI_0aJRebhNwO_H_AoKl9r46k7hWYbtciIyM4"",""Form Responses 1!B:B""),A314)&gt;0,10,),0)"),"")</f>
        <v/>
      </c>
      <c r="C314" s="70" t="str">
        <f>IFERROR(__xludf.DUMMYFUNCTION("IFERROR(VLOOKUP(A314,IMPORTRANGE(""11i8IUhq_U6RRKRV3CBWIKqYed_fMvFgNUHTq1YDJfp8"",""Form Responses 1!B:C""),2,FALSE),)"),"")</f>
        <v/>
      </c>
      <c r="D314" s="70" t="str">
        <f>IFERROR(__xludf.DUMMYFUNCTION("IFERROR(VLOOKUP(A314,IMPORTRANGE(""1StiHxuxrFhYdrq5WLR2JMORicW0TbnJf3J-oTHeMRtM"",""Form Responses 1!B:C""),2,FALSE),)"),"")</f>
        <v/>
      </c>
      <c r="E314" s="70" t="str">
        <f>IFERROR(__xludf.DUMMYFUNCTION("IFERROR(VLOOKUP(A314,IMPORTRANGE(""1QaxxyUjrDq2kgz300C1Bq1tacFk6e-xX218cSXCQUK0"",""Form Responses 1!B:C""),2,FALSE),)"),"")</f>
        <v/>
      </c>
      <c r="F314" s="70" t="str">
        <f>IFERROR(__xludf.DUMMYFUNCTION("IFERROR(VLOOKUP(A314,IMPORTRANGE(""1fn2ECph_y8Uz78DhjLaiXcwgt6kh3oe-0Le36Uw0noE"",""Form Responses 1!B:C""),2,FALSE),)"),"")</f>
        <v/>
      </c>
      <c r="G314" s="70"/>
      <c r="H314" s="70"/>
      <c r="I314" s="70"/>
      <c r="J314" s="70"/>
      <c r="K314" s="70"/>
      <c r="L314" s="70"/>
      <c r="M314" s="70"/>
      <c r="N314" s="70"/>
      <c r="O314" s="70"/>
      <c r="P314" s="70"/>
      <c r="Q314" s="70" t="str">
        <f>IFERROR(__xludf.DUMMYFUNCTION("IFERROR(IF(COUNTIF(IMPORTRANGE(""1WjiLR_MTMxI_IZUKuvPO4Sg2rTSIqBzP3edakSRXbOA"",""Form Responses 1!B:B""),F314)&gt;0,10,),0)"),"")</f>
        <v/>
      </c>
      <c r="R314" s="70" t="str">
        <f>IFERROR(__xludf.DUMMYFUNCTION("IFERROR(VLOOKUP(F314,IMPORTRANGE(""1Ixzbal5tEbtWhozsFEppQzOYE6ZSrkNXHg_HW5k3Wt4"",""Form Responses 1!B:C""),2,FALSE),)"),"")</f>
        <v/>
      </c>
      <c r="S314" s="70" t="str">
        <f>IFERROR(__xludf.DUMMYFUNCTION("IFERROR(VLOOKUP(F314,IMPORTRANGE(""1zxjtEKGvVIJPIDqZdnxENwVpPXYa88EihzyI44hcQUo"",""Form Responses 1!B:C""),2,FALSE),)"),"")</f>
        <v/>
      </c>
      <c r="T314" s="70" t="str">
        <f>IFERROR(__xludf.DUMMYFUNCTION("IFERROR(VLOOKUP(F314,IMPORTRANGE(""1H3cO01obd5zFULYqaT5NAqecZBFFIHeDFn4CeQLZF3w"",""Form Responses 1!B:C""),2,FALSE),)"),"")</f>
        <v/>
      </c>
      <c r="U314" s="70" t="str">
        <f>IFERROR(__xludf.DUMMYFUNCTION("IFERROR(IF(COUNTIF(IMPORTRANGE(""1IG9qoa6PeLdDDFzKpW39lxXshN0-M8Z25a_R1EpsYyg"",""Form Responses 1!B:B""),F314)&gt;0,10,),0)"),"")</f>
        <v/>
      </c>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row>
    <row r="315">
      <c r="B315" s="70" t="str">
        <f>IFERROR(__xludf.DUMMYFUNCTION("IFERROR(IF(COUNTIF(IMPORTRANGE(""1RTcwEJsI_0aJRebhNwO_H_AoKl9r46k7hWYbtciIyM4"",""Form Responses 1!B:B""),A315)&gt;0,10,),0)"),"")</f>
        <v/>
      </c>
      <c r="C315" s="70" t="str">
        <f>IFERROR(__xludf.DUMMYFUNCTION("IFERROR(VLOOKUP(A315,IMPORTRANGE(""11i8IUhq_U6RRKRV3CBWIKqYed_fMvFgNUHTq1YDJfp8"",""Form Responses 1!B:C""),2,FALSE),)"),"")</f>
        <v/>
      </c>
      <c r="D315" s="70" t="str">
        <f>IFERROR(__xludf.DUMMYFUNCTION("IFERROR(VLOOKUP(A315,IMPORTRANGE(""1StiHxuxrFhYdrq5WLR2JMORicW0TbnJf3J-oTHeMRtM"",""Form Responses 1!B:C""),2,FALSE),)"),"")</f>
        <v/>
      </c>
      <c r="E315" s="70" t="str">
        <f>IFERROR(__xludf.DUMMYFUNCTION("IFERROR(VLOOKUP(A315,IMPORTRANGE(""1QaxxyUjrDq2kgz300C1Bq1tacFk6e-xX218cSXCQUK0"",""Form Responses 1!B:C""),2,FALSE),)"),"")</f>
        <v/>
      </c>
      <c r="F315" s="70" t="str">
        <f>IFERROR(__xludf.DUMMYFUNCTION("IFERROR(VLOOKUP(A315,IMPORTRANGE(""1fn2ECph_y8Uz78DhjLaiXcwgt6kh3oe-0Le36Uw0noE"",""Form Responses 1!B:C""),2,FALSE),)"),"")</f>
        <v/>
      </c>
      <c r="G315" s="70"/>
      <c r="H315" s="70"/>
      <c r="I315" s="70"/>
      <c r="J315" s="70"/>
      <c r="K315" s="70"/>
      <c r="L315" s="70"/>
      <c r="M315" s="70"/>
      <c r="N315" s="70"/>
      <c r="O315" s="70"/>
      <c r="P315" s="70"/>
      <c r="Q315" s="70" t="str">
        <f>IFERROR(__xludf.DUMMYFUNCTION("IFERROR(IF(COUNTIF(IMPORTRANGE(""1WjiLR_MTMxI_IZUKuvPO4Sg2rTSIqBzP3edakSRXbOA"",""Form Responses 1!B:B""),F315)&gt;0,10,),0)"),"")</f>
        <v/>
      </c>
      <c r="R315" s="70" t="str">
        <f>IFERROR(__xludf.DUMMYFUNCTION("IFERROR(VLOOKUP(F315,IMPORTRANGE(""1Ixzbal5tEbtWhozsFEppQzOYE6ZSrkNXHg_HW5k3Wt4"",""Form Responses 1!B:C""),2,FALSE),)"),"")</f>
        <v/>
      </c>
      <c r="S315" s="70" t="str">
        <f>IFERROR(__xludf.DUMMYFUNCTION("IFERROR(VLOOKUP(F315,IMPORTRANGE(""1zxjtEKGvVIJPIDqZdnxENwVpPXYa88EihzyI44hcQUo"",""Form Responses 1!B:C""),2,FALSE),)"),"")</f>
        <v/>
      </c>
      <c r="T315" s="70" t="str">
        <f>IFERROR(__xludf.DUMMYFUNCTION("IFERROR(VLOOKUP(F315,IMPORTRANGE(""1H3cO01obd5zFULYqaT5NAqecZBFFIHeDFn4CeQLZF3w"",""Form Responses 1!B:C""),2,FALSE),)"),"")</f>
        <v/>
      </c>
      <c r="U315" s="70" t="str">
        <f>IFERROR(__xludf.DUMMYFUNCTION("IFERROR(IF(COUNTIF(IMPORTRANGE(""1IG9qoa6PeLdDDFzKpW39lxXshN0-M8Z25a_R1EpsYyg"",""Form Responses 1!B:B""),F315)&gt;0,10,),0)"),"")</f>
        <v/>
      </c>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row>
    <row r="316">
      <c r="B316" s="70" t="str">
        <f>IFERROR(__xludf.DUMMYFUNCTION("IFERROR(IF(COUNTIF(IMPORTRANGE(""1RTcwEJsI_0aJRebhNwO_H_AoKl9r46k7hWYbtciIyM4"",""Form Responses 1!B:B""),A316)&gt;0,10,),0)"),"")</f>
        <v/>
      </c>
      <c r="C316" s="70" t="str">
        <f>IFERROR(__xludf.DUMMYFUNCTION("IFERROR(VLOOKUP(A316,IMPORTRANGE(""11i8IUhq_U6RRKRV3CBWIKqYed_fMvFgNUHTq1YDJfp8"",""Form Responses 1!B:C""),2,FALSE),)"),"")</f>
        <v/>
      </c>
      <c r="D316" s="70" t="str">
        <f>IFERROR(__xludf.DUMMYFUNCTION("IFERROR(VLOOKUP(A316,IMPORTRANGE(""1StiHxuxrFhYdrq5WLR2JMORicW0TbnJf3J-oTHeMRtM"",""Form Responses 1!B:C""),2,FALSE),)"),"")</f>
        <v/>
      </c>
      <c r="E316" s="70" t="str">
        <f>IFERROR(__xludf.DUMMYFUNCTION("IFERROR(VLOOKUP(A316,IMPORTRANGE(""1QaxxyUjrDq2kgz300C1Bq1tacFk6e-xX218cSXCQUK0"",""Form Responses 1!B:C""),2,FALSE),)"),"")</f>
        <v/>
      </c>
      <c r="F316" s="70" t="str">
        <f>IFERROR(__xludf.DUMMYFUNCTION("IFERROR(VLOOKUP(A316,IMPORTRANGE(""1fn2ECph_y8Uz78DhjLaiXcwgt6kh3oe-0Le36Uw0noE"",""Form Responses 1!B:C""),2,FALSE),)"),"")</f>
        <v/>
      </c>
      <c r="G316" s="70"/>
      <c r="H316" s="70"/>
      <c r="I316" s="70"/>
      <c r="J316" s="70"/>
      <c r="K316" s="70"/>
      <c r="L316" s="70"/>
      <c r="M316" s="70"/>
      <c r="N316" s="70"/>
      <c r="O316" s="70"/>
      <c r="P316" s="70"/>
      <c r="Q316" s="70" t="str">
        <f>IFERROR(__xludf.DUMMYFUNCTION("IFERROR(IF(COUNTIF(IMPORTRANGE(""1WjiLR_MTMxI_IZUKuvPO4Sg2rTSIqBzP3edakSRXbOA"",""Form Responses 1!B:B""),F316)&gt;0,10,),0)"),"")</f>
        <v/>
      </c>
      <c r="R316" s="70" t="str">
        <f>IFERROR(__xludf.DUMMYFUNCTION("IFERROR(VLOOKUP(F316,IMPORTRANGE(""1Ixzbal5tEbtWhozsFEppQzOYE6ZSrkNXHg_HW5k3Wt4"",""Form Responses 1!B:C""),2,FALSE),)"),"")</f>
        <v/>
      </c>
      <c r="S316" s="70" t="str">
        <f>IFERROR(__xludf.DUMMYFUNCTION("IFERROR(VLOOKUP(F316,IMPORTRANGE(""1zxjtEKGvVIJPIDqZdnxENwVpPXYa88EihzyI44hcQUo"",""Form Responses 1!B:C""),2,FALSE),)"),"")</f>
        <v/>
      </c>
      <c r="T316" s="70" t="str">
        <f>IFERROR(__xludf.DUMMYFUNCTION("IFERROR(VLOOKUP(F316,IMPORTRANGE(""1H3cO01obd5zFULYqaT5NAqecZBFFIHeDFn4CeQLZF3w"",""Form Responses 1!B:C""),2,FALSE),)"),"")</f>
        <v/>
      </c>
      <c r="U316" s="70" t="str">
        <f>IFERROR(__xludf.DUMMYFUNCTION("IFERROR(IF(COUNTIF(IMPORTRANGE(""1IG9qoa6PeLdDDFzKpW39lxXshN0-M8Z25a_R1EpsYyg"",""Form Responses 1!B:B""),F316)&gt;0,10,),0)"),"")</f>
        <v/>
      </c>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row>
    <row r="317">
      <c r="B317" s="70" t="str">
        <f>IFERROR(__xludf.DUMMYFUNCTION("IFERROR(IF(COUNTIF(IMPORTRANGE(""1RTcwEJsI_0aJRebhNwO_H_AoKl9r46k7hWYbtciIyM4"",""Form Responses 1!B:B""),A317)&gt;0,10,),0)"),"")</f>
        <v/>
      </c>
      <c r="C317" s="70" t="str">
        <f>IFERROR(__xludf.DUMMYFUNCTION("IFERROR(VLOOKUP(A317,IMPORTRANGE(""11i8IUhq_U6RRKRV3CBWIKqYed_fMvFgNUHTq1YDJfp8"",""Form Responses 1!B:C""),2,FALSE),)"),"")</f>
        <v/>
      </c>
      <c r="D317" s="70" t="str">
        <f>IFERROR(__xludf.DUMMYFUNCTION("IFERROR(VLOOKUP(A317,IMPORTRANGE(""1StiHxuxrFhYdrq5WLR2JMORicW0TbnJf3J-oTHeMRtM"",""Form Responses 1!B:C""),2,FALSE),)"),"")</f>
        <v/>
      </c>
      <c r="E317" s="70" t="str">
        <f>IFERROR(__xludf.DUMMYFUNCTION("IFERROR(VLOOKUP(A317,IMPORTRANGE(""1QaxxyUjrDq2kgz300C1Bq1tacFk6e-xX218cSXCQUK0"",""Form Responses 1!B:C""),2,FALSE),)"),"")</f>
        <v/>
      </c>
      <c r="F317" s="70" t="str">
        <f>IFERROR(__xludf.DUMMYFUNCTION("IFERROR(VLOOKUP(A317,IMPORTRANGE(""1fn2ECph_y8Uz78DhjLaiXcwgt6kh3oe-0Le36Uw0noE"",""Form Responses 1!B:C""),2,FALSE),)"),"")</f>
        <v/>
      </c>
      <c r="G317" s="70"/>
      <c r="H317" s="70"/>
      <c r="I317" s="70"/>
      <c r="J317" s="70"/>
      <c r="K317" s="70"/>
      <c r="L317" s="70"/>
      <c r="M317" s="70"/>
      <c r="N317" s="70"/>
      <c r="O317" s="70"/>
      <c r="P317" s="70"/>
      <c r="Q317" s="70" t="str">
        <f>IFERROR(__xludf.DUMMYFUNCTION("IFERROR(IF(COUNTIF(IMPORTRANGE(""1WjiLR_MTMxI_IZUKuvPO4Sg2rTSIqBzP3edakSRXbOA"",""Form Responses 1!B:B""),F317)&gt;0,10,),0)"),"")</f>
        <v/>
      </c>
      <c r="R317" s="70" t="str">
        <f>IFERROR(__xludf.DUMMYFUNCTION("IFERROR(VLOOKUP(F317,IMPORTRANGE(""1Ixzbal5tEbtWhozsFEppQzOYE6ZSrkNXHg_HW5k3Wt4"",""Form Responses 1!B:C""),2,FALSE),)"),"")</f>
        <v/>
      </c>
      <c r="S317" s="70" t="str">
        <f>IFERROR(__xludf.DUMMYFUNCTION("IFERROR(VLOOKUP(F317,IMPORTRANGE(""1zxjtEKGvVIJPIDqZdnxENwVpPXYa88EihzyI44hcQUo"",""Form Responses 1!B:C""),2,FALSE),)"),"")</f>
        <v/>
      </c>
      <c r="T317" s="70" t="str">
        <f>IFERROR(__xludf.DUMMYFUNCTION("IFERROR(VLOOKUP(F317,IMPORTRANGE(""1H3cO01obd5zFULYqaT5NAqecZBFFIHeDFn4CeQLZF3w"",""Form Responses 1!B:C""),2,FALSE),)"),"")</f>
        <v/>
      </c>
      <c r="U317" s="70" t="str">
        <f>IFERROR(__xludf.DUMMYFUNCTION("IFERROR(IF(COUNTIF(IMPORTRANGE(""1IG9qoa6PeLdDDFzKpW39lxXshN0-M8Z25a_R1EpsYyg"",""Form Responses 1!B:B""),F317)&gt;0,10,),0)"),"")</f>
        <v/>
      </c>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row>
    <row r="318">
      <c r="B318" s="70" t="str">
        <f>IFERROR(__xludf.DUMMYFUNCTION("IFERROR(IF(COUNTIF(IMPORTRANGE(""1RTcwEJsI_0aJRebhNwO_H_AoKl9r46k7hWYbtciIyM4"",""Form Responses 1!B:B""),A318)&gt;0,10,),0)"),"")</f>
        <v/>
      </c>
      <c r="C318" s="70" t="str">
        <f>IFERROR(__xludf.DUMMYFUNCTION("IFERROR(VLOOKUP(A318,IMPORTRANGE(""11i8IUhq_U6RRKRV3CBWIKqYed_fMvFgNUHTq1YDJfp8"",""Form Responses 1!B:C""),2,FALSE),)"),"")</f>
        <v/>
      </c>
      <c r="D318" s="70" t="str">
        <f>IFERROR(__xludf.DUMMYFUNCTION("IFERROR(VLOOKUP(A318,IMPORTRANGE(""1StiHxuxrFhYdrq5WLR2JMORicW0TbnJf3J-oTHeMRtM"",""Form Responses 1!B:C""),2,FALSE),)"),"")</f>
        <v/>
      </c>
      <c r="E318" s="70" t="str">
        <f>IFERROR(__xludf.DUMMYFUNCTION("IFERROR(VLOOKUP(A318,IMPORTRANGE(""1QaxxyUjrDq2kgz300C1Bq1tacFk6e-xX218cSXCQUK0"",""Form Responses 1!B:C""),2,FALSE),)"),"")</f>
        <v/>
      </c>
      <c r="F318" s="70" t="str">
        <f>IFERROR(__xludf.DUMMYFUNCTION("IFERROR(VLOOKUP(A318,IMPORTRANGE(""1fn2ECph_y8Uz78DhjLaiXcwgt6kh3oe-0Le36Uw0noE"",""Form Responses 1!B:C""),2,FALSE),)"),"")</f>
        <v/>
      </c>
      <c r="G318" s="70"/>
      <c r="H318" s="70"/>
      <c r="I318" s="70"/>
      <c r="J318" s="70"/>
      <c r="K318" s="70"/>
      <c r="L318" s="70"/>
      <c r="M318" s="70"/>
      <c r="N318" s="70"/>
      <c r="O318" s="70"/>
      <c r="P318" s="70"/>
      <c r="Q318" s="70" t="str">
        <f>IFERROR(__xludf.DUMMYFUNCTION("IFERROR(IF(COUNTIF(IMPORTRANGE(""1WjiLR_MTMxI_IZUKuvPO4Sg2rTSIqBzP3edakSRXbOA"",""Form Responses 1!B:B""),F318)&gt;0,10,),0)"),"")</f>
        <v/>
      </c>
      <c r="R318" s="70" t="str">
        <f>IFERROR(__xludf.DUMMYFUNCTION("IFERROR(VLOOKUP(F318,IMPORTRANGE(""1Ixzbal5tEbtWhozsFEppQzOYE6ZSrkNXHg_HW5k3Wt4"",""Form Responses 1!B:C""),2,FALSE),)"),"")</f>
        <v/>
      </c>
      <c r="S318" s="70" t="str">
        <f>IFERROR(__xludf.DUMMYFUNCTION("IFERROR(VLOOKUP(F318,IMPORTRANGE(""1zxjtEKGvVIJPIDqZdnxENwVpPXYa88EihzyI44hcQUo"",""Form Responses 1!B:C""),2,FALSE),)"),"")</f>
        <v/>
      </c>
      <c r="T318" s="70" t="str">
        <f>IFERROR(__xludf.DUMMYFUNCTION("IFERROR(VLOOKUP(F318,IMPORTRANGE(""1H3cO01obd5zFULYqaT5NAqecZBFFIHeDFn4CeQLZF3w"",""Form Responses 1!B:C""),2,FALSE),)"),"")</f>
        <v/>
      </c>
      <c r="U318" s="70" t="str">
        <f>IFERROR(__xludf.DUMMYFUNCTION("IFERROR(IF(COUNTIF(IMPORTRANGE(""1IG9qoa6PeLdDDFzKpW39lxXshN0-M8Z25a_R1EpsYyg"",""Form Responses 1!B:B""),F318)&gt;0,10,),0)"),"")</f>
        <v/>
      </c>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row>
    <row r="319">
      <c r="B319" s="70" t="str">
        <f>IFERROR(__xludf.DUMMYFUNCTION("IFERROR(IF(COUNTIF(IMPORTRANGE(""1RTcwEJsI_0aJRebhNwO_H_AoKl9r46k7hWYbtciIyM4"",""Form Responses 1!B:B""),A319)&gt;0,10,),0)"),"")</f>
        <v/>
      </c>
      <c r="C319" s="70" t="str">
        <f>IFERROR(__xludf.DUMMYFUNCTION("IFERROR(VLOOKUP(A319,IMPORTRANGE(""11i8IUhq_U6RRKRV3CBWIKqYed_fMvFgNUHTq1YDJfp8"",""Form Responses 1!B:C""),2,FALSE),)"),"")</f>
        <v/>
      </c>
      <c r="D319" s="70" t="str">
        <f>IFERROR(__xludf.DUMMYFUNCTION("IFERROR(VLOOKUP(A319,IMPORTRANGE(""1StiHxuxrFhYdrq5WLR2JMORicW0TbnJf3J-oTHeMRtM"",""Form Responses 1!B:C""),2,FALSE),)"),"")</f>
        <v/>
      </c>
      <c r="E319" s="70" t="str">
        <f>IFERROR(__xludf.DUMMYFUNCTION("IFERROR(VLOOKUP(A319,IMPORTRANGE(""1QaxxyUjrDq2kgz300C1Bq1tacFk6e-xX218cSXCQUK0"",""Form Responses 1!B:C""),2,FALSE),)"),"")</f>
        <v/>
      </c>
      <c r="F319" s="70" t="str">
        <f>IFERROR(__xludf.DUMMYFUNCTION("IFERROR(VLOOKUP(A319,IMPORTRANGE(""1fn2ECph_y8Uz78DhjLaiXcwgt6kh3oe-0Le36Uw0noE"",""Form Responses 1!B:C""),2,FALSE),)"),"")</f>
        <v/>
      </c>
      <c r="G319" s="70"/>
      <c r="H319" s="70"/>
      <c r="I319" s="70"/>
      <c r="J319" s="70"/>
      <c r="K319" s="70"/>
      <c r="L319" s="70"/>
      <c r="M319" s="70"/>
      <c r="N319" s="70"/>
      <c r="O319" s="70"/>
      <c r="P319" s="70"/>
      <c r="Q319" s="70" t="str">
        <f>IFERROR(__xludf.DUMMYFUNCTION("IFERROR(IF(COUNTIF(IMPORTRANGE(""1WjiLR_MTMxI_IZUKuvPO4Sg2rTSIqBzP3edakSRXbOA"",""Form Responses 1!B:B""),F319)&gt;0,10,),0)"),"")</f>
        <v/>
      </c>
      <c r="R319" s="70" t="str">
        <f>IFERROR(__xludf.DUMMYFUNCTION("IFERROR(VLOOKUP(F319,IMPORTRANGE(""1Ixzbal5tEbtWhozsFEppQzOYE6ZSrkNXHg_HW5k3Wt4"",""Form Responses 1!B:C""),2,FALSE),)"),"")</f>
        <v/>
      </c>
      <c r="S319" s="70" t="str">
        <f>IFERROR(__xludf.DUMMYFUNCTION("IFERROR(VLOOKUP(F319,IMPORTRANGE(""1zxjtEKGvVIJPIDqZdnxENwVpPXYa88EihzyI44hcQUo"",""Form Responses 1!B:C""),2,FALSE),)"),"")</f>
        <v/>
      </c>
      <c r="T319" s="70" t="str">
        <f>IFERROR(__xludf.DUMMYFUNCTION("IFERROR(VLOOKUP(F319,IMPORTRANGE(""1H3cO01obd5zFULYqaT5NAqecZBFFIHeDFn4CeQLZF3w"",""Form Responses 1!B:C""),2,FALSE),)"),"")</f>
        <v/>
      </c>
      <c r="U319" s="70" t="str">
        <f>IFERROR(__xludf.DUMMYFUNCTION("IFERROR(IF(COUNTIF(IMPORTRANGE(""1IG9qoa6PeLdDDFzKpW39lxXshN0-M8Z25a_R1EpsYyg"",""Form Responses 1!B:B""),F319)&gt;0,10,),0)"),"")</f>
        <v/>
      </c>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row>
    <row r="320">
      <c r="B320" s="70" t="str">
        <f>IFERROR(__xludf.DUMMYFUNCTION("IFERROR(IF(COUNTIF(IMPORTRANGE(""1RTcwEJsI_0aJRebhNwO_H_AoKl9r46k7hWYbtciIyM4"",""Form Responses 1!B:B""),A320)&gt;0,10,),0)"),"")</f>
        <v/>
      </c>
      <c r="C320" s="70" t="str">
        <f>IFERROR(__xludf.DUMMYFUNCTION("IFERROR(VLOOKUP(A320,IMPORTRANGE(""11i8IUhq_U6RRKRV3CBWIKqYed_fMvFgNUHTq1YDJfp8"",""Form Responses 1!B:C""),2,FALSE),)"),"")</f>
        <v/>
      </c>
      <c r="D320" s="70" t="str">
        <f>IFERROR(__xludf.DUMMYFUNCTION("IFERROR(VLOOKUP(A320,IMPORTRANGE(""1StiHxuxrFhYdrq5WLR2JMORicW0TbnJf3J-oTHeMRtM"",""Form Responses 1!B:C""),2,FALSE),)"),"")</f>
        <v/>
      </c>
      <c r="E320" s="70" t="str">
        <f>IFERROR(__xludf.DUMMYFUNCTION("IFERROR(VLOOKUP(A320,IMPORTRANGE(""1QaxxyUjrDq2kgz300C1Bq1tacFk6e-xX218cSXCQUK0"",""Form Responses 1!B:C""),2,FALSE),)"),"")</f>
        <v/>
      </c>
      <c r="F320" s="70" t="str">
        <f>IFERROR(__xludf.DUMMYFUNCTION("IFERROR(VLOOKUP(A320,IMPORTRANGE(""1fn2ECph_y8Uz78DhjLaiXcwgt6kh3oe-0Le36Uw0noE"",""Form Responses 1!B:C""),2,FALSE),)"),"")</f>
        <v/>
      </c>
      <c r="G320" s="70"/>
      <c r="H320" s="70"/>
      <c r="I320" s="70"/>
      <c r="J320" s="70"/>
      <c r="K320" s="70"/>
      <c r="L320" s="70"/>
      <c r="M320" s="70"/>
      <c r="N320" s="70"/>
      <c r="O320" s="70"/>
      <c r="P320" s="70"/>
      <c r="Q320" s="70" t="str">
        <f>IFERROR(__xludf.DUMMYFUNCTION("IFERROR(IF(COUNTIF(IMPORTRANGE(""1WjiLR_MTMxI_IZUKuvPO4Sg2rTSIqBzP3edakSRXbOA"",""Form Responses 1!B:B""),F320)&gt;0,10,),0)"),"")</f>
        <v/>
      </c>
      <c r="R320" s="70" t="str">
        <f>IFERROR(__xludf.DUMMYFUNCTION("IFERROR(VLOOKUP(F320,IMPORTRANGE(""1Ixzbal5tEbtWhozsFEppQzOYE6ZSrkNXHg_HW5k3Wt4"",""Form Responses 1!B:C""),2,FALSE),)"),"")</f>
        <v/>
      </c>
      <c r="S320" s="70" t="str">
        <f>IFERROR(__xludf.DUMMYFUNCTION("IFERROR(VLOOKUP(F320,IMPORTRANGE(""1zxjtEKGvVIJPIDqZdnxENwVpPXYa88EihzyI44hcQUo"",""Form Responses 1!B:C""),2,FALSE),)"),"")</f>
        <v/>
      </c>
      <c r="T320" s="70" t="str">
        <f>IFERROR(__xludf.DUMMYFUNCTION("IFERROR(VLOOKUP(F320,IMPORTRANGE(""1H3cO01obd5zFULYqaT5NAqecZBFFIHeDFn4CeQLZF3w"",""Form Responses 1!B:C""),2,FALSE),)"),"")</f>
        <v/>
      </c>
      <c r="U320" s="70" t="str">
        <f>IFERROR(__xludf.DUMMYFUNCTION("IFERROR(IF(COUNTIF(IMPORTRANGE(""1IG9qoa6PeLdDDFzKpW39lxXshN0-M8Z25a_R1EpsYyg"",""Form Responses 1!B:B""),F320)&gt;0,10,),0)"),"")</f>
        <v/>
      </c>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row>
    <row r="321">
      <c r="B321" s="70" t="str">
        <f>IFERROR(__xludf.DUMMYFUNCTION("IFERROR(IF(COUNTIF(IMPORTRANGE(""1RTcwEJsI_0aJRebhNwO_H_AoKl9r46k7hWYbtciIyM4"",""Form Responses 1!B:B""),A321)&gt;0,10,),0)"),"")</f>
        <v/>
      </c>
      <c r="C321" s="70" t="str">
        <f>IFERROR(__xludf.DUMMYFUNCTION("IFERROR(VLOOKUP(A321,IMPORTRANGE(""11i8IUhq_U6RRKRV3CBWIKqYed_fMvFgNUHTq1YDJfp8"",""Form Responses 1!B:C""),2,FALSE),)"),"")</f>
        <v/>
      </c>
      <c r="D321" s="70" t="str">
        <f>IFERROR(__xludf.DUMMYFUNCTION("IFERROR(VLOOKUP(A321,IMPORTRANGE(""1StiHxuxrFhYdrq5WLR2JMORicW0TbnJf3J-oTHeMRtM"",""Form Responses 1!B:C""),2,FALSE),)"),"")</f>
        <v/>
      </c>
      <c r="E321" s="70" t="str">
        <f>IFERROR(__xludf.DUMMYFUNCTION("IFERROR(VLOOKUP(A321,IMPORTRANGE(""1QaxxyUjrDq2kgz300C1Bq1tacFk6e-xX218cSXCQUK0"",""Form Responses 1!B:C""),2,FALSE),)"),"")</f>
        <v/>
      </c>
      <c r="F321" s="70" t="str">
        <f>IFERROR(__xludf.DUMMYFUNCTION("IFERROR(VLOOKUP(A321,IMPORTRANGE(""1fn2ECph_y8Uz78DhjLaiXcwgt6kh3oe-0Le36Uw0noE"",""Form Responses 1!B:C""),2,FALSE),)"),"")</f>
        <v/>
      </c>
      <c r="G321" s="70"/>
      <c r="H321" s="70"/>
      <c r="I321" s="70"/>
      <c r="J321" s="70"/>
      <c r="K321" s="70"/>
      <c r="L321" s="70"/>
      <c r="M321" s="70"/>
      <c r="N321" s="70"/>
      <c r="O321" s="70"/>
      <c r="P321" s="70"/>
      <c r="Q321" s="70" t="str">
        <f>IFERROR(__xludf.DUMMYFUNCTION("IFERROR(IF(COUNTIF(IMPORTRANGE(""1WjiLR_MTMxI_IZUKuvPO4Sg2rTSIqBzP3edakSRXbOA"",""Form Responses 1!B:B""),F321)&gt;0,10,),0)"),"")</f>
        <v/>
      </c>
      <c r="R321" s="70" t="str">
        <f>IFERROR(__xludf.DUMMYFUNCTION("IFERROR(VLOOKUP(F321,IMPORTRANGE(""1Ixzbal5tEbtWhozsFEppQzOYE6ZSrkNXHg_HW5k3Wt4"",""Form Responses 1!B:C""),2,FALSE),)"),"")</f>
        <v/>
      </c>
      <c r="S321" s="70" t="str">
        <f>IFERROR(__xludf.DUMMYFUNCTION("IFERROR(VLOOKUP(F321,IMPORTRANGE(""1zxjtEKGvVIJPIDqZdnxENwVpPXYa88EihzyI44hcQUo"",""Form Responses 1!B:C""),2,FALSE),)"),"")</f>
        <v/>
      </c>
      <c r="T321" s="70" t="str">
        <f>IFERROR(__xludf.DUMMYFUNCTION("IFERROR(VLOOKUP(F321,IMPORTRANGE(""1H3cO01obd5zFULYqaT5NAqecZBFFIHeDFn4CeQLZF3w"",""Form Responses 1!B:C""),2,FALSE),)"),"")</f>
        <v/>
      </c>
      <c r="U321" s="70" t="str">
        <f>IFERROR(__xludf.DUMMYFUNCTION("IFERROR(IF(COUNTIF(IMPORTRANGE(""1IG9qoa6PeLdDDFzKpW39lxXshN0-M8Z25a_R1EpsYyg"",""Form Responses 1!B:B""),F321)&gt;0,10,),0)"),"")</f>
        <v/>
      </c>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row>
    <row r="322">
      <c r="B322" s="70" t="str">
        <f>IFERROR(__xludf.DUMMYFUNCTION("IFERROR(IF(COUNTIF(IMPORTRANGE(""1RTcwEJsI_0aJRebhNwO_H_AoKl9r46k7hWYbtciIyM4"",""Form Responses 1!B:B""),A322)&gt;0,10,),0)"),"")</f>
        <v/>
      </c>
      <c r="C322" s="70" t="str">
        <f>IFERROR(__xludf.DUMMYFUNCTION("IFERROR(VLOOKUP(A322,IMPORTRANGE(""11i8IUhq_U6RRKRV3CBWIKqYed_fMvFgNUHTq1YDJfp8"",""Form Responses 1!B:C""),2,FALSE),)"),"")</f>
        <v/>
      </c>
      <c r="D322" s="70" t="str">
        <f>IFERROR(__xludf.DUMMYFUNCTION("IFERROR(VLOOKUP(A322,IMPORTRANGE(""1StiHxuxrFhYdrq5WLR2JMORicW0TbnJf3J-oTHeMRtM"",""Form Responses 1!B:C""),2,FALSE),)"),"")</f>
        <v/>
      </c>
      <c r="E322" s="70" t="str">
        <f>IFERROR(__xludf.DUMMYFUNCTION("IFERROR(VLOOKUP(A322,IMPORTRANGE(""1QaxxyUjrDq2kgz300C1Bq1tacFk6e-xX218cSXCQUK0"",""Form Responses 1!B:C""),2,FALSE),)"),"")</f>
        <v/>
      </c>
      <c r="F322" s="70" t="str">
        <f>IFERROR(__xludf.DUMMYFUNCTION("IFERROR(VLOOKUP(A322,IMPORTRANGE(""1fn2ECph_y8Uz78DhjLaiXcwgt6kh3oe-0Le36Uw0noE"",""Form Responses 1!B:C""),2,FALSE),)"),"")</f>
        <v/>
      </c>
      <c r="G322" s="70"/>
      <c r="H322" s="70"/>
      <c r="I322" s="70"/>
      <c r="J322" s="70"/>
      <c r="K322" s="70"/>
      <c r="L322" s="70"/>
      <c r="M322" s="70"/>
      <c r="N322" s="70"/>
      <c r="O322" s="70"/>
      <c r="P322" s="70"/>
      <c r="Q322" s="70" t="str">
        <f>IFERROR(__xludf.DUMMYFUNCTION("IFERROR(IF(COUNTIF(IMPORTRANGE(""1WjiLR_MTMxI_IZUKuvPO4Sg2rTSIqBzP3edakSRXbOA"",""Form Responses 1!B:B""),F322)&gt;0,10,),0)"),"")</f>
        <v/>
      </c>
      <c r="R322" s="70" t="str">
        <f>IFERROR(__xludf.DUMMYFUNCTION("IFERROR(VLOOKUP(F322,IMPORTRANGE(""1Ixzbal5tEbtWhozsFEppQzOYE6ZSrkNXHg_HW5k3Wt4"",""Form Responses 1!B:C""),2,FALSE),)"),"")</f>
        <v/>
      </c>
      <c r="S322" s="70" t="str">
        <f>IFERROR(__xludf.DUMMYFUNCTION("IFERROR(VLOOKUP(F322,IMPORTRANGE(""1zxjtEKGvVIJPIDqZdnxENwVpPXYa88EihzyI44hcQUo"",""Form Responses 1!B:C""),2,FALSE),)"),"")</f>
        <v/>
      </c>
      <c r="T322" s="70" t="str">
        <f>IFERROR(__xludf.DUMMYFUNCTION("IFERROR(VLOOKUP(F322,IMPORTRANGE(""1H3cO01obd5zFULYqaT5NAqecZBFFIHeDFn4CeQLZF3w"",""Form Responses 1!B:C""),2,FALSE),)"),"")</f>
        <v/>
      </c>
      <c r="U322" s="70" t="str">
        <f>IFERROR(__xludf.DUMMYFUNCTION("IFERROR(IF(COUNTIF(IMPORTRANGE(""1IG9qoa6PeLdDDFzKpW39lxXshN0-M8Z25a_R1EpsYyg"",""Form Responses 1!B:B""),F322)&gt;0,10,),0)"),"")</f>
        <v/>
      </c>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row>
    <row r="323">
      <c r="B323" s="70" t="str">
        <f>IFERROR(__xludf.DUMMYFUNCTION("IFERROR(IF(COUNTIF(IMPORTRANGE(""1RTcwEJsI_0aJRebhNwO_H_AoKl9r46k7hWYbtciIyM4"",""Form Responses 1!B:B""),A323)&gt;0,10,),0)"),"")</f>
        <v/>
      </c>
      <c r="C323" s="70" t="str">
        <f>IFERROR(__xludf.DUMMYFUNCTION("IFERROR(VLOOKUP(A323,IMPORTRANGE(""11i8IUhq_U6RRKRV3CBWIKqYed_fMvFgNUHTq1YDJfp8"",""Form Responses 1!B:C""),2,FALSE),)"),"")</f>
        <v/>
      </c>
      <c r="D323" s="70" t="str">
        <f>IFERROR(__xludf.DUMMYFUNCTION("IFERROR(VLOOKUP(A323,IMPORTRANGE(""1StiHxuxrFhYdrq5WLR2JMORicW0TbnJf3J-oTHeMRtM"",""Form Responses 1!B:C""),2,FALSE),)"),"")</f>
        <v/>
      </c>
      <c r="E323" s="70" t="str">
        <f>IFERROR(__xludf.DUMMYFUNCTION("IFERROR(VLOOKUP(A323,IMPORTRANGE(""1QaxxyUjrDq2kgz300C1Bq1tacFk6e-xX218cSXCQUK0"",""Form Responses 1!B:C""),2,FALSE),)"),"")</f>
        <v/>
      </c>
      <c r="F323" s="70" t="str">
        <f>IFERROR(__xludf.DUMMYFUNCTION("IFERROR(VLOOKUP(A323,IMPORTRANGE(""1fn2ECph_y8Uz78DhjLaiXcwgt6kh3oe-0Le36Uw0noE"",""Form Responses 1!B:C""),2,FALSE),)"),"")</f>
        <v/>
      </c>
      <c r="G323" s="70"/>
      <c r="H323" s="70"/>
      <c r="I323" s="70"/>
      <c r="J323" s="70"/>
      <c r="K323" s="70"/>
      <c r="L323" s="70"/>
      <c r="M323" s="70"/>
      <c r="N323" s="70"/>
      <c r="O323" s="70"/>
      <c r="P323" s="70"/>
      <c r="Q323" s="70" t="str">
        <f>IFERROR(__xludf.DUMMYFUNCTION("IFERROR(IF(COUNTIF(IMPORTRANGE(""1WjiLR_MTMxI_IZUKuvPO4Sg2rTSIqBzP3edakSRXbOA"",""Form Responses 1!B:B""),F323)&gt;0,10,),0)"),"")</f>
        <v/>
      </c>
      <c r="R323" s="70" t="str">
        <f>IFERROR(__xludf.DUMMYFUNCTION("IFERROR(VLOOKUP(F323,IMPORTRANGE(""1Ixzbal5tEbtWhozsFEppQzOYE6ZSrkNXHg_HW5k3Wt4"",""Form Responses 1!B:C""),2,FALSE),)"),"")</f>
        <v/>
      </c>
      <c r="S323" s="70" t="str">
        <f>IFERROR(__xludf.DUMMYFUNCTION("IFERROR(VLOOKUP(F323,IMPORTRANGE(""1zxjtEKGvVIJPIDqZdnxENwVpPXYa88EihzyI44hcQUo"",""Form Responses 1!B:C""),2,FALSE),)"),"")</f>
        <v/>
      </c>
      <c r="T323" s="70" t="str">
        <f>IFERROR(__xludf.DUMMYFUNCTION("IFERROR(VLOOKUP(F323,IMPORTRANGE(""1H3cO01obd5zFULYqaT5NAqecZBFFIHeDFn4CeQLZF3w"",""Form Responses 1!B:C""),2,FALSE),)"),"")</f>
        <v/>
      </c>
      <c r="U323" s="70" t="str">
        <f>IFERROR(__xludf.DUMMYFUNCTION("IFERROR(IF(COUNTIF(IMPORTRANGE(""1IG9qoa6PeLdDDFzKpW39lxXshN0-M8Z25a_R1EpsYyg"",""Form Responses 1!B:B""),F323)&gt;0,10,),0)"),"")</f>
        <v/>
      </c>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row>
    <row r="324">
      <c r="B324" s="70" t="str">
        <f>IFERROR(__xludf.DUMMYFUNCTION("IFERROR(IF(COUNTIF(IMPORTRANGE(""1RTcwEJsI_0aJRebhNwO_H_AoKl9r46k7hWYbtciIyM4"",""Form Responses 1!B:B""),A324)&gt;0,10,),0)"),"")</f>
        <v/>
      </c>
      <c r="C324" s="70" t="str">
        <f>IFERROR(__xludf.DUMMYFUNCTION("IFERROR(VLOOKUP(A324,IMPORTRANGE(""11i8IUhq_U6RRKRV3CBWIKqYed_fMvFgNUHTq1YDJfp8"",""Form Responses 1!B:C""),2,FALSE),)"),"")</f>
        <v/>
      </c>
      <c r="D324" s="70" t="str">
        <f>IFERROR(__xludf.DUMMYFUNCTION("IFERROR(VLOOKUP(A324,IMPORTRANGE(""1StiHxuxrFhYdrq5WLR2JMORicW0TbnJf3J-oTHeMRtM"",""Form Responses 1!B:C""),2,FALSE),)"),"")</f>
        <v/>
      </c>
      <c r="E324" s="70" t="str">
        <f>IFERROR(__xludf.DUMMYFUNCTION("IFERROR(VLOOKUP(A324,IMPORTRANGE(""1QaxxyUjrDq2kgz300C1Bq1tacFk6e-xX218cSXCQUK0"",""Form Responses 1!B:C""),2,FALSE),)"),"")</f>
        <v/>
      </c>
      <c r="F324" s="70" t="str">
        <f>IFERROR(__xludf.DUMMYFUNCTION("IFERROR(VLOOKUP(A324,IMPORTRANGE(""1fn2ECph_y8Uz78DhjLaiXcwgt6kh3oe-0Le36Uw0noE"",""Form Responses 1!B:C""),2,FALSE),)"),"")</f>
        <v/>
      </c>
      <c r="G324" s="70"/>
      <c r="H324" s="70"/>
      <c r="I324" s="70"/>
      <c r="J324" s="70"/>
      <c r="K324" s="70"/>
      <c r="L324" s="70"/>
      <c r="M324" s="70"/>
      <c r="N324" s="70"/>
      <c r="O324" s="70"/>
      <c r="P324" s="70"/>
      <c r="Q324" s="70" t="str">
        <f>IFERROR(__xludf.DUMMYFUNCTION("IFERROR(IF(COUNTIF(IMPORTRANGE(""1WjiLR_MTMxI_IZUKuvPO4Sg2rTSIqBzP3edakSRXbOA"",""Form Responses 1!B:B""),F324)&gt;0,10,),0)"),"")</f>
        <v/>
      </c>
      <c r="R324" s="70" t="str">
        <f>IFERROR(__xludf.DUMMYFUNCTION("IFERROR(VLOOKUP(F324,IMPORTRANGE(""1Ixzbal5tEbtWhozsFEppQzOYE6ZSrkNXHg_HW5k3Wt4"",""Form Responses 1!B:C""),2,FALSE),)"),"")</f>
        <v/>
      </c>
      <c r="S324" s="70" t="str">
        <f>IFERROR(__xludf.DUMMYFUNCTION("IFERROR(VLOOKUP(F324,IMPORTRANGE(""1zxjtEKGvVIJPIDqZdnxENwVpPXYa88EihzyI44hcQUo"",""Form Responses 1!B:C""),2,FALSE),)"),"")</f>
        <v/>
      </c>
      <c r="T324" s="70" t="str">
        <f>IFERROR(__xludf.DUMMYFUNCTION("IFERROR(VLOOKUP(F324,IMPORTRANGE(""1H3cO01obd5zFULYqaT5NAqecZBFFIHeDFn4CeQLZF3w"",""Form Responses 1!B:C""),2,FALSE),)"),"")</f>
        <v/>
      </c>
      <c r="U324" s="70" t="str">
        <f>IFERROR(__xludf.DUMMYFUNCTION("IFERROR(IF(COUNTIF(IMPORTRANGE(""1IG9qoa6PeLdDDFzKpW39lxXshN0-M8Z25a_R1EpsYyg"",""Form Responses 1!B:B""),F324)&gt;0,10,),0)"),"")</f>
        <v/>
      </c>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row>
    <row r="325">
      <c r="B325" s="70" t="str">
        <f>IFERROR(__xludf.DUMMYFUNCTION("IFERROR(IF(COUNTIF(IMPORTRANGE(""1RTcwEJsI_0aJRebhNwO_H_AoKl9r46k7hWYbtciIyM4"",""Form Responses 1!B:B""),A325)&gt;0,10,),0)"),"")</f>
        <v/>
      </c>
      <c r="C325" s="70" t="str">
        <f>IFERROR(__xludf.DUMMYFUNCTION("IFERROR(VLOOKUP(A325,IMPORTRANGE(""11i8IUhq_U6RRKRV3CBWIKqYed_fMvFgNUHTq1YDJfp8"",""Form Responses 1!B:C""),2,FALSE),)"),"")</f>
        <v/>
      </c>
      <c r="D325" s="70" t="str">
        <f>IFERROR(__xludf.DUMMYFUNCTION("IFERROR(VLOOKUP(A325,IMPORTRANGE(""1StiHxuxrFhYdrq5WLR2JMORicW0TbnJf3J-oTHeMRtM"",""Form Responses 1!B:C""),2,FALSE),)"),"")</f>
        <v/>
      </c>
      <c r="E325" s="70" t="str">
        <f>IFERROR(__xludf.DUMMYFUNCTION("IFERROR(VLOOKUP(A325,IMPORTRANGE(""1QaxxyUjrDq2kgz300C1Bq1tacFk6e-xX218cSXCQUK0"",""Form Responses 1!B:C""),2,FALSE),)"),"")</f>
        <v/>
      </c>
      <c r="F325" s="70" t="str">
        <f>IFERROR(__xludf.DUMMYFUNCTION("IFERROR(VLOOKUP(A325,IMPORTRANGE(""1fn2ECph_y8Uz78DhjLaiXcwgt6kh3oe-0Le36Uw0noE"",""Form Responses 1!B:C""),2,FALSE),)"),"")</f>
        <v/>
      </c>
      <c r="G325" s="70"/>
      <c r="H325" s="70"/>
      <c r="I325" s="70"/>
      <c r="J325" s="70"/>
      <c r="K325" s="70"/>
      <c r="L325" s="70"/>
      <c r="M325" s="70"/>
      <c r="N325" s="70"/>
      <c r="O325" s="70"/>
      <c r="P325" s="70"/>
      <c r="Q325" s="70" t="str">
        <f>IFERROR(__xludf.DUMMYFUNCTION("IFERROR(IF(COUNTIF(IMPORTRANGE(""1WjiLR_MTMxI_IZUKuvPO4Sg2rTSIqBzP3edakSRXbOA"",""Form Responses 1!B:B""),F325)&gt;0,10,),0)"),"")</f>
        <v/>
      </c>
      <c r="R325" s="70" t="str">
        <f>IFERROR(__xludf.DUMMYFUNCTION("IFERROR(VLOOKUP(F325,IMPORTRANGE(""1Ixzbal5tEbtWhozsFEppQzOYE6ZSrkNXHg_HW5k3Wt4"",""Form Responses 1!B:C""),2,FALSE),)"),"")</f>
        <v/>
      </c>
      <c r="S325" s="70" t="str">
        <f>IFERROR(__xludf.DUMMYFUNCTION("IFERROR(VLOOKUP(F325,IMPORTRANGE(""1zxjtEKGvVIJPIDqZdnxENwVpPXYa88EihzyI44hcQUo"",""Form Responses 1!B:C""),2,FALSE),)"),"")</f>
        <v/>
      </c>
      <c r="T325" s="70" t="str">
        <f>IFERROR(__xludf.DUMMYFUNCTION("IFERROR(VLOOKUP(F325,IMPORTRANGE(""1H3cO01obd5zFULYqaT5NAqecZBFFIHeDFn4CeQLZF3w"",""Form Responses 1!B:C""),2,FALSE),)"),"")</f>
        <v/>
      </c>
      <c r="U325" s="70" t="str">
        <f>IFERROR(__xludf.DUMMYFUNCTION("IFERROR(IF(COUNTIF(IMPORTRANGE(""1IG9qoa6PeLdDDFzKpW39lxXshN0-M8Z25a_R1EpsYyg"",""Form Responses 1!B:B""),F325)&gt;0,10,),0)"),"")</f>
        <v/>
      </c>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row>
    <row r="326">
      <c r="B326" s="70" t="str">
        <f>IFERROR(__xludf.DUMMYFUNCTION("IFERROR(IF(COUNTIF(IMPORTRANGE(""1RTcwEJsI_0aJRebhNwO_H_AoKl9r46k7hWYbtciIyM4"",""Form Responses 1!B:B""),A326)&gt;0,10,),0)"),"")</f>
        <v/>
      </c>
      <c r="C326" s="70" t="str">
        <f>IFERROR(__xludf.DUMMYFUNCTION("IFERROR(VLOOKUP(A326,IMPORTRANGE(""11i8IUhq_U6RRKRV3CBWIKqYed_fMvFgNUHTq1YDJfp8"",""Form Responses 1!B:C""),2,FALSE),)"),"")</f>
        <v/>
      </c>
      <c r="D326" s="70" t="str">
        <f>IFERROR(__xludf.DUMMYFUNCTION("IFERROR(VLOOKUP(A326,IMPORTRANGE(""1StiHxuxrFhYdrq5WLR2JMORicW0TbnJf3J-oTHeMRtM"",""Form Responses 1!B:C""),2,FALSE),)"),"")</f>
        <v/>
      </c>
      <c r="E326" s="70" t="str">
        <f>IFERROR(__xludf.DUMMYFUNCTION("IFERROR(VLOOKUP(A326,IMPORTRANGE(""1QaxxyUjrDq2kgz300C1Bq1tacFk6e-xX218cSXCQUK0"",""Form Responses 1!B:C""),2,FALSE),)"),"")</f>
        <v/>
      </c>
      <c r="F326" s="70" t="str">
        <f>IFERROR(__xludf.DUMMYFUNCTION("IFERROR(VLOOKUP(A326,IMPORTRANGE(""1fn2ECph_y8Uz78DhjLaiXcwgt6kh3oe-0Le36Uw0noE"",""Form Responses 1!B:C""),2,FALSE),)"),"")</f>
        <v/>
      </c>
      <c r="G326" s="70"/>
      <c r="H326" s="70"/>
      <c r="I326" s="70"/>
      <c r="J326" s="70"/>
      <c r="K326" s="70"/>
      <c r="L326" s="70"/>
      <c r="M326" s="70"/>
      <c r="N326" s="70"/>
      <c r="O326" s="70"/>
      <c r="P326" s="70"/>
      <c r="Q326" s="70" t="str">
        <f>IFERROR(__xludf.DUMMYFUNCTION("IFERROR(IF(COUNTIF(IMPORTRANGE(""1WjiLR_MTMxI_IZUKuvPO4Sg2rTSIqBzP3edakSRXbOA"",""Form Responses 1!B:B""),F326)&gt;0,10,),0)"),"")</f>
        <v/>
      </c>
      <c r="R326" s="70" t="str">
        <f>IFERROR(__xludf.DUMMYFUNCTION("IFERROR(VLOOKUP(F326,IMPORTRANGE(""1Ixzbal5tEbtWhozsFEppQzOYE6ZSrkNXHg_HW5k3Wt4"",""Form Responses 1!B:C""),2,FALSE),)"),"")</f>
        <v/>
      </c>
      <c r="S326" s="70" t="str">
        <f>IFERROR(__xludf.DUMMYFUNCTION("IFERROR(VLOOKUP(F326,IMPORTRANGE(""1zxjtEKGvVIJPIDqZdnxENwVpPXYa88EihzyI44hcQUo"",""Form Responses 1!B:C""),2,FALSE),)"),"")</f>
        <v/>
      </c>
      <c r="T326" s="70" t="str">
        <f>IFERROR(__xludf.DUMMYFUNCTION("IFERROR(VLOOKUP(F326,IMPORTRANGE(""1H3cO01obd5zFULYqaT5NAqecZBFFIHeDFn4CeQLZF3w"",""Form Responses 1!B:C""),2,FALSE),)"),"")</f>
        <v/>
      </c>
      <c r="U326" s="70" t="str">
        <f>IFERROR(__xludf.DUMMYFUNCTION("IFERROR(IF(COUNTIF(IMPORTRANGE(""1IG9qoa6PeLdDDFzKpW39lxXshN0-M8Z25a_R1EpsYyg"",""Form Responses 1!B:B""),F326)&gt;0,10,),0)"),"")</f>
        <v/>
      </c>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row>
    <row r="327">
      <c r="B327" s="70" t="str">
        <f>IFERROR(__xludf.DUMMYFUNCTION("IFERROR(IF(COUNTIF(IMPORTRANGE(""1RTcwEJsI_0aJRebhNwO_H_AoKl9r46k7hWYbtciIyM4"",""Form Responses 1!B:B""),A327)&gt;0,10,),0)"),"")</f>
        <v/>
      </c>
      <c r="C327" s="70" t="str">
        <f>IFERROR(__xludf.DUMMYFUNCTION("IFERROR(VLOOKUP(A327,IMPORTRANGE(""11i8IUhq_U6RRKRV3CBWIKqYed_fMvFgNUHTq1YDJfp8"",""Form Responses 1!B:C""),2,FALSE),)"),"")</f>
        <v/>
      </c>
      <c r="D327" s="70" t="str">
        <f>IFERROR(__xludf.DUMMYFUNCTION("IFERROR(VLOOKUP(A327,IMPORTRANGE(""1StiHxuxrFhYdrq5WLR2JMORicW0TbnJf3J-oTHeMRtM"",""Form Responses 1!B:C""),2,FALSE),)"),"")</f>
        <v/>
      </c>
      <c r="E327" s="70" t="str">
        <f>IFERROR(__xludf.DUMMYFUNCTION("IFERROR(VLOOKUP(A327,IMPORTRANGE(""1QaxxyUjrDq2kgz300C1Bq1tacFk6e-xX218cSXCQUK0"",""Form Responses 1!B:C""),2,FALSE),)"),"")</f>
        <v/>
      </c>
      <c r="F327" s="70" t="str">
        <f>IFERROR(__xludf.DUMMYFUNCTION("IFERROR(VLOOKUP(A327,IMPORTRANGE(""1fn2ECph_y8Uz78DhjLaiXcwgt6kh3oe-0Le36Uw0noE"",""Form Responses 1!B:C""),2,FALSE),)"),"")</f>
        <v/>
      </c>
      <c r="G327" s="70"/>
      <c r="H327" s="70"/>
      <c r="I327" s="70"/>
      <c r="J327" s="70"/>
      <c r="K327" s="70"/>
      <c r="L327" s="70"/>
      <c r="M327" s="70"/>
      <c r="N327" s="70"/>
      <c r="O327" s="70"/>
      <c r="P327" s="70"/>
      <c r="Q327" s="70" t="str">
        <f>IFERROR(__xludf.DUMMYFUNCTION("IFERROR(IF(COUNTIF(IMPORTRANGE(""1WjiLR_MTMxI_IZUKuvPO4Sg2rTSIqBzP3edakSRXbOA"",""Form Responses 1!B:B""),F327)&gt;0,10,),0)"),"")</f>
        <v/>
      </c>
      <c r="R327" s="70" t="str">
        <f>IFERROR(__xludf.DUMMYFUNCTION("IFERROR(VLOOKUP(F327,IMPORTRANGE(""1Ixzbal5tEbtWhozsFEppQzOYE6ZSrkNXHg_HW5k3Wt4"",""Form Responses 1!B:C""),2,FALSE),)"),"")</f>
        <v/>
      </c>
      <c r="S327" s="70" t="str">
        <f>IFERROR(__xludf.DUMMYFUNCTION("IFERROR(VLOOKUP(F327,IMPORTRANGE(""1zxjtEKGvVIJPIDqZdnxENwVpPXYa88EihzyI44hcQUo"",""Form Responses 1!B:C""),2,FALSE),)"),"")</f>
        <v/>
      </c>
      <c r="T327" s="70" t="str">
        <f>IFERROR(__xludf.DUMMYFUNCTION("IFERROR(VLOOKUP(F327,IMPORTRANGE(""1H3cO01obd5zFULYqaT5NAqecZBFFIHeDFn4CeQLZF3w"",""Form Responses 1!B:C""),2,FALSE),)"),"")</f>
        <v/>
      </c>
      <c r="U327" s="70" t="str">
        <f>IFERROR(__xludf.DUMMYFUNCTION("IFERROR(IF(COUNTIF(IMPORTRANGE(""1IG9qoa6PeLdDDFzKpW39lxXshN0-M8Z25a_R1EpsYyg"",""Form Responses 1!B:B""),F327)&gt;0,10,),0)"),"")</f>
        <v/>
      </c>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row>
    <row r="328">
      <c r="B328" s="70" t="str">
        <f>IFERROR(__xludf.DUMMYFUNCTION("IFERROR(IF(COUNTIF(IMPORTRANGE(""1RTcwEJsI_0aJRebhNwO_H_AoKl9r46k7hWYbtciIyM4"",""Form Responses 1!B:B""),A328)&gt;0,10,),0)"),"")</f>
        <v/>
      </c>
      <c r="C328" s="70" t="str">
        <f>IFERROR(__xludf.DUMMYFUNCTION("IFERROR(VLOOKUP(A328,IMPORTRANGE(""11i8IUhq_U6RRKRV3CBWIKqYed_fMvFgNUHTq1YDJfp8"",""Form Responses 1!B:C""),2,FALSE),)"),"")</f>
        <v/>
      </c>
      <c r="D328" s="70" t="str">
        <f>IFERROR(__xludf.DUMMYFUNCTION("IFERROR(VLOOKUP(A328,IMPORTRANGE(""1StiHxuxrFhYdrq5WLR2JMORicW0TbnJf3J-oTHeMRtM"",""Form Responses 1!B:C""),2,FALSE),)"),"")</f>
        <v/>
      </c>
      <c r="E328" s="70" t="str">
        <f>IFERROR(__xludf.DUMMYFUNCTION("IFERROR(VLOOKUP(A328,IMPORTRANGE(""1QaxxyUjrDq2kgz300C1Bq1tacFk6e-xX218cSXCQUK0"",""Form Responses 1!B:C""),2,FALSE),)"),"")</f>
        <v/>
      </c>
      <c r="F328" s="70" t="str">
        <f>IFERROR(__xludf.DUMMYFUNCTION("IFERROR(VLOOKUP(A328,IMPORTRANGE(""1fn2ECph_y8Uz78DhjLaiXcwgt6kh3oe-0Le36Uw0noE"",""Form Responses 1!B:C""),2,FALSE),)"),"")</f>
        <v/>
      </c>
      <c r="G328" s="70"/>
      <c r="H328" s="70"/>
      <c r="I328" s="70"/>
      <c r="J328" s="70"/>
      <c r="K328" s="70"/>
      <c r="L328" s="70"/>
      <c r="M328" s="70"/>
      <c r="N328" s="70"/>
      <c r="O328" s="70"/>
      <c r="P328" s="70"/>
      <c r="Q328" s="70" t="str">
        <f>IFERROR(__xludf.DUMMYFUNCTION("IFERROR(IF(COUNTIF(IMPORTRANGE(""1WjiLR_MTMxI_IZUKuvPO4Sg2rTSIqBzP3edakSRXbOA"",""Form Responses 1!B:B""),F328)&gt;0,10,),0)"),"")</f>
        <v/>
      </c>
      <c r="R328" s="70" t="str">
        <f>IFERROR(__xludf.DUMMYFUNCTION("IFERROR(VLOOKUP(F328,IMPORTRANGE(""1Ixzbal5tEbtWhozsFEppQzOYE6ZSrkNXHg_HW5k3Wt4"",""Form Responses 1!B:C""),2,FALSE),)"),"")</f>
        <v/>
      </c>
      <c r="S328" s="70" t="str">
        <f>IFERROR(__xludf.DUMMYFUNCTION("IFERROR(VLOOKUP(F328,IMPORTRANGE(""1zxjtEKGvVIJPIDqZdnxENwVpPXYa88EihzyI44hcQUo"",""Form Responses 1!B:C""),2,FALSE),)"),"")</f>
        <v/>
      </c>
      <c r="T328" s="70" t="str">
        <f>IFERROR(__xludf.DUMMYFUNCTION("IFERROR(VLOOKUP(F328,IMPORTRANGE(""1H3cO01obd5zFULYqaT5NAqecZBFFIHeDFn4CeQLZF3w"",""Form Responses 1!B:C""),2,FALSE),)"),"")</f>
        <v/>
      </c>
      <c r="U328" s="70" t="str">
        <f>IFERROR(__xludf.DUMMYFUNCTION("IFERROR(IF(COUNTIF(IMPORTRANGE(""1IG9qoa6PeLdDDFzKpW39lxXshN0-M8Z25a_R1EpsYyg"",""Form Responses 1!B:B""),F328)&gt;0,10,),0)"),"")</f>
        <v/>
      </c>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row>
    <row r="329">
      <c r="B329" s="70" t="str">
        <f>IFERROR(__xludf.DUMMYFUNCTION("IFERROR(IF(COUNTIF(IMPORTRANGE(""1RTcwEJsI_0aJRebhNwO_H_AoKl9r46k7hWYbtciIyM4"",""Form Responses 1!B:B""),A329)&gt;0,10,),0)"),"")</f>
        <v/>
      </c>
      <c r="C329" s="70" t="str">
        <f>IFERROR(__xludf.DUMMYFUNCTION("IFERROR(VLOOKUP(A329,IMPORTRANGE(""11i8IUhq_U6RRKRV3CBWIKqYed_fMvFgNUHTq1YDJfp8"",""Form Responses 1!B:C""),2,FALSE),)"),"")</f>
        <v/>
      </c>
      <c r="D329" s="70" t="str">
        <f>IFERROR(__xludf.DUMMYFUNCTION("IFERROR(VLOOKUP(A329,IMPORTRANGE(""1StiHxuxrFhYdrq5WLR2JMORicW0TbnJf3J-oTHeMRtM"",""Form Responses 1!B:C""),2,FALSE),)"),"")</f>
        <v/>
      </c>
      <c r="E329" s="70" t="str">
        <f>IFERROR(__xludf.DUMMYFUNCTION("IFERROR(VLOOKUP(A329,IMPORTRANGE(""1QaxxyUjrDq2kgz300C1Bq1tacFk6e-xX218cSXCQUK0"",""Form Responses 1!B:C""),2,FALSE),)"),"")</f>
        <v/>
      </c>
      <c r="F329" s="70" t="str">
        <f>IFERROR(__xludf.DUMMYFUNCTION("IFERROR(VLOOKUP(A329,IMPORTRANGE(""1fn2ECph_y8Uz78DhjLaiXcwgt6kh3oe-0Le36Uw0noE"",""Form Responses 1!B:C""),2,FALSE),)"),"")</f>
        <v/>
      </c>
      <c r="G329" s="70"/>
      <c r="H329" s="70"/>
      <c r="I329" s="70"/>
      <c r="J329" s="70"/>
      <c r="K329" s="70"/>
      <c r="L329" s="70"/>
      <c r="M329" s="70"/>
      <c r="N329" s="70"/>
      <c r="O329" s="70"/>
      <c r="P329" s="70"/>
      <c r="Q329" s="70" t="str">
        <f>IFERROR(__xludf.DUMMYFUNCTION("IFERROR(IF(COUNTIF(IMPORTRANGE(""1WjiLR_MTMxI_IZUKuvPO4Sg2rTSIqBzP3edakSRXbOA"",""Form Responses 1!B:B""),F329)&gt;0,10,),0)"),"")</f>
        <v/>
      </c>
      <c r="R329" s="70" t="str">
        <f>IFERROR(__xludf.DUMMYFUNCTION("IFERROR(VLOOKUP(F329,IMPORTRANGE(""1Ixzbal5tEbtWhozsFEppQzOYE6ZSrkNXHg_HW5k3Wt4"",""Form Responses 1!B:C""),2,FALSE),)"),"")</f>
        <v/>
      </c>
      <c r="S329" s="70" t="str">
        <f>IFERROR(__xludf.DUMMYFUNCTION("IFERROR(VLOOKUP(F329,IMPORTRANGE(""1zxjtEKGvVIJPIDqZdnxENwVpPXYa88EihzyI44hcQUo"",""Form Responses 1!B:C""),2,FALSE),)"),"")</f>
        <v/>
      </c>
      <c r="T329" s="70" t="str">
        <f>IFERROR(__xludf.DUMMYFUNCTION("IFERROR(VLOOKUP(F329,IMPORTRANGE(""1H3cO01obd5zFULYqaT5NAqecZBFFIHeDFn4CeQLZF3w"",""Form Responses 1!B:C""),2,FALSE),)"),"")</f>
        <v/>
      </c>
      <c r="U329" s="70" t="str">
        <f>IFERROR(__xludf.DUMMYFUNCTION("IFERROR(IF(COUNTIF(IMPORTRANGE(""1IG9qoa6PeLdDDFzKpW39lxXshN0-M8Z25a_R1EpsYyg"",""Form Responses 1!B:B""),F329)&gt;0,10,),0)"),"")</f>
        <v/>
      </c>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row>
    <row r="330">
      <c r="B330" s="70" t="str">
        <f>IFERROR(__xludf.DUMMYFUNCTION("IFERROR(IF(COUNTIF(IMPORTRANGE(""1RTcwEJsI_0aJRebhNwO_H_AoKl9r46k7hWYbtciIyM4"",""Form Responses 1!B:B""),A330)&gt;0,10,),0)"),"")</f>
        <v/>
      </c>
      <c r="C330" s="70" t="str">
        <f>IFERROR(__xludf.DUMMYFUNCTION("IFERROR(VLOOKUP(A330,IMPORTRANGE(""11i8IUhq_U6RRKRV3CBWIKqYed_fMvFgNUHTq1YDJfp8"",""Form Responses 1!B:C""),2,FALSE),)"),"")</f>
        <v/>
      </c>
      <c r="D330" s="70" t="str">
        <f>IFERROR(__xludf.DUMMYFUNCTION("IFERROR(VLOOKUP(A330,IMPORTRANGE(""1StiHxuxrFhYdrq5WLR2JMORicW0TbnJf3J-oTHeMRtM"",""Form Responses 1!B:C""),2,FALSE),)"),"")</f>
        <v/>
      </c>
      <c r="E330" s="70" t="str">
        <f>IFERROR(__xludf.DUMMYFUNCTION("IFERROR(VLOOKUP(A330,IMPORTRANGE(""1QaxxyUjrDq2kgz300C1Bq1tacFk6e-xX218cSXCQUK0"",""Form Responses 1!B:C""),2,FALSE),)"),"")</f>
        <v/>
      </c>
      <c r="F330" s="70" t="str">
        <f>IFERROR(__xludf.DUMMYFUNCTION("IFERROR(VLOOKUP(A330,IMPORTRANGE(""1fn2ECph_y8Uz78DhjLaiXcwgt6kh3oe-0Le36Uw0noE"",""Form Responses 1!B:C""),2,FALSE),)"),"")</f>
        <v/>
      </c>
      <c r="G330" s="70"/>
      <c r="H330" s="70"/>
      <c r="I330" s="70"/>
      <c r="J330" s="70"/>
      <c r="K330" s="70"/>
      <c r="L330" s="70"/>
      <c r="M330" s="70"/>
      <c r="N330" s="70"/>
      <c r="O330" s="70"/>
      <c r="P330" s="70"/>
      <c r="Q330" s="70" t="str">
        <f>IFERROR(__xludf.DUMMYFUNCTION("IFERROR(IF(COUNTIF(IMPORTRANGE(""1WjiLR_MTMxI_IZUKuvPO4Sg2rTSIqBzP3edakSRXbOA"",""Form Responses 1!B:B""),F330)&gt;0,10,),0)"),"")</f>
        <v/>
      </c>
      <c r="R330" s="70" t="str">
        <f>IFERROR(__xludf.DUMMYFUNCTION("IFERROR(VLOOKUP(F330,IMPORTRANGE(""1Ixzbal5tEbtWhozsFEppQzOYE6ZSrkNXHg_HW5k3Wt4"",""Form Responses 1!B:C""),2,FALSE),)"),"")</f>
        <v/>
      </c>
      <c r="S330" s="70" t="str">
        <f>IFERROR(__xludf.DUMMYFUNCTION("IFERROR(VLOOKUP(F330,IMPORTRANGE(""1zxjtEKGvVIJPIDqZdnxENwVpPXYa88EihzyI44hcQUo"",""Form Responses 1!B:C""),2,FALSE),)"),"")</f>
        <v/>
      </c>
      <c r="T330" s="70" t="str">
        <f>IFERROR(__xludf.DUMMYFUNCTION("IFERROR(VLOOKUP(F330,IMPORTRANGE(""1H3cO01obd5zFULYqaT5NAqecZBFFIHeDFn4CeQLZF3w"",""Form Responses 1!B:C""),2,FALSE),)"),"")</f>
        <v/>
      </c>
      <c r="U330" s="70" t="str">
        <f>IFERROR(__xludf.DUMMYFUNCTION("IFERROR(IF(COUNTIF(IMPORTRANGE(""1IG9qoa6PeLdDDFzKpW39lxXshN0-M8Z25a_R1EpsYyg"",""Form Responses 1!B:B""),F330)&gt;0,10,),0)"),"")</f>
        <v/>
      </c>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row>
    <row r="331">
      <c r="B331" s="70" t="str">
        <f>IFERROR(__xludf.DUMMYFUNCTION("IFERROR(IF(COUNTIF(IMPORTRANGE(""1RTcwEJsI_0aJRebhNwO_H_AoKl9r46k7hWYbtciIyM4"",""Form Responses 1!B:B""),A331)&gt;0,10,),0)"),"")</f>
        <v/>
      </c>
      <c r="C331" s="70" t="str">
        <f>IFERROR(__xludf.DUMMYFUNCTION("IFERROR(VLOOKUP(A331,IMPORTRANGE(""11i8IUhq_U6RRKRV3CBWIKqYed_fMvFgNUHTq1YDJfp8"",""Form Responses 1!B:C""),2,FALSE),)"),"")</f>
        <v/>
      </c>
      <c r="D331" s="70" t="str">
        <f>IFERROR(__xludf.DUMMYFUNCTION("IFERROR(VLOOKUP(A331,IMPORTRANGE(""1StiHxuxrFhYdrq5WLR2JMORicW0TbnJf3J-oTHeMRtM"",""Form Responses 1!B:C""),2,FALSE),)"),"")</f>
        <v/>
      </c>
      <c r="E331" s="70" t="str">
        <f>IFERROR(__xludf.DUMMYFUNCTION("IFERROR(VLOOKUP(A331,IMPORTRANGE(""1QaxxyUjrDq2kgz300C1Bq1tacFk6e-xX218cSXCQUK0"",""Form Responses 1!B:C""),2,FALSE),)"),"")</f>
        <v/>
      </c>
      <c r="F331" s="70" t="str">
        <f>IFERROR(__xludf.DUMMYFUNCTION("IFERROR(VLOOKUP(A331,IMPORTRANGE(""1fn2ECph_y8Uz78DhjLaiXcwgt6kh3oe-0Le36Uw0noE"",""Form Responses 1!B:C""),2,FALSE),)"),"")</f>
        <v/>
      </c>
      <c r="G331" s="70"/>
      <c r="H331" s="70"/>
      <c r="I331" s="70"/>
      <c r="J331" s="70"/>
      <c r="K331" s="70"/>
      <c r="L331" s="70"/>
      <c r="M331" s="70"/>
      <c r="N331" s="70"/>
      <c r="O331" s="70"/>
      <c r="P331" s="70"/>
      <c r="Q331" s="70" t="str">
        <f>IFERROR(__xludf.DUMMYFUNCTION("IFERROR(IF(COUNTIF(IMPORTRANGE(""1WjiLR_MTMxI_IZUKuvPO4Sg2rTSIqBzP3edakSRXbOA"",""Form Responses 1!B:B""),F331)&gt;0,10,),0)"),"")</f>
        <v/>
      </c>
      <c r="R331" s="70" t="str">
        <f>IFERROR(__xludf.DUMMYFUNCTION("IFERROR(VLOOKUP(F331,IMPORTRANGE(""1Ixzbal5tEbtWhozsFEppQzOYE6ZSrkNXHg_HW5k3Wt4"",""Form Responses 1!B:C""),2,FALSE),)"),"")</f>
        <v/>
      </c>
      <c r="S331" s="70" t="str">
        <f>IFERROR(__xludf.DUMMYFUNCTION("IFERROR(VLOOKUP(F331,IMPORTRANGE(""1zxjtEKGvVIJPIDqZdnxENwVpPXYa88EihzyI44hcQUo"",""Form Responses 1!B:C""),2,FALSE),)"),"")</f>
        <v/>
      </c>
      <c r="T331" s="70" t="str">
        <f>IFERROR(__xludf.DUMMYFUNCTION("IFERROR(VLOOKUP(F331,IMPORTRANGE(""1H3cO01obd5zFULYqaT5NAqecZBFFIHeDFn4CeQLZF3w"",""Form Responses 1!B:C""),2,FALSE),)"),"")</f>
        <v/>
      </c>
      <c r="U331" s="70" t="str">
        <f>IFERROR(__xludf.DUMMYFUNCTION("IFERROR(IF(COUNTIF(IMPORTRANGE(""1IG9qoa6PeLdDDFzKpW39lxXshN0-M8Z25a_R1EpsYyg"",""Form Responses 1!B:B""),F331)&gt;0,10,),0)"),"")</f>
        <v/>
      </c>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row>
    <row r="332">
      <c r="B332" s="70" t="str">
        <f>IFERROR(__xludf.DUMMYFUNCTION("IFERROR(IF(COUNTIF(IMPORTRANGE(""1RTcwEJsI_0aJRebhNwO_H_AoKl9r46k7hWYbtciIyM4"",""Form Responses 1!B:B""),A332)&gt;0,10,),0)"),"")</f>
        <v/>
      </c>
      <c r="C332" s="70" t="str">
        <f>IFERROR(__xludf.DUMMYFUNCTION("IFERROR(VLOOKUP(A332,IMPORTRANGE(""11i8IUhq_U6RRKRV3CBWIKqYed_fMvFgNUHTq1YDJfp8"",""Form Responses 1!B:C""),2,FALSE),)"),"")</f>
        <v/>
      </c>
      <c r="D332" s="70" t="str">
        <f>IFERROR(__xludf.DUMMYFUNCTION("IFERROR(VLOOKUP(A332,IMPORTRANGE(""1StiHxuxrFhYdrq5WLR2JMORicW0TbnJf3J-oTHeMRtM"",""Form Responses 1!B:C""),2,FALSE),)"),"")</f>
        <v/>
      </c>
      <c r="E332" s="70" t="str">
        <f>IFERROR(__xludf.DUMMYFUNCTION("IFERROR(VLOOKUP(A332,IMPORTRANGE(""1QaxxyUjrDq2kgz300C1Bq1tacFk6e-xX218cSXCQUK0"",""Form Responses 1!B:C""),2,FALSE),)"),"")</f>
        <v/>
      </c>
      <c r="F332" s="70" t="str">
        <f>IFERROR(__xludf.DUMMYFUNCTION("IFERROR(VLOOKUP(A332,IMPORTRANGE(""1fn2ECph_y8Uz78DhjLaiXcwgt6kh3oe-0Le36Uw0noE"",""Form Responses 1!B:C""),2,FALSE),)"),"")</f>
        <v/>
      </c>
      <c r="G332" s="70"/>
      <c r="H332" s="70"/>
      <c r="I332" s="70"/>
      <c r="J332" s="70"/>
      <c r="K332" s="70"/>
      <c r="L332" s="70"/>
      <c r="M332" s="70"/>
      <c r="N332" s="70"/>
      <c r="O332" s="70"/>
      <c r="P332" s="70"/>
      <c r="Q332" s="70" t="str">
        <f>IFERROR(__xludf.DUMMYFUNCTION("IFERROR(IF(COUNTIF(IMPORTRANGE(""1WjiLR_MTMxI_IZUKuvPO4Sg2rTSIqBzP3edakSRXbOA"",""Form Responses 1!B:B""),F332)&gt;0,10,),0)"),"")</f>
        <v/>
      </c>
      <c r="R332" s="70" t="str">
        <f>IFERROR(__xludf.DUMMYFUNCTION("IFERROR(VLOOKUP(F332,IMPORTRANGE(""1Ixzbal5tEbtWhozsFEppQzOYE6ZSrkNXHg_HW5k3Wt4"",""Form Responses 1!B:C""),2,FALSE),)"),"")</f>
        <v/>
      </c>
      <c r="S332" s="70" t="str">
        <f>IFERROR(__xludf.DUMMYFUNCTION("IFERROR(VLOOKUP(F332,IMPORTRANGE(""1zxjtEKGvVIJPIDqZdnxENwVpPXYa88EihzyI44hcQUo"",""Form Responses 1!B:C""),2,FALSE),)"),"")</f>
        <v/>
      </c>
      <c r="T332" s="70" t="str">
        <f>IFERROR(__xludf.DUMMYFUNCTION("IFERROR(VLOOKUP(F332,IMPORTRANGE(""1H3cO01obd5zFULYqaT5NAqecZBFFIHeDFn4CeQLZF3w"",""Form Responses 1!B:C""),2,FALSE),)"),"")</f>
        <v/>
      </c>
      <c r="U332" s="70" t="str">
        <f>IFERROR(__xludf.DUMMYFUNCTION("IFERROR(IF(COUNTIF(IMPORTRANGE(""1IG9qoa6PeLdDDFzKpW39lxXshN0-M8Z25a_R1EpsYyg"",""Form Responses 1!B:B""),F332)&gt;0,10,),0)"),"")</f>
        <v/>
      </c>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row>
    <row r="333">
      <c r="B333" s="70" t="str">
        <f>IFERROR(__xludf.DUMMYFUNCTION("IFERROR(IF(COUNTIF(IMPORTRANGE(""1RTcwEJsI_0aJRebhNwO_H_AoKl9r46k7hWYbtciIyM4"",""Form Responses 1!B:B""),A333)&gt;0,10,),0)"),"")</f>
        <v/>
      </c>
      <c r="C333" s="70" t="str">
        <f>IFERROR(__xludf.DUMMYFUNCTION("IFERROR(VLOOKUP(A333,IMPORTRANGE(""11i8IUhq_U6RRKRV3CBWIKqYed_fMvFgNUHTq1YDJfp8"",""Form Responses 1!B:C""),2,FALSE),)"),"")</f>
        <v/>
      </c>
      <c r="D333" s="70" t="str">
        <f>IFERROR(__xludf.DUMMYFUNCTION("IFERROR(VLOOKUP(A333,IMPORTRANGE(""1StiHxuxrFhYdrq5WLR2JMORicW0TbnJf3J-oTHeMRtM"",""Form Responses 1!B:C""),2,FALSE),)"),"")</f>
        <v/>
      </c>
      <c r="E333" s="70" t="str">
        <f>IFERROR(__xludf.DUMMYFUNCTION("IFERROR(VLOOKUP(A333,IMPORTRANGE(""1QaxxyUjrDq2kgz300C1Bq1tacFk6e-xX218cSXCQUK0"",""Form Responses 1!B:C""),2,FALSE),)"),"")</f>
        <v/>
      </c>
      <c r="F333" s="70" t="str">
        <f>IFERROR(__xludf.DUMMYFUNCTION("IFERROR(VLOOKUP(A333,IMPORTRANGE(""1fn2ECph_y8Uz78DhjLaiXcwgt6kh3oe-0Le36Uw0noE"",""Form Responses 1!B:C""),2,FALSE),)"),"")</f>
        <v/>
      </c>
      <c r="G333" s="70"/>
      <c r="H333" s="70"/>
      <c r="I333" s="70"/>
      <c r="J333" s="70"/>
      <c r="K333" s="70"/>
      <c r="L333" s="70"/>
      <c r="M333" s="70"/>
      <c r="N333" s="70"/>
      <c r="O333" s="70"/>
      <c r="P333" s="70"/>
      <c r="Q333" s="70" t="str">
        <f>IFERROR(__xludf.DUMMYFUNCTION("IFERROR(IF(COUNTIF(IMPORTRANGE(""1WjiLR_MTMxI_IZUKuvPO4Sg2rTSIqBzP3edakSRXbOA"",""Form Responses 1!B:B""),F333)&gt;0,10,),0)"),"")</f>
        <v/>
      </c>
      <c r="R333" s="70" t="str">
        <f>IFERROR(__xludf.DUMMYFUNCTION("IFERROR(VLOOKUP(F333,IMPORTRANGE(""1Ixzbal5tEbtWhozsFEppQzOYE6ZSrkNXHg_HW5k3Wt4"",""Form Responses 1!B:C""),2,FALSE),)"),"")</f>
        <v/>
      </c>
      <c r="S333" s="70" t="str">
        <f>IFERROR(__xludf.DUMMYFUNCTION("IFERROR(VLOOKUP(F333,IMPORTRANGE(""1zxjtEKGvVIJPIDqZdnxENwVpPXYa88EihzyI44hcQUo"",""Form Responses 1!B:C""),2,FALSE),)"),"")</f>
        <v/>
      </c>
      <c r="T333" s="70" t="str">
        <f>IFERROR(__xludf.DUMMYFUNCTION("IFERROR(VLOOKUP(F333,IMPORTRANGE(""1H3cO01obd5zFULYqaT5NAqecZBFFIHeDFn4CeQLZF3w"",""Form Responses 1!B:C""),2,FALSE),)"),"")</f>
        <v/>
      </c>
      <c r="U333" s="70" t="str">
        <f>IFERROR(__xludf.DUMMYFUNCTION("IFERROR(IF(COUNTIF(IMPORTRANGE(""1IG9qoa6PeLdDDFzKpW39lxXshN0-M8Z25a_R1EpsYyg"",""Form Responses 1!B:B""),F333)&gt;0,10,),0)"),"")</f>
        <v/>
      </c>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row>
    <row r="334">
      <c r="B334" s="70" t="str">
        <f>IFERROR(__xludf.DUMMYFUNCTION("IFERROR(IF(COUNTIF(IMPORTRANGE(""1RTcwEJsI_0aJRebhNwO_H_AoKl9r46k7hWYbtciIyM4"",""Form Responses 1!B:B""),A334)&gt;0,10,),0)"),"")</f>
        <v/>
      </c>
      <c r="C334" s="70" t="str">
        <f>IFERROR(__xludf.DUMMYFUNCTION("IFERROR(VLOOKUP(A334,IMPORTRANGE(""11i8IUhq_U6RRKRV3CBWIKqYed_fMvFgNUHTq1YDJfp8"",""Form Responses 1!B:C""),2,FALSE),)"),"")</f>
        <v/>
      </c>
      <c r="D334" s="70" t="str">
        <f>IFERROR(__xludf.DUMMYFUNCTION("IFERROR(VLOOKUP(A334,IMPORTRANGE(""1StiHxuxrFhYdrq5WLR2JMORicW0TbnJf3J-oTHeMRtM"",""Form Responses 1!B:C""),2,FALSE),)"),"")</f>
        <v/>
      </c>
      <c r="E334" s="70" t="str">
        <f>IFERROR(__xludf.DUMMYFUNCTION("IFERROR(VLOOKUP(A334,IMPORTRANGE(""1QaxxyUjrDq2kgz300C1Bq1tacFk6e-xX218cSXCQUK0"",""Form Responses 1!B:C""),2,FALSE),)"),"")</f>
        <v/>
      </c>
      <c r="F334" s="70" t="str">
        <f>IFERROR(__xludf.DUMMYFUNCTION("IFERROR(VLOOKUP(A334,IMPORTRANGE(""1fn2ECph_y8Uz78DhjLaiXcwgt6kh3oe-0Le36Uw0noE"",""Form Responses 1!B:C""),2,FALSE),)"),"")</f>
        <v/>
      </c>
      <c r="G334" s="70"/>
      <c r="H334" s="70"/>
      <c r="I334" s="70"/>
      <c r="J334" s="70"/>
      <c r="K334" s="70"/>
      <c r="L334" s="70"/>
      <c r="M334" s="70"/>
      <c r="N334" s="70"/>
      <c r="O334" s="70"/>
      <c r="P334" s="70"/>
      <c r="Q334" s="70" t="str">
        <f>IFERROR(__xludf.DUMMYFUNCTION("IFERROR(IF(COUNTIF(IMPORTRANGE(""1WjiLR_MTMxI_IZUKuvPO4Sg2rTSIqBzP3edakSRXbOA"",""Form Responses 1!B:B""),F334)&gt;0,10,),0)"),"")</f>
        <v/>
      </c>
      <c r="R334" s="70" t="str">
        <f>IFERROR(__xludf.DUMMYFUNCTION("IFERROR(VLOOKUP(F334,IMPORTRANGE(""1Ixzbal5tEbtWhozsFEppQzOYE6ZSrkNXHg_HW5k3Wt4"",""Form Responses 1!B:C""),2,FALSE),)"),"")</f>
        <v/>
      </c>
      <c r="S334" s="70" t="str">
        <f>IFERROR(__xludf.DUMMYFUNCTION("IFERROR(VLOOKUP(F334,IMPORTRANGE(""1zxjtEKGvVIJPIDqZdnxENwVpPXYa88EihzyI44hcQUo"",""Form Responses 1!B:C""),2,FALSE),)"),"")</f>
        <v/>
      </c>
      <c r="T334" s="70" t="str">
        <f>IFERROR(__xludf.DUMMYFUNCTION("IFERROR(VLOOKUP(F334,IMPORTRANGE(""1H3cO01obd5zFULYqaT5NAqecZBFFIHeDFn4CeQLZF3w"",""Form Responses 1!B:C""),2,FALSE),)"),"")</f>
        <v/>
      </c>
      <c r="U334" s="70" t="str">
        <f>IFERROR(__xludf.DUMMYFUNCTION("IFERROR(IF(COUNTIF(IMPORTRANGE(""1IG9qoa6PeLdDDFzKpW39lxXshN0-M8Z25a_R1EpsYyg"",""Form Responses 1!B:B""),F334)&gt;0,10,),0)"),"")</f>
        <v/>
      </c>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row>
    <row r="335">
      <c r="B335" s="70" t="str">
        <f>IFERROR(__xludf.DUMMYFUNCTION("IFERROR(IF(COUNTIF(IMPORTRANGE(""1RTcwEJsI_0aJRebhNwO_H_AoKl9r46k7hWYbtciIyM4"",""Form Responses 1!B:B""),A335)&gt;0,10,),0)"),"")</f>
        <v/>
      </c>
      <c r="C335" s="70" t="str">
        <f>IFERROR(__xludf.DUMMYFUNCTION("IFERROR(VLOOKUP(A335,IMPORTRANGE(""11i8IUhq_U6RRKRV3CBWIKqYed_fMvFgNUHTq1YDJfp8"",""Form Responses 1!B:C""),2,FALSE),)"),"")</f>
        <v/>
      </c>
      <c r="D335" s="70" t="str">
        <f>IFERROR(__xludf.DUMMYFUNCTION("IFERROR(VLOOKUP(A335,IMPORTRANGE(""1StiHxuxrFhYdrq5WLR2JMORicW0TbnJf3J-oTHeMRtM"",""Form Responses 1!B:C""),2,FALSE),)"),"")</f>
        <v/>
      </c>
      <c r="E335" s="70" t="str">
        <f>IFERROR(__xludf.DUMMYFUNCTION("IFERROR(VLOOKUP(A335,IMPORTRANGE(""1QaxxyUjrDq2kgz300C1Bq1tacFk6e-xX218cSXCQUK0"",""Form Responses 1!B:C""),2,FALSE),)"),"")</f>
        <v/>
      </c>
      <c r="F335" s="70" t="str">
        <f>IFERROR(__xludf.DUMMYFUNCTION("IFERROR(VLOOKUP(A335,IMPORTRANGE(""1fn2ECph_y8Uz78DhjLaiXcwgt6kh3oe-0Le36Uw0noE"",""Form Responses 1!B:C""),2,FALSE),)"),"")</f>
        <v/>
      </c>
      <c r="G335" s="70"/>
      <c r="H335" s="70"/>
      <c r="I335" s="70"/>
      <c r="J335" s="70"/>
      <c r="K335" s="70"/>
      <c r="L335" s="70"/>
      <c r="M335" s="70"/>
      <c r="N335" s="70"/>
      <c r="O335" s="70"/>
      <c r="P335" s="70"/>
      <c r="Q335" s="70" t="str">
        <f>IFERROR(__xludf.DUMMYFUNCTION("IFERROR(IF(COUNTIF(IMPORTRANGE(""1WjiLR_MTMxI_IZUKuvPO4Sg2rTSIqBzP3edakSRXbOA"",""Form Responses 1!B:B""),F335)&gt;0,10,),0)"),"")</f>
        <v/>
      </c>
      <c r="R335" s="70" t="str">
        <f>IFERROR(__xludf.DUMMYFUNCTION("IFERROR(VLOOKUP(F335,IMPORTRANGE(""1Ixzbal5tEbtWhozsFEppQzOYE6ZSrkNXHg_HW5k3Wt4"",""Form Responses 1!B:C""),2,FALSE),)"),"")</f>
        <v/>
      </c>
      <c r="S335" s="70" t="str">
        <f>IFERROR(__xludf.DUMMYFUNCTION("IFERROR(VLOOKUP(F335,IMPORTRANGE(""1zxjtEKGvVIJPIDqZdnxENwVpPXYa88EihzyI44hcQUo"",""Form Responses 1!B:C""),2,FALSE),)"),"")</f>
        <v/>
      </c>
      <c r="T335" s="70" t="str">
        <f>IFERROR(__xludf.DUMMYFUNCTION("IFERROR(VLOOKUP(F335,IMPORTRANGE(""1H3cO01obd5zFULYqaT5NAqecZBFFIHeDFn4CeQLZF3w"",""Form Responses 1!B:C""),2,FALSE),)"),"")</f>
        <v/>
      </c>
      <c r="U335" s="70" t="str">
        <f>IFERROR(__xludf.DUMMYFUNCTION("IFERROR(IF(COUNTIF(IMPORTRANGE(""1IG9qoa6PeLdDDFzKpW39lxXshN0-M8Z25a_R1EpsYyg"",""Form Responses 1!B:B""),F335)&gt;0,10,),0)"),"")</f>
        <v/>
      </c>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row>
    <row r="336">
      <c r="B336" s="70" t="str">
        <f>IFERROR(__xludf.DUMMYFUNCTION("IFERROR(IF(COUNTIF(IMPORTRANGE(""1RTcwEJsI_0aJRebhNwO_H_AoKl9r46k7hWYbtciIyM4"",""Form Responses 1!B:B""),A336)&gt;0,10,),0)"),"")</f>
        <v/>
      </c>
      <c r="C336" s="70" t="str">
        <f>IFERROR(__xludf.DUMMYFUNCTION("IFERROR(VLOOKUP(A336,IMPORTRANGE(""11i8IUhq_U6RRKRV3CBWIKqYed_fMvFgNUHTq1YDJfp8"",""Form Responses 1!B:C""),2,FALSE),)"),"")</f>
        <v/>
      </c>
      <c r="D336" s="70" t="str">
        <f>IFERROR(__xludf.DUMMYFUNCTION("IFERROR(VLOOKUP(A336,IMPORTRANGE(""1StiHxuxrFhYdrq5WLR2JMORicW0TbnJf3J-oTHeMRtM"",""Form Responses 1!B:C""),2,FALSE),)"),"")</f>
        <v/>
      </c>
      <c r="E336" s="70" t="str">
        <f>IFERROR(__xludf.DUMMYFUNCTION("IFERROR(VLOOKUP(A336,IMPORTRANGE(""1QaxxyUjrDq2kgz300C1Bq1tacFk6e-xX218cSXCQUK0"",""Form Responses 1!B:C""),2,FALSE),)"),"")</f>
        <v/>
      </c>
      <c r="F336" s="70" t="str">
        <f>IFERROR(__xludf.DUMMYFUNCTION("IFERROR(VLOOKUP(A336,IMPORTRANGE(""1fn2ECph_y8Uz78DhjLaiXcwgt6kh3oe-0Le36Uw0noE"",""Form Responses 1!B:C""),2,FALSE),)"),"")</f>
        <v/>
      </c>
      <c r="G336" s="70"/>
      <c r="H336" s="70"/>
      <c r="I336" s="70"/>
      <c r="J336" s="70"/>
      <c r="K336" s="70"/>
      <c r="L336" s="70"/>
      <c r="M336" s="70"/>
      <c r="N336" s="70"/>
      <c r="O336" s="70"/>
      <c r="P336" s="70"/>
      <c r="Q336" s="70" t="str">
        <f>IFERROR(__xludf.DUMMYFUNCTION("IFERROR(IF(COUNTIF(IMPORTRANGE(""1WjiLR_MTMxI_IZUKuvPO4Sg2rTSIqBzP3edakSRXbOA"",""Form Responses 1!B:B""),F336)&gt;0,10,),0)"),"")</f>
        <v/>
      </c>
      <c r="R336" s="70" t="str">
        <f>IFERROR(__xludf.DUMMYFUNCTION("IFERROR(VLOOKUP(F336,IMPORTRANGE(""1Ixzbal5tEbtWhozsFEppQzOYE6ZSrkNXHg_HW5k3Wt4"",""Form Responses 1!B:C""),2,FALSE),)"),"")</f>
        <v/>
      </c>
      <c r="S336" s="70" t="str">
        <f>IFERROR(__xludf.DUMMYFUNCTION("IFERROR(VLOOKUP(F336,IMPORTRANGE(""1zxjtEKGvVIJPIDqZdnxENwVpPXYa88EihzyI44hcQUo"",""Form Responses 1!B:C""),2,FALSE),)"),"")</f>
        <v/>
      </c>
      <c r="T336" s="70" t="str">
        <f>IFERROR(__xludf.DUMMYFUNCTION("IFERROR(VLOOKUP(F336,IMPORTRANGE(""1H3cO01obd5zFULYqaT5NAqecZBFFIHeDFn4CeQLZF3w"",""Form Responses 1!B:C""),2,FALSE),)"),"")</f>
        <v/>
      </c>
      <c r="U336" s="70" t="str">
        <f>IFERROR(__xludf.DUMMYFUNCTION("IFERROR(IF(COUNTIF(IMPORTRANGE(""1IG9qoa6PeLdDDFzKpW39lxXshN0-M8Z25a_R1EpsYyg"",""Form Responses 1!B:B""),F336)&gt;0,10,),0)"),"")</f>
        <v/>
      </c>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row>
    <row r="337">
      <c r="B337" s="70" t="str">
        <f>IFERROR(__xludf.DUMMYFUNCTION("IFERROR(IF(COUNTIF(IMPORTRANGE(""1RTcwEJsI_0aJRebhNwO_H_AoKl9r46k7hWYbtciIyM4"",""Form Responses 1!B:B""),A337)&gt;0,10,),0)"),"")</f>
        <v/>
      </c>
      <c r="C337" s="70" t="str">
        <f>IFERROR(__xludf.DUMMYFUNCTION("IFERROR(VLOOKUP(A337,IMPORTRANGE(""11i8IUhq_U6RRKRV3CBWIKqYed_fMvFgNUHTq1YDJfp8"",""Form Responses 1!B:C""),2,FALSE),)"),"")</f>
        <v/>
      </c>
      <c r="D337" s="70" t="str">
        <f>IFERROR(__xludf.DUMMYFUNCTION("IFERROR(VLOOKUP(A337,IMPORTRANGE(""1StiHxuxrFhYdrq5WLR2JMORicW0TbnJf3J-oTHeMRtM"",""Form Responses 1!B:C""),2,FALSE),)"),"")</f>
        <v/>
      </c>
      <c r="E337" s="70" t="str">
        <f>IFERROR(__xludf.DUMMYFUNCTION("IFERROR(VLOOKUP(A337,IMPORTRANGE(""1QaxxyUjrDq2kgz300C1Bq1tacFk6e-xX218cSXCQUK0"",""Form Responses 1!B:C""),2,FALSE),)"),"")</f>
        <v/>
      </c>
      <c r="F337" s="70" t="str">
        <f>IFERROR(__xludf.DUMMYFUNCTION("IFERROR(VLOOKUP(A337,IMPORTRANGE(""1fn2ECph_y8Uz78DhjLaiXcwgt6kh3oe-0Le36Uw0noE"",""Form Responses 1!B:C""),2,FALSE),)"),"")</f>
        <v/>
      </c>
      <c r="G337" s="70"/>
      <c r="H337" s="70"/>
      <c r="I337" s="70"/>
      <c r="J337" s="70"/>
      <c r="K337" s="70"/>
      <c r="L337" s="70"/>
      <c r="M337" s="70"/>
      <c r="N337" s="70"/>
      <c r="O337" s="70"/>
      <c r="P337" s="70"/>
      <c r="Q337" s="70" t="str">
        <f>IFERROR(__xludf.DUMMYFUNCTION("IFERROR(IF(COUNTIF(IMPORTRANGE(""1WjiLR_MTMxI_IZUKuvPO4Sg2rTSIqBzP3edakSRXbOA"",""Form Responses 1!B:B""),F337)&gt;0,10,),0)"),"")</f>
        <v/>
      </c>
      <c r="R337" s="70" t="str">
        <f>IFERROR(__xludf.DUMMYFUNCTION("IFERROR(VLOOKUP(F337,IMPORTRANGE(""1Ixzbal5tEbtWhozsFEppQzOYE6ZSrkNXHg_HW5k3Wt4"",""Form Responses 1!B:C""),2,FALSE),)"),"")</f>
        <v/>
      </c>
      <c r="S337" s="70" t="str">
        <f>IFERROR(__xludf.DUMMYFUNCTION("IFERROR(VLOOKUP(F337,IMPORTRANGE(""1zxjtEKGvVIJPIDqZdnxENwVpPXYa88EihzyI44hcQUo"",""Form Responses 1!B:C""),2,FALSE),)"),"")</f>
        <v/>
      </c>
      <c r="T337" s="70" t="str">
        <f>IFERROR(__xludf.DUMMYFUNCTION("IFERROR(VLOOKUP(F337,IMPORTRANGE(""1H3cO01obd5zFULYqaT5NAqecZBFFIHeDFn4CeQLZF3w"",""Form Responses 1!B:C""),2,FALSE),)"),"")</f>
        <v/>
      </c>
      <c r="U337" s="70" t="str">
        <f>IFERROR(__xludf.DUMMYFUNCTION("IFERROR(IF(COUNTIF(IMPORTRANGE(""1IG9qoa6PeLdDDFzKpW39lxXshN0-M8Z25a_R1EpsYyg"",""Form Responses 1!B:B""),F337)&gt;0,10,),0)"),"")</f>
        <v/>
      </c>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row>
    <row r="338">
      <c r="B338" s="70" t="str">
        <f>IFERROR(__xludf.DUMMYFUNCTION("IFERROR(IF(COUNTIF(IMPORTRANGE(""1RTcwEJsI_0aJRebhNwO_H_AoKl9r46k7hWYbtciIyM4"",""Form Responses 1!B:B""),A338)&gt;0,10,),0)"),"")</f>
        <v/>
      </c>
      <c r="C338" s="70" t="str">
        <f>IFERROR(__xludf.DUMMYFUNCTION("IFERROR(VLOOKUP(A338,IMPORTRANGE(""11i8IUhq_U6RRKRV3CBWIKqYed_fMvFgNUHTq1YDJfp8"",""Form Responses 1!B:C""),2,FALSE),)"),"")</f>
        <v/>
      </c>
      <c r="D338" s="70" t="str">
        <f>IFERROR(__xludf.DUMMYFUNCTION("IFERROR(VLOOKUP(A338,IMPORTRANGE(""1StiHxuxrFhYdrq5WLR2JMORicW0TbnJf3J-oTHeMRtM"",""Form Responses 1!B:C""),2,FALSE),)"),"")</f>
        <v/>
      </c>
      <c r="E338" s="70" t="str">
        <f>IFERROR(__xludf.DUMMYFUNCTION("IFERROR(VLOOKUP(A338,IMPORTRANGE(""1QaxxyUjrDq2kgz300C1Bq1tacFk6e-xX218cSXCQUK0"",""Form Responses 1!B:C""),2,FALSE),)"),"")</f>
        <v/>
      </c>
      <c r="F338" s="70" t="str">
        <f>IFERROR(__xludf.DUMMYFUNCTION("IFERROR(VLOOKUP(A338,IMPORTRANGE(""1fn2ECph_y8Uz78DhjLaiXcwgt6kh3oe-0Le36Uw0noE"",""Form Responses 1!B:C""),2,FALSE),)"),"")</f>
        <v/>
      </c>
      <c r="G338" s="70"/>
      <c r="H338" s="70"/>
      <c r="I338" s="70"/>
      <c r="J338" s="70"/>
      <c r="K338" s="70"/>
      <c r="L338" s="70"/>
      <c r="M338" s="70"/>
      <c r="N338" s="70"/>
      <c r="O338" s="70"/>
      <c r="P338" s="70"/>
      <c r="Q338" s="70" t="str">
        <f>IFERROR(__xludf.DUMMYFUNCTION("IFERROR(IF(COUNTIF(IMPORTRANGE(""1WjiLR_MTMxI_IZUKuvPO4Sg2rTSIqBzP3edakSRXbOA"",""Form Responses 1!B:B""),F338)&gt;0,10,),0)"),"")</f>
        <v/>
      </c>
      <c r="R338" s="70" t="str">
        <f>IFERROR(__xludf.DUMMYFUNCTION("IFERROR(VLOOKUP(F338,IMPORTRANGE(""1Ixzbal5tEbtWhozsFEppQzOYE6ZSrkNXHg_HW5k3Wt4"",""Form Responses 1!B:C""),2,FALSE),)"),"")</f>
        <v/>
      </c>
      <c r="S338" s="70" t="str">
        <f>IFERROR(__xludf.DUMMYFUNCTION("IFERROR(VLOOKUP(F338,IMPORTRANGE(""1zxjtEKGvVIJPIDqZdnxENwVpPXYa88EihzyI44hcQUo"",""Form Responses 1!B:C""),2,FALSE),)"),"")</f>
        <v/>
      </c>
      <c r="T338" s="70" t="str">
        <f>IFERROR(__xludf.DUMMYFUNCTION("IFERROR(VLOOKUP(F338,IMPORTRANGE(""1H3cO01obd5zFULYqaT5NAqecZBFFIHeDFn4CeQLZF3w"",""Form Responses 1!B:C""),2,FALSE),)"),"")</f>
        <v/>
      </c>
      <c r="U338" s="70" t="str">
        <f>IFERROR(__xludf.DUMMYFUNCTION("IFERROR(IF(COUNTIF(IMPORTRANGE(""1IG9qoa6PeLdDDFzKpW39lxXshN0-M8Z25a_R1EpsYyg"",""Form Responses 1!B:B""),F338)&gt;0,10,),0)"),"")</f>
        <v/>
      </c>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row>
    <row r="339">
      <c r="B339" s="70" t="str">
        <f>IFERROR(__xludf.DUMMYFUNCTION("IFERROR(IF(COUNTIF(IMPORTRANGE(""1RTcwEJsI_0aJRebhNwO_H_AoKl9r46k7hWYbtciIyM4"",""Form Responses 1!B:B""),A339)&gt;0,10,),0)"),"")</f>
        <v/>
      </c>
      <c r="C339" s="70" t="str">
        <f>IFERROR(__xludf.DUMMYFUNCTION("IFERROR(VLOOKUP(A339,IMPORTRANGE(""11i8IUhq_U6RRKRV3CBWIKqYed_fMvFgNUHTq1YDJfp8"",""Form Responses 1!B:C""),2,FALSE),)"),"")</f>
        <v/>
      </c>
      <c r="D339" s="70" t="str">
        <f>IFERROR(__xludf.DUMMYFUNCTION("IFERROR(VLOOKUP(A339,IMPORTRANGE(""1StiHxuxrFhYdrq5WLR2JMORicW0TbnJf3J-oTHeMRtM"",""Form Responses 1!B:C""),2,FALSE),)"),"")</f>
        <v/>
      </c>
      <c r="E339" s="70" t="str">
        <f>IFERROR(__xludf.DUMMYFUNCTION("IFERROR(VLOOKUP(A339,IMPORTRANGE(""1QaxxyUjrDq2kgz300C1Bq1tacFk6e-xX218cSXCQUK0"",""Form Responses 1!B:C""),2,FALSE),)"),"")</f>
        <v/>
      </c>
      <c r="F339" s="70" t="str">
        <f>IFERROR(__xludf.DUMMYFUNCTION("IFERROR(VLOOKUP(A339,IMPORTRANGE(""1fn2ECph_y8Uz78DhjLaiXcwgt6kh3oe-0Le36Uw0noE"",""Form Responses 1!B:C""),2,FALSE),)"),"")</f>
        <v/>
      </c>
      <c r="G339" s="70"/>
      <c r="H339" s="70"/>
      <c r="I339" s="70"/>
      <c r="J339" s="70"/>
      <c r="K339" s="70"/>
      <c r="L339" s="70"/>
      <c r="M339" s="70"/>
      <c r="N339" s="70"/>
      <c r="O339" s="70"/>
      <c r="P339" s="70"/>
      <c r="Q339" s="70" t="str">
        <f>IFERROR(__xludf.DUMMYFUNCTION("IFERROR(IF(COUNTIF(IMPORTRANGE(""1WjiLR_MTMxI_IZUKuvPO4Sg2rTSIqBzP3edakSRXbOA"",""Form Responses 1!B:B""),F339)&gt;0,10,),0)"),"")</f>
        <v/>
      </c>
      <c r="R339" s="70" t="str">
        <f>IFERROR(__xludf.DUMMYFUNCTION("IFERROR(VLOOKUP(F339,IMPORTRANGE(""1Ixzbal5tEbtWhozsFEppQzOYE6ZSrkNXHg_HW5k3Wt4"",""Form Responses 1!B:C""),2,FALSE),)"),"")</f>
        <v/>
      </c>
      <c r="S339" s="70" t="str">
        <f>IFERROR(__xludf.DUMMYFUNCTION("IFERROR(VLOOKUP(F339,IMPORTRANGE(""1zxjtEKGvVIJPIDqZdnxENwVpPXYa88EihzyI44hcQUo"",""Form Responses 1!B:C""),2,FALSE),)"),"")</f>
        <v/>
      </c>
      <c r="T339" s="70" t="str">
        <f>IFERROR(__xludf.DUMMYFUNCTION("IFERROR(VLOOKUP(F339,IMPORTRANGE(""1H3cO01obd5zFULYqaT5NAqecZBFFIHeDFn4CeQLZF3w"",""Form Responses 1!B:C""),2,FALSE),)"),"")</f>
        <v/>
      </c>
      <c r="U339" s="70" t="str">
        <f>IFERROR(__xludf.DUMMYFUNCTION("IFERROR(IF(COUNTIF(IMPORTRANGE(""1IG9qoa6PeLdDDFzKpW39lxXshN0-M8Z25a_R1EpsYyg"",""Form Responses 1!B:B""),F339)&gt;0,10,),0)"),"")</f>
        <v/>
      </c>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row>
    <row r="340">
      <c r="B340" s="70" t="str">
        <f>IFERROR(__xludf.DUMMYFUNCTION("IFERROR(IF(COUNTIF(IMPORTRANGE(""1RTcwEJsI_0aJRebhNwO_H_AoKl9r46k7hWYbtciIyM4"",""Form Responses 1!B:B""),A340)&gt;0,10,),0)"),"")</f>
        <v/>
      </c>
      <c r="C340" s="70" t="str">
        <f>IFERROR(__xludf.DUMMYFUNCTION("IFERROR(VLOOKUP(A340,IMPORTRANGE(""11i8IUhq_U6RRKRV3CBWIKqYed_fMvFgNUHTq1YDJfp8"",""Form Responses 1!B:C""),2,FALSE),)"),"")</f>
        <v/>
      </c>
      <c r="D340" s="70" t="str">
        <f>IFERROR(__xludf.DUMMYFUNCTION("IFERROR(VLOOKUP(A340,IMPORTRANGE(""1StiHxuxrFhYdrq5WLR2JMORicW0TbnJf3J-oTHeMRtM"",""Form Responses 1!B:C""),2,FALSE),)"),"")</f>
        <v/>
      </c>
      <c r="E340" s="70" t="str">
        <f>IFERROR(__xludf.DUMMYFUNCTION("IFERROR(VLOOKUP(A340,IMPORTRANGE(""1QaxxyUjrDq2kgz300C1Bq1tacFk6e-xX218cSXCQUK0"",""Form Responses 1!B:C""),2,FALSE),)"),"")</f>
        <v/>
      </c>
      <c r="F340" s="70" t="str">
        <f>IFERROR(__xludf.DUMMYFUNCTION("IFERROR(VLOOKUP(A340,IMPORTRANGE(""1fn2ECph_y8Uz78DhjLaiXcwgt6kh3oe-0Le36Uw0noE"",""Form Responses 1!B:C""),2,FALSE),)"),"")</f>
        <v/>
      </c>
      <c r="G340" s="70"/>
      <c r="H340" s="70"/>
      <c r="I340" s="70"/>
      <c r="J340" s="70"/>
      <c r="K340" s="70"/>
      <c r="L340" s="70"/>
      <c r="M340" s="70"/>
      <c r="N340" s="70"/>
      <c r="O340" s="70"/>
      <c r="P340" s="70"/>
      <c r="Q340" s="70" t="str">
        <f>IFERROR(__xludf.DUMMYFUNCTION("IFERROR(IF(COUNTIF(IMPORTRANGE(""1WjiLR_MTMxI_IZUKuvPO4Sg2rTSIqBzP3edakSRXbOA"",""Form Responses 1!B:B""),F340)&gt;0,10,),0)"),"")</f>
        <v/>
      </c>
      <c r="R340" s="70" t="str">
        <f>IFERROR(__xludf.DUMMYFUNCTION("IFERROR(VLOOKUP(F340,IMPORTRANGE(""1Ixzbal5tEbtWhozsFEppQzOYE6ZSrkNXHg_HW5k3Wt4"",""Form Responses 1!B:C""),2,FALSE),)"),"")</f>
        <v/>
      </c>
      <c r="S340" s="70" t="str">
        <f>IFERROR(__xludf.DUMMYFUNCTION("IFERROR(VLOOKUP(F340,IMPORTRANGE(""1zxjtEKGvVIJPIDqZdnxENwVpPXYa88EihzyI44hcQUo"",""Form Responses 1!B:C""),2,FALSE),)"),"")</f>
        <v/>
      </c>
      <c r="T340" s="70" t="str">
        <f>IFERROR(__xludf.DUMMYFUNCTION("IFERROR(VLOOKUP(F340,IMPORTRANGE(""1H3cO01obd5zFULYqaT5NAqecZBFFIHeDFn4CeQLZF3w"",""Form Responses 1!B:C""),2,FALSE),)"),"")</f>
        <v/>
      </c>
      <c r="U340" s="70" t="str">
        <f>IFERROR(__xludf.DUMMYFUNCTION("IFERROR(IF(COUNTIF(IMPORTRANGE(""1IG9qoa6PeLdDDFzKpW39lxXshN0-M8Z25a_R1EpsYyg"",""Form Responses 1!B:B""),F340)&gt;0,10,),0)"),"")</f>
        <v/>
      </c>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row>
    <row r="341">
      <c r="B341" s="70" t="str">
        <f>IFERROR(__xludf.DUMMYFUNCTION("IFERROR(IF(COUNTIF(IMPORTRANGE(""1RTcwEJsI_0aJRebhNwO_H_AoKl9r46k7hWYbtciIyM4"",""Form Responses 1!B:B""),A341)&gt;0,10,),0)"),"")</f>
        <v/>
      </c>
      <c r="C341" s="70" t="str">
        <f>IFERROR(__xludf.DUMMYFUNCTION("IFERROR(VLOOKUP(A341,IMPORTRANGE(""11i8IUhq_U6RRKRV3CBWIKqYed_fMvFgNUHTq1YDJfp8"",""Form Responses 1!B:C""),2,FALSE),)"),"")</f>
        <v/>
      </c>
      <c r="D341" s="70" t="str">
        <f>IFERROR(__xludf.DUMMYFUNCTION("IFERROR(VLOOKUP(A341,IMPORTRANGE(""1StiHxuxrFhYdrq5WLR2JMORicW0TbnJf3J-oTHeMRtM"",""Form Responses 1!B:C""),2,FALSE),)"),"")</f>
        <v/>
      </c>
      <c r="E341" s="70" t="str">
        <f>IFERROR(__xludf.DUMMYFUNCTION("IFERROR(VLOOKUP(A341,IMPORTRANGE(""1QaxxyUjrDq2kgz300C1Bq1tacFk6e-xX218cSXCQUK0"",""Form Responses 1!B:C""),2,FALSE),)"),"")</f>
        <v/>
      </c>
      <c r="F341" s="70" t="str">
        <f>IFERROR(__xludf.DUMMYFUNCTION("IFERROR(VLOOKUP(A341,IMPORTRANGE(""1fn2ECph_y8Uz78DhjLaiXcwgt6kh3oe-0Le36Uw0noE"",""Form Responses 1!B:C""),2,FALSE),)"),"")</f>
        <v/>
      </c>
      <c r="G341" s="70"/>
      <c r="H341" s="70"/>
      <c r="I341" s="70"/>
      <c r="J341" s="70"/>
      <c r="K341" s="70"/>
      <c r="L341" s="70"/>
      <c r="M341" s="70"/>
      <c r="N341" s="70"/>
      <c r="O341" s="70"/>
      <c r="P341" s="70"/>
      <c r="Q341" s="70" t="str">
        <f>IFERROR(__xludf.DUMMYFUNCTION("IFERROR(IF(COUNTIF(IMPORTRANGE(""1WjiLR_MTMxI_IZUKuvPO4Sg2rTSIqBzP3edakSRXbOA"",""Form Responses 1!B:B""),F341)&gt;0,10,),0)"),"")</f>
        <v/>
      </c>
      <c r="R341" s="70" t="str">
        <f>IFERROR(__xludf.DUMMYFUNCTION("IFERROR(VLOOKUP(F341,IMPORTRANGE(""1Ixzbal5tEbtWhozsFEppQzOYE6ZSrkNXHg_HW5k3Wt4"",""Form Responses 1!B:C""),2,FALSE),)"),"")</f>
        <v/>
      </c>
      <c r="S341" s="70" t="str">
        <f>IFERROR(__xludf.DUMMYFUNCTION("IFERROR(VLOOKUP(F341,IMPORTRANGE(""1zxjtEKGvVIJPIDqZdnxENwVpPXYa88EihzyI44hcQUo"",""Form Responses 1!B:C""),2,FALSE),)"),"")</f>
        <v/>
      </c>
      <c r="T341" s="70" t="str">
        <f>IFERROR(__xludf.DUMMYFUNCTION("IFERROR(VLOOKUP(F341,IMPORTRANGE(""1H3cO01obd5zFULYqaT5NAqecZBFFIHeDFn4CeQLZF3w"",""Form Responses 1!B:C""),2,FALSE),)"),"")</f>
        <v/>
      </c>
      <c r="U341" s="70" t="str">
        <f>IFERROR(__xludf.DUMMYFUNCTION("IFERROR(IF(COUNTIF(IMPORTRANGE(""1IG9qoa6PeLdDDFzKpW39lxXshN0-M8Z25a_R1EpsYyg"",""Form Responses 1!B:B""),F341)&gt;0,10,),0)"),"")</f>
        <v/>
      </c>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row>
    <row r="342">
      <c r="B342" s="70" t="str">
        <f>IFERROR(__xludf.DUMMYFUNCTION("IFERROR(IF(COUNTIF(IMPORTRANGE(""1RTcwEJsI_0aJRebhNwO_H_AoKl9r46k7hWYbtciIyM4"",""Form Responses 1!B:B""),A342)&gt;0,10,),0)"),"")</f>
        <v/>
      </c>
      <c r="C342" s="70" t="str">
        <f>IFERROR(__xludf.DUMMYFUNCTION("IFERROR(VLOOKUP(A342,IMPORTRANGE(""11i8IUhq_U6RRKRV3CBWIKqYed_fMvFgNUHTq1YDJfp8"",""Form Responses 1!B:C""),2,FALSE),)"),"")</f>
        <v/>
      </c>
      <c r="D342" s="70" t="str">
        <f>IFERROR(__xludf.DUMMYFUNCTION("IFERROR(VLOOKUP(A342,IMPORTRANGE(""1StiHxuxrFhYdrq5WLR2JMORicW0TbnJf3J-oTHeMRtM"",""Form Responses 1!B:C""),2,FALSE),)"),"")</f>
        <v/>
      </c>
      <c r="E342" s="70" t="str">
        <f>IFERROR(__xludf.DUMMYFUNCTION("IFERROR(VLOOKUP(A342,IMPORTRANGE(""1QaxxyUjrDq2kgz300C1Bq1tacFk6e-xX218cSXCQUK0"",""Form Responses 1!B:C""),2,FALSE),)"),"")</f>
        <v/>
      </c>
      <c r="F342" s="70" t="str">
        <f>IFERROR(__xludf.DUMMYFUNCTION("IFERROR(VLOOKUP(A342,IMPORTRANGE(""1fn2ECph_y8Uz78DhjLaiXcwgt6kh3oe-0Le36Uw0noE"",""Form Responses 1!B:C""),2,FALSE),)"),"")</f>
        <v/>
      </c>
      <c r="G342" s="70"/>
      <c r="H342" s="70"/>
      <c r="I342" s="70"/>
      <c r="J342" s="70"/>
      <c r="K342" s="70"/>
      <c r="L342" s="70"/>
      <c r="M342" s="70"/>
      <c r="N342" s="70"/>
      <c r="O342" s="70"/>
      <c r="P342" s="70"/>
      <c r="Q342" s="70" t="str">
        <f>IFERROR(__xludf.DUMMYFUNCTION("IFERROR(IF(COUNTIF(IMPORTRANGE(""1WjiLR_MTMxI_IZUKuvPO4Sg2rTSIqBzP3edakSRXbOA"",""Form Responses 1!B:B""),F342)&gt;0,10,),0)"),"")</f>
        <v/>
      </c>
      <c r="R342" s="70" t="str">
        <f>IFERROR(__xludf.DUMMYFUNCTION("IFERROR(VLOOKUP(F342,IMPORTRANGE(""1Ixzbal5tEbtWhozsFEppQzOYE6ZSrkNXHg_HW5k3Wt4"",""Form Responses 1!B:C""),2,FALSE),)"),"")</f>
        <v/>
      </c>
      <c r="S342" s="70" t="str">
        <f>IFERROR(__xludf.DUMMYFUNCTION("IFERROR(VLOOKUP(F342,IMPORTRANGE(""1zxjtEKGvVIJPIDqZdnxENwVpPXYa88EihzyI44hcQUo"",""Form Responses 1!B:C""),2,FALSE),)"),"")</f>
        <v/>
      </c>
      <c r="T342" s="70" t="str">
        <f>IFERROR(__xludf.DUMMYFUNCTION("IFERROR(VLOOKUP(F342,IMPORTRANGE(""1H3cO01obd5zFULYqaT5NAqecZBFFIHeDFn4CeQLZF3w"",""Form Responses 1!B:C""),2,FALSE),)"),"")</f>
        <v/>
      </c>
      <c r="U342" s="70" t="str">
        <f>IFERROR(__xludf.DUMMYFUNCTION("IFERROR(IF(COUNTIF(IMPORTRANGE(""1IG9qoa6PeLdDDFzKpW39lxXshN0-M8Z25a_R1EpsYyg"",""Form Responses 1!B:B""),F342)&gt;0,10,),0)"),"")</f>
        <v/>
      </c>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row>
    <row r="343">
      <c r="B343" s="70" t="str">
        <f>IFERROR(__xludf.DUMMYFUNCTION("IFERROR(IF(COUNTIF(IMPORTRANGE(""1RTcwEJsI_0aJRebhNwO_H_AoKl9r46k7hWYbtciIyM4"",""Form Responses 1!B:B""),A343)&gt;0,10,),0)"),"")</f>
        <v/>
      </c>
      <c r="C343" s="70" t="str">
        <f>IFERROR(__xludf.DUMMYFUNCTION("IFERROR(VLOOKUP(A343,IMPORTRANGE(""11i8IUhq_U6RRKRV3CBWIKqYed_fMvFgNUHTq1YDJfp8"",""Form Responses 1!B:C""),2,FALSE),)"),"")</f>
        <v/>
      </c>
      <c r="D343" s="70" t="str">
        <f>IFERROR(__xludf.DUMMYFUNCTION("IFERROR(VLOOKUP(A343,IMPORTRANGE(""1StiHxuxrFhYdrq5WLR2JMORicW0TbnJf3J-oTHeMRtM"",""Form Responses 1!B:C""),2,FALSE),)"),"")</f>
        <v/>
      </c>
      <c r="E343" s="70" t="str">
        <f>IFERROR(__xludf.DUMMYFUNCTION("IFERROR(VLOOKUP(A343,IMPORTRANGE(""1QaxxyUjrDq2kgz300C1Bq1tacFk6e-xX218cSXCQUK0"",""Form Responses 1!B:C""),2,FALSE),)"),"")</f>
        <v/>
      </c>
      <c r="F343" s="70" t="str">
        <f>IFERROR(__xludf.DUMMYFUNCTION("IFERROR(VLOOKUP(A343,IMPORTRANGE(""1fn2ECph_y8Uz78DhjLaiXcwgt6kh3oe-0Le36Uw0noE"",""Form Responses 1!B:C""),2,FALSE),)"),"")</f>
        <v/>
      </c>
      <c r="G343" s="70"/>
      <c r="H343" s="70"/>
      <c r="I343" s="70"/>
      <c r="J343" s="70"/>
      <c r="K343" s="70"/>
      <c r="L343" s="70"/>
      <c r="M343" s="70"/>
      <c r="N343" s="70"/>
      <c r="O343" s="70"/>
      <c r="P343" s="70"/>
      <c r="Q343" s="70" t="str">
        <f>IFERROR(__xludf.DUMMYFUNCTION("IFERROR(IF(COUNTIF(IMPORTRANGE(""1WjiLR_MTMxI_IZUKuvPO4Sg2rTSIqBzP3edakSRXbOA"",""Form Responses 1!B:B""),F343)&gt;0,10,),0)"),"")</f>
        <v/>
      </c>
      <c r="R343" s="70" t="str">
        <f>IFERROR(__xludf.DUMMYFUNCTION("IFERROR(VLOOKUP(F343,IMPORTRANGE(""1Ixzbal5tEbtWhozsFEppQzOYE6ZSrkNXHg_HW5k3Wt4"",""Form Responses 1!B:C""),2,FALSE),)"),"")</f>
        <v/>
      </c>
      <c r="S343" s="70" t="str">
        <f>IFERROR(__xludf.DUMMYFUNCTION("IFERROR(VLOOKUP(F343,IMPORTRANGE(""1zxjtEKGvVIJPIDqZdnxENwVpPXYa88EihzyI44hcQUo"",""Form Responses 1!B:C""),2,FALSE),)"),"")</f>
        <v/>
      </c>
      <c r="T343" s="70" t="str">
        <f>IFERROR(__xludf.DUMMYFUNCTION("IFERROR(VLOOKUP(F343,IMPORTRANGE(""1H3cO01obd5zFULYqaT5NAqecZBFFIHeDFn4CeQLZF3w"",""Form Responses 1!B:C""),2,FALSE),)"),"")</f>
        <v/>
      </c>
      <c r="U343" s="70" t="str">
        <f>IFERROR(__xludf.DUMMYFUNCTION("IFERROR(IF(COUNTIF(IMPORTRANGE(""1IG9qoa6PeLdDDFzKpW39lxXshN0-M8Z25a_R1EpsYyg"",""Form Responses 1!B:B""),F343)&gt;0,10,),0)"),"")</f>
        <v/>
      </c>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row>
    <row r="344">
      <c r="B344" s="70" t="str">
        <f>IFERROR(__xludf.DUMMYFUNCTION("IFERROR(IF(COUNTIF(IMPORTRANGE(""1RTcwEJsI_0aJRebhNwO_H_AoKl9r46k7hWYbtciIyM4"",""Form Responses 1!B:B""),A344)&gt;0,10,),0)"),"")</f>
        <v/>
      </c>
      <c r="C344" s="70" t="str">
        <f>IFERROR(__xludf.DUMMYFUNCTION("IFERROR(VLOOKUP(A344,IMPORTRANGE(""11i8IUhq_U6RRKRV3CBWIKqYed_fMvFgNUHTq1YDJfp8"",""Form Responses 1!B:C""),2,FALSE),)"),"")</f>
        <v/>
      </c>
      <c r="D344" s="70" t="str">
        <f>IFERROR(__xludf.DUMMYFUNCTION("IFERROR(VLOOKUP(A344,IMPORTRANGE(""1StiHxuxrFhYdrq5WLR2JMORicW0TbnJf3J-oTHeMRtM"",""Form Responses 1!B:C""),2,FALSE),)"),"")</f>
        <v/>
      </c>
      <c r="E344" s="70" t="str">
        <f>IFERROR(__xludf.DUMMYFUNCTION("IFERROR(VLOOKUP(A344,IMPORTRANGE(""1QaxxyUjrDq2kgz300C1Bq1tacFk6e-xX218cSXCQUK0"",""Form Responses 1!B:C""),2,FALSE),)"),"")</f>
        <v/>
      </c>
      <c r="F344" s="70" t="str">
        <f>IFERROR(__xludf.DUMMYFUNCTION("IFERROR(VLOOKUP(A344,IMPORTRANGE(""1fn2ECph_y8Uz78DhjLaiXcwgt6kh3oe-0Le36Uw0noE"",""Form Responses 1!B:C""),2,FALSE),)"),"")</f>
        <v/>
      </c>
      <c r="G344" s="70"/>
      <c r="H344" s="70"/>
      <c r="I344" s="70"/>
      <c r="J344" s="70"/>
      <c r="K344" s="70"/>
      <c r="L344" s="70"/>
      <c r="M344" s="70"/>
      <c r="N344" s="70"/>
      <c r="O344" s="70"/>
      <c r="P344" s="70"/>
      <c r="Q344" s="70" t="str">
        <f>IFERROR(__xludf.DUMMYFUNCTION("IFERROR(IF(COUNTIF(IMPORTRANGE(""1WjiLR_MTMxI_IZUKuvPO4Sg2rTSIqBzP3edakSRXbOA"",""Form Responses 1!B:B""),F344)&gt;0,10,),0)"),"")</f>
        <v/>
      </c>
      <c r="R344" s="70" t="str">
        <f>IFERROR(__xludf.DUMMYFUNCTION("IFERROR(VLOOKUP(F344,IMPORTRANGE(""1Ixzbal5tEbtWhozsFEppQzOYE6ZSrkNXHg_HW5k3Wt4"",""Form Responses 1!B:C""),2,FALSE),)"),"")</f>
        <v/>
      </c>
      <c r="S344" s="70" t="str">
        <f>IFERROR(__xludf.DUMMYFUNCTION("IFERROR(VLOOKUP(F344,IMPORTRANGE(""1zxjtEKGvVIJPIDqZdnxENwVpPXYa88EihzyI44hcQUo"",""Form Responses 1!B:C""),2,FALSE),)"),"")</f>
        <v/>
      </c>
      <c r="T344" s="70" t="str">
        <f>IFERROR(__xludf.DUMMYFUNCTION("IFERROR(VLOOKUP(F344,IMPORTRANGE(""1H3cO01obd5zFULYqaT5NAqecZBFFIHeDFn4CeQLZF3w"",""Form Responses 1!B:C""),2,FALSE),)"),"")</f>
        <v/>
      </c>
      <c r="U344" s="70" t="str">
        <f>IFERROR(__xludf.DUMMYFUNCTION("IFERROR(IF(COUNTIF(IMPORTRANGE(""1IG9qoa6PeLdDDFzKpW39lxXshN0-M8Z25a_R1EpsYyg"",""Form Responses 1!B:B""),F344)&gt;0,10,),0)"),"")</f>
        <v/>
      </c>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row>
    <row r="345">
      <c r="B345" s="70" t="str">
        <f>IFERROR(__xludf.DUMMYFUNCTION("IFERROR(IF(COUNTIF(IMPORTRANGE(""1RTcwEJsI_0aJRebhNwO_H_AoKl9r46k7hWYbtciIyM4"",""Form Responses 1!B:B""),A345)&gt;0,10,),0)"),"")</f>
        <v/>
      </c>
      <c r="C345" s="70" t="str">
        <f>IFERROR(__xludf.DUMMYFUNCTION("IFERROR(VLOOKUP(A345,IMPORTRANGE(""11i8IUhq_U6RRKRV3CBWIKqYed_fMvFgNUHTq1YDJfp8"",""Form Responses 1!B:C""),2,FALSE),)"),"")</f>
        <v/>
      </c>
      <c r="D345" s="70" t="str">
        <f>IFERROR(__xludf.DUMMYFUNCTION("IFERROR(VLOOKUP(A345,IMPORTRANGE(""1StiHxuxrFhYdrq5WLR2JMORicW0TbnJf3J-oTHeMRtM"",""Form Responses 1!B:C""),2,FALSE),)"),"")</f>
        <v/>
      </c>
      <c r="E345" s="70" t="str">
        <f>IFERROR(__xludf.DUMMYFUNCTION("IFERROR(VLOOKUP(A345,IMPORTRANGE(""1QaxxyUjrDq2kgz300C1Bq1tacFk6e-xX218cSXCQUK0"",""Form Responses 1!B:C""),2,FALSE),)"),"")</f>
        <v/>
      </c>
      <c r="F345" s="70" t="str">
        <f>IFERROR(__xludf.DUMMYFUNCTION("IFERROR(VLOOKUP(A345,IMPORTRANGE(""1fn2ECph_y8Uz78DhjLaiXcwgt6kh3oe-0Le36Uw0noE"",""Form Responses 1!B:C""),2,FALSE),)"),"")</f>
        <v/>
      </c>
      <c r="G345" s="70"/>
      <c r="H345" s="70"/>
      <c r="I345" s="70"/>
      <c r="J345" s="70"/>
      <c r="K345" s="70"/>
      <c r="L345" s="70"/>
      <c r="M345" s="70"/>
      <c r="N345" s="70"/>
      <c r="O345" s="70"/>
      <c r="P345" s="70"/>
      <c r="Q345" s="70" t="str">
        <f>IFERROR(__xludf.DUMMYFUNCTION("IFERROR(IF(COUNTIF(IMPORTRANGE(""1WjiLR_MTMxI_IZUKuvPO4Sg2rTSIqBzP3edakSRXbOA"",""Form Responses 1!B:B""),F345)&gt;0,10,),0)"),"")</f>
        <v/>
      </c>
      <c r="R345" s="70" t="str">
        <f>IFERROR(__xludf.DUMMYFUNCTION("IFERROR(VLOOKUP(F345,IMPORTRANGE(""1Ixzbal5tEbtWhozsFEppQzOYE6ZSrkNXHg_HW5k3Wt4"",""Form Responses 1!B:C""),2,FALSE),)"),"")</f>
        <v/>
      </c>
      <c r="S345" s="70" t="str">
        <f>IFERROR(__xludf.DUMMYFUNCTION("IFERROR(VLOOKUP(F345,IMPORTRANGE(""1zxjtEKGvVIJPIDqZdnxENwVpPXYa88EihzyI44hcQUo"",""Form Responses 1!B:C""),2,FALSE),)"),"")</f>
        <v/>
      </c>
      <c r="T345" s="70" t="str">
        <f>IFERROR(__xludf.DUMMYFUNCTION("IFERROR(VLOOKUP(F345,IMPORTRANGE(""1H3cO01obd5zFULYqaT5NAqecZBFFIHeDFn4CeQLZF3w"",""Form Responses 1!B:C""),2,FALSE),)"),"")</f>
        <v/>
      </c>
      <c r="U345" s="70" t="str">
        <f>IFERROR(__xludf.DUMMYFUNCTION("IFERROR(IF(COUNTIF(IMPORTRANGE(""1IG9qoa6PeLdDDFzKpW39lxXshN0-M8Z25a_R1EpsYyg"",""Form Responses 1!B:B""),F345)&gt;0,10,),0)"),"")</f>
        <v/>
      </c>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row>
    <row r="346">
      <c r="B346" s="70" t="str">
        <f>IFERROR(__xludf.DUMMYFUNCTION("IFERROR(IF(COUNTIF(IMPORTRANGE(""1RTcwEJsI_0aJRebhNwO_H_AoKl9r46k7hWYbtciIyM4"",""Form Responses 1!B:B""),A346)&gt;0,10,),0)"),"")</f>
        <v/>
      </c>
      <c r="C346" s="70" t="str">
        <f>IFERROR(__xludf.DUMMYFUNCTION("IFERROR(VLOOKUP(A346,IMPORTRANGE(""11i8IUhq_U6RRKRV3CBWIKqYed_fMvFgNUHTq1YDJfp8"",""Form Responses 1!B:C""),2,FALSE),)"),"")</f>
        <v/>
      </c>
      <c r="D346" s="70" t="str">
        <f>IFERROR(__xludf.DUMMYFUNCTION("IFERROR(VLOOKUP(A346,IMPORTRANGE(""1StiHxuxrFhYdrq5WLR2JMORicW0TbnJf3J-oTHeMRtM"",""Form Responses 1!B:C""),2,FALSE),)"),"")</f>
        <v/>
      </c>
      <c r="E346" s="70" t="str">
        <f>IFERROR(__xludf.DUMMYFUNCTION("IFERROR(VLOOKUP(A346,IMPORTRANGE(""1QaxxyUjrDq2kgz300C1Bq1tacFk6e-xX218cSXCQUK0"",""Form Responses 1!B:C""),2,FALSE),)"),"")</f>
        <v/>
      </c>
      <c r="F346" s="70" t="str">
        <f>IFERROR(__xludf.DUMMYFUNCTION("IFERROR(VLOOKUP(A346,IMPORTRANGE(""1fn2ECph_y8Uz78DhjLaiXcwgt6kh3oe-0Le36Uw0noE"",""Form Responses 1!B:C""),2,FALSE),)"),"")</f>
        <v/>
      </c>
      <c r="G346" s="70"/>
      <c r="H346" s="70"/>
      <c r="I346" s="70"/>
      <c r="J346" s="70"/>
      <c r="K346" s="70"/>
      <c r="L346" s="70"/>
      <c r="M346" s="70"/>
      <c r="N346" s="70"/>
      <c r="O346" s="70"/>
      <c r="P346" s="70"/>
      <c r="Q346" s="70" t="str">
        <f>IFERROR(__xludf.DUMMYFUNCTION("IFERROR(IF(COUNTIF(IMPORTRANGE(""1WjiLR_MTMxI_IZUKuvPO4Sg2rTSIqBzP3edakSRXbOA"",""Form Responses 1!B:B""),F346)&gt;0,10,),0)"),"")</f>
        <v/>
      </c>
      <c r="R346" s="70" t="str">
        <f>IFERROR(__xludf.DUMMYFUNCTION("IFERROR(VLOOKUP(F346,IMPORTRANGE(""1Ixzbal5tEbtWhozsFEppQzOYE6ZSrkNXHg_HW5k3Wt4"",""Form Responses 1!B:C""),2,FALSE),)"),"")</f>
        <v/>
      </c>
      <c r="S346" s="70" t="str">
        <f>IFERROR(__xludf.DUMMYFUNCTION("IFERROR(VLOOKUP(F346,IMPORTRANGE(""1zxjtEKGvVIJPIDqZdnxENwVpPXYa88EihzyI44hcQUo"",""Form Responses 1!B:C""),2,FALSE),)"),"")</f>
        <v/>
      </c>
      <c r="T346" s="70" t="str">
        <f>IFERROR(__xludf.DUMMYFUNCTION("IFERROR(VLOOKUP(F346,IMPORTRANGE(""1H3cO01obd5zFULYqaT5NAqecZBFFIHeDFn4CeQLZF3w"",""Form Responses 1!B:C""),2,FALSE),)"),"")</f>
        <v/>
      </c>
      <c r="U346" s="70" t="str">
        <f>IFERROR(__xludf.DUMMYFUNCTION("IFERROR(IF(COUNTIF(IMPORTRANGE(""1IG9qoa6PeLdDDFzKpW39lxXshN0-M8Z25a_R1EpsYyg"",""Form Responses 1!B:B""),F346)&gt;0,10,),0)"),"")</f>
        <v/>
      </c>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row>
    <row r="347">
      <c r="B347" s="70" t="str">
        <f>IFERROR(__xludf.DUMMYFUNCTION("IFERROR(IF(COUNTIF(IMPORTRANGE(""1RTcwEJsI_0aJRebhNwO_H_AoKl9r46k7hWYbtciIyM4"",""Form Responses 1!B:B""),A347)&gt;0,10,),0)"),"")</f>
        <v/>
      </c>
      <c r="C347" s="70" t="str">
        <f>IFERROR(__xludf.DUMMYFUNCTION("IFERROR(VLOOKUP(A347,IMPORTRANGE(""11i8IUhq_U6RRKRV3CBWIKqYed_fMvFgNUHTq1YDJfp8"",""Form Responses 1!B:C""),2,FALSE),)"),"")</f>
        <v/>
      </c>
      <c r="D347" s="70" t="str">
        <f>IFERROR(__xludf.DUMMYFUNCTION("IFERROR(VLOOKUP(A347,IMPORTRANGE(""1StiHxuxrFhYdrq5WLR2JMORicW0TbnJf3J-oTHeMRtM"",""Form Responses 1!B:C""),2,FALSE),)"),"")</f>
        <v/>
      </c>
      <c r="E347" s="70" t="str">
        <f>IFERROR(__xludf.DUMMYFUNCTION("IFERROR(VLOOKUP(A347,IMPORTRANGE(""1QaxxyUjrDq2kgz300C1Bq1tacFk6e-xX218cSXCQUK0"",""Form Responses 1!B:C""),2,FALSE),)"),"")</f>
        <v/>
      </c>
      <c r="F347" s="70" t="str">
        <f>IFERROR(__xludf.DUMMYFUNCTION("IFERROR(VLOOKUP(A347,IMPORTRANGE(""1fn2ECph_y8Uz78DhjLaiXcwgt6kh3oe-0Le36Uw0noE"",""Form Responses 1!B:C""),2,FALSE),)"),"")</f>
        <v/>
      </c>
      <c r="G347" s="70"/>
      <c r="H347" s="70"/>
      <c r="I347" s="70"/>
      <c r="J347" s="70"/>
      <c r="K347" s="70"/>
      <c r="L347" s="70"/>
      <c r="M347" s="70"/>
      <c r="N347" s="70"/>
      <c r="O347" s="70"/>
      <c r="P347" s="70"/>
      <c r="Q347" s="70" t="str">
        <f>IFERROR(__xludf.DUMMYFUNCTION("IFERROR(IF(COUNTIF(IMPORTRANGE(""1WjiLR_MTMxI_IZUKuvPO4Sg2rTSIqBzP3edakSRXbOA"",""Form Responses 1!B:B""),F347)&gt;0,10,),0)"),"")</f>
        <v/>
      </c>
      <c r="R347" s="70" t="str">
        <f>IFERROR(__xludf.DUMMYFUNCTION("IFERROR(VLOOKUP(F347,IMPORTRANGE(""1Ixzbal5tEbtWhozsFEppQzOYE6ZSrkNXHg_HW5k3Wt4"",""Form Responses 1!B:C""),2,FALSE),)"),"")</f>
        <v/>
      </c>
      <c r="S347" s="70" t="str">
        <f>IFERROR(__xludf.DUMMYFUNCTION("IFERROR(VLOOKUP(F347,IMPORTRANGE(""1zxjtEKGvVIJPIDqZdnxENwVpPXYa88EihzyI44hcQUo"",""Form Responses 1!B:C""),2,FALSE),)"),"")</f>
        <v/>
      </c>
      <c r="T347" s="70" t="str">
        <f>IFERROR(__xludf.DUMMYFUNCTION("IFERROR(VLOOKUP(F347,IMPORTRANGE(""1H3cO01obd5zFULYqaT5NAqecZBFFIHeDFn4CeQLZF3w"",""Form Responses 1!B:C""),2,FALSE),)"),"")</f>
        <v/>
      </c>
      <c r="U347" s="70" t="str">
        <f>IFERROR(__xludf.DUMMYFUNCTION("IFERROR(IF(COUNTIF(IMPORTRANGE(""1IG9qoa6PeLdDDFzKpW39lxXshN0-M8Z25a_R1EpsYyg"",""Form Responses 1!B:B""),F347)&gt;0,10,),0)"),"")</f>
        <v/>
      </c>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row>
    <row r="348">
      <c r="B348" s="70" t="str">
        <f>IFERROR(__xludf.DUMMYFUNCTION("IFERROR(IF(COUNTIF(IMPORTRANGE(""1RTcwEJsI_0aJRebhNwO_H_AoKl9r46k7hWYbtciIyM4"",""Form Responses 1!B:B""),A348)&gt;0,10,),0)"),"")</f>
        <v/>
      </c>
      <c r="C348" s="70" t="str">
        <f>IFERROR(__xludf.DUMMYFUNCTION("IFERROR(VLOOKUP(A348,IMPORTRANGE(""11i8IUhq_U6RRKRV3CBWIKqYed_fMvFgNUHTq1YDJfp8"",""Form Responses 1!B:C""),2,FALSE),)"),"")</f>
        <v/>
      </c>
      <c r="D348" s="70" t="str">
        <f>IFERROR(__xludf.DUMMYFUNCTION("IFERROR(VLOOKUP(A348,IMPORTRANGE(""1StiHxuxrFhYdrq5WLR2JMORicW0TbnJf3J-oTHeMRtM"",""Form Responses 1!B:C""),2,FALSE),)"),"")</f>
        <v/>
      </c>
      <c r="E348" s="70" t="str">
        <f>IFERROR(__xludf.DUMMYFUNCTION("IFERROR(VLOOKUP(A348,IMPORTRANGE(""1QaxxyUjrDq2kgz300C1Bq1tacFk6e-xX218cSXCQUK0"",""Form Responses 1!B:C""),2,FALSE),)"),"")</f>
        <v/>
      </c>
      <c r="F348" s="70" t="str">
        <f>IFERROR(__xludf.DUMMYFUNCTION("IFERROR(VLOOKUP(A348,IMPORTRANGE(""1fn2ECph_y8Uz78DhjLaiXcwgt6kh3oe-0Le36Uw0noE"",""Form Responses 1!B:C""),2,FALSE),)"),"")</f>
        <v/>
      </c>
      <c r="G348" s="70"/>
      <c r="H348" s="70"/>
      <c r="I348" s="70"/>
      <c r="J348" s="70"/>
      <c r="K348" s="70"/>
      <c r="L348" s="70"/>
      <c r="M348" s="70"/>
      <c r="N348" s="70"/>
      <c r="O348" s="70"/>
      <c r="P348" s="70"/>
      <c r="Q348" s="70" t="str">
        <f>IFERROR(__xludf.DUMMYFUNCTION("IFERROR(IF(COUNTIF(IMPORTRANGE(""1WjiLR_MTMxI_IZUKuvPO4Sg2rTSIqBzP3edakSRXbOA"",""Form Responses 1!B:B""),F348)&gt;0,10,),0)"),"")</f>
        <v/>
      </c>
      <c r="R348" s="70" t="str">
        <f>IFERROR(__xludf.DUMMYFUNCTION("IFERROR(VLOOKUP(F348,IMPORTRANGE(""1Ixzbal5tEbtWhozsFEppQzOYE6ZSrkNXHg_HW5k3Wt4"",""Form Responses 1!B:C""),2,FALSE),)"),"")</f>
        <v/>
      </c>
      <c r="S348" s="70" t="str">
        <f>IFERROR(__xludf.DUMMYFUNCTION("IFERROR(VLOOKUP(F348,IMPORTRANGE(""1zxjtEKGvVIJPIDqZdnxENwVpPXYa88EihzyI44hcQUo"",""Form Responses 1!B:C""),2,FALSE),)"),"")</f>
        <v/>
      </c>
      <c r="T348" s="70" t="str">
        <f>IFERROR(__xludf.DUMMYFUNCTION("IFERROR(VLOOKUP(F348,IMPORTRANGE(""1H3cO01obd5zFULYqaT5NAqecZBFFIHeDFn4CeQLZF3w"",""Form Responses 1!B:C""),2,FALSE),)"),"")</f>
        <v/>
      </c>
      <c r="U348" s="70" t="str">
        <f>IFERROR(__xludf.DUMMYFUNCTION("IFERROR(IF(COUNTIF(IMPORTRANGE(""1IG9qoa6PeLdDDFzKpW39lxXshN0-M8Z25a_R1EpsYyg"",""Form Responses 1!B:B""),F348)&gt;0,10,),0)"),"")</f>
        <v/>
      </c>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row>
    <row r="349">
      <c r="B349" s="70" t="str">
        <f>IFERROR(__xludf.DUMMYFUNCTION("IFERROR(IF(COUNTIF(IMPORTRANGE(""1RTcwEJsI_0aJRebhNwO_H_AoKl9r46k7hWYbtciIyM4"",""Form Responses 1!B:B""),A349)&gt;0,10,),0)"),"")</f>
        <v/>
      </c>
      <c r="C349" s="70" t="str">
        <f>IFERROR(__xludf.DUMMYFUNCTION("IFERROR(VLOOKUP(A349,IMPORTRANGE(""11i8IUhq_U6RRKRV3CBWIKqYed_fMvFgNUHTq1YDJfp8"",""Form Responses 1!B:C""),2,FALSE),)"),"")</f>
        <v/>
      </c>
      <c r="D349" s="70" t="str">
        <f>IFERROR(__xludf.DUMMYFUNCTION("IFERROR(VLOOKUP(A349,IMPORTRANGE(""1StiHxuxrFhYdrq5WLR2JMORicW0TbnJf3J-oTHeMRtM"",""Form Responses 1!B:C""),2,FALSE),)"),"")</f>
        <v/>
      </c>
      <c r="E349" s="70" t="str">
        <f>IFERROR(__xludf.DUMMYFUNCTION("IFERROR(VLOOKUP(A349,IMPORTRANGE(""1QaxxyUjrDq2kgz300C1Bq1tacFk6e-xX218cSXCQUK0"",""Form Responses 1!B:C""),2,FALSE),)"),"")</f>
        <v/>
      </c>
      <c r="F349" s="70" t="str">
        <f>IFERROR(__xludf.DUMMYFUNCTION("IFERROR(VLOOKUP(A349,IMPORTRANGE(""1fn2ECph_y8Uz78DhjLaiXcwgt6kh3oe-0Le36Uw0noE"",""Form Responses 1!B:C""),2,FALSE),)"),"")</f>
        <v/>
      </c>
      <c r="G349" s="70"/>
      <c r="H349" s="70"/>
      <c r="I349" s="70"/>
      <c r="J349" s="70"/>
      <c r="K349" s="70"/>
      <c r="L349" s="70"/>
      <c r="M349" s="70"/>
      <c r="N349" s="70"/>
      <c r="O349" s="70"/>
      <c r="P349" s="70"/>
      <c r="Q349" s="70" t="str">
        <f>IFERROR(__xludf.DUMMYFUNCTION("IFERROR(IF(COUNTIF(IMPORTRANGE(""1WjiLR_MTMxI_IZUKuvPO4Sg2rTSIqBzP3edakSRXbOA"",""Form Responses 1!B:B""),F349)&gt;0,10,),0)"),"")</f>
        <v/>
      </c>
      <c r="R349" s="70" t="str">
        <f>IFERROR(__xludf.DUMMYFUNCTION("IFERROR(VLOOKUP(F349,IMPORTRANGE(""1Ixzbal5tEbtWhozsFEppQzOYE6ZSrkNXHg_HW5k3Wt4"",""Form Responses 1!B:C""),2,FALSE),)"),"")</f>
        <v/>
      </c>
      <c r="S349" s="70" t="str">
        <f>IFERROR(__xludf.DUMMYFUNCTION("IFERROR(VLOOKUP(F349,IMPORTRANGE(""1zxjtEKGvVIJPIDqZdnxENwVpPXYa88EihzyI44hcQUo"",""Form Responses 1!B:C""),2,FALSE),)"),"")</f>
        <v/>
      </c>
      <c r="T349" s="70" t="str">
        <f>IFERROR(__xludf.DUMMYFUNCTION("IFERROR(VLOOKUP(F349,IMPORTRANGE(""1H3cO01obd5zFULYqaT5NAqecZBFFIHeDFn4CeQLZF3w"",""Form Responses 1!B:C""),2,FALSE),)"),"")</f>
        <v/>
      </c>
      <c r="U349" s="70" t="str">
        <f>IFERROR(__xludf.DUMMYFUNCTION("IFERROR(IF(COUNTIF(IMPORTRANGE(""1IG9qoa6PeLdDDFzKpW39lxXshN0-M8Z25a_R1EpsYyg"",""Form Responses 1!B:B""),F349)&gt;0,10,),0)"),"")</f>
        <v/>
      </c>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row>
    <row r="350">
      <c r="B350" s="70" t="str">
        <f>IFERROR(__xludf.DUMMYFUNCTION("IFERROR(IF(COUNTIF(IMPORTRANGE(""1RTcwEJsI_0aJRebhNwO_H_AoKl9r46k7hWYbtciIyM4"",""Form Responses 1!B:B""),A350)&gt;0,10,),0)"),"")</f>
        <v/>
      </c>
      <c r="C350" s="70" t="str">
        <f>IFERROR(__xludf.DUMMYFUNCTION("IFERROR(VLOOKUP(A350,IMPORTRANGE(""11i8IUhq_U6RRKRV3CBWIKqYed_fMvFgNUHTq1YDJfp8"",""Form Responses 1!B:C""),2,FALSE),)"),"")</f>
        <v/>
      </c>
      <c r="D350" s="70" t="str">
        <f>IFERROR(__xludf.DUMMYFUNCTION("IFERROR(VLOOKUP(A350,IMPORTRANGE(""1StiHxuxrFhYdrq5WLR2JMORicW0TbnJf3J-oTHeMRtM"",""Form Responses 1!B:C""),2,FALSE),)"),"")</f>
        <v/>
      </c>
      <c r="E350" s="70" t="str">
        <f>IFERROR(__xludf.DUMMYFUNCTION("IFERROR(VLOOKUP(A350,IMPORTRANGE(""1QaxxyUjrDq2kgz300C1Bq1tacFk6e-xX218cSXCQUK0"",""Form Responses 1!B:C""),2,FALSE),)"),"")</f>
        <v/>
      </c>
      <c r="F350" s="70" t="str">
        <f>IFERROR(__xludf.DUMMYFUNCTION("IFERROR(VLOOKUP(A350,IMPORTRANGE(""1fn2ECph_y8Uz78DhjLaiXcwgt6kh3oe-0Le36Uw0noE"",""Form Responses 1!B:C""),2,FALSE),)"),"")</f>
        <v/>
      </c>
      <c r="G350" s="70"/>
      <c r="H350" s="70"/>
      <c r="I350" s="70"/>
      <c r="J350" s="70"/>
      <c r="K350" s="70"/>
      <c r="L350" s="70"/>
      <c r="M350" s="70"/>
      <c r="N350" s="70"/>
      <c r="O350" s="70"/>
      <c r="P350" s="70"/>
      <c r="Q350" s="70" t="str">
        <f>IFERROR(__xludf.DUMMYFUNCTION("IFERROR(IF(COUNTIF(IMPORTRANGE(""1WjiLR_MTMxI_IZUKuvPO4Sg2rTSIqBzP3edakSRXbOA"",""Form Responses 1!B:B""),F350)&gt;0,10,),0)"),"")</f>
        <v/>
      </c>
      <c r="R350" s="70" t="str">
        <f>IFERROR(__xludf.DUMMYFUNCTION("IFERROR(VLOOKUP(F350,IMPORTRANGE(""1Ixzbal5tEbtWhozsFEppQzOYE6ZSrkNXHg_HW5k3Wt4"",""Form Responses 1!B:C""),2,FALSE),)"),"")</f>
        <v/>
      </c>
      <c r="S350" s="70" t="str">
        <f>IFERROR(__xludf.DUMMYFUNCTION("IFERROR(VLOOKUP(F350,IMPORTRANGE(""1zxjtEKGvVIJPIDqZdnxENwVpPXYa88EihzyI44hcQUo"",""Form Responses 1!B:C""),2,FALSE),)"),"")</f>
        <v/>
      </c>
      <c r="T350" s="70" t="str">
        <f>IFERROR(__xludf.DUMMYFUNCTION("IFERROR(VLOOKUP(F350,IMPORTRANGE(""1H3cO01obd5zFULYqaT5NAqecZBFFIHeDFn4CeQLZF3w"",""Form Responses 1!B:C""),2,FALSE),)"),"")</f>
        <v/>
      </c>
      <c r="U350" s="70" t="str">
        <f>IFERROR(__xludf.DUMMYFUNCTION("IFERROR(IF(COUNTIF(IMPORTRANGE(""1IG9qoa6PeLdDDFzKpW39lxXshN0-M8Z25a_R1EpsYyg"",""Form Responses 1!B:B""),F350)&gt;0,10,),0)"),"")</f>
        <v/>
      </c>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row>
    <row r="351">
      <c r="B351" s="70" t="str">
        <f>IFERROR(__xludf.DUMMYFUNCTION("IFERROR(IF(COUNTIF(IMPORTRANGE(""1RTcwEJsI_0aJRebhNwO_H_AoKl9r46k7hWYbtciIyM4"",""Form Responses 1!B:B""),A351)&gt;0,10,),0)"),"")</f>
        <v/>
      </c>
      <c r="C351" s="70" t="str">
        <f>IFERROR(__xludf.DUMMYFUNCTION("IFERROR(VLOOKUP(A351,IMPORTRANGE(""11i8IUhq_U6RRKRV3CBWIKqYed_fMvFgNUHTq1YDJfp8"",""Form Responses 1!B:C""),2,FALSE),)"),"")</f>
        <v/>
      </c>
      <c r="D351" s="70" t="str">
        <f>IFERROR(__xludf.DUMMYFUNCTION("IFERROR(VLOOKUP(A351,IMPORTRANGE(""1StiHxuxrFhYdrq5WLR2JMORicW0TbnJf3J-oTHeMRtM"",""Form Responses 1!B:C""),2,FALSE),)"),"")</f>
        <v/>
      </c>
      <c r="E351" s="70" t="str">
        <f>IFERROR(__xludf.DUMMYFUNCTION("IFERROR(VLOOKUP(A351,IMPORTRANGE(""1QaxxyUjrDq2kgz300C1Bq1tacFk6e-xX218cSXCQUK0"",""Form Responses 1!B:C""),2,FALSE),)"),"")</f>
        <v/>
      </c>
      <c r="F351" s="70" t="str">
        <f>IFERROR(__xludf.DUMMYFUNCTION("IFERROR(VLOOKUP(A351,IMPORTRANGE(""1fn2ECph_y8Uz78DhjLaiXcwgt6kh3oe-0Le36Uw0noE"",""Form Responses 1!B:C""),2,FALSE),)"),"")</f>
        <v/>
      </c>
      <c r="G351" s="70"/>
      <c r="H351" s="70"/>
      <c r="I351" s="70"/>
      <c r="J351" s="70"/>
      <c r="K351" s="70"/>
      <c r="L351" s="70"/>
      <c r="M351" s="70"/>
      <c r="N351" s="70"/>
      <c r="O351" s="70"/>
      <c r="P351" s="70"/>
      <c r="Q351" s="70" t="str">
        <f>IFERROR(__xludf.DUMMYFUNCTION("IFERROR(IF(COUNTIF(IMPORTRANGE(""1WjiLR_MTMxI_IZUKuvPO4Sg2rTSIqBzP3edakSRXbOA"",""Form Responses 1!B:B""),F351)&gt;0,10,),0)"),"")</f>
        <v/>
      </c>
      <c r="R351" s="70" t="str">
        <f>IFERROR(__xludf.DUMMYFUNCTION("IFERROR(VLOOKUP(F351,IMPORTRANGE(""1Ixzbal5tEbtWhozsFEppQzOYE6ZSrkNXHg_HW5k3Wt4"",""Form Responses 1!B:C""),2,FALSE),)"),"")</f>
        <v/>
      </c>
      <c r="S351" s="70" t="str">
        <f>IFERROR(__xludf.DUMMYFUNCTION("IFERROR(VLOOKUP(F351,IMPORTRANGE(""1zxjtEKGvVIJPIDqZdnxENwVpPXYa88EihzyI44hcQUo"",""Form Responses 1!B:C""),2,FALSE),)"),"")</f>
        <v/>
      </c>
      <c r="T351" s="70" t="str">
        <f>IFERROR(__xludf.DUMMYFUNCTION("IFERROR(VLOOKUP(F351,IMPORTRANGE(""1H3cO01obd5zFULYqaT5NAqecZBFFIHeDFn4CeQLZF3w"",""Form Responses 1!B:C""),2,FALSE),)"),"")</f>
        <v/>
      </c>
      <c r="U351" s="70" t="str">
        <f>IFERROR(__xludf.DUMMYFUNCTION("IFERROR(IF(COUNTIF(IMPORTRANGE(""1IG9qoa6PeLdDDFzKpW39lxXshN0-M8Z25a_R1EpsYyg"",""Form Responses 1!B:B""),F351)&gt;0,10,),0)"),"")</f>
        <v/>
      </c>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row>
    <row r="352">
      <c r="B352" s="70" t="str">
        <f>IFERROR(__xludf.DUMMYFUNCTION("IFERROR(IF(COUNTIF(IMPORTRANGE(""1RTcwEJsI_0aJRebhNwO_H_AoKl9r46k7hWYbtciIyM4"",""Form Responses 1!B:B""),A352)&gt;0,10,),0)"),"")</f>
        <v/>
      </c>
      <c r="C352" s="70" t="str">
        <f>IFERROR(__xludf.DUMMYFUNCTION("IFERROR(VLOOKUP(A352,IMPORTRANGE(""11i8IUhq_U6RRKRV3CBWIKqYed_fMvFgNUHTq1YDJfp8"",""Form Responses 1!B:C""),2,FALSE),)"),"")</f>
        <v/>
      </c>
      <c r="D352" s="70" t="str">
        <f>IFERROR(__xludf.DUMMYFUNCTION("IFERROR(VLOOKUP(A352,IMPORTRANGE(""1StiHxuxrFhYdrq5WLR2JMORicW0TbnJf3J-oTHeMRtM"",""Form Responses 1!B:C""),2,FALSE),)"),"")</f>
        <v/>
      </c>
      <c r="E352" s="70" t="str">
        <f>IFERROR(__xludf.DUMMYFUNCTION("IFERROR(VLOOKUP(A352,IMPORTRANGE(""1QaxxyUjrDq2kgz300C1Bq1tacFk6e-xX218cSXCQUK0"",""Form Responses 1!B:C""),2,FALSE),)"),"")</f>
        <v/>
      </c>
      <c r="F352" s="70" t="str">
        <f>IFERROR(__xludf.DUMMYFUNCTION("IFERROR(VLOOKUP(A352,IMPORTRANGE(""1fn2ECph_y8Uz78DhjLaiXcwgt6kh3oe-0Le36Uw0noE"",""Form Responses 1!B:C""),2,FALSE),)"),"")</f>
        <v/>
      </c>
      <c r="G352" s="70"/>
      <c r="H352" s="70"/>
      <c r="I352" s="70"/>
      <c r="J352" s="70"/>
      <c r="K352" s="70"/>
      <c r="L352" s="70"/>
      <c r="M352" s="70"/>
      <c r="N352" s="70"/>
      <c r="O352" s="70"/>
      <c r="P352" s="70"/>
      <c r="Q352" s="70" t="str">
        <f>IFERROR(__xludf.DUMMYFUNCTION("IFERROR(IF(COUNTIF(IMPORTRANGE(""1WjiLR_MTMxI_IZUKuvPO4Sg2rTSIqBzP3edakSRXbOA"",""Form Responses 1!B:B""),F352)&gt;0,10,),0)"),"")</f>
        <v/>
      </c>
      <c r="R352" s="70" t="str">
        <f>IFERROR(__xludf.DUMMYFUNCTION("IFERROR(VLOOKUP(F352,IMPORTRANGE(""1Ixzbal5tEbtWhozsFEppQzOYE6ZSrkNXHg_HW5k3Wt4"",""Form Responses 1!B:C""),2,FALSE),)"),"")</f>
        <v/>
      </c>
      <c r="S352" s="70" t="str">
        <f>IFERROR(__xludf.DUMMYFUNCTION("IFERROR(VLOOKUP(F352,IMPORTRANGE(""1zxjtEKGvVIJPIDqZdnxENwVpPXYa88EihzyI44hcQUo"",""Form Responses 1!B:C""),2,FALSE),)"),"")</f>
        <v/>
      </c>
      <c r="T352" s="70" t="str">
        <f>IFERROR(__xludf.DUMMYFUNCTION("IFERROR(VLOOKUP(F352,IMPORTRANGE(""1H3cO01obd5zFULYqaT5NAqecZBFFIHeDFn4CeQLZF3w"",""Form Responses 1!B:C""),2,FALSE),)"),"")</f>
        <v/>
      </c>
      <c r="U352" s="70" t="str">
        <f>IFERROR(__xludf.DUMMYFUNCTION("IFERROR(IF(COUNTIF(IMPORTRANGE(""1IG9qoa6PeLdDDFzKpW39lxXshN0-M8Z25a_R1EpsYyg"",""Form Responses 1!B:B""),F352)&gt;0,10,),0)"),"")</f>
        <v/>
      </c>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row>
    <row r="353">
      <c r="B353" s="70" t="str">
        <f>IFERROR(__xludf.DUMMYFUNCTION("IFERROR(IF(COUNTIF(IMPORTRANGE(""1RTcwEJsI_0aJRebhNwO_H_AoKl9r46k7hWYbtciIyM4"",""Form Responses 1!B:B""),A353)&gt;0,10,),0)"),"")</f>
        <v/>
      </c>
      <c r="C353" s="70" t="str">
        <f>IFERROR(__xludf.DUMMYFUNCTION("IFERROR(VLOOKUP(A353,IMPORTRANGE(""11i8IUhq_U6RRKRV3CBWIKqYed_fMvFgNUHTq1YDJfp8"",""Form Responses 1!B:C""),2,FALSE),)"),"")</f>
        <v/>
      </c>
      <c r="D353" s="70" t="str">
        <f>IFERROR(__xludf.DUMMYFUNCTION("IFERROR(VLOOKUP(A353,IMPORTRANGE(""1StiHxuxrFhYdrq5WLR2JMORicW0TbnJf3J-oTHeMRtM"",""Form Responses 1!B:C""),2,FALSE),)"),"")</f>
        <v/>
      </c>
      <c r="E353" s="70" t="str">
        <f>IFERROR(__xludf.DUMMYFUNCTION("IFERROR(VLOOKUP(A353,IMPORTRANGE(""1QaxxyUjrDq2kgz300C1Bq1tacFk6e-xX218cSXCQUK0"",""Form Responses 1!B:C""),2,FALSE),)"),"")</f>
        <v/>
      </c>
      <c r="F353" s="70" t="str">
        <f>IFERROR(__xludf.DUMMYFUNCTION("IFERROR(VLOOKUP(A353,IMPORTRANGE(""1fn2ECph_y8Uz78DhjLaiXcwgt6kh3oe-0Le36Uw0noE"",""Form Responses 1!B:C""),2,FALSE),)"),"")</f>
        <v/>
      </c>
      <c r="G353" s="70"/>
      <c r="H353" s="70"/>
      <c r="I353" s="70"/>
      <c r="J353" s="70"/>
      <c r="K353" s="70"/>
      <c r="L353" s="70"/>
      <c r="M353" s="70"/>
      <c r="N353" s="70"/>
      <c r="O353" s="70"/>
      <c r="P353" s="70"/>
      <c r="Q353" s="70" t="str">
        <f>IFERROR(__xludf.DUMMYFUNCTION("IFERROR(IF(COUNTIF(IMPORTRANGE(""1WjiLR_MTMxI_IZUKuvPO4Sg2rTSIqBzP3edakSRXbOA"",""Form Responses 1!B:B""),F353)&gt;0,10,),0)"),"")</f>
        <v/>
      </c>
      <c r="R353" s="70" t="str">
        <f>IFERROR(__xludf.DUMMYFUNCTION("IFERROR(VLOOKUP(F353,IMPORTRANGE(""1Ixzbal5tEbtWhozsFEppQzOYE6ZSrkNXHg_HW5k3Wt4"",""Form Responses 1!B:C""),2,FALSE),)"),"")</f>
        <v/>
      </c>
      <c r="S353" s="70" t="str">
        <f>IFERROR(__xludf.DUMMYFUNCTION("IFERROR(VLOOKUP(F353,IMPORTRANGE(""1zxjtEKGvVIJPIDqZdnxENwVpPXYa88EihzyI44hcQUo"",""Form Responses 1!B:C""),2,FALSE),)"),"")</f>
        <v/>
      </c>
      <c r="T353" s="70" t="str">
        <f>IFERROR(__xludf.DUMMYFUNCTION("IFERROR(VLOOKUP(F353,IMPORTRANGE(""1H3cO01obd5zFULYqaT5NAqecZBFFIHeDFn4CeQLZF3w"",""Form Responses 1!B:C""),2,FALSE),)"),"")</f>
        <v/>
      </c>
      <c r="U353" s="70" t="str">
        <f>IFERROR(__xludf.DUMMYFUNCTION("IFERROR(IF(COUNTIF(IMPORTRANGE(""1IG9qoa6PeLdDDFzKpW39lxXshN0-M8Z25a_R1EpsYyg"",""Form Responses 1!B:B""),F353)&gt;0,10,),0)"),"")</f>
        <v/>
      </c>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row>
    <row r="354">
      <c r="B354" s="70" t="str">
        <f>IFERROR(__xludf.DUMMYFUNCTION("IFERROR(IF(COUNTIF(IMPORTRANGE(""1RTcwEJsI_0aJRebhNwO_H_AoKl9r46k7hWYbtciIyM4"",""Form Responses 1!B:B""),A354)&gt;0,10,),0)"),"")</f>
        <v/>
      </c>
      <c r="C354" s="70" t="str">
        <f>IFERROR(__xludf.DUMMYFUNCTION("IFERROR(VLOOKUP(A354,IMPORTRANGE(""11i8IUhq_U6RRKRV3CBWIKqYed_fMvFgNUHTq1YDJfp8"",""Form Responses 1!B:C""),2,FALSE),)"),"")</f>
        <v/>
      </c>
      <c r="D354" s="70" t="str">
        <f>IFERROR(__xludf.DUMMYFUNCTION("IFERROR(VLOOKUP(A354,IMPORTRANGE(""1StiHxuxrFhYdrq5WLR2JMORicW0TbnJf3J-oTHeMRtM"",""Form Responses 1!B:C""),2,FALSE),)"),"")</f>
        <v/>
      </c>
      <c r="E354" s="70" t="str">
        <f>IFERROR(__xludf.DUMMYFUNCTION("IFERROR(VLOOKUP(A354,IMPORTRANGE(""1QaxxyUjrDq2kgz300C1Bq1tacFk6e-xX218cSXCQUK0"",""Form Responses 1!B:C""),2,FALSE),)"),"")</f>
        <v/>
      </c>
      <c r="F354" s="70" t="str">
        <f>IFERROR(__xludf.DUMMYFUNCTION("IFERROR(VLOOKUP(A354,IMPORTRANGE(""1fn2ECph_y8Uz78DhjLaiXcwgt6kh3oe-0Le36Uw0noE"",""Form Responses 1!B:C""),2,FALSE),)"),"")</f>
        <v/>
      </c>
      <c r="G354" s="70"/>
      <c r="H354" s="70"/>
      <c r="I354" s="70"/>
      <c r="J354" s="70"/>
      <c r="K354" s="70"/>
      <c r="L354" s="70"/>
      <c r="M354" s="70"/>
      <c r="N354" s="70"/>
      <c r="O354" s="70"/>
      <c r="P354" s="70"/>
      <c r="Q354" s="70" t="str">
        <f>IFERROR(__xludf.DUMMYFUNCTION("IFERROR(IF(COUNTIF(IMPORTRANGE(""1WjiLR_MTMxI_IZUKuvPO4Sg2rTSIqBzP3edakSRXbOA"",""Form Responses 1!B:B""),F354)&gt;0,10,),0)"),"")</f>
        <v/>
      </c>
      <c r="R354" s="70" t="str">
        <f>IFERROR(__xludf.DUMMYFUNCTION("IFERROR(VLOOKUP(F354,IMPORTRANGE(""1Ixzbal5tEbtWhozsFEppQzOYE6ZSrkNXHg_HW5k3Wt4"",""Form Responses 1!B:C""),2,FALSE),)"),"")</f>
        <v/>
      </c>
      <c r="S354" s="70" t="str">
        <f>IFERROR(__xludf.DUMMYFUNCTION("IFERROR(VLOOKUP(F354,IMPORTRANGE(""1zxjtEKGvVIJPIDqZdnxENwVpPXYa88EihzyI44hcQUo"",""Form Responses 1!B:C""),2,FALSE),)"),"")</f>
        <v/>
      </c>
      <c r="T354" s="70" t="str">
        <f>IFERROR(__xludf.DUMMYFUNCTION("IFERROR(VLOOKUP(F354,IMPORTRANGE(""1H3cO01obd5zFULYqaT5NAqecZBFFIHeDFn4CeQLZF3w"",""Form Responses 1!B:C""),2,FALSE),)"),"")</f>
        <v/>
      </c>
      <c r="U354" s="70" t="str">
        <f>IFERROR(__xludf.DUMMYFUNCTION("IFERROR(IF(COUNTIF(IMPORTRANGE(""1IG9qoa6PeLdDDFzKpW39lxXshN0-M8Z25a_R1EpsYyg"",""Form Responses 1!B:B""),F354)&gt;0,10,),0)"),"")</f>
        <v/>
      </c>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row>
    <row r="355">
      <c r="B355" s="70" t="str">
        <f>IFERROR(__xludf.DUMMYFUNCTION("IFERROR(IF(COUNTIF(IMPORTRANGE(""1RTcwEJsI_0aJRebhNwO_H_AoKl9r46k7hWYbtciIyM4"",""Form Responses 1!B:B""),A355)&gt;0,10,),0)"),"")</f>
        <v/>
      </c>
      <c r="C355" s="70" t="str">
        <f>IFERROR(__xludf.DUMMYFUNCTION("IFERROR(VLOOKUP(A355,IMPORTRANGE(""11i8IUhq_U6RRKRV3CBWIKqYed_fMvFgNUHTq1YDJfp8"",""Form Responses 1!B:C""),2,FALSE),)"),"")</f>
        <v/>
      </c>
      <c r="D355" s="70" t="str">
        <f>IFERROR(__xludf.DUMMYFUNCTION("IFERROR(VLOOKUP(A355,IMPORTRANGE(""1StiHxuxrFhYdrq5WLR2JMORicW0TbnJf3J-oTHeMRtM"",""Form Responses 1!B:C""),2,FALSE),)"),"")</f>
        <v/>
      </c>
      <c r="E355" s="70" t="str">
        <f>IFERROR(__xludf.DUMMYFUNCTION("IFERROR(VLOOKUP(A355,IMPORTRANGE(""1QaxxyUjrDq2kgz300C1Bq1tacFk6e-xX218cSXCQUK0"",""Form Responses 1!B:C""),2,FALSE),)"),"")</f>
        <v/>
      </c>
      <c r="F355" s="70" t="str">
        <f>IFERROR(__xludf.DUMMYFUNCTION("IFERROR(VLOOKUP(A355,IMPORTRANGE(""1fn2ECph_y8Uz78DhjLaiXcwgt6kh3oe-0Le36Uw0noE"",""Form Responses 1!B:C""),2,FALSE),)"),"")</f>
        <v/>
      </c>
      <c r="G355" s="70"/>
      <c r="H355" s="70"/>
      <c r="I355" s="70"/>
      <c r="J355" s="70"/>
      <c r="K355" s="70"/>
      <c r="L355" s="70"/>
      <c r="M355" s="70"/>
      <c r="N355" s="70"/>
      <c r="O355" s="70"/>
      <c r="P355" s="70"/>
      <c r="Q355" s="70" t="str">
        <f>IFERROR(__xludf.DUMMYFUNCTION("IFERROR(IF(COUNTIF(IMPORTRANGE(""1WjiLR_MTMxI_IZUKuvPO4Sg2rTSIqBzP3edakSRXbOA"",""Form Responses 1!B:B""),F355)&gt;0,10,),0)"),"")</f>
        <v/>
      </c>
      <c r="R355" s="70" t="str">
        <f>IFERROR(__xludf.DUMMYFUNCTION("IFERROR(VLOOKUP(F355,IMPORTRANGE(""1Ixzbal5tEbtWhozsFEppQzOYE6ZSrkNXHg_HW5k3Wt4"",""Form Responses 1!B:C""),2,FALSE),)"),"")</f>
        <v/>
      </c>
      <c r="S355" s="70" t="str">
        <f>IFERROR(__xludf.DUMMYFUNCTION("IFERROR(VLOOKUP(F355,IMPORTRANGE(""1zxjtEKGvVIJPIDqZdnxENwVpPXYa88EihzyI44hcQUo"",""Form Responses 1!B:C""),2,FALSE),)"),"")</f>
        <v/>
      </c>
      <c r="T355" s="70" t="str">
        <f>IFERROR(__xludf.DUMMYFUNCTION("IFERROR(VLOOKUP(F355,IMPORTRANGE(""1H3cO01obd5zFULYqaT5NAqecZBFFIHeDFn4CeQLZF3w"",""Form Responses 1!B:C""),2,FALSE),)"),"")</f>
        <v/>
      </c>
      <c r="U355" s="70" t="str">
        <f>IFERROR(__xludf.DUMMYFUNCTION("IFERROR(IF(COUNTIF(IMPORTRANGE(""1IG9qoa6PeLdDDFzKpW39lxXshN0-M8Z25a_R1EpsYyg"",""Form Responses 1!B:B""),F355)&gt;0,10,),0)"),"")</f>
        <v/>
      </c>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row>
    <row r="356">
      <c r="B356" s="70" t="str">
        <f>IFERROR(__xludf.DUMMYFUNCTION("IFERROR(IF(COUNTIF(IMPORTRANGE(""1RTcwEJsI_0aJRebhNwO_H_AoKl9r46k7hWYbtciIyM4"",""Form Responses 1!B:B""),A356)&gt;0,10,),0)"),"")</f>
        <v/>
      </c>
      <c r="C356" s="70" t="str">
        <f>IFERROR(__xludf.DUMMYFUNCTION("IFERROR(VLOOKUP(A356,IMPORTRANGE(""11i8IUhq_U6RRKRV3CBWIKqYed_fMvFgNUHTq1YDJfp8"",""Form Responses 1!B:C""),2,FALSE),)"),"")</f>
        <v/>
      </c>
      <c r="D356" s="70" t="str">
        <f>IFERROR(__xludf.DUMMYFUNCTION("IFERROR(VLOOKUP(A356,IMPORTRANGE(""1StiHxuxrFhYdrq5WLR2JMORicW0TbnJf3J-oTHeMRtM"",""Form Responses 1!B:C""),2,FALSE),)"),"")</f>
        <v/>
      </c>
      <c r="E356" s="70" t="str">
        <f>IFERROR(__xludf.DUMMYFUNCTION("IFERROR(VLOOKUP(A356,IMPORTRANGE(""1QaxxyUjrDq2kgz300C1Bq1tacFk6e-xX218cSXCQUK0"",""Form Responses 1!B:C""),2,FALSE),)"),"")</f>
        <v/>
      </c>
      <c r="F356" s="70" t="str">
        <f>IFERROR(__xludf.DUMMYFUNCTION("IFERROR(VLOOKUP(A356,IMPORTRANGE(""1fn2ECph_y8Uz78DhjLaiXcwgt6kh3oe-0Le36Uw0noE"",""Form Responses 1!B:C""),2,FALSE),)"),"")</f>
        <v/>
      </c>
      <c r="G356" s="70"/>
      <c r="H356" s="70"/>
      <c r="I356" s="70"/>
      <c r="J356" s="70"/>
      <c r="K356" s="70"/>
      <c r="L356" s="70"/>
      <c r="M356" s="70"/>
      <c r="N356" s="70"/>
      <c r="O356" s="70"/>
      <c r="P356" s="70"/>
      <c r="Q356" s="70" t="str">
        <f>IFERROR(__xludf.DUMMYFUNCTION("IFERROR(IF(COUNTIF(IMPORTRANGE(""1WjiLR_MTMxI_IZUKuvPO4Sg2rTSIqBzP3edakSRXbOA"",""Form Responses 1!B:B""),F356)&gt;0,10,),0)"),"")</f>
        <v/>
      </c>
      <c r="R356" s="70" t="str">
        <f>IFERROR(__xludf.DUMMYFUNCTION("IFERROR(VLOOKUP(F356,IMPORTRANGE(""1Ixzbal5tEbtWhozsFEppQzOYE6ZSrkNXHg_HW5k3Wt4"",""Form Responses 1!B:C""),2,FALSE),)"),"")</f>
        <v/>
      </c>
      <c r="S356" s="70" t="str">
        <f>IFERROR(__xludf.DUMMYFUNCTION("IFERROR(VLOOKUP(F356,IMPORTRANGE(""1zxjtEKGvVIJPIDqZdnxENwVpPXYa88EihzyI44hcQUo"",""Form Responses 1!B:C""),2,FALSE),)"),"")</f>
        <v/>
      </c>
      <c r="T356" s="70" t="str">
        <f>IFERROR(__xludf.DUMMYFUNCTION("IFERROR(VLOOKUP(F356,IMPORTRANGE(""1H3cO01obd5zFULYqaT5NAqecZBFFIHeDFn4CeQLZF3w"",""Form Responses 1!B:C""),2,FALSE),)"),"")</f>
        <v/>
      </c>
      <c r="U356" s="70" t="str">
        <f>IFERROR(__xludf.DUMMYFUNCTION("IFERROR(IF(COUNTIF(IMPORTRANGE(""1IG9qoa6PeLdDDFzKpW39lxXshN0-M8Z25a_R1EpsYyg"",""Form Responses 1!B:B""),F356)&gt;0,10,),0)"),"")</f>
        <v/>
      </c>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row>
    <row r="357">
      <c r="B357" s="70" t="str">
        <f>IFERROR(__xludf.DUMMYFUNCTION("IFERROR(IF(COUNTIF(IMPORTRANGE(""1RTcwEJsI_0aJRebhNwO_H_AoKl9r46k7hWYbtciIyM4"",""Form Responses 1!B:B""),A357)&gt;0,10,),0)"),"")</f>
        <v/>
      </c>
      <c r="C357" s="70" t="str">
        <f>IFERROR(__xludf.DUMMYFUNCTION("IFERROR(VLOOKUP(A357,IMPORTRANGE(""11i8IUhq_U6RRKRV3CBWIKqYed_fMvFgNUHTq1YDJfp8"",""Form Responses 1!B:C""),2,FALSE),)"),"")</f>
        <v/>
      </c>
      <c r="D357" s="70" t="str">
        <f>IFERROR(__xludf.DUMMYFUNCTION("IFERROR(VLOOKUP(A357,IMPORTRANGE(""1StiHxuxrFhYdrq5WLR2JMORicW0TbnJf3J-oTHeMRtM"",""Form Responses 1!B:C""),2,FALSE),)"),"")</f>
        <v/>
      </c>
      <c r="E357" s="70" t="str">
        <f>IFERROR(__xludf.DUMMYFUNCTION("IFERROR(VLOOKUP(A357,IMPORTRANGE(""1QaxxyUjrDq2kgz300C1Bq1tacFk6e-xX218cSXCQUK0"",""Form Responses 1!B:C""),2,FALSE),)"),"")</f>
        <v/>
      </c>
      <c r="F357" s="70" t="str">
        <f>IFERROR(__xludf.DUMMYFUNCTION("IFERROR(VLOOKUP(A357,IMPORTRANGE(""1fn2ECph_y8Uz78DhjLaiXcwgt6kh3oe-0Le36Uw0noE"",""Form Responses 1!B:C""),2,FALSE),)"),"")</f>
        <v/>
      </c>
      <c r="G357" s="70"/>
      <c r="H357" s="70"/>
      <c r="I357" s="70"/>
      <c r="J357" s="70"/>
      <c r="K357" s="70"/>
      <c r="L357" s="70"/>
      <c r="M357" s="70"/>
      <c r="N357" s="70"/>
      <c r="O357" s="70"/>
      <c r="P357" s="70"/>
      <c r="Q357" s="70" t="str">
        <f>IFERROR(__xludf.DUMMYFUNCTION("IFERROR(IF(COUNTIF(IMPORTRANGE(""1WjiLR_MTMxI_IZUKuvPO4Sg2rTSIqBzP3edakSRXbOA"",""Form Responses 1!B:B""),F357)&gt;0,10,),0)"),"")</f>
        <v/>
      </c>
      <c r="R357" s="70" t="str">
        <f>IFERROR(__xludf.DUMMYFUNCTION("IFERROR(VLOOKUP(F357,IMPORTRANGE(""1Ixzbal5tEbtWhozsFEppQzOYE6ZSrkNXHg_HW5k3Wt4"",""Form Responses 1!B:C""),2,FALSE),)"),"")</f>
        <v/>
      </c>
      <c r="S357" s="70" t="str">
        <f>IFERROR(__xludf.DUMMYFUNCTION("IFERROR(VLOOKUP(F357,IMPORTRANGE(""1zxjtEKGvVIJPIDqZdnxENwVpPXYa88EihzyI44hcQUo"",""Form Responses 1!B:C""),2,FALSE),)"),"")</f>
        <v/>
      </c>
      <c r="T357" s="70" t="str">
        <f>IFERROR(__xludf.DUMMYFUNCTION("IFERROR(VLOOKUP(F357,IMPORTRANGE(""1H3cO01obd5zFULYqaT5NAqecZBFFIHeDFn4CeQLZF3w"",""Form Responses 1!B:C""),2,FALSE),)"),"")</f>
        <v/>
      </c>
      <c r="U357" s="70" t="str">
        <f>IFERROR(__xludf.DUMMYFUNCTION("IFERROR(IF(COUNTIF(IMPORTRANGE(""1IG9qoa6PeLdDDFzKpW39lxXshN0-M8Z25a_R1EpsYyg"",""Form Responses 1!B:B""),F357)&gt;0,10,),0)"),"")</f>
        <v/>
      </c>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row>
    <row r="358">
      <c r="B358" s="70" t="str">
        <f>IFERROR(__xludf.DUMMYFUNCTION("IFERROR(IF(COUNTIF(IMPORTRANGE(""1RTcwEJsI_0aJRebhNwO_H_AoKl9r46k7hWYbtciIyM4"",""Form Responses 1!B:B""),A358)&gt;0,10,),0)"),"")</f>
        <v/>
      </c>
      <c r="C358" s="70" t="str">
        <f>IFERROR(__xludf.DUMMYFUNCTION("IFERROR(VLOOKUP(A358,IMPORTRANGE(""11i8IUhq_U6RRKRV3CBWIKqYed_fMvFgNUHTq1YDJfp8"",""Form Responses 1!B:C""),2,FALSE),)"),"")</f>
        <v/>
      </c>
      <c r="D358" s="70" t="str">
        <f>IFERROR(__xludf.DUMMYFUNCTION("IFERROR(VLOOKUP(A358,IMPORTRANGE(""1StiHxuxrFhYdrq5WLR2JMORicW0TbnJf3J-oTHeMRtM"",""Form Responses 1!B:C""),2,FALSE),)"),"")</f>
        <v/>
      </c>
      <c r="E358" s="70" t="str">
        <f>IFERROR(__xludf.DUMMYFUNCTION("IFERROR(VLOOKUP(A358,IMPORTRANGE(""1QaxxyUjrDq2kgz300C1Bq1tacFk6e-xX218cSXCQUK0"",""Form Responses 1!B:C""),2,FALSE),)"),"")</f>
        <v/>
      </c>
      <c r="F358" s="70" t="str">
        <f>IFERROR(__xludf.DUMMYFUNCTION("IFERROR(VLOOKUP(A358,IMPORTRANGE(""1fn2ECph_y8Uz78DhjLaiXcwgt6kh3oe-0Le36Uw0noE"",""Form Responses 1!B:C""),2,FALSE),)"),"")</f>
        <v/>
      </c>
      <c r="G358" s="70"/>
      <c r="H358" s="70"/>
      <c r="I358" s="70"/>
      <c r="J358" s="70"/>
      <c r="K358" s="70"/>
      <c r="L358" s="70"/>
      <c r="M358" s="70"/>
      <c r="N358" s="70"/>
      <c r="O358" s="70"/>
      <c r="P358" s="70"/>
      <c r="Q358" s="70" t="str">
        <f>IFERROR(__xludf.DUMMYFUNCTION("IFERROR(IF(COUNTIF(IMPORTRANGE(""1WjiLR_MTMxI_IZUKuvPO4Sg2rTSIqBzP3edakSRXbOA"",""Form Responses 1!B:B""),F358)&gt;0,10,),0)"),"")</f>
        <v/>
      </c>
      <c r="R358" s="70" t="str">
        <f>IFERROR(__xludf.DUMMYFUNCTION("IFERROR(VLOOKUP(F358,IMPORTRANGE(""1Ixzbal5tEbtWhozsFEppQzOYE6ZSrkNXHg_HW5k3Wt4"",""Form Responses 1!B:C""),2,FALSE),)"),"")</f>
        <v/>
      </c>
      <c r="S358" s="70" t="str">
        <f>IFERROR(__xludf.DUMMYFUNCTION("IFERROR(VLOOKUP(F358,IMPORTRANGE(""1zxjtEKGvVIJPIDqZdnxENwVpPXYa88EihzyI44hcQUo"",""Form Responses 1!B:C""),2,FALSE),)"),"")</f>
        <v/>
      </c>
      <c r="T358" s="70" t="str">
        <f>IFERROR(__xludf.DUMMYFUNCTION("IFERROR(VLOOKUP(F358,IMPORTRANGE(""1H3cO01obd5zFULYqaT5NAqecZBFFIHeDFn4CeQLZF3w"",""Form Responses 1!B:C""),2,FALSE),)"),"")</f>
        <v/>
      </c>
      <c r="U358" s="70" t="str">
        <f>IFERROR(__xludf.DUMMYFUNCTION("IFERROR(IF(COUNTIF(IMPORTRANGE(""1IG9qoa6PeLdDDFzKpW39lxXshN0-M8Z25a_R1EpsYyg"",""Form Responses 1!B:B""),F358)&gt;0,10,),0)"),"")</f>
        <v/>
      </c>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row>
    <row r="359">
      <c r="B359" s="70" t="str">
        <f>IFERROR(__xludf.DUMMYFUNCTION("IFERROR(IF(COUNTIF(IMPORTRANGE(""1RTcwEJsI_0aJRebhNwO_H_AoKl9r46k7hWYbtciIyM4"",""Form Responses 1!B:B""),A359)&gt;0,10,),0)"),"")</f>
        <v/>
      </c>
      <c r="C359" s="70" t="str">
        <f>IFERROR(__xludf.DUMMYFUNCTION("IFERROR(VLOOKUP(A359,IMPORTRANGE(""11i8IUhq_U6RRKRV3CBWIKqYed_fMvFgNUHTq1YDJfp8"",""Form Responses 1!B:C""),2,FALSE),)"),"")</f>
        <v/>
      </c>
      <c r="D359" s="70" t="str">
        <f>IFERROR(__xludf.DUMMYFUNCTION("IFERROR(VLOOKUP(A359,IMPORTRANGE(""1StiHxuxrFhYdrq5WLR2JMORicW0TbnJf3J-oTHeMRtM"",""Form Responses 1!B:C""),2,FALSE),)"),"")</f>
        <v/>
      </c>
      <c r="E359" s="70" t="str">
        <f>IFERROR(__xludf.DUMMYFUNCTION("IFERROR(VLOOKUP(A359,IMPORTRANGE(""1QaxxyUjrDq2kgz300C1Bq1tacFk6e-xX218cSXCQUK0"",""Form Responses 1!B:C""),2,FALSE),)"),"")</f>
        <v/>
      </c>
      <c r="F359" s="70" t="str">
        <f>IFERROR(__xludf.DUMMYFUNCTION("IFERROR(VLOOKUP(A359,IMPORTRANGE(""1fn2ECph_y8Uz78DhjLaiXcwgt6kh3oe-0Le36Uw0noE"",""Form Responses 1!B:C""),2,FALSE),)"),"")</f>
        <v/>
      </c>
      <c r="G359" s="70"/>
      <c r="H359" s="70"/>
      <c r="I359" s="70"/>
      <c r="J359" s="70"/>
      <c r="K359" s="70"/>
      <c r="L359" s="70"/>
      <c r="M359" s="70"/>
      <c r="N359" s="70"/>
      <c r="O359" s="70"/>
      <c r="P359" s="70"/>
      <c r="Q359" s="70" t="str">
        <f>IFERROR(__xludf.DUMMYFUNCTION("IFERROR(IF(COUNTIF(IMPORTRANGE(""1WjiLR_MTMxI_IZUKuvPO4Sg2rTSIqBzP3edakSRXbOA"",""Form Responses 1!B:B""),F359)&gt;0,10,),0)"),"")</f>
        <v/>
      </c>
      <c r="R359" s="70" t="str">
        <f>IFERROR(__xludf.DUMMYFUNCTION("IFERROR(VLOOKUP(F359,IMPORTRANGE(""1Ixzbal5tEbtWhozsFEppQzOYE6ZSrkNXHg_HW5k3Wt4"",""Form Responses 1!B:C""),2,FALSE),)"),"")</f>
        <v/>
      </c>
      <c r="S359" s="70" t="str">
        <f>IFERROR(__xludf.DUMMYFUNCTION("IFERROR(VLOOKUP(F359,IMPORTRANGE(""1zxjtEKGvVIJPIDqZdnxENwVpPXYa88EihzyI44hcQUo"",""Form Responses 1!B:C""),2,FALSE),)"),"")</f>
        <v/>
      </c>
      <c r="T359" s="70" t="str">
        <f>IFERROR(__xludf.DUMMYFUNCTION("IFERROR(VLOOKUP(F359,IMPORTRANGE(""1H3cO01obd5zFULYqaT5NAqecZBFFIHeDFn4CeQLZF3w"",""Form Responses 1!B:C""),2,FALSE),)"),"")</f>
        <v/>
      </c>
      <c r="U359" s="70" t="str">
        <f>IFERROR(__xludf.DUMMYFUNCTION("IFERROR(IF(COUNTIF(IMPORTRANGE(""1IG9qoa6PeLdDDFzKpW39lxXshN0-M8Z25a_R1EpsYyg"",""Form Responses 1!B:B""),F359)&gt;0,10,),0)"),"")</f>
        <v/>
      </c>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row>
    <row r="360">
      <c r="B360" s="70" t="str">
        <f>IFERROR(__xludf.DUMMYFUNCTION("IFERROR(IF(COUNTIF(IMPORTRANGE(""1RTcwEJsI_0aJRebhNwO_H_AoKl9r46k7hWYbtciIyM4"",""Form Responses 1!B:B""),A360)&gt;0,10,),0)"),"")</f>
        <v/>
      </c>
      <c r="C360" s="70" t="str">
        <f>IFERROR(__xludf.DUMMYFUNCTION("IFERROR(VLOOKUP(A360,IMPORTRANGE(""11i8IUhq_U6RRKRV3CBWIKqYed_fMvFgNUHTq1YDJfp8"",""Form Responses 1!B:C""),2,FALSE),)"),"")</f>
        <v/>
      </c>
      <c r="D360" s="70" t="str">
        <f>IFERROR(__xludf.DUMMYFUNCTION("IFERROR(VLOOKUP(A360,IMPORTRANGE(""1StiHxuxrFhYdrq5WLR2JMORicW0TbnJf3J-oTHeMRtM"",""Form Responses 1!B:C""),2,FALSE),)"),"")</f>
        <v/>
      </c>
      <c r="E360" s="70" t="str">
        <f>IFERROR(__xludf.DUMMYFUNCTION("IFERROR(VLOOKUP(A360,IMPORTRANGE(""1QaxxyUjrDq2kgz300C1Bq1tacFk6e-xX218cSXCQUK0"",""Form Responses 1!B:C""),2,FALSE),)"),"")</f>
        <v/>
      </c>
      <c r="F360" s="70" t="str">
        <f>IFERROR(__xludf.DUMMYFUNCTION("IFERROR(VLOOKUP(A360,IMPORTRANGE(""1fn2ECph_y8Uz78DhjLaiXcwgt6kh3oe-0Le36Uw0noE"",""Form Responses 1!B:C""),2,FALSE),)"),"")</f>
        <v/>
      </c>
      <c r="G360" s="70"/>
      <c r="H360" s="70"/>
      <c r="I360" s="70"/>
      <c r="J360" s="70"/>
      <c r="K360" s="70"/>
      <c r="L360" s="70"/>
      <c r="M360" s="70"/>
      <c r="N360" s="70"/>
      <c r="O360" s="70"/>
      <c r="P360" s="70"/>
      <c r="Q360" s="70" t="str">
        <f>IFERROR(__xludf.DUMMYFUNCTION("IFERROR(IF(COUNTIF(IMPORTRANGE(""1WjiLR_MTMxI_IZUKuvPO4Sg2rTSIqBzP3edakSRXbOA"",""Form Responses 1!B:B""),F360)&gt;0,10,),0)"),"")</f>
        <v/>
      </c>
      <c r="R360" s="70" t="str">
        <f>IFERROR(__xludf.DUMMYFUNCTION("IFERROR(VLOOKUP(F360,IMPORTRANGE(""1Ixzbal5tEbtWhozsFEppQzOYE6ZSrkNXHg_HW5k3Wt4"",""Form Responses 1!B:C""),2,FALSE),)"),"")</f>
        <v/>
      </c>
      <c r="S360" s="70" t="str">
        <f>IFERROR(__xludf.DUMMYFUNCTION("IFERROR(VLOOKUP(F360,IMPORTRANGE(""1zxjtEKGvVIJPIDqZdnxENwVpPXYa88EihzyI44hcQUo"",""Form Responses 1!B:C""),2,FALSE),)"),"")</f>
        <v/>
      </c>
      <c r="T360" s="70" t="str">
        <f>IFERROR(__xludf.DUMMYFUNCTION("IFERROR(VLOOKUP(F360,IMPORTRANGE(""1H3cO01obd5zFULYqaT5NAqecZBFFIHeDFn4CeQLZF3w"",""Form Responses 1!B:C""),2,FALSE),)"),"")</f>
        <v/>
      </c>
      <c r="U360" s="70" t="str">
        <f>IFERROR(__xludf.DUMMYFUNCTION("IFERROR(IF(COUNTIF(IMPORTRANGE(""1IG9qoa6PeLdDDFzKpW39lxXshN0-M8Z25a_R1EpsYyg"",""Form Responses 1!B:B""),F360)&gt;0,10,),0)"),"")</f>
        <v/>
      </c>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row>
    <row r="361">
      <c r="B361" s="70" t="str">
        <f>IFERROR(__xludf.DUMMYFUNCTION("IFERROR(IF(COUNTIF(IMPORTRANGE(""1RTcwEJsI_0aJRebhNwO_H_AoKl9r46k7hWYbtciIyM4"",""Form Responses 1!B:B""),A361)&gt;0,10,),0)"),"")</f>
        <v/>
      </c>
      <c r="C361" s="70" t="str">
        <f>IFERROR(__xludf.DUMMYFUNCTION("IFERROR(VLOOKUP(A361,IMPORTRANGE(""11i8IUhq_U6RRKRV3CBWIKqYed_fMvFgNUHTq1YDJfp8"",""Form Responses 1!B:C""),2,FALSE),)"),"")</f>
        <v/>
      </c>
      <c r="D361" s="70" t="str">
        <f>IFERROR(__xludf.DUMMYFUNCTION("IFERROR(VLOOKUP(A361,IMPORTRANGE(""1StiHxuxrFhYdrq5WLR2JMORicW0TbnJf3J-oTHeMRtM"",""Form Responses 1!B:C""),2,FALSE),)"),"")</f>
        <v/>
      </c>
      <c r="E361" s="70" t="str">
        <f>IFERROR(__xludf.DUMMYFUNCTION("IFERROR(VLOOKUP(A361,IMPORTRANGE(""1QaxxyUjrDq2kgz300C1Bq1tacFk6e-xX218cSXCQUK0"",""Form Responses 1!B:C""),2,FALSE),)"),"")</f>
        <v/>
      </c>
      <c r="F361" s="70" t="str">
        <f>IFERROR(__xludf.DUMMYFUNCTION("IFERROR(VLOOKUP(A361,IMPORTRANGE(""1fn2ECph_y8Uz78DhjLaiXcwgt6kh3oe-0Le36Uw0noE"",""Form Responses 1!B:C""),2,FALSE),)"),"")</f>
        <v/>
      </c>
      <c r="G361" s="70"/>
      <c r="H361" s="70"/>
      <c r="I361" s="70"/>
      <c r="J361" s="70"/>
      <c r="K361" s="70"/>
      <c r="L361" s="70"/>
      <c r="M361" s="70"/>
      <c r="N361" s="70"/>
      <c r="O361" s="70"/>
      <c r="P361" s="70"/>
      <c r="Q361" s="70" t="str">
        <f>IFERROR(__xludf.DUMMYFUNCTION("IFERROR(IF(COUNTIF(IMPORTRANGE(""1WjiLR_MTMxI_IZUKuvPO4Sg2rTSIqBzP3edakSRXbOA"",""Form Responses 1!B:B""),F361)&gt;0,10,),0)"),"")</f>
        <v/>
      </c>
      <c r="R361" s="70" t="str">
        <f>IFERROR(__xludf.DUMMYFUNCTION("IFERROR(VLOOKUP(F361,IMPORTRANGE(""1Ixzbal5tEbtWhozsFEppQzOYE6ZSrkNXHg_HW5k3Wt4"",""Form Responses 1!B:C""),2,FALSE),)"),"")</f>
        <v/>
      </c>
      <c r="S361" s="70" t="str">
        <f>IFERROR(__xludf.DUMMYFUNCTION("IFERROR(VLOOKUP(F361,IMPORTRANGE(""1zxjtEKGvVIJPIDqZdnxENwVpPXYa88EihzyI44hcQUo"",""Form Responses 1!B:C""),2,FALSE),)"),"")</f>
        <v/>
      </c>
      <c r="T361" s="70" t="str">
        <f>IFERROR(__xludf.DUMMYFUNCTION("IFERROR(VLOOKUP(F361,IMPORTRANGE(""1H3cO01obd5zFULYqaT5NAqecZBFFIHeDFn4CeQLZF3w"",""Form Responses 1!B:C""),2,FALSE),)"),"")</f>
        <v/>
      </c>
      <c r="U361" s="70" t="str">
        <f>IFERROR(__xludf.DUMMYFUNCTION("IFERROR(IF(COUNTIF(IMPORTRANGE(""1IG9qoa6PeLdDDFzKpW39lxXshN0-M8Z25a_R1EpsYyg"",""Form Responses 1!B:B""),F361)&gt;0,10,),0)"),"")</f>
        <v/>
      </c>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row>
    <row r="362">
      <c r="B362" s="70" t="str">
        <f>IFERROR(__xludf.DUMMYFUNCTION("IFERROR(IF(COUNTIF(IMPORTRANGE(""1RTcwEJsI_0aJRebhNwO_H_AoKl9r46k7hWYbtciIyM4"",""Form Responses 1!B:B""),A362)&gt;0,10,),0)"),"")</f>
        <v/>
      </c>
      <c r="C362" s="70" t="str">
        <f>IFERROR(__xludf.DUMMYFUNCTION("IFERROR(VLOOKUP(A362,IMPORTRANGE(""11i8IUhq_U6RRKRV3CBWIKqYed_fMvFgNUHTq1YDJfp8"",""Form Responses 1!B:C""),2,FALSE),)"),"")</f>
        <v/>
      </c>
      <c r="D362" s="70" t="str">
        <f>IFERROR(__xludf.DUMMYFUNCTION("IFERROR(VLOOKUP(A362,IMPORTRANGE(""1StiHxuxrFhYdrq5WLR2JMORicW0TbnJf3J-oTHeMRtM"",""Form Responses 1!B:C""),2,FALSE),)"),"")</f>
        <v/>
      </c>
      <c r="E362" s="70" t="str">
        <f>IFERROR(__xludf.DUMMYFUNCTION("IFERROR(VLOOKUP(A362,IMPORTRANGE(""1QaxxyUjrDq2kgz300C1Bq1tacFk6e-xX218cSXCQUK0"",""Form Responses 1!B:C""),2,FALSE),)"),"")</f>
        <v/>
      </c>
      <c r="F362" s="70" t="str">
        <f>IFERROR(__xludf.DUMMYFUNCTION("IFERROR(VLOOKUP(A362,IMPORTRANGE(""1fn2ECph_y8Uz78DhjLaiXcwgt6kh3oe-0Le36Uw0noE"",""Form Responses 1!B:C""),2,FALSE),)"),"")</f>
        <v/>
      </c>
      <c r="G362" s="70"/>
      <c r="H362" s="70"/>
      <c r="I362" s="70"/>
      <c r="J362" s="70"/>
      <c r="K362" s="70"/>
      <c r="L362" s="70"/>
      <c r="M362" s="70"/>
      <c r="N362" s="70"/>
      <c r="O362" s="70"/>
      <c r="P362" s="70"/>
      <c r="Q362" s="70" t="str">
        <f>IFERROR(__xludf.DUMMYFUNCTION("IFERROR(IF(COUNTIF(IMPORTRANGE(""1WjiLR_MTMxI_IZUKuvPO4Sg2rTSIqBzP3edakSRXbOA"",""Form Responses 1!B:B""),F362)&gt;0,10,),0)"),"")</f>
        <v/>
      </c>
      <c r="R362" s="70" t="str">
        <f>IFERROR(__xludf.DUMMYFUNCTION("IFERROR(VLOOKUP(F362,IMPORTRANGE(""1Ixzbal5tEbtWhozsFEppQzOYE6ZSrkNXHg_HW5k3Wt4"",""Form Responses 1!B:C""),2,FALSE),)"),"")</f>
        <v/>
      </c>
      <c r="S362" s="70" t="str">
        <f>IFERROR(__xludf.DUMMYFUNCTION("IFERROR(VLOOKUP(F362,IMPORTRANGE(""1zxjtEKGvVIJPIDqZdnxENwVpPXYa88EihzyI44hcQUo"",""Form Responses 1!B:C""),2,FALSE),)"),"")</f>
        <v/>
      </c>
      <c r="T362" s="70" t="str">
        <f>IFERROR(__xludf.DUMMYFUNCTION("IFERROR(VLOOKUP(F362,IMPORTRANGE(""1H3cO01obd5zFULYqaT5NAqecZBFFIHeDFn4CeQLZF3w"",""Form Responses 1!B:C""),2,FALSE),)"),"")</f>
        <v/>
      </c>
      <c r="U362" s="70" t="str">
        <f>IFERROR(__xludf.DUMMYFUNCTION("IFERROR(IF(COUNTIF(IMPORTRANGE(""1IG9qoa6PeLdDDFzKpW39lxXshN0-M8Z25a_R1EpsYyg"",""Form Responses 1!B:B""),F362)&gt;0,10,),0)"),"")</f>
        <v/>
      </c>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row>
    <row r="363">
      <c r="B363" s="70" t="str">
        <f>IFERROR(__xludf.DUMMYFUNCTION("IFERROR(IF(COUNTIF(IMPORTRANGE(""1RTcwEJsI_0aJRebhNwO_H_AoKl9r46k7hWYbtciIyM4"",""Form Responses 1!B:B""),A363)&gt;0,10,),0)"),"")</f>
        <v/>
      </c>
      <c r="C363" s="70" t="str">
        <f>IFERROR(__xludf.DUMMYFUNCTION("IFERROR(VLOOKUP(A363,IMPORTRANGE(""11i8IUhq_U6RRKRV3CBWIKqYed_fMvFgNUHTq1YDJfp8"",""Form Responses 1!B:C""),2,FALSE),)"),"")</f>
        <v/>
      </c>
      <c r="D363" s="70" t="str">
        <f>IFERROR(__xludf.DUMMYFUNCTION("IFERROR(VLOOKUP(A363,IMPORTRANGE(""1StiHxuxrFhYdrq5WLR2JMORicW0TbnJf3J-oTHeMRtM"",""Form Responses 1!B:C""),2,FALSE),)"),"")</f>
        <v/>
      </c>
      <c r="E363" s="70" t="str">
        <f>IFERROR(__xludf.DUMMYFUNCTION("IFERROR(VLOOKUP(A363,IMPORTRANGE(""1QaxxyUjrDq2kgz300C1Bq1tacFk6e-xX218cSXCQUK0"",""Form Responses 1!B:C""),2,FALSE),)"),"")</f>
        <v/>
      </c>
      <c r="F363" s="70" t="str">
        <f>IFERROR(__xludf.DUMMYFUNCTION("IFERROR(VLOOKUP(A363,IMPORTRANGE(""1fn2ECph_y8Uz78DhjLaiXcwgt6kh3oe-0Le36Uw0noE"",""Form Responses 1!B:C""),2,FALSE),)"),"")</f>
        <v/>
      </c>
      <c r="G363" s="70"/>
      <c r="H363" s="70"/>
      <c r="I363" s="70"/>
      <c r="J363" s="70"/>
      <c r="K363" s="70"/>
      <c r="L363" s="70"/>
      <c r="M363" s="70"/>
      <c r="N363" s="70"/>
      <c r="O363" s="70"/>
      <c r="P363" s="70"/>
      <c r="Q363" s="70" t="str">
        <f>IFERROR(__xludf.DUMMYFUNCTION("IFERROR(IF(COUNTIF(IMPORTRANGE(""1WjiLR_MTMxI_IZUKuvPO4Sg2rTSIqBzP3edakSRXbOA"",""Form Responses 1!B:B""),F363)&gt;0,10,),0)"),"")</f>
        <v/>
      </c>
      <c r="R363" s="70" t="str">
        <f>IFERROR(__xludf.DUMMYFUNCTION("IFERROR(VLOOKUP(F363,IMPORTRANGE(""1Ixzbal5tEbtWhozsFEppQzOYE6ZSrkNXHg_HW5k3Wt4"",""Form Responses 1!B:C""),2,FALSE),)"),"")</f>
        <v/>
      </c>
      <c r="S363" s="70" t="str">
        <f>IFERROR(__xludf.DUMMYFUNCTION("IFERROR(VLOOKUP(F363,IMPORTRANGE(""1zxjtEKGvVIJPIDqZdnxENwVpPXYa88EihzyI44hcQUo"",""Form Responses 1!B:C""),2,FALSE),)"),"")</f>
        <v/>
      </c>
      <c r="T363" s="70" t="str">
        <f>IFERROR(__xludf.DUMMYFUNCTION("IFERROR(VLOOKUP(F363,IMPORTRANGE(""1H3cO01obd5zFULYqaT5NAqecZBFFIHeDFn4CeQLZF3w"",""Form Responses 1!B:C""),2,FALSE),)"),"")</f>
        <v/>
      </c>
      <c r="U363" s="70" t="str">
        <f>IFERROR(__xludf.DUMMYFUNCTION("IFERROR(IF(COUNTIF(IMPORTRANGE(""1IG9qoa6PeLdDDFzKpW39lxXshN0-M8Z25a_R1EpsYyg"",""Form Responses 1!B:B""),F363)&gt;0,10,),0)"),"")</f>
        <v/>
      </c>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row>
    <row r="364">
      <c r="B364" s="70" t="str">
        <f>IFERROR(__xludf.DUMMYFUNCTION("IFERROR(IF(COUNTIF(IMPORTRANGE(""1RTcwEJsI_0aJRebhNwO_H_AoKl9r46k7hWYbtciIyM4"",""Form Responses 1!B:B""),A364)&gt;0,10,),0)"),"")</f>
        <v/>
      </c>
      <c r="C364" s="70" t="str">
        <f>IFERROR(__xludf.DUMMYFUNCTION("IFERROR(VLOOKUP(A364,IMPORTRANGE(""11i8IUhq_U6RRKRV3CBWIKqYed_fMvFgNUHTq1YDJfp8"",""Form Responses 1!B:C""),2,FALSE),)"),"")</f>
        <v/>
      </c>
      <c r="D364" s="70" t="str">
        <f>IFERROR(__xludf.DUMMYFUNCTION("IFERROR(VLOOKUP(A364,IMPORTRANGE(""1StiHxuxrFhYdrq5WLR2JMORicW0TbnJf3J-oTHeMRtM"",""Form Responses 1!B:C""),2,FALSE),)"),"")</f>
        <v/>
      </c>
      <c r="E364" s="70" t="str">
        <f>IFERROR(__xludf.DUMMYFUNCTION("IFERROR(VLOOKUP(A364,IMPORTRANGE(""1QaxxyUjrDq2kgz300C1Bq1tacFk6e-xX218cSXCQUK0"",""Form Responses 1!B:C""),2,FALSE),)"),"")</f>
        <v/>
      </c>
      <c r="F364" s="70" t="str">
        <f>IFERROR(__xludf.DUMMYFUNCTION("IFERROR(VLOOKUP(A364,IMPORTRANGE(""1fn2ECph_y8Uz78DhjLaiXcwgt6kh3oe-0Le36Uw0noE"",""Form Responses 1!B:C""),2,FALSE),)"),"")</f>
        <v/>
      </c>
      <c r="G364" s="70"/>
      <c r="H364" s="70"/>
      <c r="I364" s="70"/>
      <c r="J364" s="70"/>
      <c r="K364" s="70"/>
      <c r="L364" s="70"/>
      <c r="M364" s="70"/>
      <c r="N364" s="70"/>
      <c r="O364" s="70"/>
      <c r="P364" s="70"/>
      <c r="Q364" s="70" t="str">
        <f>IFERROR(__xludf.DUMMYFUNCTION("IFERROR(IF(COUNTIF(IMPORTRANGE(""1WjiLR_MTMxI_IZUKuvPO4Sg2rTSIqBzP3edakSRXbOA"",""Form Responses 1!B:B""),F364)&gt;0,10,),0)"),"")</f>
        <v/>
      </c>
      <c r="R364" s="70" t="str">
        <f>IFERROR(__xludf.DUMMYFUNCTION("IFERROR(VLOOKUP(F364,IMPORTRANGE(""1Ixzbal5tEbtWhozsFEppQzOYE6ZSrkNXHg_HW5k3Wt4"",""Form Responses 1!B:C""),2,FALSE),)"),"")</f>
        <v/>
      </c>
      <c r="S364" s="70" t="str">
        <f>IFERROR(__xludf.DUMMYFUNCTION("IFERROR(VLOOKUP(F364,IMPORTRANGE(""1zxjtEKGvVIJPIDqZdnxENwVpPXYa88EihzyI44hcQUo"",""Form Responses 1!B:C""),2,FALSE),)"),"")</f>
        <v/>
      </c>
      <c r="T364" s="70" t="str">
        <f>IFERROR(__xludf.DUMMYFUNCTION("IFERROR(VLOOKUP(F364,IMPORTRANGE(""1H3cO01obd5zFULYqaT5NAqecZBFFIHeDFn4CeQLZF3w"",""Form Responses 1!B:C""),2,FALSE),)"),"")</f>
        <v/>
      </c>
      <c r="U364" s="70" t="str">
        <f>IFERROR(__xludf.DUMMYFUNCTION("IFERROR(IF(COUNTIF(IMPORTRANGE(""1IG9qoa6PeLdDDFzKpW39lxXshN0-M8Z25a_R1EpsYyg"",""Form Responses 1!B:B""),F364)&gt;0,10,),0)"),"")</f>
        <v/>
      </c>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row>
    <row r="365">
      <c r="B365" s="70" t="str">
        <f>IFERROR(__xludf.DUMMYFUNCTION("IFERROR(IF(COUNTIF(IMPORTRANGE(""1RTcwEJsI_0aJRebhNwO_H_AoKl9r46k7hWYbtciIyM4"",""Form Responses 1!B:B""),A365)&gt;0,10,),0)"),"")</f>
        <v/>
      </c>
      <c r="C365" s="70" t="str">
        <f>IFERROR(__xludf.DUMMYFUNCTION("IFERROR(VLOOKUP(A365,IMPORTRANGE(""11i8IUhq_U6RRKRV3CBWIKqYed_fMvFgNUHTq1YDJfp8"",""Form Responses 1!B:C""),2,FALSE),)"),"")</f>
        <v/>
      </c>
      <c r="D365" s="70" t="str">
        <f>IFERROR(__xludf.DUMMYFUNCTION("IFERROR(VLOOKUP(A365,IMPORTRANGE(""1StiHxuxrFhYdrq5WLR2JMORicW0TbnJf3J-oTHeMRtM"",""Form Responses 1!B:C""),2,FALSE),)"),"")</f>
        <v/>
      </c>
      <c r="E365" s="70" t="str">
        <f>IFERROR(__xludf.DUMMYFUNCTION("IFERROR(VLOOKUP(A365,IMPORTRANGE(""1QaxxyUjrDq2kgz300C1Bq1tacFk6e-xX218cSXCQUK0"",""Form Responses 1!B:C""),2,FALSE),)"),"")</f>
        <v/>
      </c>
      <c r="F365" s="70" t="str">
        <f>IFERROR(__xludf.DUMMYFUNCTION("IFERROR(VLOOKUP(A365,IMPORTRANGE(""1fn2ECph_y8Uz78DhjLaiXcwgt6kh3oe-0Le36Uw0noE"",""Form Responses 1!B:C""),2,FALSE),)"),"")</f>
        <v/>
      </c>
      <c r="G365" s="70"/>
      <c r="H365" s="70"/>
      <c r="I365" s="70"/>
      <c r="J365" s="70"/>
      <c r="K365" s="70"/>
      <c r="L365" s="70"/>
      <c r="M365" s="70"/>
      <c r="N365" s="70"/>
      <c r="O365" s="70"/>
      <c r="P365" s="70"/>
      <c r="Q365" s="70" t="str">
        <f>IFERROR(__xludf.DUMMYFUNCTION("IFERROR(IF(COUNTIF(IMPORTRANGE(""1WjiLR_MTMxI_IZUKuvPO4Sg2rTSIqBzP3edakSRXbOA"",""Form Responses 1!B:B""),F365)&gt;0,10,),0)"),"")</f>
        <v/>
      </c>
      <c r="R365" s="70" t="str">
        <f>IFERROR(__xludf.DUMMYFUNCTION("IFERROR(VLOOKUP(F365,IMPORTRANGE(""1Ixzbal5tEbtWhozsFEppQzOYE6ZSrkNXHg_HW5k3Wt4"",""Form Responses 1!B:C""),2,FALSE),)"),"")</f>
        <v/>
      </c>
      <c r="S365" s="70" t="str">
        <f>IFERROR(__xludf.DUMMYFUNCTION("IFERROR(VLOOKUP(F365,IMPORTRANGE(""1zxjtEKGvVIJPIDqZdnxENwVpPXYa88EihzyI44hcQUo"",""Form Responses 1!B:C""),2,FALSE),)"),"")</f>
        <v/>
      </c>
      <c r="T365" s="70" t="str">
        <f>IFERROR(__xludf.DUMMYFUNCTION("IFERROR(VLOOKUP(F365,IMPORTRANGE(""1H3cO01obd5zFULYqaT5NAqecZBFFIHeDFn4CeQLZF3w"",""Form Responses 1!B:C""),2,FALSE),)"),"")</f>
        <v/>
      </c>
      <c r="U365" s="70" t="str">
        <f>IFERROR(__xludf.DUMMYFUNCTION("IFERROR(IF(COUNTIF(IMPORTRANGE(""1IG9qoa6PeLdDDFzKpW39lxXshN0-M8Z25a_R1EpsYyg"",""Form Responses 1!B:B""),F365)&gt;0,10,),0)"),"")</f>
        <v/>
      </c>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row>
    <row r="366">
      <c r="B366" s="70" t="str">
        <f>IFERROR(__xludf.DUMMYFUNCTION("IFERROR(IF(COUNTIF(IMPORTRANGE(""1RTcwEJsI_0aJRebhNwO_H_AoKl9r46k7hWYbtciIyM4"",""Form Responses 1!B:B""),A366)&gt;0,10,),0)"),"")</f>
        <v/>
      </c>
      <c r="C366" s="70" t="str">
        <f>IFERROR(__xludf.DUMMYFUNCTION("IFERROR(VLOOKUP(A366,IMPORTRANGE(""11i8IUhq_U6RRKRV3CBWIKqYed_fMvFgNUHTq1YDJfp8"",""Form Responses 1!B:C""),2,FALSE),)"),"")</f>
        <v/>
      </c>
      <c r="D366" s="70" t="str">
        <f>IFERROR(__xludf.DUMMYFUNCTION("IFERROR(VLOOKUP(A366,IMPORTRANGE(""1StiHxuxrFhYdrq5WLR2JMORicW0TbnJf3J-oTHeMRtM"",""Form Responses 1!B:C""),2,FALSE),)"),"")</f>
        <v/>
      </c>
      <c r="E366" s="70" t="str">
        <f>IFERROR(__xludf.DUMMYFUNCTION("IFERROR(VLOOKUP(A366,IMPORTRANGE(""1QaxxyUjrDq2kgz300C1Bq1tacFk6e-xX218cSXCQUK0"",""Form Responses 1!B:C""),2,FALSE),)"),"")</f>
        <v/>
      </c>
      <c r="F366" s="70" t="str">
        <f>IFERROR(__xludf.DUMMYFUNCTION("IFERROR(VLOOKUP(A366,IMPORTRANGE(""1fn2ECph_y8Uz78DhjLaiXcwgt6kh3oe-0Le36Uw0noE"",""Form Responses 1!B:C""),2,FALSE),)"),"")</f>
        <v/>
      </c>
      <c r="G366" s="70"/>
      <c r="H366" s="70"/>
      <c r="I366" s="70"/>
      <c r="J366" s="70"/>
      <c r="K366" s="70"/>
      <c r="L366" s="70"/>
      <c r="M366" s="70"/>
      <c r="N366" s="70"/>
      <c r="O366" s="70"/>
      <c r="P366" s="70"/>
      <c r="Q366" s="70" t="str">
        <f>IFERROR(__xludf.DUMMYFUNCTION("IFERROR(IF(COUNTIF(IMPORTRANGE(""1WjiLR_MTMxI_IZUKuvPO4Sg2rTSIqBzP3edakSRXbOA"",""Form Responses 1!B:B""),F366)&gt;0,10,),0)"),"")</f>
        <v/>
      </c>
      <c r="R366" s="70" t="str">
        <f>IFERROR(__xludf.DUMMYFUNCTION("IFERROR(VLOOKUP(F366,IMPORTRANGE(""1Ixzbal5tEbtWhozsFEppQzOYE6ZSrkNXHg_HW5k3Wt4"",""Form Responses 1!B:C""),2,FALSE),)"),"")</f>
        <v/>
      </c>
      <c r="S366" s="70" t="str">
        <f>IFERROR(__xludf.DUMMYFUNCTION("IFERROR(VLOOKUP(F366,IMPORTRANGE(""1zxjtEKGvVIJPIDqZdnxENwVpPXYa88EihzyI44hcQUo"",""Form Responses 1!B:C""),2,FALSE),)"),"")</f>
        <v/>
      </c>
      <c r="T366" s="70" t="str">
        <f>IFERROR(__xludf.DUMMYFUNCTION("IFERROR(VLOOKUP(F366,IMPORTRANGE(""1H3cO01obd5zFULYqaT5NAqecZBFFIHeDFn4CeQLZF3w"",""Form Responses 1!B:C""),2,FALSE),)"),"")</f>
        <v/>
      </c>
      <c r="U366" s="70" t="str">
        <f>IFERROR(__xludf.DUMMYFUNCTION("IFERROR(IF(COUNTIF(IMPORTRANGE(""1IG9qoa6PeLdDDFzKpW39lxXshN0-M8Z25a_R1EpsYyg"",""Form Responses 1!B:B""),F366)&gt;0,10,),0)"),"")</f>
        <v/>
      </c>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row>
    <row r="367">
      <c r="B367" s="70" t="str">
        <f>IFERROR(__xludf.DUMMYFUNCTION("IFERROR(IF(COUNTIF(IMPORTRANGE(""1RTcwEJsI_0aJRebhNwO_H_AoKl9r46k7hWYbtciIyM4"",""Form Responses 1!B:B""),A367)&gt;0,10,),0)"),"")</f>
        <v/>
      </c>
      <c r="C367" s="70" t="str">
        <f>IFERROR(__xludf.DUMMYFUNCTION("IFERROR(VLOOKUP(A367,IMPORTRANGE(""11i8IUhq_U6RRKRV3CBWIKqYed_fMvFgNUHTq1YDJfp8"",""Form Responses 1!B:C""),2,FALSE),)"),"")</f>
        <v/>
      </c>
      <c r="D367" s="70" t="str">
        <f>IFERROR(__xludf.DUMMYFUNCTION("IFERROR(VLOOKUP(A367,IMPORTRANGE(""1StiHxuxrFhYdrq5WLR2JMORicW0TbnJf3J-oTHeMRtM"",""Form Responses 1!B:C""),2,FALSE),)"),"")</f>
        <v/>
      </c>
      <c r="E367" s="70" t="str">
        <f>IFERROR(__xludf.DUMMYFUNCTION("IFERROR(VLOOKUP(A367,IMPORTRANGE(""1QaxxyUjrDq2kgz300C1Bq1tacFk6e-xX218cSXCQUK0"",""Form Responses 1!B:C""),2,FALSE),)"),"")</f>
        <v/>
      </c>
      <c r="F367" s="70" t="str">
        <f>IFERROR(__xludf.DUMMYFUNCTION("IFERROR(VLOOKUP(A367,IMPORTRANGE(""1fn2ECph_y8Uz78DhjLaiXcwgt6kh3oe-0Le36Uw0noE"",""Form Responses 1!B:C""),2,FALSE),)"),"")</f>
        <v/>
      </c>
      <c r="G367" s="70"/>
      <c r="H367" s="70"/>
      <c r="I367" s="70"/>
      <c r="J367" s="70"/>
      <c r="K367" s="70"/>
      <c r="L367" s="70"/>
      <c r="M367" s="70"/>
      <c r="N367" s="70"/>
      <c r="O367" s="70"/>
      <c r="P367" s="70"/>
      <c r="Q367" s="70" t="str">
        <f>IFERROR(__xludf.DUMMYFUNCTION("IFERROR(IF(COUNTIF(IMPORTRANGE(""1WjiLR_MTMxI_IZUKuvPO4Sg2rTSIqBzP3edakSRXbOA"",""Form Responses 1!B:B""),F367)&gt;0,10,),0)"),"")</f>
        <v/>
      </c>
      <c r="R367" s="70" t="str">
        <f>IFERROR(__xludf.DUMMYFUNCTION("IFERROR(VLOOKUP(F367,IMPORTRANGE(""1Ixzbal5tEbtWhozsFEppQzOYE6ZSrkNXHg_HW5k3Wt4"",""Form Responses 1!B:C""),2,FALSE),)"),"")</f>
        <v/>
      </c>
      <c r="S367" s="70" t="str">
        <f>IFERROR(__xludf.DUMMYFUNCTION("IFERROR(VLOOKUP(F367,IMPORTRANGE(""1zxjtEKGvVIJPIDqZdnxENwVpPXYa88EihzyI44hcQUo"",""Form Responses 1!B:C""),2,FALSE),)"),"")</f>
        <v/>
      </c>
      <c r="T367" s="70" t="str">
        <f>IFERROR(__xludf.DUMMYFUNCTION("IFERROR(VLOOKUP(F367,IMPORTRANGE(""1H3cO01obd5zFULYqaT5NAqecZBFFIHeDFn4CeQLZF3w"",""Form Responses 1!B:C""),2,FALSE),)"),"")</f>
        <v/>
      </c>
      <c r="U367" s="70" t="str">
        <f>IFERROR(__xludf.DUMMYFUNCTION("IFERROR(IF(COUNTIF(IMPORTRANGE(""1IG9qoa6PeLdDDFzKpW39lxXshN0-M8Z25a_R1EpsYyg"",""Form Responses 1!B:B""),F367)&gt;0,10,),0)"),"")</f>
        <v/>
      </c>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row>
    <row r="368">
      <c r="B368" s="70" t="str">
        <f>IFERROR(__xludf.DUMMYFUNCTION("IFERROR(IF(COUNTIF(IMPORTRANGE(""1RTcwEJsI_0aJRebhNwO_H_AoKl9r46k7hWYbtciIyM4"",""Form Responses 1!B:B""),A368)&gt;0,10,),0)"),"")</f>
        <v/>
      </c>
      <c r="C368" s="70" t="str">
        <f>IFERROR(__xludf.DUMMYFUNCTION("IFERROR(VLOOKUP(A368,IMPORTRANGE(""11i8IUhq_U6RRKRV3CBWIKqYed_fMvFgNUHTq1YDJfp8"",""Form Responses 1!B:C""),2,FALSE),)"),"")</f>
        <v/>
      </c>
      <c r="D368" s="70" t="str">
        <f>IFERROR(__xludf.DUMMYFUNCTION("IFERROR(VLOOKUP(A368,IMPORTRANGE(""1StiHxuxrFhYdrq5WLR2JMORicW0TbnJf3J-oTHeMRtM"",""Form Responses 1!B:C""),2,FALSE),)"),"")</f>
        <v/>
      </c>
      <c r="E368" s="70" t="str">
        <f>IFERROR(__xludf.DUMMYFUNCTION("IFERROR(VLOOKUP(A368,IMPORTRANGE(""1QaxxyUjrDq2kgz300C1Bq1tacFk6e-xX218cSXCQUK0"",""Form Responses 1!B:C""),2,FALSE),)"),"")</f>
        <v/>
      </c>
      <c r="F368" s="70" t="str">
        <f>IFERROR(__xludf.DUMMYFUNCTION("IFERROR(VLOOKUP(A368,IMPORTRANGE(""1fn2ECph_y8Uz78DhjLaiXcwgt6kh3oe-0Le36Uw0noE"",""Form Responses 1!B:C""),2,FALSE),)"),"")</f>
        <v/>
      </c>
      <c r="G368" s="70"/>
      <c r="H368" s="70"/>
      <c r="I368" s="70"/>
      <c r="J368" s="70"/>
      <c r="K368" s="70"/>
      <c r="L368" s="70"/>
      <c r="M368" s="70"/>
      <c r="N368" s="70"/>
      <c r="O368" s="70"/>
      <c r="P368" s="70"/>
      <c r="Q368" s="70" t="str">
        <f>IFERROR(__xludf.DUMMYFUNCTION("IFERROR(IF(COUNTIF(IMPORTRANGE(""1WjiLR_MTMxI_IZUKuvPO4Sg2rTSIqBzP3edakSRXbOA"",""Form Responses 1!B:B""),F368)&gt;0,10,),0)"),"")</f>
        <v/>
      </c>
      <c r="R368" s="70" t="str">
        <f>IFERROR(__xludf.DUMMYFUNCTION("IFERROR(VLOOKUP(F368,IMPORTRANGE(""1Ixzbal5tEbtWhozsFEppQzOYE6ZSrkNXHg_HW5k3Wt4"",""Form Responses 1!B:C""),2,FALSE),)"),"")</f>
        <v/>
      </c>
      <c r="S368" s="70" t="str">
        <f>IFERROR(__xludf.DUMMYFUNCTION("IFERROR(VLOOKUP(F368,IMPORTRANGE(""1zxjtEKGvVIJPIDqZdnxENwVpPXYa88EihzyI44hcQUo"",""Form Responses 1!B:C""),2,FALSE),)"),"")</f>
        <v/>
      </c>
      <c r="T368" s="70" t="str">
        <f>IFERROR(__xludf.DUMMYFUNCTION("IFERROR(VLOOKUP(F368,IMPORTRANGE(""1H3cO01obd5zFULYqaT5NAqecZBFFIHeDFn4CeQLZF3w"",""Form Responses 1!B:C""),2,FALSE),)"),"")</f>
        <v/>
      </c>
      <c r="U368" s="70" t="str">
        <f>IFERROR(__xludf.DUMMYFUNCTION("IFERROR(IF(COUNTIF(IMPORTRANGE(""1IG9qoa6PeLdDDFzKpW39lxXshN0-M8Z25a_R1EpsYyg"",""Form Responses 1!B:B""),F368)&gt;0,10,),0)"),"")</f>
        <v/>
      </c>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row>
    <row r="369">
      <c r="B369" s="70" t="str">
        <f>IFERROR(__xludf.DUMMYFUNCTION("IFERROR(IF(COUNTIF(IMPORTRANGE(""1RTcwEJsI_0aJRebhNwO_H_AoKl9r46k7hWYbtciIyM4"",""Form Responses 1!B:B""),A369)&gt;0,10,),0)"),"")</f>
        <v/>
      </c>
      <c r="C369" s="70" t="str">
        <f>IFERROR(__xludf.DUMMYFUNCTION("IFERROR(VLOOKUP(A369,IMPORTRANGE(""11i8IUhq_U6RRKRV3CBWIKqYed_fMvFgNUHTq1YDJfp8"",""Form Responses 1!B:C""),2,FALSE),)"),"")</f>
        <v/>
      </c>
      <c r="D369" s="70" t="str">
        <f>IFERROR(__xludf.DUMMYFUNCTION("IFERROR(VLOOKUP(A369,IMPORTRANGE(""1StiHxuxrFhYdrq5WLR2JMORicW0TbnJf3J-oTHeMRtM"",""Form Responses 1!B:C""),2,FALSE),)"),"")</f>
        <v/>
      </c>
      <c r="E369" s="70" t="str">
        <f>IFERROR(__xludf.DUMMYFUNCTION("IFERROR(VLOOKUP(A369,IMPORTRANGE(""1QaxxyUjrDq2kgz300C1Bq1tacFk6e-xX218cSXCQUK0"",""Form Responses 1!B:C""),2,FALSE),)"),"")</f>
        <v/>
      </c>
      <c r="F369" s="70" t="str">
        <f>IFERROR(__xludf.DUMMYFUNCTION("IFERROR(VLOOKUP(A369,IMPORTRANGE(""1fn2ECph_y8Uz78DhjLaiXcwgt6kh3oe-0Le36Uw0noE"",""Form Responses 1!B:C""),2,FALSE),)"),"")</f>
        <v/>
      </c>
      <c r="G369" s="70"/>
      <c r="H369" s="70"/>
      <c r="I369" s="70"/>
      <c r="J369" s="70"/>
      <c r="K369" s="70"/>
      <c r="L369" s="70"/>
      <c r="M369" s="70"/>
      <c r="N369" s="70"/>
      <c r="O369" s="70"/>
      <c r="P369" s="70"/>
      <c r="Q369" s="70" t="str">
        <f>IFERROR(__xludf.DUMMYFUNCTION("IFERROR(IF(COUNTIF(IMPORTRANGE(""1WjiLR_MTMxI_IZUKuvPO4Sg2rTSIqBzP3edakSRXbOA"",""Form Responses 1!B:B""),F369)&gt;0,10,),0)"),"")</f>
        <v/>
      </c>
      <c r="R369" s="70" t="str">
        <f>IFERROR(__xludf.DUMMYFUNCTION("IFERROR(VLOOKUP(F369,IMPORTRANGE(""1Ixzbal5tEbtWhozsFEppQzOYE6ZSrkNXHg_HW5k3Wt4"",""Form Responses 1!B:C""),2,FALSE),)"),"")</f>
        <v/>
      </c>
      <c r="S369" s="70" t="str">
        <f>IFERROR(__xludf.DUMMYFUNCTION("IFERROR(VLOOKUP(F369,IMPORTRANGE(""1zxjtEKGvVIJPIDqZdnxENwVpPXYa88EihzyI44hcQUo"",""Form Responses 1!B:C""),2,FALSE),)"),"")</f>
        <v/>
      </c>
      <c r="T369" s="70" t="str">
        <f>IFERROR(__xludf.DUMMYFUNCTION("IFERROR(VLOOKUP(F369,IMPORTRANGE(""1H3cO01obd5zFULYqaT5NAqecZBFFIHeDFn4CeQLZF3w"",""Form Responses 1!B:C""),2,FALSE),)"),"")</f>
        <v/>
      </c>
      <c r="U369" s="70" t="str">
        <f>IFERROR(__xludf.DUMMYFUNCTION("IFERROR(IF(COUNTIF(IMPORTRANGE(""1IG9qoa6PeLdDDFzKpW39lxXshN0-M8Z25a_R1EpsYyg"",""Form Responses 1!B:B""),F369)&gt;0,10,),0)"),"")</f>
        <v/>
      </c>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row>
    <row r="370">
      <c r="B370" s="70" t="str">
        <f>IFERROR(__xludf.DUMMYFUNCTION("IFERROR(IF(COUNTIF(IMPORTRANGE(""1RTcwEJsI_0aJRebhNwO_H_AoKl9r46k7hWYbtciIyM4"",""Form Responses 1!B:B""),A370)&gt;0,10,),0)"),"")</f>
        <v/>
      </c>
      <c r="C370" s="70" t="str">
        <f>IFERROR(__xludf.DUMMYFUNCTION("IFERROR(VLOOKUP(A370,IMPORTRANGE(""11i8IUhq_U6RRKRV3CBWIKqYed_fMvFgNUHTq1YDJfp8"",""Form Responses 1!B:C""),2,FALSE),)"),"")</f>
        <v/>
      </c>
      <c r="D370" s="70" t="str">
        <f>IFERROR(__xludf.DUMMYFUNCTION("IFERROR(VLOOKUP(A370,IMPORTRANGE(""1StiHxuxrFhYdrq5WLR2JMORicW0TbnJf3J-oTHeMRtM"",""Form Responses 1!B:C""),2,FALSE),)"),"")</f>
        <v/>
      </c>
      <c r="E370" s="70" t="str">
        <f>IFERROR(__xludf.DUMMYFUNCTION("IFERROR(VLOOKUP(A370,IMPORTRANGE(""1QaxxyUjrDq2kgz300C1Bq1tacFk6e-xX218cSXCQUK0"",""Form Responses 1!B:C""),2,FALSE),)"),"")</f>
        <v/>
      </c>
      <c r="F370" s="70" t="str">
        <f>IFERROR(__xludf.DUMMYFUNCTION("IFERROR(VLOOKUP(A370,IMPORTRANGE(""1fn2ECph_y8Uz78DhjLaiXcwgt6kh3oe-0Le36Uw0noE"",""Form Responses 1!B:C""),2,FALSE),)"),"")</f>
        <v/>
      </c>
      <c r="G370" s="70"/>
      <c r="H370" s="70"/>
      <c r="I370" s="70"/>
      <c r="J370" s="70"/>
      <c r="K370" s="70"/>
      <c r="L370" s="70"/>
      <c r="M370" s="70"/>
      <c r="N370" s="70"/>
      <c r="O370" s="70"/>
      <c r="P370" s="70"/>
      <c r="Q370" s="70" t="str">
        <f>IFERROR(__xludf.DUMMYFUNCTION("IFERROR(IF(COUNTIF(IMPORTRANGE(""1WjiLR_MTMxI_IZUKuvPO4Sg2rTSIqBzP3edakSRXbOA"",""Form Responses 1!B:B""),F370)&gt;0,10,),0)"),"")</f>
        <v/>
      </c>
      <c r="R370" s="70" t="str">
        <f>IFERROR(__xludf.DUMMYFUNCTION("IFERROR(VLOOKUP(F370,IMPORTRANGE(""1Ixzbal5tEbtWhozsFEppQzOYE6ZSrkNXHg_HW5k3Wt4"",""Form Responses 1!B:C""),2,FALSE),)"),"")</f>
        <v/>
      </c>
      <c r="S370" s="70" t="str">
        <f>IFERROR(__xludf.DUMMYFUNCTION("IFERROR(VLOOKUP(F370,IMPORTRANGE(""1zxjtEKGvVIJPIDqZdnxENwVpPXYa88EihzyI44hcQUo"",""Form Responses 1!B:C""),2,FALSE),)"),"")</f>
        <v/>
      </c>
      <c r="T370" s="70" t="str">
        <f>IFERROR(__xludf.DUMMYFUNCTION("IFERROR(VLOOKUP(F370,IMPORTRANGE(""1H3cO01obd5zFULYqaT5NAqecZBFFIHeDFn4CeQLZF3w"",""Form Responses 1!B:C""),2,FALSE),)"),"")</f>
        <v/>
      </c>
      <c r="U370" s="70" t="str">
        <f>IFERROR(__xludf.DUMMYFUNCTION("IFERROR(IF(COUNTIF(IMPORTRANGE(""1IG9qoa6PeLdDDFzKpW39lxXshN0-M8Z25a_R1EpsYyg"",""Form Responses 1!B:B""),F370)&gt;0,10,),0)"),"")</f>
        <v/>
      </c>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row>
    <row r="371">
      <c r="B371" s="70" t="str">
        <f>IFERROR(__xludf.DUMMYFUNCTION("IFERROR(IF(COUNTIF(IMPORTRANGE(""1RTcwEJsI_0aJRebhNwO_H_AoKl9r46k7hWYbtciIyM4"",""Form Responses 1!B:B""),A371)&gt;0,10,),0)"),"")</f>
        <v/>
      </c>
      <c r="C371" s="70" t="str">
        <f>IFERROR(__xludf.DUMMYFUNCTION("IFERROR(VLOOKUP(A371,IMPORTRANGE(""11i8IUhq_U6RRKRV3CBWIKqYed_fMvFgNUHTq1YDJfp8"",""Form Responses 1!B:C""),2,FALSE),)"),"")</f>
        <v/>
      </c>
      <c r="D371" s="70" t="str">
        <f>IFERROR(__xludf.DUMMYFUNCTION("IFERROR(VLOOKUP(A371,IMPORTRANGE(""1StiHxuxrFhYdrq5WLR2JMORicW0TbnJf3J-oTHeMRtM"",""Form Responses 1!B:C""),2,FALSE),)"),"")</f>
        <v/>
      </c>
      <c r="E371" s="70" t="str">
        <f>IFERROR(__xludf.DUMMYFUNCTION("IFERROR(VLOOKUP(A371,IMPORTRANGE(""1QaxxyUjrDq2kgz300C1Bq1tacFk6e-xX218cSXCQUK0"",""Form Responses 1!B:C""),2,FALSE),)"),"")</f>
        <v/>
      </c>
      <c r="F371" s="70" t="str">
        <f>IFERROR(__xludf.DUMMYFUNCTION("IFERROR(VLOOKUP(A371,IMPORTRANGE(""1fn2ECph_y8Uz78DhjLaiXcwgt6kh3oe-0Le36Uw0noE"",""Form Responses 1!B:C""),2,FALSE),)"),"")</f>
        <v/>
      </c>
      <c r="G371" s="70"/>
      <c r="H371" s="70"/>
      <c r="I371" s="70"/>
      <c r="J371" s="70"/>
      <c r="K371" s="70"/>
      <c r="L371" s="70"/>
      <c r="M371" s="70"/>
      <c r="N371" s="70"/>
      <c r="O371" s="70"/>
      <c r="P371" s="70"/>
      <c r="Q371" s="70" t="str">
        <f>IFERROR(__xludf.DUMMYFUNCTION("IFERROR(IF(COUNTIF(IMPORTRANGE(""1WjiLR_MTMxI_IZUKuvPO4Sg2rTSIqBzP3edakSRXbOA"",""Form Responses 1!B:B""),F371)&gt;0,10,),0)"),"")</f>
        <v/>
      </c>
      <c r="R371" s="70" t="str">
        <f>IFERROR(__xludf.DUMMYFUNCTION("IFERROR(VLOOKUP(F371,IMPORTRANGE(""1Ixzbal5tEbtWhozsFEppQzOYE6ZSrkNXHg_HW5k3Wt4"",""Form Responses 1!B:C""),2,FALSE),)"),"")</f>
        <v/>
      </c>
      <c r="S371" s="70" t="str">
        <f>IFERROR(__xludf.DUMMYFUNCTION("IFERROR(VLOOKUP(F371,IMPORTRANGE(""1zxjtEKGvVIJPIDqZdnxENwVpPXYa88EihzyI44hcQUo"",""Form Responses 1!B:C""),2,FALSE),)"),"")</f>
        <v/>
      </c>
      <c r="T371" s="70" t="str">
        <f>IFERROR(__xludf.DUMMYFUNCTION("IFERROR(VLOOKUP(F371,IMPORTRANGE(""1H3cO01obd5zFULYqaT5NAqecZBFFIHeDFn4CeQLZF3w"",""Form Responses 1!B:C""),2,FALSE),)"),"")</f>
        <v/>
      </c>
      <c r="U371" s="70" t="str">
        <f>IFERROR(__xludf.DUMMYFUNCTION("IFERROR(IF(COUNTIF(IMPORTRANGE(""1IG9qoa6PeLdDDFzKpW39lxXshN0-M8Z25a_R1EpsYyg"",""Form Responses 1!B:B""),F371)&gt;0,10,),0)"),"")</f>
        <v/>
      </c>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row>
    <row r="372">
      <c r="B372" s="70" t="str">
        <f>IFERROR(__xludf.DUMMYFUNCTION("IFERROR(IF(COUNTIF(IMPORTRANGE(""1RTcwEJsI_0aJRebhNwO_H_AoKl9r46k7hWYbtciIyM4"",""Form Responses 1!B:B""),A372)&gt;0,10,),0)"),"")</f>
        <v/>
      </c>
      <c r="C372" s="70" t="str">
        <f>IFERROR(__xludf.DUMMYFUNCTION("IFERROR(VLOOKUP(A372,IMPORTRANGE(""11i8IUhq_U6RRKRV3CBWIKqYed_fMvFgNUHTq1YDJfp8"",""Form Responses 1!B:C""),2,FALSE),)"),"")</f>
        <v/>
      </c>
      <c r="D372" s="70" t="str">
        <f>IFERROR(__xludf.DUMMYFUNCTION("IFERROR(VLOOKUP(A372,IMPORTRANGE(""1StiHxuxrFhYdrq5WLR2JMORicW0TbnJf3J-oTHeMRtM"",""Form Responses 1!B:C""),2,FALSE),)"),"")</f>
        <v/>
      </c>
      <c r="E372" s="70" t="str">
        <f>IFERROR(__xludf.DUMMYFUNCTION("IFERROR(VLOOKUP(A372,IMPORTRANGE(""1QaxxyUjrDq2kgz300C1Bq1tacFk6e-xX218cSXCQUK0"",""Form Responses 1!B:C""),2,FALSE),)"),"")</f>
        <v/>
      </c>
      <c r="F372" s="70" t="str">
        <f>IFERROR(__xludf.DUMMYFUNCTION("IFERROR(VLOOKUP(A372,IMPORTRANGE(""1fn2ECph_y8Uz78DhjLaiXcwgt6kh3oe-0Le36Uw0noE"",""Form Responses 1!B:C""),2,FALSE),)"),"")</f>
        <v/>
      </c>
      <c r="G372" s="70"/>
      <c r="H372" s="70"/>
      <c r="I372" s="70"/>
      <c r="J372" s="70"/>
      <c r="K372" s="70"/>
      <c r="L372" s="70"/>
      <c r="M372" s="70"/>
      <c r="N372" s="70"/>
      <c r="O372" s="70"/>
      <c r="P372" s="70"/>
      <c r="Q372" s="70" t="str">
        <f>IFERROR(__xludf.DUMMYFUNCTION("IFERROR(IF(COUNTIF(IMPORTRANGE(""1WjiLR_MTMxI_IZUKuvPO4Sg2rTSIqBzP3edakSRXbOA"",""Form Responses 1!B:B""),F372)&gt;0,10,),0)"),"")</f>
        <v/>
      </c>
      <c r="R372" s="70" t="str">
        <f>IFERROR(__xludf.DUMMYFUNCTION("IFERROR(VLOOKUP(F372,IMPORTRANGE(""1Ixzbal5tEbtWhozsFEppQzOYE6ZSrkNXHg_HW5k3Wt4"",""Form Responses 1!B:C""),2,FALSE),)"),"")</f>
        <v/>
      </c>
      <c r="S372" s="70" t="str">
        <f>IFERROR(__xludf.DUMMYFUNCTION("IFERROR(VLOOKUP(F372,IMPORTRANGE(""1zxjtEKGvVIJPIDqZdnxENwVpPXYa88EihzyI44hcQUo"",""Form Responses 1!B:C""),2,FALSE),)"),"")</f>
        <v/>
      </c>
      <c r="T372" s="70" t="str">
        <f>IFERROR(__xludf.DUMMYFUNCTION("IFERROR(VLOOKUP(F372,IMPORTRANGE(""1H3cO01obd5zFULYqaT5NAqecZBFFIHeDFn4CeQLZF3w"",""Form Responses 1!B:C""),2,FALSE),)"),"")</f>
        <v/>
      </c>
      <c r="U372" s="70" t="str">
        <f>IFERROR(__xludf.DUMMYFUNCTION("IFERROR(IF(COUNTIF(IMPORTRANGE(""1IG9qoa6PeLdDDFzKpW39lxXshN0-M8Z25a_R1EpsYyg"",""Form Responses 1!B:B""),F372)&gt;0,10,),0)"),"")</f>
        <v/>
      </c>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row>
    <row r="373">
      <c r="B373" s="70" t="str">
        <f>IFERROR(__xludf.DUMMYFUNCTION("IFERROR(IF(COUNTIF(IMPORTRANGE(""1RTcwEJsI_0aJRebhNwO_H_AoKl9r46k7hWYbtciIyM4"",""Form Responses 1!B:B""),A373)&gt;0,10,),0)"),"")</f>
        <v/>
      </c>
      <c r="C373" s="70" t="str">
        <f>IFERROR(__xludf.DUMMYFUNCTION("IFERROR(VLOOKUP(A373,IMPORTRANGE(""11i8IUhq_U6RRKRV3CBWIKqYed_fMvFgNUHTq1YDJfp8"",""Form Responses 1!B:C""),2,FALSE),)"),"")</f>
        <v/>
      </c>
      <c r="D373" s="70" t="str">
        <f>IFERROR(__xludf.DUMMYFUNCTION("IFERROR(VLOOKUP(A373,IMPORTRANGE(""1StiHxuxrFhYdrq5WLR2JMORicW0TbnJf3J-oTHeMRtM"",""Form Responses 1!B:C""),2,FALSE),)"),"")</f>
        <v/>
      </c>
      <c r="E373" s="70" t="str">
        <f>IFERROR(__xludf.DUMMYFUNCTION("IFERROR(VLOOKUP(A373,IMPORTRANGE(""1QaxxyUjrDq2kgz300C1Bq1tacFk6e-xX218cSXCQUK0"",""Form Responses 1!B:C""),2,FALSE),)"),"")</f>
        <v/>
      </c>
      <c r="F373" s="70" t="str">
        <f>IFERROR(__xludf.DUMMYFUNCTION("IFERROR(VLOOKUP(A373,IMPORTRANGE(""1fn2ECph_y8Uz78DhjLaiXcwgt6kh3oe-0Le36Uw0noE"",""Form Responses 1!B:C""),2,FALSE),)"),"")</f>
        <v/>
      </c>
      <c r="G373" s="70"/>
      <c r="H373" s="70"/>
      <c r="I373" s="70"/>
      <c r="J373" s="70"/>
      <c r="K373" s="70"/>
      <c r="L373" s="70"/>
      <c r="M373" s="70"/>
      <c r="N373" s="70"/>
      <c r="O373" s="70"/>
      <c r="P373" s="70"/>
      <c r="Q373" s="70" t="str">
        <f>IFERROR(__xludf.DUMMYFUNCTION("IFERROR(IF(COUNTIF(IMPORTRANGE(""1WjiLR_MTMxI_IZUKuvPO4Sg2rTSIqBzP3edakSRXbOA"",""Form Responses 1!B:B""),F373)&gt;0,10,),0)"),"")</f>
        <v/>
      </c>
      <c r="R373" s="70" t="str">
        <f>IFERROR(__xludf.DUMMYFUNCTION("IFERROR(VLOOKUP(F373,IMPORTRANGE(""1Ixzbal5tEbtWhozsFEppQzOYE6ZSrkNXHg_HW5k3Wt4"",""Form Responses 1!B:C""),2,FALSE),)"),"")</f>
        <v/>
      </c>
      <c r="S373" s="70" t="str">
        <f>IFERROR(__xludf.DUMMYFUNCTION("IFERROR(VLOOKUP(F373,IMPORTRANGE(""1zxjtEKGvVIJPIDqZdnxENwVpPXYa88EihzyI44hcQUo"",""Form Responses 1!B:C""),2,FALSE),)"),"")</f>
        <v/>
      </c>
      <c r="T373" s="70" t="str">
        <f>IFERROR(__xludf.DUMMYFUNCTION("IFERROR(VLOOKUP(F373,IMPORTRANGE(""1H3cO01obd5zFULYqaT5NAqecZBFFIHeDFn4CeQLZF3w"",""Form Responses 1!B:C""),2,FALSE),)"),"")</f>
        <v/>
      </c>
      <c r="U373" s="70" t="str">
        <f>IFERROR(__xludf.DUMMYFUNCTION("IFERROR(IF(COUNTIF(IMPORTRANGE(""1IG9qoa6PeLdDDFzKpW39lxXshN0-M8Z25a_R1EpsYyg"",""Form Responses 1!B:B""),F373)&gt;0,10,),0)"),"")</f>
        <v/>
      </c>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row>
    <row r="374">
      <c r="B374" s="70" t="str">
        <f>IFERROR(__xludf.DUMMYFUNCTION("IFERROR(IF(COUNTIF(IMPORTRANGE(""1RTcwEJsI_0aJRebhNwO_H_AoKl9r46k7hWYbtciIyM4"",""Form Responses 1!B:B""),A374)&gt;0,10,),0)"),"")</f>
        <v/>
      </c>
      <c r="C374" s="70" t="str">
        <f>IFERROR(__xludf.DUMMYFUNCTION("IFERROR(VLOOKUP(A374,IMPORTRANGE(""11i8IUhq_U6RRKRV3CBWIKqYed_fMvFgNUHTq1YDJfp8"",""Form Responses 1!B:C""),2,FALSE),)"),"")</f>
        <v/>
      </c>
      <c r="D374" s="70" t="str">
        <f>IFERROR(__xludf.DUMMYFUNCTION("IFERROR(VLOOKUP(A374,IMPORTRANGE(""1StiHxuxrFhYdrq5WLR2JMORicW0TbnJf3J-oTHeMRtM"",""Form Responses 1!B:C""),2,FALSE),)"),"")</f>
        <v/>
      </c>
      <c r="E374" s="70" t="str">
        <f>IFERROR(__xludf.DUMMYFUNCTION("IFERROR(VLOOKUP(A374,IMPORTRANGE(""1QaxxyUjrDq2kgz300C1Bq1tacFk6e-xX218cSXCQUK0"",""Form Responses 1!B:C""),2,FALSE),)"),"")</f>
        <v/>
      </c>
      <c r="F374" s="70" t="str">
        <f>IFERROR(__xludf.DUMMYFUNCTION("IFERROR(VLOOKUP(A374,IMPORTRANGE(""1fn2ECph_y8Uz78DhjLaiXcwgt6kh3oe-0Le36Uw0noE"",""Form Responses 1!B:C""),2,FALSE),)"),"")</f>
        <v/>
      </c>
      <c r="G374" s="70"/>
      <c r="H374" s="70"/>
      <c r="I374" s="70"/>
      <c r="J374" s="70"/>
      <c r="K374" s="70"/>
      <c r="L374" s="70"/>
      <c r="M374" s="70"/>
      <c r="N374" s="70"/>
      <c r="O374" s="70"/>
      <c r="P374" s="70"/>
      <c r="Q374" s="70" t="str">
        <f>IFERROR(__xludf.DUMMYFUNCTION("IFERROR(IF(COUNTIF(IMPORTRANGE(""1WjiLR_MTMxI_IZUKuvPO4Sg2rTSIqBzP3edakSRXbOA"",""Form Responses 1!B:B""),F374)&gt;0,10,),0)"),"")</f>
        <v/>
      </c>
      <c r="R374" s="70" t="str">
        <f>IFERROR(__xludf.DUMMYFUNCTION("IFERROR(VLOOKUP(F374,IMPORTRANGE(""1Ixzbal5tEbtWhozsFEppQzOYE6ZSrkNXHg_HW5k3Wt4"",""Form Responses 1!B:C""),2,FALSE),)"),"")</f>
        <v/>
      </c>
      <c r="S374" s="70" t="str">
        <f>IFERROR(__xludf.DUMMYFUNCTION("IFERROR(VLOOKUP(F374,IMPORTRANGE(""1zxjtEKGvVIJPIDqZdnxENwVpPXYa88EihzyI44hcQUo"",""Form Responses 1!B:C""),2,FALSE),)"),"")</f>
        <v/>
      </c>
      <c r="T374" s="70" t="str">
        <f>IFERROR(__xludf.DUMMYFUNCTION("IFERROR(VLOOKUP(F374,IMPORTRANGE(""1H3cO01obd5zFULYqaT5NAqecZBFFIHeDFn4CeQLZF3w"",""Form Responses 1!B:C""),2,FALSE),)"),"")</f>
        <v/>
      </c>
      <c r="U374" s="70" t="str">
        <f>IFERROR(__xludf.DUMMYFUNCTION("IFERROR(IF(COUNTIF(IMPORTRANGE(""1IG9qoa6PeLdDDFzKpW39lxXshN0-M8Z25a_R1EpsYyg"",""Form Responses 1!B:B""),F374)&gt;0,10,),0)"),"")</f>
        <v/>
      </c>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row>
    <row r="375">
      <c r="B375" s="70" t="str">
        <f>IFERROR(__xludf.DUMMYFUNCTION("IFERROR(IF(COUNTIF(IMPORTRANGE(""1RTcwEJsI_0aJRebhNwO_H_AoKl9r46k7hWYbtciIyM4"",""Form Responses 1!B:B""),A375)&gt;0,10,),0)"),"")</f>
        <v/>
      </c>
      <c r="C375" s="70" t="str">
        <f>IFERROR(__xludf.DUMMYFUNCTION("IFERROR(VLOOKUP(A375,IMPORTRANGE(""11i8IUhq_U6RRKRV3CBWIKqYed_fMvFgNUHTq1YDJfp8"",""Form Responses 1!B:C""),2,FALSE),)"),"")</f>
        <v/>
      </c>
      <c r="D375" s="70" t="str">
        <f>IFERROR(__xludf.DUMMYFUNCTION("IFERROR(VLOOKUP(A375,IMPORTRANGE(""1StiHxuxrFhYdrq5WLR2JMORicW0TbnJf3J-oTHeMRtM"",""Form Responses 1!B:C""),2,FALSE),)"),"")</f>
        <v/>
      </c>
      <c r="E375" s="70" t="str">
        <f>IFERROR(__xludf.DUMMYFUNCTION("IFERROR(VLOOKUP(A375,IMPORTRANGE(""1QaxxyUjrDq2kgz300C1Bq1tacFk6e-xX218cSXCQUK0"",""Form Responses 1!B:C""),2,FALSE),)"),"")</f>
        <v/>
      </c>
      <c r="F375" s="70" t="str">
        <f>IFERROR(__xludf.DUMMYFUNCTION("IFERROR(VLOOKUP(A375,IMPORTRANGE(""1fn2ECph_y8Uz78DhjLaiXcwgt6kh3oe-0Le36Uw0noE"",""Form Responses 1!B:C""),2,FALSE),)"),"")</f>
        <v/>
      </c>
      <c r="G375" s="70"/>
      <c r="H375" s="70"/>
      <c r="I375" s="70"/>
      <c r="J375" s="70"/>
      <c r="K375" s="70"/>
      <c r="L375" s="70"/>
      <c r="M375" s="70"/>
      <c r="N375" s="70"/>
      <c r="O375" s="70"/>
      <c r="P375" s="70"/>
      <c r="Q375" s="70" t="str">
        <f>IFERROR(__xludf.DUMMYFUNCTION("IFERROR(IF(COUNTIF(IMPORTRANGE(""1WjiLR_MTMxI_IZUKuvPO4Sg2rTSIqBzP3edakSRXbOA"",""Form Responses 1!B:B""),F375)&gt;0,10,),0)"),"")</f>
        <v/>
      </c>
      <c r="R375" s="70" t="str">
        <f>IFERROR(__xludf.DUMMYFUNCTION("IFERROR(VLOOKUP(F375,IMPORTRANGE(""1Ixzbal5tEbtWhozsFEppQzOYE6ZSrkNXHg_HW5k3Wt4"",""Form Responses 1!B:C""),2,FALSE),)"),"")</f>
        <v/>
      </c>
      <c r="S375" s="70" t="str">
        <f>IFERROR(__xludf.DUMMYFUNCTION("IFERROR(VLOOKUP(F375,IMPORTRANGE(""1zxjtEKGvVIJPIDqZdnxENwVpPXYa88EihzyI44hcQUo"",""Form Responses 1!B:C""),2,FALSE),)"),"")</f>
        <v/>
      </c>
      <c r="T375" s="70" t="str">
        <f>IFERROR(__xludf.DUMMYFUNCTION("IFERROR(VLOOKUP(F375,IMPORTRANGE(""1H3cO01obd5zFULYqaT5NAqecZBFFIHeDFn4CeQLZF3w"",""Form Responses 1!B:C""),2,FALSE),)"),"")</f>
        <v/>
      </c>
      <c r="U375" s="70" t="str">
        <f>IFERROR(__xludf.DUMMYFUNCTION("IFERROR(IF(COUNTIF(IMPORTRANGE(""1IG9qoa6PeLdDDFzKpW39lxXshN0-M8Z25a_R1EpsYyg"",""Form Responses 1!B:B""),F375)&gt;0,10,),0)"),"")</f>
        <v/>
      </c>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row>
    <row r="376">
      <c r="B376" s="70" t="str">
        <f>IFERROR(__xludf.DUMMYFUNCTION("IFERROR(IF(COUNTIF(IMPORTRANGE(""1RTcwEJsI_0aJRebhNwO_H_AoKl9r46k7hWYbtciIyM4"",""Form Responses 1!B:B""),A376)&gt;0,10,),0)"),"")</f>
        <v/>
      </c>
      <c r="C376" s="70" t="str">
        <f>IFERROR(__xludf.DUMMYFUNCTION("IFERROR(VLOOKUP(A376,IMPORTRANGE(""11i8IUhq_U6RRKRV3CBWIKqYed_fMvFgNUHTq1YDJfp8"",""Form Responses 1!B:C""),2,FALSE),)"),"")</f>
        <v/>
      </c>
      <c r="D376" s="70" t="str">
        <f>IFERROR(__xludf.DUMMYFUNCTION("IFERROR(VLOOKUP(A376,IMPORTRANGE(""1StiHxuxrFhYdrq5WLR2JMORicW0TbnJf3J-oTHeMRtM"",""Form Responses 1!B:C""),2,FALSE),)"),"")</f>
        <v/>
      </c>
      <c r="E376" s="70" t="str">
        <f>IFERROR(__xludf.DUMMYFUNCTION("IFERROR(VLOOKUP(A376,IMPORTRANGE(""1QaxxyUjrDq2kgz300C1Bq1tacFk6e-xX218cSXCQUK0"",""Form Responses 1!B:C""),2,FALSE),)"),"")</f>
        <v/>
      </c>
      <c r="F376" s="70" t="str">
        <f>IFERROR(__xludf.DUMMYFUNCTION("IFERROR(VLOOKUP(A376,IMPORTRANGE(""1fn2ECph_y8Uz78DhjLaiXcwgt6kh3oe-0Le36Uw0noE"",""Form Responses 1!B:C""),2,FALSE),)"),"")</f>
        <v/>
      </c>
      <c r="G376" s="70"/>
      <c r="H376" s="70"/>
      <c r="I376" s="70"/>
      <c r="J376" s="70"/>
      <c r="K376" s="70"/>
      <c r="L376" s="70"/>
      <c r="M376" s="70"/>
      <c r="N376" s="70"/>
      <c r="O376" s="70"/>
      <c r="P376" s="70"/>
      <c r="Q376" s="70" t="str">
        <f>IFERROR(__xludf.DUMMYFUNCTION("IFERROR(IF(COUNTIF(IMPORTRANGE(""1WjiLR_MTMxI_IZUKuvPO4Sg2rTSIqBzP3edakSRXbOA"",""Form Responses 1!B:B""),F376)&gt;0,10,),0)"),"")</f>
        <v/>
      </c>
      <c r="R376" s="70" t="str">
        <f>IFERROR(__xludf.DUMMYFUNCTION("IFERROR(VLOOKUP(F376,IMPORTRANGE(""1Ixzbal5tEbtWhozsFEppQzOYE6ZSrkNXHg_HW5k3Wt4"",""Form Responses 1!B:C""),2,FALSE),)"),"")</f>
        <v/>
      </c>
      <c r="S376" s="70" t="str">
        <f>IFERROR(__xludf.DUMMYFUNCTION("IFERROR(VLOOKUP(F376,IMPORTRANGE(""1zxjtEKGvVIJPIDqZdnxENwVpPXYa88EihzyI44hcQUo"",""Form Responses 1!B:C""),2,FALSE),)"),"")</f>
        <v/>
      </c>
      <c r="T376" s="70" t="str">
        <f>IFERROR(__xludf.DUMMYFUNCTION("IFERROR(VLOOKUP(F376,IMPORTRANGE(""1H3cO01obd5zFULYqaT5NAqecZBFFIHeDFn4CeQLZF3w"",""Form Responses 1!B:C""),2,FALSE),)"),"")</f>
        <v/>
      </c>
      <c r="U376" s="70" t="str">
        <f>IFERROR(__xludf.DUMMYFUNCTION("IFERROR(IF(COUNTIF(IMPORTRANGE(""1IG9qoa6PeLdDDFzKpW39lxXshN0-M8Z25a_R1EpsYyg"",""Form Responses 1!B:B""),F376)&gt;0,10,),0)"),"")</f>
        <v/>
      </c>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row>
    <row r="377">
      <c r="B377" s="70" t="str">
        <f>IFERROR(__xludf.DUMMYFUNCTION("IFERROR(IF(COUNTIF(IMPORTRANGE(""1RTcwEJsI_0aJRebhNwO_H_AoKl9r46k7hWYbtciIyM4"",""Form Responses 1!B:B""),A377)&gt;0,10,),0)"),"")</f>
        <v/>
      </c>
      <c r="C377" s="70" t="str">
        <f>IFERROR(__xludf.DUMMYFUNCTION("IFERROR(VLOOKUP(A377,IMPORTRANGE(""11i8IUhq_U6RRKRV3CBWIKqYed_fMvFgNUHTq1YDJfp8"",""Form Responses 1!B:C""),2,FALSE),)"),"")</f>
        <v/>
      </c>
      <c r="D377" s="70" t="str">
        <f>IFERROR(__xludf.DUMMYFUNCTION("IFERROR(VLOOKUP(A377,IMPORTRANGE(""1StiHxuxrFhYdrq5WLR2JMORicW0TbnJf3J-oTHeMRtM"",""Form Responses 1!B:C""),2,FALSE),)"),"")</f>
        <v/>
      </c>
      <c r="E377" s="70" t="str">
        <f>IFERROR(__xludf.DUMMYFUNCTION("IFERROR(VLOOKUP(A377,IMPORTRANGE(""1QaxxyUjrDq2kgz300C1Bq1tacFk6e-xX218cSXCQUK0"",""Form Responses 1!B:C""),2,FALSE),)"),"")</f>
        <v/>
      </c>
      <c r="F377" s="70" t="str">
        <f>IFERROR(__xludf.DUMMYFUNCTION("IFERROR(VLOOKUP(A377,IMPORTRANGE(""1fn2ECph_y8Uz78DhjLaiXcwgt6kh3oe-0Le36Uw0noE"",""Form Responses 1!B:C""),2,FALSE),)"),"")</f>
        <v/>
      </c>
      <c r="G377" s="70"/>
      <c r="H377" s="70"/>
      <c r="I377" s="70"/>
      <c r="J377" s="70"/>
      <c r="K377" s="70"/>
      <c r="L377" s="70"/>
      <c r="M377" s="70"/>
      <c r="N377" s="70"/>
      <c r="O377" s="70"/>
      <c r="P377" s="70"/>
      <c r="Q377" s="70" t="str">
        <f>IFERROR(__xludf.DUMMYFUNCTION("IFERROR(IF(COUNTIF(IMPORTRANGE(""1WjiLR_MTMxI_IZUKuvPO4Sg2rTSIqBzP3edakSRXbOA"",""Form Responses 1!B:B""),F377)&gt;0,10,),0)"),"")</f>
        <v/>
      </c>
      <c r="R377" s="70" t="str">
        <f>IFERROR(__xludf.DUMMYFUNCTION("IFERROR(VLOOKUP(F377,IMPORTRANGE(""1Ixzbal5tEbtWhozsFEppQzOYE6ZSrkNXHg_HW5k3Wt4"",""Form Responses 1!B:C""),2,FALSE),)"),"")</f>
        <v/>
      </c>
      <c r="S377" s="70" t="str">
        <f>IFERROR(__xludf.DUMMYFUNCTION("IFERROR(VLOOKUP(F377,IMPORTRANGE(""1zxjtEKGvVIJPIDqZdnxENwVpPXYa88EihzyI44hcQUo"",""Form Responses 1!B:C""),2,FALSE),)"),"")</f>
        <v/>
      </c>
      <c r="T377" s="70" t="str">
        <f>IFERROR(__xludf.DUMMYFUNCTION("IFERROR(VLOOKUP(F377,IMPORTRANGE(""1H3cO01obd5zFULYqaT5NAqecZBFFIHeDFn4CeQLZF3w"",""Form Responses 1!B:C""),2,FALSE),)"),"")</f>
        <v/>
      </c>
      <c r="U377" s="70" t="str">
        <f>IFERROR(__xludf.DUMMYFUNCTION("IFERROR(IF(COUNTIF(IMPORTRANGE(""1IG9qoa6PeLdDDFzKpW39lxXshN0-M8Z25a_R1EpsYyg"",""Form Responses 1!B:B""),F377)&gt;0,10,),0)"),"")</f>
        <v/>
      </c>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row>
    <row r="378">
      <c r="B378" s="70" t="str">
        <f>IFERROR(__xludf.DUMMYFUNCTION("IFERROR(IF(COUNTIF(IMPORTRANGE(""1RTcwEJsI_0aJRebhNwO_H_AoKl9r46k7hWYbtciIyM4"",""Form Responses 1!B:B""),A378)&gt;0,10,),0)"),"")</f>
        <v/>
      </c>
      <c r="C378" s="70" t="str">
        <f>IFERROR(__xludf.DUMMYFUNCTION("IFERROR(VLOOKUP(A378,IMPORTRANGE(""11i8IUhq_U6RRKRV3CBWIKqYed_fMvFgNUHTq1YDJfp8"",""Form Responses 1!B:C""),2,FALSE),)"),"")</f>
        <v/>
      </c>
      <c r="D378" s="70" t="str">
        <f>IFERROR(__xludf.DUMMYFUNCTION("IFERROR(VLOOKUP(A378,IMPORTRANGE(""1StiHxuxrFhYdrq5WLR2JMORicW0TbnJf3J-oTHeMRtM"",""Form Responses 1!B:C""),2,FALSE),)"),"")</f>
        <v/>
      </c>
      <c r="E378" s="70" t="str">
        <f>IFERROR(__xludf.DUMMYFUNCTION("IFERROR(VLOOKUP(A378,IMPORTRANGE(""1QaxxyUjrDq2kgz300C1Bq1tacFk6e-xX218cSXCQUK0"",""Form Responses 1!B:C""),2,FALSE),)"),"")</f>
        <v/>
      </c>
      <c r="F378" s="70" t="str">
        <f>IFERROR(__xludf.DUMMYFUNCTION("IFERROR(VLOOKUP(A378,IMPORTRANGE(""1fn2ECph_y8Uz78DhjLaiXcwgt6kh3oe-0Le36Uw0noE"",""Form Responses 1!B:C""),2,FALSE),)"),"")</f>
        <v/>
      </c>
      <c r="G378" s="70"/>
      <c r="H378" s="70"/>
      <c r="I378" s="70"/>
      <c r="J378" s="70"/>
      <c r="K378" s="70"/>
      <c r="L378" s="70"/>
      <c r="M378" s="70"/>
      <c r="N378" s="70"/>
      <c r="O378" s="70"/>
      <c r="P378" s="70"/>
      <c r="Q378" s="70" t="str">
        <f>IFERROR(__xludf.DUMMYFUNCTION("IFERROR(IF(COUNTIF(IMPORTRANGE(""1WjiLR_MTMxI_IZUKuvPO4Sg2rTSIqBzP3edakSRXbOA"",""Form Responses 1!B:B""),F378)&gt;0,10,),0)"),"")</f>
        <v/>
      </c>
      <c r="R378" s="70" t="str">
        <f>IFERROR(__xludf.DUMMYFUNCTION("IFERROR(VLOOKUP(F378,IMPORTRANGE(""1Ixzbal5tEbtWhozsFEppQzOYE6ZSrkNXHg_HW5k3Wt4"",""Form Responses 1!B:C""),2,FALSE),)"),"")</f>
        <v/>
      </c>
      <c r="S378" s="70" t="str">
        <f>IFERROR(__xludf.DUMMYFUNCTION("IFERROR(VLOOKUP(F378,IMPORTRANGE(""1zxjtEKGvVIJPIDqZdnxENwVpPXYa88EihzyI44hcQUo"",""Form Responses 1!B:C""),2,FALSE),)"),"")</f>
        <v/>
      </c>
      <c r="T378" s="70" t="str">
        <f>IFERROR(__xludf.DUMMYFUNCTION("IFERROR(VLOOKUP(F378,IMPORTRANGE(""1H3cO01obd5zFULYqaT5NAqecZBFFIHeDFn4CeQLZF3w"",""Form Responses 1!B:C""),2,FALSE),)"),"")</f>
        <v/>
      </c>
      <c r="U378" s="70" t="str">
        <f>IFERROR(__xludf.DUMMYFUNCTION("IFERROR(IF(COUNTIF(IMPORTRANGE(""1IG9qoa6PeLdDDFzKpW39lxXshN0-M8Z25a_R1EpsYyg"",""Form Responses 1!B:B""),F378)&gt;0,10,),0)"),"")</f>
        <v/>
      </c>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row>
    <row r="379">
      <c r="B379" s="70" t="str">
        <f>IFERROR(__xludf.DUMMYFUNCTION("IFERROR(IF(COUNTIF(IMPORTRANGE(""1RTcwEJsI_0aJRebhNwO_H_AoKl9r46k7hWYbtciIyM4"",""Form Responses 1!B:B""),A379)&gt;0,10,),0)"),"")</f>
        <v/>
      </c>
      <c r="C379" s="70" t="str">
        <f>IFERROR(__xludf.DUMMYFUNCTION("IFERROR(VLOOKUP(A379,IMPORTRANGE(""11i8IUhq_U6RRKRV3CBWIKqYed_fMvFgNUHTq1YDJfp8"",""Form Responses 1!B:C""),2,FALSE),)"),"")</f>
        <v/>
      </c>
      <c r="D379" s="70" t="str">
        <f>IFERROR(__xludf.DUMMYFUNCTION("IFERROR(VLOOKUP(A379,IMPORTRANGE(""1StiHxuxrFhYdrq5WLR2JMORicW0TbnJf3J-oTHeMRtM"",""Form Responses 1!B:C""),2,FALSE),)"),"")</f>
        <v/>
      </c>
      <c r="E379" s="70" t="str">
        <f>IFERROR(__xludf.DUMMYFUNCTION("IFERROR(VLOOKUP(A379,IMPORTRANGE(""1QaxxyUjrDq2kgz300C1Bq1tacFk6e-xX218cSXCQUK0"",""Form Responses 1!B:C""),2,FALSE),)"),"")</f>
        <v/>
      </c>
      <c r="F379" s="70" t="str">
        <f>IFERROR(__xludf.DUMMYFUNCTION("IFERROR(VLOOKUP(A379,IMPORTRANGE(""1fn2ECph_y8Uz78DhjLaiXcwgt6kh3oe-0Le36Uw0noE"",""Form Responses 1!B:C""),2,FALSE),)"),"")</f>
        <v/>
      </c>
      <c r="G379" s="70"/>
      <c r="H379" s="70"/>
      <c r="I379" s="70"/>
      <c r="J379" s="70"/>
      <c r="K379" s="70"/>
      <c r="L379" s="70"/>
      <c r="M379" s="70"/>
      <c r="N379" s="70"/>
      <c r="O379" s="70"/>
      <c r="P379" s="70"/>
      <c r="Q379" s="70" t="str">
        <f>IFERROR(__xludf.DUMMYFUNCTION("IFERROR(IF(COUNTIF(IMPORTRANGE(""1WjiLR_MTMxI_IZUKuvPO4Sg2rTSIqBzP3edakSRXbOA"",""Form Responses 1!B:B""),F379)&gt;0,10,),0)"),"")</f>
        <v/>
      </c>
      <c r="R379" s="70" t="str">
        <f>IFERROR(__xludf.DUMMYFUNCTION("IFERROR(VLOOKUP(F379,IMPORTRANGE(""1Ixzbal5tEbtWhozsFEppQzOYE6ZSrkNXHg_HW5k3Wt4"",""Form Responses 1!B:C""),2,FALSE),)"),"")</f>
        <v/>
      </c>
      <c r="S379" s="70" t="str">
        <f>IFERROR(__xludf.DUMMYFUNCTION("IFERROR(VLOOKUP(F379,IMPORTRANGE(""1zxjtEKGvVIJPIDqZdnxENwVpPXYa88EihzyI44hcQUo"",""Form Responses 1!B:C""),2,FALSE),)"),"")</f>
        <v/>
      </c>
      <c r="T379" s="70" t="str">
        <f>IFERROR(__xludf.DUMMYFUNCTION("IFERROR(VLOOKUP(F379,IMPORTRANGE(""1H3cO01obd5zFULYqaT5NAqecZBFFIHeDFn4CeQLZF3w"",""Form Responses 1!B:C""),2,FALSE),)"),"")</f>
        <v/>
      </c>
      <c r="U379" s="70" t="str">
        <f>IFERROR(__xludf.DUMMYFUNCTION("IFERROR(IF(COUNTIF(IMPORTRANGE(""1IG9qoa6PeLdDDFzKpW39lxXshN0-M8Z25a_R1EpsYyg"",""Form Responses 1!B:B""),F379)&gt;0,10,),0)"),"")</f>
        <v/>
      </c>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row>
    <row r="380">
      <c r="B380" s="70" t="str">
        <f>IFERROR(__xludf.DUMMYFUNCTION("IFERROR(IF(COUNTIF(IMPORTRANGE(""1RTcwEJsI_0aJRebhNwO_H_AoKl9r46k7hWYbtciIyM4"",""Form Responses 1!B:B""),A380)&gt;0,10,),0)"),"")</f>
        <v/>
      </c>
      <c r="C380" s="70" t="str">
        <f>IFERROR(__xludf.DUMMYFUNCTION("IFERROR(VLOOKUP(A380,IMPORTRANGE(""11i8IUhq_U6RRKRV3CBWIKqYed_fMvFgNUHTq1YDJfp8"",""Form Responses 1!B:C""),2,FALSE),)"),"")</f>
        <v/>
      </c>
      <c r="D380" s="70" t="str">
        <f>IFERROR(__xludf.DUMMYFUNCTION("IFERROR(VLOOKUP(A380,IMPORTRANGE(""1StiHxuxrFhYdrq5WLR2JMORicW0TbnJf3J-oTHeMRtM"",""Form Responses 1!B:C""),2,FALSE),)"),"")</f>
        <v/>
      </c>
      <c r="E380" s="70" t="str">
        <f>IFERROR(__xludf.DUMMYFUNCTION("IFERROR(VLOOKUP(A380,IMPORTRANGE(""1QaxxyUjrDq2kgz300C1Bq1tacFk6e-xX218cSXCQUK0"",""Form Responses 1!B:C""),2,FALSE),)"),"")</f>
        <v/>
      </c>
      <c r="F380" s="70" t="str">
        <f>IFERROR(__xludf.DUMMYFUNCTION("IFERROR(VLOOKUP(A380,IMPORTRANGE(""1fn2ECph_y8Uz78DhjLaiXcwgt6kh3oe-0Le36Uw0noE"",""Form Responses 1!B:C""),2,FALSE),)"),"")</f>
        <v/>
      </c>
      <c r="G380" s="70"/>
      <c r="H380" s="70"/>
      <c r="I380" s="70"/>
      <c r="J380" s="70"/>
      <c r="K380" s="70"/>
      <c r="L380" s="70"/>
      <c r="M380" s="70"/>
      <c r="N380" s="70"/>
      <c r="O380" s="70"/>
      <c r="P380" s="70"/>
      <c r="Q380" s="70" t="str">
        <f>IFERROR(__xludf.DUMMYFUNCTION("IFERROR(IF(COUNTIF(IMPORTRANGE(""1WjiLR_MTMxI_IZUKuvPO4Sg2rTSIqBzP3edakSRXbOA"",""Form Responses 1!B:B""),F380)&gt;0,10,),0)"),"")</f>
        <v/>
      </c>
      <c r="R380" s="70" t="str">
        <f>IFERROR(__xludf.DUMMYFUNCTION("IFERROR(VLOOKUP(F380,IMPORTRANGE(""1Ixzbal5tEbtWhozsFEppQzOYE6ZSrkNXHg_HW5k3Wt4"",""Form Responses 1!B:C""),2,FALSE),)"),"")</f>
        <v/>
      </c>
      <c r="S380" s="70" t="str">
        <f>IFERROR(__xludf.DUMMYFUNCTION("IFERROR(VLOOKUP(F380,IMPORTRANGE(""1zxjtEKGvVIJPIDqZdnxENwVpPXYa88EihzyI44hcQUo"",""Form Responses 1!B:C""),2,FALSE),)"),"")</f>
        <v/>
      </c>
      <c r="T380" s="70" t="str">
        <f>IFERROR(__xludf.DUMMYFUNCTION("IFERROR(VLOOKUP(F380,IMPORTRANGE(""1H3cO01obd5zFULYqaT5NAqecZBFFIHeDFn4CeQLZF3w"",""Form Responses 1!B:C""),2,FALSE),)"),"")</f>
        <v/>
      </c>
      <c r="U380" s="70" t="str">
        <f>IFERROR(__xludf.DUMMYFUNCTION("IFERROR(IF(COUNTIF(IMPORTRANGE(""1IG9qoa6PeLdDDFzKpW39lxXshN0-M8Z25a_R1EpsYyg"",""Form Responses 1!B:B""),F380)&gt;0,10,),0)"),"")</f>
        <v/>
      </c>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row>
    <row r="381">
      <c r="B381" s="70" t="str">
        <f>IFERROR(__xludf.DUMMYFUNCTION("IFERROR(IF(COUNTIF(IMPORTRANGE(""1RTcwEJsI_0aJRebhNwO_H_AoKl9r46k7hWYbtciIyM4"",""Form Responses 1!B:B""),A381)&gt;0,10,),0)"),"")</f>
        <v/>
      </c>
      <c r="C381" s="70" t="str">
        <f>IFERROR(__xludf.DUMMYFUNCTION("IFERROR(VLOOKUP(A381,IMPORTRANGE(""11i8IUhq_U6RRKRV3CBWIKqYed_fMvFgNUHTq1YDJfp8"",""Form Responses 1!B:C""),2,FALSE),)"),"")</f>
        <v/>
      </c>
      <c r="D381" s="70" t="str">
        <f>IFERROR(__xludf.DUMMYFUNCTION("IFERROR(VLOOKUP(A381,IMPORTRANGE(""1StiHxuxrFhYdrq5WLR2JMORicW0TbnJf3J-oTHeMRtM"",""Form Responses 1!B:C""),2,FALSE),)"),"")</f>
        <v/>
      </c>
      <c r="E381" s="70" t="str">
        <f>IFERROR(__xludf.DUMMYFUNCTION("IFERROR(VLOOKUP(A381,IMPORTRANGE(""1QaxxyUjrDq2kgz300C1Bq1tacFk6e-xX218cSXCQUK0"",""Form Responses 1!B:C""),2,FALSE),)"),"")</f>
        <v/>
      </c>
      <c r="F381" s="70" t="str">
        <f>IFERROR(__xludf.DUMMYFUNCTION("IFERROR(VLOOKUP(A381,IMPORTRANGE(""1fn2ECph_y8Uz78DhjLaiXcwgt6kh3oe-0Le36Uw0noE"",""Form Responses 1!B:C""),2,FALSE),)"),"")</f>
        <v/>
      </c>
      <c r="G381" s="70"/>
      <c r="H381" s="70"/>
      <c r="I381" s="70"/>
      <c r="J381" s="70"/>
      <c r="K381" s="70"/>
      <c r="L381" s="70"/>
      <c r="M381" s="70"/>
      <c r="N381" s="70"/>
      <c r="O381" s="70"/>
      <c r="P381" s="70"/>
      <c r="Q381" s="70" t="str">
        <f>IFERROR(__xludf.DUMMYFUNCTION("IFERROR(IF(COUNTIF(IMPORTRANGE(""1WjiLR_MTMxI_IZUKuvPO4Sg2rTSIqBzP3edakSRXbOA"",""Form Responses 1!B:B""),F381)&gt;0,10,),0)"),"")</f>
        <v/>
      </c>
      <c r="R381" s="70" t="str">
        <f>IFERROR(__xludf.DUMMYFUNCTION("IFERROR(VLOOKUP(F381,IMPORTRANGE(""1Ixzbal5tEbtWhozsFEppQzOYE6ZSrkNXHg_HW5k3Wt4"",""Form Responses 1!B:C""),2,FALSE),)"),"")</f>
        <v/>
      </c>
      <c r="S381" s="70" t="str">
        <f>IFERROR(__xludf.DUMMYFUNCTION("IFERROR(VLOOKUP(F381,IMPORTRANGE(""1zxjtEKGvVIJPIDqZdnxENwVpPXYa88EihzyI44hcQUo"",""Form Responses 1!B:C""),2,FALSE),)"),"")</f>
        <v/>
      </c>
      <c r="T381" s="70" t="str">
        <f>IFERROR(__xludf.DUMMYFUNCTION("IFERROR(VLOOKUP(F381,IMPORTRANGE(""1H3cO01obd5zFULYqaT5NAqecZBFFIHeDFn4CeQLZF3w"",""Form Responses 1!B:C""),2,FALSE),)"),"")</f>
        <v/>
      </c>
      <c r="U381" s="70" t="str">
        <f>IFERROR(__xludf.DUMMYFUNCTION("IFERROR(IF(COUNTIF(IMPORTRANGE(""1IG9qoa6PeLdDDFzKpW39lxXshN0-M8Z25a_R1EpsYyg"",""Form Responses 1!B:B""),F381)&gt;0,10,),0)"),"")</f>
        <v/>
      </c>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row>
    <row r="382">
      <c r="B382" s="70" t="str">
        <f>IFERROR(__xludf.DUMMYFUNCTION("IFERROR(IF(COUNTIF(IMPORTRANGE(""1RTcwEJsI_0aJRebhNwO_H_AoKl9r46k7hWYbtciIyM4"",""Form Responses 1!B:B""),A382)&gt;0,10,),0)"),"")</f>
        <v/>
      </c>
      <c r="C382" s="70" t="str">
        <f>IFERROR(__xludf.DUMMYFUNCTION("IFERROR(VLOOKUP(A382,IMPORTRANGE(""11i8IUhq_U6RRKRV3CBWIKqYed_fMvFgNUHTq1YDJfp8"",""Form Responses 1!B:C""),2,FALSE),)"),"")</f>
        <v/>
      </c>
      <c r="D382" s="70" t="str">
        <f>IFERROR(__xludf.DUMMYFUNCTION("IFERROR(VLOOKUP(A382,IMPORTRANGE(""1StiHxuxrFhYdrq5WLR2JMORicW0TbnJf3J-oTHeMRtM"",""Form Responses 1!B:C""),2,FALSE),)"),"")</f>
        <v/>
      </c>
      <c r="E382" s="70" t="str">
        <f>IFERROR(__xludf.DUMMYFUNCTION("IFERROR(VLOOKUP(A382,IMPORTRANGE(""1QaxxyUjrDq2kgz300C1Bq1tacFk6e-xX218cSXCQUK0"",""Form Responses 1!B:C""),2,FALSE),)"),"")</f>
        <v/>
      </c>
      <c r="F382" s="70" t="str">
        <f>IFERROR(__xludf.DUMMYFUNCTION("IFERROR(VLOOKUP(A382,IMPORTRANGE(""1fn2ECph_y8Uz78DhjLaiXcwgt6kh3oe-0Le36Uw0noE"",""Form Responses 1!B:C""),2,FALSE),)"),"")</f>
        <v/>
      </c>
      <c r="G382" s="70"/>
      <c r="H382" s="70"/>
      <c r="I382" s="70"/>
      <c r="J382" s="70"/>
      <c r="K382" s="70"/>
      <c r="L382" s="70"/>
      <c r="M382" s="70"/>
      <c r="N382" s="70"/>
      <c r="O382" s="70"/>
      <c r="P382" s="70"/>
      <c r="Q382" s="70" t="str">
        <f>IFERROR(__xludf.DUMMYFUNCTION("IFERROR(IF(COUNTIF(IMPORTRANGE(""1WjiLR_MTMxI_IZUKuvPO4Sg2rTSIqBzP3edakSRXbOA"",""Form Responses 1!B:B""),F382)&gt;0,10,),0)"),"")</f>
        <v/>
      </c>
      <c r="R382" s="70" t="str">
        <f>IFERROR(__xludf.DUMMYFUNCTION("IFERROR(VLOOKUP(F382,IMPORTRANGE(""1Ixzbal5tEbtWhozsFEppQzOYE6ZSrkNXHg_HW5k3Wt4"",""Form Responses 1!B:C""),2,FALSE),)"),"")</f>
        <v/>
      </c>
      <c r="S382" s="70" t="str">
        <f>IFERROR(__xludf.DUMMYFUNCTION("IFERROR(VLOOKUP(F382,IMPORTRANGE(""1zxjtEKGvVIJPIDqZdnxENwVpPXYa88EihzyI44hcQUo"",""Form Responses 1!B:C""),2,FALSE),)"),"")</f>
        <v/>
      </c>
      <c r="T382" s="70" t="str">
        <f>IFERROR(__xludf.DUMMYFUNCTION("IFERROR(VLOOKUP(F382,IMPORTRANGE(""1H3cO01obd5zFULYqaT5NAqecZBFFIHeDFn4CeQLZF3w"",""Form Responses 1!B:C""),2,FALSE),)"),"")</f>
        <v/>
      </c>
      <c r="U382" s="70" t="str">
        <f>IFERROR(__xludf.DUMMYFUNCTION("IFERROR(IF(COUNTIF(IMPORTRANGE(""1IG9qoa6PeLdDDFzKpW39lxXshN0-M8Z25a_R1EpsYyg"",""Form Responses 1!B:B""),F382)&gt;0,10,),0)"),"")</f>
        <v/>
      </c>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row>
    <row r="383">
      <c r="B383" s="70" t="str">
        <f>IFERROR(__xludf.DUMMYFUNCTION("IFERROR(IF(COUNTIF(IMPORTRANGE(""1RTcwEJsI_0aJRebhNwO_H_AoKl9r46k7hWYbtciIyM4"",""Form Responses 1!B:B""),A383)&gt;0,10,),0)"),"")</f>
        <v/>
      </c>
      <c r="C383" s="70" t="str">
        <f>IFERROR(__xludf.DUMMYFUNCTION("IFERROR(VLOOKUP(A383,IMPORTRANGE(""11i8IUhq_U6RRKRV3CBWIKqYed_fMvFgNUHTq1YDJfp8"",""Form Responses 1!B:C""),2,FALSE),)"),"")</f>
        <v/>
      </c>
      <c r="D383" s="70" t="str">
        <f>IFERROR(__xludf.DUMMYFUNCTION("IFERROR(VLOOKUP(A383,IMPORTRANGE(""1StiHxuxrFhYdrq5WLR2JMORicW0TbnJf3J-oTHeMRtM"",""Form Responses 1!B:C""),2,FALSE),)"),"")</f>
        <v/>
      </c>
      <c r="E383" s="70" t="str">
        <f>IFERROR(__xludf.DUMMYFUNCTION("IFERROR(VLOOKUP(A383,IMPORTRANGE(""1QaxxyUjrDq2kgz300C1Bq1tacFk6e-xX218cSXCQUK0"",""Form Responses 1!B:C""),2,FALSE),)"),"")</f>
        <v/>
      </c>
      <c r="F383" s="70" t="str">
        <f>IFERROR(__xludf.DUMMYFUNCTION("IFERROR(VLOOKUP(A383,IMPORTRANGE(""1fn2ECph_y8Uz78DhjLaiXcwgt6kh3oe-0Le36Uw0noE"",""Form Responses 1!B:C""),2,FALSE),)"),"")</f>
        <v/>
      </c>
      <c r="G383" s="70"/>
      <c r="H383" s="70"/>
      <c r="I383" s="70"/>
      <c r="J383" s="70"/>
      <c r="K383" s="70"/>
      <c r="L383" s="70"/>
      <c r="M383" s="70"/>
      <c r="N383" s="70"/>
      <c r="O383" s="70"/>
      <c r="P383" s="70"/>
      <c r="Q383" s="70" t="str">
        <f>IFERROR(__xludf.DUMMYFUNCTION("IFERROR(IF(COUNTIF(IMPORTRANGE(""1WjiLR_MTMxI_IZUKuvPO4Sg2rTSIqBzP3edakSRXbOA"",""Form Responses 1!B:B""),F383)&gt;0,10,),0)"),"")</f>
        <v/>
      </c>
      <c r="R383" s="70" t="str">
        <f>IFERROR(__xludf.DUMMYFUNCTION("IFERROR(VLOOKUP(F383,IMPORTRANGE(""1Ixzbal5tEbtWhozsFEppQzOYE6ZSrkNXHg_HW5k3Wt4"",""Form Responses 1!B:C""),2,FALSE),)"),"")</f>
        <v/>
      </c>
      <c r="S383" s="70" t="str">
        <f>IFERROR(__xludf.DUMMYFUNCTION("IFERROR(VLOOKUP(F383,IMPORTRANGE(""1zxjtEKGvVIJPIDqZdnxENwVpPXYa88EihzyI44hcQUo"",""Form Responses 1!B:C""),2,FALSE),)"),"")</f>
        <v/>
      </c>
      <c r="T383" s="70" t="str">
        <f>IFERROR(__xludf.DUMMYFUNCTION("IFERROR(VLOOKUP(F383,IMPORTRANGE(""1H3cO01obd5zFULYqaT5NAqecZBFFIHeDFn4CeQLZF3w"",""Form Responses 1!B:C""),2,FALSE),)"),"")</f>
        <v/>
      </c>
      <c r="U383" s="70" t="str">
        <f>IFERROR(__xludf.DUMMYFUNCTION("IFERROR(IF(COUNTIF(IMPORTRANGE(""1IG9qoa6PeLdDDFzKpW39lxXshN0-M8Z25a_R1EpsYyg"",""Form Responses 1!B:B""),F383)&gt;0,10,),0)"),"")</f>
        <v/>
      </c>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row>
    <row r="384">
      <c r="B384" s="70" t="str">
        <f>IFERROR(__xludf.DUMMYFUNCTION("IFERROR(IF(COUNTIF(IMPORTRANGE(""1RTcwEJsI_0aJRebhNwO_H_AoKl9r46k7hWYbtciIyM4"",""Form Responses 1!B:B""),A384)&gt;0,10,),0)"),"")</f>
        <v/>
      </c>
      <c r="C384" s="70" t="str">
        <f>IFERROR(__xludf.DUMMYFUNCTION("IFERROR(VLOOKUP(A384,IMPORTRANGE(""11i8IUhq_U6RRKRV3CBWIKqYed_fMvFgNUHTq1YDJfp8"",""Form Responses 1!B:C""),2,FALSE),)"),"")</f>
        <v/>
      </c>
      <c r="D384" s="70" t="str">
        <f>IFERROR(__xludf.DUMMYFUNCTION("IFERROR(VLOOKUP(A384,IMPORTRANGE(""1StiHxuxrFhYdrq5WLR2JMORicW0TbnJf3J-oTHeMRtM"",""Form Responses 1!B:C""),2,FALSE),)"),"")</f>
        <v/>
      </c>
      <c r="E384" s="70" t="str">
        <f>IFERROR(__xludf.DUMMYFUNCTION("IFERROR(VLOOKUP(A384,IMPORTRANGE(""1QaxxyUjrDq2kgz300C1Bq1tacFk6e-xX218cSXCQUK0"",""Form Responses 1!B:C""),2,FALSE),)"),"")</f>
        <v/>
      </c>
      <c r="F384" s="70" t="str">
        <f>IFERROR(__xludf.DUMMYFUNCTION("IFERROR(VLOOKUP(A384,IMPORTRANGE(""1fn2ECph_y8Uz78DhjLaiXcwgt6kh3oe-0Le36Uw0noE"",""Form Responses 1!B:C""),2,FALSE),)"),"")</f>
        <v/>
      </c>
      <c r="G384" s="70"/>
      <c r="H384" s="70"/>
      <c r="I384" s="70"/>
      <c r="J384" s="70"/>
      <c r="K384" s="70"/>
      <c r="L384" s="70"/>
      <c r="M384" s="70"/>
      <c r="N384" s="70"/>
      <c r="O384" s="70"/>
      <c r="P384" s="70"/>
      <c r="Q384" s="70" t="str">
        <f>IFERROR(__xludf.DUMMYFUNCTION("IFERROR(IF(COUNTIF(IMPORTRANGE(""1WjiLR_MTMxI_IZUKuvPO4Sg2rTSIqBzP3edakSRXbOA"",""Form Responses 1!B:B""),F384)&gt;0,10,),0)"),"")</f>
        <v/>
      </c>
      <c r="R384" s="70" t="str">
        <f>IFERROR(__xludf.DUMMYFUNCTION("IFERROR(VLOOKUP(F384,IMPORTRANGE(""1Ixzbal5tEbtWhozsFEppQzOYE6ZSrkNXHg_HW5k3Wt4"",""Form Responses 1!B:C""),2,FALSE),)"),"")</f>
        <v/>
      </c>
      <c r="S384" s="70" t="str">
        <f>IFERROR(__xludf.DUMMYFUNCTION("IFERROR(VLOOKUP(F384,IMPORTRANGE(""1zxjtEKGvVIJPIDqZdnxENwVpPXYa88EihzyI44hcQUo"",""Form Responses 1!B:C""),2,FALSE),)"),"")</f>
        <v/>
      </c>
      <c r="T384" s="70" t="str">
        <f>IFERROR(__xludf.DUMMYFUNCTION("IFERROR(VLOOKUP(F384,IMPORTRANGE(""1H3cO01obd5zFULYqaT5NAqecZBFFIHeDFn4CeQLZF3w"",""Form Responses 1!B:C""),2,FALSE),)"),"")</f>
        <v/>
      </c>
      <c r="U384" s="70" t="str">
        <f>IFERROR(__xludf.DUMMYFUNCTION("IFERROR(IF(COUNTIF(IMPORTRANGE(""1IG9qoa6PeLdDDFzKpW39lxXshN0-M8Z25a_R1EpsYyg"",""Form Responses 1!B:B""),F384)&gt;0,10,),0)"),"")</f>
        <v/>
      </c>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row>
    <row r="385">
      <c r="B385" s="70" t="str">
        <f>IFERROR(__xludf.DUMMYFUNCTION("IFERROR(IF(COUNTIF(IMPORTRANGE(""1RTcwEJsI_0aJRebhNwO_H_AoKl9r46k7hWYbtciIyM4"",""Form Responses 1!B:B""),A385)&gt;0,10,),0)"),"")</f>
        <v/>
      </c>
      <c r="C385" s="70" t="str">
        <f>IFERROR(__xludf.DUMMYFUNCTION("IFERROR(VLOOKUP(A385,IMPORTRANGE(""11i8IUhq_U6RRKRV3CBWIKqYed_fMvFgNUHTq1YDJfp8"",""Form Responses 1!B:C""),2,FALSE),)"),"")</f>
        <v/>
      </c>
      <c r="D385" s="70" t="str">
        <f>IFERROR(__xludf.DUMMYFUNCTION("IFERROR(VLOOKUP(A385,IMPORTRANGE(""1StiHxuxrFhYdrq5WLR2JMORicW0TbnJf3J-oTHeMRtM"",""Form Responses 1!B:C""),2,FALSE),)"),"")</f>
        <v/>
      </c>
      <c r="E385" s="70" t="str">
        <f>IFERROR(__xludf.DUMMYFUNCTION("IFERROR(VLOOKUP(A385,IMPORTRANGE(""1QaxxyUjrDq2kgz300C1Bq1tacFk6e-xX218cSXCQUK0"",""Form Responses 1!B:C""),2,FALSE),)"),"")</f>
        <v/>
      </c>
      <c r="F385" s="70" t="str">
        <f>IFERROR(__xludf.DUMMYFUNCTION("IFERROR(VLOOKUP(A385,IMPORTRANGE(""1fn2ECph_y8Uz78DhjLaiXcwgt6kh3oe-0Le36Uw0noE"",""Form Responses 1!B:C""),2,FALSE),)"),"")</f>
        <v/>
      </c>
      <c r="G385" s="70"/>
      <c r="H385" s="70"/>
      <c r="I385" s="70"/>
      <c r="J385" s="70"/>
      <c r="K385" s="70"/>
      <c r="L385" s="70"/>
      <c r="M385" s="70"/>
      <c r="N385" s="70"/>
      <c r="O385" s="70"/>
      <c r="P385" s="70"/>
      <c r="Q385" s="70" t="str">
        <f>IFERROR(__xludf.DUMMYFUNCTION("IFERROR(IF(COUNTIF(IMPORTRANGE(""1WjiLR_MTMxI_IZUKuvPO4Sg2rTSIqBzP3edakSRXbOA"",""Form Responses 1!B:B""),F385)&gt;0,10,),0)"),"")</f>
        <v/>
      </c>
      <c r="R385" s="70" t="str">
        <f>IFERROR(__xludf.DUMMYFUNCTION("IFERROR(VLOOKUP(F385,IMPORTRANGE(""1Ixzbal5tEbtWhozsFEppQzOYE6ZSrkNXHg_HW5k3Wt4"",""Form Responses 1!B:C""),2,FALSE),)"),"")</f>
        <v/>
      </c>
      <c r="S385" s="70" t="str">
        <f>IFERROR(__xludf.DUMMYFUNCTION("IFERROR(VLOOKUP(F385,IMPORTRANGE(""1zxjtEKGvVIJPIDqZdnxENwVpPXYa88EihzyI44hcQUo"",""Form Responses 1!B:C""),2,FALSE),)"),"")</f>
        <v/>
      </c>
      <c r="T385" s="70" t="str">
        <f>IFERROR(__xludf.DUMMYFUNCTION("IFERROR(VLOOKUP(F385,IMPORTRANGE(""1H3cO01obd5zFULYqaT5NAqecZBFFIHeDFn4CeQLZF3w"",""Form Responses 1!B:C""),2,FALSE),)"),"")</f>
        <v/>
      </c>
      <c r="U385" s="70" t="str">
        <f>IFERROR(__xludf.DUMMYFUNCTION("IFERROR(IF(COUNTIF(IMPORTRANGE(""1IG9qoa6PeLdDDFzKpW39lxXshN0-M8Z25a_R1EpsYyg"",""Form Responses 1!B:B""),F385)&gt;0,10,),0)"),"")</f>
        <v/>
      </c>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row>
    <row r="386">
      <c r="B386" s="70" t="str">
        <f>IFERROR(__xludf.DUMMYFUNCTION("IFERROR(IF(COUNTIF(IMPORTRANGE(""1RTcwEJsI_0aJRebhNwO_H_AoKl9r46k7hWYbtciIyM4"",""Form Responses 1!B:B""),A386)&gt;0,10,),0)"),"")</f>
        <v/>
      </c>
      <c r="C386" s="70" t="str">
        <f>IFERROR(__xludf.DUMMYFUNCTION("IFERROR(VLOOKUP(A386,IMPORTRANGE(""11i8IUhq_U6RRKRV3CBWIKqYed_fMvFgNUHTq1YDJfp8"",""Form Responses 1!B:C""),2,FALSE),)"),"")</f>
        <v/>
      </c>
      <c r="D386" s="70" t="str">
        <f>IFERROR(__xludf.DUMMYFUNCTION("IFERROR(VLOOKUP(A386,IMPORTRANGE(""1StiHxuxrFhYdrq5WLR2JMORicW0TbnJf3J-oTHeMRtM"",""Form Responses 1!B:C""),2,FALSE),)"),"")</f>
        <v/>
      </c>
      <c r="E386" s="70" t="str">
        <f>IFERROR(__xludf.DUMMYFUNCTION("IFERROR(VLOOKUP(A386,IMPORTRANGE(""1QaxxyUjrDq2kgz300C1Bq1tacFk6e-xX218cSXCQUK0"",""Form Responses 1!B:C""),2,FALSE),)"),"")</f>
        <v/>
      </c>
      <c r="F386" s="70" t="str">
        <f>IFERROR(__xludf.DUMMYFUNCTION("IFERROR(VLOOKUP(A386,IMPORTRANGE(""1fn2ECph_y8Uz78DhjLaiXcwgt6kh3oe-0Le36Uw0noE"",""Form Responses 1!B:C""),2,FALSE),)"),"")</f>
        <v/>
      </c>
      <c r="G386" s="70"/>
      <c r="H386" s="70"/>
      <c r="I386" s="70"/>
      <c r="J386" s="70"/>
      <c r="K386" s="70"/>
      <c r="L386" s="70"/>
      <c r="M386" s="70"/>
      <c r="N386" s="70"/>
      <c r="O386" s="70"/>
      <c r="P386" s="70"/>
      <c r="Q386" s="70" t="str">
        <f>IFERROR(__xludf.DUMMYFUNCTION("IFERROR(IF(COUNTIF(IMPORTRANGE(""1WjiLR_MTMxI_IZUKuvPO4Sg2rTSIqBzP3edakSRXbOA"",""Form Responses 1!B:B""),F386)&gt;0,10,),0)"),"")</f>
        <v/>
      </c>
      <c r="R386" s="70" t="str">
        <f>IFERROR(__xludf.DUMMYFUNCTION("IFERROR(VLOOKUP(F386,IMPORTRANGE(""1Ixzbal5tEbtWhozsFEppQzOYE6ZSrkNXHg_HW5k3Wt4"",""Form Responses 1!B:C""),2,FALSE),)"),"")</f>
        <v/>
      </c>
      <c r="S386" s="70" t="str">
        <f>IFERROR(__xludf.DUMMYFUNCTION("IFERROR(VLOOKUP(F386,IMPORTRANGE(""1zxjtEKGvVIJPIDqZdnxENwVpPXYa88EihzyI44hcQUo"",""Form Responses 1!B:C""),2,FALSE),)"),"")</f>
        <v/>
      </c>
      <c r="T386" s="70" t="str">
        <f>IFERROR(__xludf.DUMMYFUNCTION("IFERROR(VLOOKUP(F386,IMPORTRANGE(""1H3cO01obd5zFULYqaT5NAqecZBFFIHeDFn4CeQLZF3w"",""Form Responses 1!B:C""),2,FALSE),)"),"")</f>
        <v/>
      </c>
      <c r="U386" s="70" t="str">
        <f>IFERROR(__xludf.DUMMYFUNCTION("IFERROR(IF(COUNTIF(IMPORTRANGE(""1IG9qoa6PeLdDDFzKpW39lxXshN0-M8Z25a_R1EpsYyg"",""Form Responses 1!B:B""),F386)&gt;0,10,),0)"),"")</f>
        <v/>
      </c>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row>
    <row r="387">
      <c r="B387" s="70" t="str">
        <f>IFERROR(__xludf.DUMMYFUNCTION("IFERROR(IF(COUNTIF(IMPORTRANGE(""1RTcwEJsI_0aJRebhNwO_H_AoKl9r46k7hWYbtciIyM4"",""Form Responses 1!B:B""),A387)&gt;0,10,),0)"),"")</f>
        <v/>
      </c>
      <c r="C387" s="70" t="str">
        <f>IFERROR(__xludf.DUMMYFUNCTION("IFERROR(VLOOKUP(A387,IMPORTRANGE(""11i8IUhq_U6RRKRV3CBWIKqYed_fMvFgNUHTq1YDJfp8"",""Form Responses 1!B:C""),2,FALSE),)"),"")</f>
        <v/>
      </c>
      <c r="D387" s="70" t="str">
        <f>IFERROR(__xludf.DUMMYFUNCTION("IFERROR(VLOOKUP(A387,IMPORTRANGE(""1StiHxuxrFhYdrq5WLR2JMORicW0TbnJf3J-oTHeMRtM"",""Form Responses 1!B:C""),2,FALSE),)"),"")</f>
        <v/>
      </c>
      <c r="E387" s="70" t="str">
        <f>IFERROR(__xludf.DUMMYFUNCTION("IFERROR(VLOOKUP(A387,IMPORTRANGE(""1QaxxyUjrDq2kgz300C1Bq1tacFk6e-xX218cSXCQUK0"",""Form Responses 1!B:C""),2,FALSE),)"),"")</f>
        <v/>
      </c>
      <c r="F387" s="70" t="str">
        <f>IFERROR(__xludf.DUMMYFUNCTION("IFERROR(VLOOKUP(A387,IMPORTRANGE(""1fn2ECph_y8Uz78DhjLaiXcwgt6kh3oe-0Le36Uw0noE"",""Form Responses 1!B:C""),2,FALSE),)"),"")</f>
        <v/>
      </c>
      <c r="G387" s="70"/>
      <c r="H387" s="70"/>
      <c r="I387" s="70"/>
      <c r="J387" s="70"/>
      <c r="K387" s="70"/>
      <c r="L387" s="70"/>
      <c r="M387" s="70"/>
      <c r="N387" s="70"/>
      <c r="O387" s="70"/>
      <c r="P387" s="70"/>
      <c r="Q387" s="70" t="str">
        <f>IFERROR(__xludf.DUMMYFUNCTION("IFERROR(IF(COUNTIF(IMPORTRANGE(""1WjiLR_MTMxI_IZUKuvPO4Sg2rTSIqBzP3edakSRXbOA"",""Form Responses 1!B:B""),F387)&gt;0,10,),0)"),"")</f>
        <v/>
      </c>
      <c r="R387" s="70" t="str">
        <f>IFERROR(__xludf.DUMMYFUNCTION("IFERROR(VLOOKUP(F387,IMPORTRANGE(""1Ixzbal5tEbtWhozsFEppQzOYE6ZSrkNXHg_HW5k3Wt4"",""Form Responses 1!B:C""),2,FALSE),)"),"")</f>
        <v/>
      </c>
      <c r="S387" s="70" t="str">
        <f>IFERROR(__xludf.DUMMYFUNCTION("IFERROR(VLOOKUP(F387,IMPORTRANGE(""1zxjtEKGvVIJPIDqZdnxENwVpPXYa88EihzyI44hcQUo"",""Form Responses 1!B:C""),2,FALSE),)"),"")</f>
        <v/>
      </c>
      <c r="T387" s="70" t="str">
        <f>IFERROR(__xludf.DUMMYFUNCTION("IFERROR(VLOOKUP(F387,IMPORTRANGE(""1H3cO01obd5zFULYqaT5NAqecZBFFIHeDFn4CeQLZF3w"",""Form Responses 1!B:C""),2,FALSE),)"),"")</f>
        <v/>
      </c>
      <c r="U387" s="70" t="str">
        <f>IFERROR(__xludf.DUMMYFUNCTION("IFERROR(IF(COUNTIF(IMPORTRANGE(""1IG9qoa6PeLdDDFzKpW39lxXshN0-M8Z25a_R1EpsYyg"",""Form Responses 1!B:B""),F387)&gt;0,10,),0)"),"")</f>
        <v/>
      </c>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row>
    <row r="388">
      <c r="B388" s="70" t="str">
        <f>IFERROR(__xludf.DUMMYFUNCTION("IFERROR(IF(COUNTIF(IMPORTRANGE(""1RTcwEJsI_0aJRebhNwO_H_AoKl9r46k7hWYbtciIyM4"",""Form Responses 1!B:B""),A388)&gt;0,10,),0)"),"")</f>
        <v/>
      </c>
      <c r="C388" s="70" t="str">
        <f>IFERROR(__xludf.DUMMYFUNCTION("IFERROR(VLOOKUP(A388,IMPORTRANGE(""11i8IUhq_U6RRKRV3CBWIKqYed_fMvFgNUHTq1YDJfp8"",""Form Responses 1!B:C""),2,FALSE),)"),"")</f>
        <v/>
      </c>
      <c r="D388" s="70" t="str">
        <f>IFERROR(__xludf.DUMMYFUNCTION("IFERROR(VLOOKUP(A388,IMPORTRANGE(""1StiHxuxrFhYdrq5WLR2JMORicW0TbnJf3J-oTHeMRtM"",""Form Responses 1!B:C""),2,FALSE),)"),"")</f>
        <v/>
      </c>
      <c r="E388" s="70" t="str">
        <f>IFERROR(__xludf.DUMMYFUNCTION("IFERROR(VLOOKUP(A388,IMPORTRANGE(""1QaxxyUjrDq2kgz300C1Bq1tacFk6e-xX218cSXCQUK0"",""Form Responses 1!B:C""),2,FALSE),)"),"")</f>
        <v/>
      </c>
      <c r="F388" s="70" t="str">
        <f>IFERROR(__xludf.DUMMYFUNCTION("IFERROR(VLOOKUP(A388,IMPORTRANGE(""1fn2ECph_y8Uz78DhjLaiXcwgt6kh3oe-0Le36Uw0noE"",""Form Responses 1!B:C""),2,FALSE),)"),"")</f>
        <v/>
      </c>
      <c r="G388" s="70"/>
      <c r="H388" s="70"/>
      <c r="I388" s="70"/>
      <c r="J388" s="70"/>
      <c r="K388" s="70"/>
      <c r="L388" s="70"/>
      <c r="M388" s="70"/>
      <c r="N388" s="70"/>
      <c r="O388" s="70"/>
      <c r="P388" s="70"/>
      <c r="Q388" s="70" t="str">
        <f>IFERROR(__xludf.DUMMYFUNCTION("IFERROR(IF(COUNTIF(IMPORTRANGE(""1WjiLR_MTMxI_IZUKuvPO4Sg2rTSIqBzP3edakSRXbOA"",""Form Responses 1!B:B""),F388)&gt;0,10,),0)"),"")</f>
        <v/>
      </c>
      <c r="R388" s="70" t="str">
        <f>IFERROR(__xludf.DUMMYFUNCTION("IFERROR(VLOOKUP(F388,IMPORTRANGE(""1Ixzbal5tEbtWhozsFEppQzOYE6ZSrkNXHg_HW5k3Wt4"",""Form Responses 1!B:C""),2,FALSE),)"),"")</f>
        <v/>
      </c>
      <c r="S388" s="70" t="str">
        <f>IFERROR(__xludf.DUMMYFUNCTION("IFERROR(VLOOKUP(F388,IMPORTRANGE(""1zxjtEKGvVIJPIDqZdnxENwVpPXYa88EihzyI44hcQUo"",""Form Responses 1!B:C""),2,FALSE),)"),"")</f>
        <v/>
      </c>
      <c r="T388" s="70" t="str">
        <f>IFERROR(__xludf.DUMMYFUNCTION("IFERROR(VLOOKUP(F388,IMPORTRANGE(""1H3cO01obd5zFULYqaT5NAqecZBFFIHeDFn4CeQLZF3w"",""Form Responses 1!B:C""),2,FALSE),)"),"")</f>
        <v/>
      </c>
      <c r="U388" s="70" t="str">
        <f>IFERROR(__xludf.DUMMYFUNCTION("IFERROR(IF(COUNTIF(IMPORTRANGE(""1IG9qoa6PeLdDDFzKpW39lxXshN0-M8Z25a_R1EpsYyg"",""Form Responses 1!B:B""),F388)&gt;0,10,),0)"),"")</f>
        <v/>
      </c>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row>
    <row r="389">
      <c r="B389" s="70" t="str">
        <f>IFERROR(__xludf.DUMMYFUNCTION("IFERROR(IF(COUNTIF(IMPORTRANGE(""1RTcwEJsI_0aJRebhNwO_H_AoKl9r46k7hWYbtciIyM4"",""Form Responses 1!B:B""),A389)&gt;0,10,),0)"),"")</f>
        <v/>
      </c>
      <c r="C389" s="70" t="str">
        <f>IFERROR(__xludf.DUMMYFUNCTION("IFERROR(VLOOKUP(A389,IMPORTRANGE(""11i8IUhq_U6RRKRV3CBWIKqYed_fMvFgNUHTq1YDJfp8"",""Form Responses 1!B:C""),2,FALSE),)"),"")</f>
        <v/>
      </c>
      <c r="D389" s="70" t="str">
        <f>IFERROR(__xludf.DUMMYFUNCTION("IFERROR(VLOOKUP(A389,IMPORTRANGE(""1StiHxuxrFhYdrq5WLR2JMORicW0TbnJf3J-oTHeMRtM"",""Form Responses 1!B:C""),2,FALSE),)"),"")</f>
        <v/>
      </c>
      <c r="E389" s="70" t="str">
        <f>IFERROR(__xludf.DUMMYFUNCTION("IFERROR(VLOOKUP(A389,IMPORTRANGE(""1QaxxyUjrDq2kgz300C1Bq1tacFk6e-xX218cSXCQUK0"",""Form Responses 1!B:C""),2,FALSE),)"),"")</f>
        <v/>
      </c>
      <c r="F389" s="70" t="str">
        <f>IFERROR(__xludf.DUMMYFUNCTION("IFERROR(VLOOKUP(A389,IMPORTRANGE(""1fn2ECph_y8Uz78DhjLaiXcwgt6kh3oe-0Le36Uw0noE"",""Form Responses 1!B:C""),2,FALSE),)"),"")</f>
        <v/>
      </c>
      <c r="G389" s="70"/>
      <c r="H389" s="70"/>
      <c r="I389" s="70"/>
      <c r="J389" s="70"/>
      <c r="K389" s="70"/>
      <c r="L389" s="70"/>
      <c r="M389" s="70"/>
      <c r="N389" s="70"/>
      <c r="O389" s="70"/>
      <c r="P389" s="70"/>
      <c r="Q389" s="70" t="str">
        <f>IFERROR(__xludf.DUMMYFUNCTION("IFERROR(IF(COUNTIF(IMPORTRANGE(""1WjiLR_MTMxI_IZUKuvPO4Sg2rTSIqBzP3edakSRXbOA"",""Form Responses 1!B:B""),F389)&gt;0,10,),0)"),"")</f>
        <v/>
      </c>
      <c r="R389" s="70" t="str">
        <f>IFERROR(__xludf.DUMMYFUNCTION("IFERROR(VLOOKUP(F389,IMPORTRANGE(""1Ixzbal5tEbtWhozsFEppQzOYE6ZSrkNXHg_HW5k3Wt4"",""Form Responses 1!B:C""),2,FALSE),)"),"")</f>
        <v/>
      </c>
      <c r="S389" s="70" t="str">
        <f>IFERROR(__xludf.DUMMYFUNCTION("IFERROR(VLOOKUP(F389,IMPORTRANGE(""1zxjtEKGvVIJPIDqZdnxENwVpPXYa88EihzyI44hcQUo"",""Form Responses 1!B:C""),2,FALSE),)"),"")</f>
        <v/>
      </c>
      <c r="T389" s="70" t="str">
        <f>IFERROR(__xludf.DUMMYFUNCTION("IFERROR(VLOOKUP(F389,IMPORTRANGE(""1H3cO01obd5zFULYqaT5NAqecZBFFIHeDFn4CeQLZF3w"",""Form Responses 1!B:C""),2,FALSE),)"),"")</f>
        <v/>
      </c>
      <c r="U389" s="70" t="str">
        <f>IFERROR(__xludf.DUMMYFUNCTION("IFERROR(IF(COUNTIF(IMPORTRANGE(""1IG9qoa6PeLdDDFzKpW39lxXshN0-M8Z25a_R1EpsYyg"",""Form Responses 1!B:B""),F389)&gt;0,10,),0)"),"")</f>
        <v/>
      </c>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row>
    <row r="390">
      <c r="B390" s="70" t="str">
        <f>IFERROR(__xludf.DUMMYFUNCTION("IFERROR(IF(COUNTIF(IMPORTRANGE(""1RTcwEJsI_0aJRebhNwO_H_AoKl9r46k7hWYbtciIyM4"",""Form Responses 1!B:B""),A390)&gt;0,10,),0)"),"")</f>
        <v/>
      </c>
      <c r="C390" s="70" t="str">
        <f>IFERROR(__xludf.DUMMYFUNCTION("IFERROR(VLOOKUP(A390,IMPORTRANGE(""11i8IUhq_U6RRKRV3CBWIKqYed_fMvFgNUHTq1YDJfp8"",""Form Responses 1!B:C""),2,FALSE),)"),"")</f>
        <v/>
      </c>
      <c r="D390" s="70" t="str">
        <f>IFERROR(__xludf.DUMMYFUNCTION("IFERROR(VLOOKUP(A390,IMPORTRANGE(""1StiHxuxrFhYdrq5WLR2JMORicW0TbnJf3J-oTHeMRtM"",""Form Responses 1!B:C""),2,FALSE),)"),"")</f>
        <v/>
      </c>
      <c r="E390" s="70" t="str">
        <f>IFERROR(__xludf.DUMMYFUNCTION("IFERROR(VLOOKUP(A390,IMPORTRANGE(""1QaxxyUjrDq2kgz300C1Bq1tacFk6e-xX218cSXCQUK0"",""Form Responses 1!B:C""),2,FALSE),)"),"")</f>
        <v/>
      </c>
      <c r="F390" s="70" t="str">
        <f>IFERROR(__xludf.DUMMYFUNCTION("IFERROR(VLOOKUP(A390,IMPORTRANGE(""1fn2ECph_y8Uz78DhjLaiXcwgt6kh3oe-0Le36Uw0noE"",""Form Responses 1!B:C""),2,FALSE),)"),"")</f>
        <v/>
      </c>
      <c r="G390" s="70"/>
      <c r="H390" s="70"/>
      <c r="I390" s="70"/>
      <c r="J390" s="70"/>
      <c r="K390" s="70"/>
      <c r="L390" s="70"/>
      <c r="M390" s="70"/>
      <c r="N390" s="70"/>
      <c r="O390" s="70"/>
      <c r="P390" s="70"/>
      <c r="Q390" s="70" t="str">
        <f>IFERROR(__xludf.DUMMYFUNCTION("IFERROR(IF(COUNTIF(IMPORTRANGE(""1WjiLR_MTMxI_IZUKuvPO4Sg2rTSIqBzP3edakSRXbOA"",""Form Responses 1!B:B""),F390)&gt;0,10,),0)"),"")</f>
        <v/>
      </c>
      <c r="R390" s="70" t="str">
        <f>IFERROR(__xludf.DUMMYFUNCTION("IFERROR(VLOOKUP(F390,IMPORTRANGE(""1Ixzbal5tEbtWhozsFEppQzOYE6ZSrkNXHg_HW5k3Wt4"",""Form Responses 1!B:C""),2,FALSE),)"),"")</f>
        <v/>
      </c>
      <c r="S390" s="70" t="str">
        <f>IFERROR(__xludf.DUMMYFUNCTION("IFERROR(VLOOKUP(F390,IMPORTRANGE(""1zxjtEKGvVIJPIDqZdnxENwVpPXYa88EihzyI44hcQUo"",""Form Responses 1!B:C""),2,FALSE),)"),"")</f>
        <v/>
      </c>
      <c r="T390" s="70" t="str">
        <f>IFERROR(__xludf.DUMMYFUNCTION("IFERROR(VLOOKUP(F390,IMPORTRANGE(""1H3cO01obd5zFULYqaT5NAqecZBFFIHeDFn4CeQLZF3w"",""Form Responses 1!B:C""),2,FALSE),)"),"")</f>
        <v/>
      </c>
      <c r="U390" s="70" t="str">
        <f>IFERROR(__xludf.DUMMYFUNCTION("IFERROR(IF(COUNTIF(IMPORTRANGE(""1IG9qoa6PeLdDDFzKpW39lxXshN0-M8Z25a_R1EpsYyg"",""Form Responses 1!B:B""),F390)&gt;0,10,),0)"),"")</f>
        <v/>
      </c>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row>
    <row r="391">
      <c r="B391" s="70" t="str">
        <f>IFERROR(__xludf.DUMMYFUNCTION("IFERROR(IF(COUNTIF(IMPORTRANGE(""1RTcwEJsI_0aJRebhNwO_H_AoKl9r46k7hWYbtciIyM4"",""Form Responses 1!B:B""),A391)&gt;0,10,),0)"),"")</f>
        <v/>
      </c>
      <c r="C391" s="70" t="str">
        <f>IFERROR(__xludf.DUMMYFUNCTION("IFERROR(VLOOKUP(A391,IMPORTRANGE(""11i8IUhq_U6RRKRV3CBWIKqYed_fMvFgNUHTq1YDJfp8"",""Form Responses 1!B:C""),2,FALSE),)"),"")</f>
        <v/>
      </c>
      <c r="D391" s="70" t="str">
        <f>IFERROR(__xludf.DUMMYFUNCTION("IFERROR(VLOOKUP(A391,IMPORTRANGE(""1StiHxuxrFhYdrq5WLR2JMORicW0TbnJf3J-oTHeMRtM"",""Form Responses 1!B:C""),2,FALSE),)"),"")</f>
        <v/>
      </c>
      <c r="E391" s="70" t="str">
        <f>IFERROR(__xludf.DUMMYFUNCTION("IFERROR(VLOOKUP(A391,IMPORTRANGE(""1QaxxyUjrDq2kgz300C1Bq1tacFk6e-xX218cSXCQUK0"",""Form Responses 1!B:C""),2,FALSE),)"),"")</f>
        <v/>
      </c>
      <c r="F391" s="70" t="str">
        <f>IFERROR(__xludf.DUMMYFUNCTION("IFERROR(VLOOKUP(A391,IMPORTRANGE(""1fn2ECph_y8Uz78DhjLaiXcwgt6kh3oe-0Le36Uw0noE"",""Form Responses 1!B:C""),2,FALSE),)"),"")</f>
        <v/>
      </c>
      <c r="G391" s="70"/>
      <c r="H391" s="70"/>
      <c r="I391" s="70"/>
      <c r="J391" s="70"/>
      <c r="K391" s="70"/>
      <c r="L391" s="70"/>
      <c r="M391" s="70"/>
      <c r="N391" s="70"/>
      <c r="O391" s="70"/>
      <c r="P391" s="70"/>
      <c r="Q391" s="70" t="str">
        <f>IFERROR(__xludf.DUMMYFUNCTION("IFERROR(IF(COUNTIF(IMPORTRANGE(""1WjiLR_MTMxI_IZUKuvPO4Sg2rTSIqBzP3edakSRXbOA"",""Form Responses 1!B:B""),F391)&gt;0,10,),0)"),"")</f>
        <v/>
      </c>
      <c r="R391" s="70" t="str">
        <f>IFERROR(__xludf.DUMMYFUNCTION("IFERROR(VLOOKUP(F391,IMPORTRANGE(""1Ixzbal5tEbtWhozsFEppQzOYE6ZSrkNXHg_HW5k3Wt4"",""Form Responses 1!B:C""),2,FALSE),)"),"")</f>
        <v/>
      </c>
      <c r="S391" s="70" t="str">
        <f>IFERROR(__xludf.DUMMYFUNCTION("IFERROR(VLOOKUP(F391,IMPORTRANGE(""1zxjtEKGvVIJPIDqZdnxENwVpPXYa88EihzyI44hcQUo"",""Form Responses 1!B:C""),2,FALSE),)"),"")</f>
        <v/>
      </c>
      <c r="T391" s="70" t="str">
        <f>IFERROR(__xludf.DUMMYFUNCTION("IFERROR(VLOOKUP(F391,IMPORTRANGE(""1H3cO01obd5zFULYqaT5NAqecZBFFIHeDFn4CeQLZF3w"",""Form Responses 1!B:C""),2,FALSE),)"),"")</f>
        <v/>
      </c>
      <c r="U391" s="70" t="str">
        <f>IFERROR(__xludf.DUMMYFUNCTION("IFERROR(IF(COUNTIF(IMPORTRANGE(""1IG9qoa6PeLdDDFzKpW39lxXshN0-M8Z25a_R1EpsYyg"",""Form Responses 1!B:B""),F391)&gt;0,10,),0)"),"")</f>
        <v/>
      </c>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row>
    <row r="392">
      <c r="B392" s="70" t="str">
        <f>IFERROR(__xludf.DUMMYFUNCTION("IFERROR(IF(COUNTIF(IMPORTRANGE(""1RTcwEJsI_0aJRebhNwO_H_AoKl9r46k7hWYbtciIyM4"",""Form Responses 1!B:B""),A392)&gt;0,10,),0)"),"")</f>
        <v/>
      </c>
      <c r="C392" s="70" t="str">
        <f>IFERROR(__xludf.DUMMYFUNCTION("IFERROR(VLOOKUP(A392,IMPORTRANGE(""11i8IUhq_U6RRKRV3CBWIKqYed_fMvFgNUHTq1YDJfp8"",""Form Responses 1!B:C""),2,FALSE),)"),"")</f>
        <v/>
      </c>
      <c r="D392" s="70" t="str">
        <f>IFERROR(__xludf.DUMMYFUNCTION("IFERROR(VLOOKUP(A392,IMPORTRANGE(""1StiHxuxrFhYdrq5WLR2JMORicW0TbnJf3J-oTHeMRtM"",""Form Responses 1!B:C""),2,FALSE),)"),"")</f>
        <v/>
      </c>
      <c r="E392" s="70" t="str">
        <f>IFERROR(__xludf.DUMMYFUNCTION("IFERROR(VLOOKUP(A392,IMPORTRANGE(""1QaxxyUjrDq2kgz300C1Bq1tacFk6e-xX218cSXCQUK0"",""Form Responses 1!B:C""),2,FALSE),)"),"")</f>
        <v/>
      </c>
      <c r="F392" s="70" t="str">
        <f>IFERROR(__xludf.DUMMYFUNCTION("IFERROR(VLOOKUP(A392,IMPORTRANGE(""1fn2ECph_y8Uz78DhjLaiXcwgt6kh3oe-0Le36Uw0noE"",""Form Responses 1!B:C""),2,FALSE),)"),"")</f>
        <v/>
      </c>
      <c r="G392" s="70"/>
      <c r="H392" s="70"/>
      <c r="I392" s="70"/>
      <c r="J392" s="70"/>
      <c r="K392" s="70"/>
      <c r="L392" s="70"/>
      <c r="M392" s="70"/>
      <c r="N392" s="70"/>
      <c r="O392" s="70"/>
      <c r="P392" s="70"/>
      <c r="Q392" s="70" t="str">
        <f>IFERROR(__xludf.DUMMYFUNCTION("IFERROR(IF(COUNTIF(IMPORTRANGE(""1WjiLR_MTMxI_IZUKuvPO4Sg2rTSIqBzP3edakSRXbOA"",""Form Responses 1!B:B""),F392)&gt;0,10,),0)"),"")</f>
        <v/>
      </c>
      <c r="R392" s="70" t="str">
        <f>IFERROR(__xludf.DUMMYFUNCTION("IFERROR(VLOOKUP(F392,IMPORTRANGE(""1Ixzbal5tEbtWhozsFEppQzOYE6ZSrkNXHg_HW5k3Wt4"",""Form Responses 1!B:C""),2,FALSE),)"),"")</f>
        <v/>
      </c>
      <c r="S392" s="70" t="str">
        <f>IFERROR(__xludf.DUMMYFUNCTION("IFERROR(VLOOKUP(F392,IMPORTRANGE(""1zxjtEKGvVIJPIDqZdnxENwVpPXYa88EihzyI44hcQUo"",""Form Responses 1!B:C""),2,FALSE),)"),"")</f>
        <v/>
      </c>
      <c r="T392" s="70" t="str">
        <f>IFERROR(__xludf.DUMMYFUNCTION("IFERROR(VLOOKUP(F392,IMPORTRANGE(""1H3cO01obd5zFULYqaT5NAqecZBFFIHeDFn4CeQLZF3w"",""Form Responses 1!B:C""),2,FALSE),)"),"")</f>
        <v/>
      </c>
      <c r="U392" s="70" t="str">
        <f>IFERROR(__xludf.DUMMYFUNCTION("IFERROR(IF(COUNTIF(IMPORTRANGE(""1IG9qoa6PeLdDDFzKpW39lxXshN0-M8Z25a_R1EpsYyg"",""Form Responses 1!B:B""),F392)&gt;0,10,),0)"),"")</f>
        <v/>
      </c>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row>
    <row r="393">
      <c r="B393" s="70" t="str">
        <f>IFERROR(__xludf.DUMMYFUNCTION("IFERROR(IF(COUNTIF(IMPORTRANGE(""1RTcwEJsI_0aJRebhNwO_H_AoKl9r46k7hWYbtciIyM4"",""Form Responses 1!B:B""),A393)&gt;0,10,),0)"),"")</f>
        <v/>
      </c>
      <c r="C393" s="70" t="str">
        <f>IFERROR(__xludf.DUMMYFUNCTION("IFERROR(VLOOKUP(A393,IMPORTRANGE(""11i8IUhq_U6RRKRV3CBWIKqYed_fMvFgNUHTq1YDJfp8"",""Form Responses 1!B:C""),2,FALSE),)"),"")</f>
        <v/>
      </c>
      <c r="D393" s="70" t="str">
        <f>IFERROR(__xludf.DUMMYFUNCTION("IFERROR(VLOOKUP(A393,IMPORTRANGE(""1StiHxuxrFhYdrq5WLR2JMORicW0TbnJf3J-oTHeMRtM"",""Form Responses 1!B:C""),2,FALSE),)"),"")</f>
        <v/>
      </c>
      <c r="E393" s="70" t="str">
        <f>IFERROR(__xludf.DUMMYFUNCTION("IFERROR(VLOOKUP(A393,IMPORTRANGE(""1QaxxyUjrDq2kgz300C1Bq1tacFk6e-xX218cSXCQUK0"",""Form Responses 1!B:C""),2,FALSE),)"),"")</f>
        <v/>
      </c>
      <c r="F393" s="70" t="str">
        <f>IFERROR(__xludf.DUMMYFUNCTION("IFERROR(VLOOKUP(A393,IMPORTRANGE(""1fn2ECph_y8Uz78DhjLaiXcwgt6kh3oe-0Le36Uw0noE"",""Form Responses 1!B:C""),2,FALSE),)"),"")</f>
        <v/>
      </c>
      <c r="G393" s="70"/>
      <c r="H393" s="70"/>
      <c r="I393" s="70"/>
      <c r="J393" s="70"/>
      <c r="K393" s="70"/>
      <c r="L393" s="70"/>
      <c r="M393" s="70"/>
      <c r="N393" s="70"/>
      <c r="O393" s="70"/>
      <c r="P393" s="70"/>
      <c r="Q393" s="70" t="str">
        <f>IFERROR(__xludf.DUMMYFUNCTION("IFERROR(IF(COUNTIF(IMPORTRANGE(""1WjiLR_MTMxI_IZUKuvPO4Sg2rTSIqBzP3edakSRXbOA"",""Form Responses 1!B:B""),F393)&gt;0,10,),0)"),"")</f>
        <v/>
      </c>
      <c r="R393" s="70" t="str">
        <f>IFERROR(__xludf.DUMMYFUNCTION("IFERROR(VLOOKUP(F393,IMPORTRANGE(""1Ixzbal5tEbtWhozsFEppQzOYE6ZSrkNXHg_HW5k3Wt4"",""Form Responses 1!B:C""),2,FALSE),)"),"")</f>
        <v/>
      </c>
      <c r="S393" s="70" t="str">
        <f>IFERROR(__xludf.DUMMYFUNCTION("IFERROR(VLOOKUP(F393,IMPORTRANGE(""1zxjtEKGvVIJPIDqZdnxENwVpPXYa88EihzyI44hcQUo"",""Form Responses 1!B:C""),2,FALSE),)"),"")</f>
        <v/>
      </c>
      <c r="T393" s="70" t="str">
        <f>IFERROR(__xludf.DUMMYFUNCTION("IFERROR(VLOOKUP(F393,IMPORTRANGE(""1H3cO01obd5zFULYqaT5NAqecZBFFIHeDFn4CeQLZF3w"",""Form Responses 1!B:C""),2,FALSE),)"),"")</f>
        <v/>
      </c>
      <c r="U393" s="70" t="str">
        <f>IFERROR(__xludf.DUMMYFUNCTION("IFERROR(IF(COUNTIF(IMPORTRANGE(""1IG9qoa6PeLdDDFzKpW39lxXshN0-M8Z25a_R1EpsYyg"",""Form Responses 1!B:B""),F393)&gt;0,10,),0)"),"")</f>
        <v/>
      </c>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row>
    <row r="394">
      <c r="B394" s="70" t="str">
        <f>IFERROR(__xludf.DUMMYFUNCTION("IFERROR(IF(COUNTIF(IMPORTRANGE(""1RTcwEJsI_0aJRebhNwO_H_AoKl9r46k7hWYbtciIyM4"",""Form Responses 1!B:B""),A394)&gt;0,10,),0)"),"")</f>
        <v/>
      </c>
      <c r="C394" s="70" t="str">
        <f>IFERROR(__xludf.DUMMYFUNCTION("IFERROR(VLOOKUP(A394,IMPORTRANGE(""11i8IUhq_U6RRKRV3CBWIKqYed_fMvFgNUHTq1YDJfp8"",""Form Responses 1!B:C""),2,FALSE),)"),"")</f>
        <v/>
      </c>
      <c r="D394" s="70" t="str">
        <f>IFERROR(__xludf.DUMMYFUNCTION("IFERROR(VLOOKUP(A394,IMPORTRANGE(""1StiHxuxrFhYdrq5WLR2JMORicW0TbnJf3J-oTHeMRtM"",""Form Responses 1!B:C""),2,FALSE),)"),"")</f>
        <v/>
      </c>
      <c r="E394" s="70" t="str">
        <f>IFERROR(__xludf.DUMMYFUNCTION("IFERROR(VLOOKUP(A394,IMPORTRANGE(""1QaxxyUjrDq2kgz300C1Bq1tacFk6e-xX218cSXCQUK0"",""Form Responses 1!B:C""),2,FALSE),)"),"")</f>
        <v/>
      </c>
      <c r="F394" s="70" t="str">
        <f>IFERROR(__xludf.DUMMYFUNCTION("IFERROR(VLOOKUP(A394,IMPORTRANGE(""1fn2ECph_y8Uz78DhjLaiXcwgt6kh3oe-0Le36Uw0noE"",""Form Responses 1!B:C""),2,FALSE),)"),"")</f>
        <v/>
      </c>
      <c r="G394" s="70"/>
      <c r="H394" s="70"/>
      <c r="I394" s="70"/>
      <c r="J394" s="70"/>
      <c r="K394" s="70"/>
      <c r="L394" s="70"/>
      <c r="M394" s="70"/>
      <c r="N394" s="70"/>
      <c r="O394" s="70"/>
      <c r="P394" s="70"/>
      <c r="Q394" s="70" t="str">
        <f>IFERROR(__xludf.DUMMYFUNCTION("IFERROR(IF(COUNTIF(IMPORTRANGE(""1WjiLR_MTMxI_IZUKuvPO4Sg2rTSIqBzP3edakSRXbOA"",""Form Responses 1!B:B""),F394)&gt;0,10,),0)"),"")</f>
        <v/>
      </c>
      <c r="R394" s="70" t="str">
        <f>IFERROR(__xludf.DUMMYFUNCTION("IFERROR(VLOOKUP(F394,IMPORTRANGE(""1Ixzbal5tEbtWhozsFEppQzOYE6ZSrkNXHg_HW5k3Wt4"",""Form Responses 1!B:C""),2,FALSE),)"),"")</f>
        <v/>
      </c>
      <c r="S394" s="70" t="str">
        <f>IFERROR(__xludf.DUMMYFUNCTION("IFERROR(VLOOKUP(F394,IMPORTRANGE(""1zxjtEKGvVIJPIDqZdnxENwVpPXYa88EihzyI44hcQUo"",""Form Responses 1!B:C""),2,FALSE),)"),"")</f>
        <v/>
      </c>
      <c r="T394" s="70" t="str">
        <f>IFERROR(__xludf.DUMMYFUNCTION("IFERROR(VLOOKUP(F394,IMPORTRANGE(""1H3cO01obd5zFULYqaT5NAqecZBFFIHeDFn4CeQLZF3w"",""Form Responses 1!B:C""),2,FALSE),)"),"")</f>
        <v/>
      </c>
      <c r="U394" s="70" t="str">
        <f>IFERROR(__xludf.DUMMYFUNCTION("IFERROR(IF(COUNTIF(IMPORTRANGE(""1IG9qoa6PeLdDDFzKpW39lxXshN0-M8Z25a_R1EpsYyg"",""Form Responses 1!B:B""),F394)&gt;0,10,),0)"),"")</f>
        <v/>
      </c>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row>
    <row r="395">
      <c r="B395" s="70" t="str">
        <f>IFERROR(__xludf.DUMMYFUNCTION("IFERROR(IF(COUNTIF(IMPORTRANGE(""1RTcwEJsI_0aJRebhNwO_H_AoKl9r46k7hWYbtciIyM4"",""Form Responses 1!B:B""),A395)&gt;0,10,),0)"),"")</f>
        <v/>
      </c>
      <c r="C395" s="70" t="str">
        <f>IFERROR(__xludf.DUMMYFUNCTION("IFERROR(VLOOKUP(A395,IMPORTRANGE(""11i8IUhq_U6RRKRV3CBWIKqYed_fMvFgNUHTq1YDJfp8"",""Form Responses 1!B:C""),2,FALSE),)"),"")</f>
        <v/>
      </c>
      <c r="D395" s="70" t="str">
        <f>IFERROR(__xludf.DUMMYFUNCTION("IFERROR(VLOOKUP(A395,IMPORTRANGE(""1StiHxuxrFhYdrq5WLR2JMORicW0TbnJf3J-oTHeMRtM"",""Form Responses 1!B:C""),2,FALSE),)"),"")</f>
        <v/>
      </c>
      <c r="E395" s="70" t="str">
        <f>IFERROR(__xludf.DUMMYFUNCTION("IFERROR(VLOOKUP(A395,IMPORTRANGE(""1QaxxyUjrDq2kgz300C1Bq1tacFk6e-xX218cSXCQUK0"",""Form Responses 1!B:C""),2,FALSE),)"),"")</f>
        <v/>
      </c>
      <c r="F395" s="70" t="str">
        <f>IFERROR(__xludf.DUMMYFUNCTION("IFERROR(VLOOKUP(A395,IMPORTRANGE(""1fn2ECph_y8Uz78DhjLaiXcwgt6kh3oe-0Le36Uw0noE"",""Form Responses 1!B:C""),2,FALSE),)"),"")</f>
        <v/>
      </c>
      <c r="G395" s="70"/>
      <c r="H395" s="70"/>
      <c r="I395" s="70"/>
      <c r="J395" s="70"/>
      <c r="K395" s="70"/>
      <c r="L395" s="70"/>
      <c r="M395" s="70"/>
      <c r="N395" s="70"/>
      <c r="O395" s="70"/>
      <c r="P395" s="70"/>
      <c r="Q395" s="70" t="str">
        <f>IFERROR(__xludf.DUMMYFUNCTION("IFERROR(IF(COUNTIF(IMPORTRANGE(""1WjiLR_MTMxI_IZUKuvPO4Sg2rTSIqBzP3edakSRXbOA"",""Form Responses 1!B:B""),F395)&gt;0,10,),0)"),"")</f>
        <v/>
      </c>
      <c r="R395" s="70" t="str">
        <f>IFERROR(__xludf.DUMMYFUNCTION("IFERROR(VLOOKUP(F395,IMPORTRANGE(""1Ixzbal5tEbtWhozsFEppQzOYE6ZSrkNXHg_HW5k3Wt4"",""Form Responses 1!B:C""),2,FALSE),)"),"")</f>
        <v/>
      </c>
      <c r="S395" s="70" t="str">
        <f>IFERROR(__xludf.DUMMYFUNCTION("IFERROR(VLOOKUP(F395,IMPORTRANGE(""1zxjtEKGvVIJPIDqZdnxENwVpPXYa88EihzyI44hcQUo"",""Form Responses 1!B:C""),2,FALSE),)"),"")</f>
        <v/>
      </c>
      <c r="T395" s="70" t="str">
        <f>IFERROR(__xludf.DUMMYFUNCTION("IFERROR(VLOOKUP(F395,IMPORTRANGE(""1H3cO01obd5zFULYqaT5NAqecZBFFIHeDFn4CeQLZF3w"",""Form Responses 1!B:C""),2,FALSE),)"),"")</f>
        <v/>
      </c>
      <c r="U395" s="70" t="str">
        <f>IFERROR(__xludf.DUMMYFUNCTION("IFERROR(IF(COUNTIF(IMPORTRANGE(""1IG9qoa6PeLdDDFzKpW39lxXshN0-M8Z25a_R1EpsYyg"",""Form Responses 1!B:B""),F395)&gt;0,10,),0)"),"")</f>
        <v/>
      </c>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row>
    <row r="396">
      <c r="B396" s="70" t="str">
        <f>IFERROR(__xludf.DUMMYFUNCTION("IFERROR(IF(COUNTIF(IMPORTRANGE(""1RTcwEJsI_0aJRebhNwO_H_AoKl9r46k7hWYbtciIyM4"",""Form Responses 1!B:B""),A396)&gt;0,10,),0)"),"")</f>
        <v/>
      </c>
      <c r="C396" s="70" t="str">
        <f>IFERROR(__xludf.DUMMYFUNCTION("IFERROR(VLOOKUP(A396,IMPORTRANGE(""11i8IUhq_U6RRKRV3CBWIKqYed_fMvFgNUHTq1YDJfp8"",""Form Responses 1!B:C""),2,FALSE),)"),"")</f>
        <v/>
      </c>
      <c r="D396" s="70" t="str">
        <f>IFERROR(__xludf.DUMMYFUNCTION("IFERROR(VLOOKUP(A396,IMPORTRANGE(""1StiHxuxrFhYdrq5WLR2JMORicW0TbnJf3J-oTHeMRtM"",""Form Responses 1!B:C""),2,FALSE),)"),"")</f>
        <v/>
      </c>
      <c r="E396" s="70" t="str">
        <f>IFERROR(__xludf.DUMMYFUNCTION("IFERROR(VLOOKUP(A396,IMPORTRANGE(""1QaxxyUjrDq2kgz300C1Bq1tacFk6e-xX218cSXCQUK0"",""Form Responses 1!B:C""),2,FALSE),)"),"")</f>
        <v/>
      </c>
      <c r="F396" s="70" t="str">
        <f>IFERROR(__xludf.DUMMYFUNCTION("IFERROR(VLOOKUP(A396,IMPORTRANGE(""1fn2ECph_y8Uz78DhjLaiXcwgt6kh3oe-0Le36Uw0noE"",""Form Responses 1!B:C""),2,FALSE),)"),"")</f>
        <v/>
      </c>
      <c r="G396" s="70"/>
      <c r="H396" s="70"/>
      <c r="I396" s="70"/>
      <c r="J396" s="70"/>
      <c r="K396" s="70"/>
      <c r="L396" s="70"/>
      <c r="M396" s="70"/>
      <c r="N396" s="70"/>
      <c r="O396" s="70"/>
      <c r="P396" s="70"/>
      <c r="Q396" s="70" t="str">
        <f>IFERROR(__xludf.DUMMYFUNCTION("IFERROR(IF(COUNTIF(IMPORTRANGE(""1WjiLR_MTMxI_IZUKuvPO4Sg2rTSIqBzP3edakSRXbOA"",""Form Responses 1!B:B""),F396)&gt;0,10,),0)"),"")</f>
        <v/>
      </c>
      <c r="R396" s="70" t="str">
        <f>IFERROR(__xludf.DUMMYFUNCTION("IFERROR(VLOOKUP(F396,IMPORTRANGE(""1Ixzbal5tEbtWhozsFEppQzOYE6ZSrkNXHg_HW5k3Wt4"",""Form Responses 1!B:C""),2,FALSE),)"),"")</f>
        <v/>
      </c>
      <c r="S396" s="70" t="str">
        <f>IFERROR(__xludf.DUMMYFUNCTION("IFERROR(VLOOKUP(F396,IMPORTRANGE(""1zxjtEKGvVIJPIDqZdnxENwVpPXYa88EihzyI44hcQUo"",""Form Responses 1!B:C""),2,FALSE),)"),"")</f>
        <v/>
      </c>
      <c r="T396" s="70" t="str">
        <f>IFERROR(__xludf.DUMMYFUNCTION("IFERROR(VLOOKUP(F396,IMPORTRANGE(""1H3cO01obd5zFULYqaT5NAqecZBFFIHeDFn4CeQLZF3w"",""Form Responses 1!B:C""),2,FALSE),)"),"")</f>
        <v/>
      </c>
      <c r="U396" s="70" t="str">
        <f>IFERROR(__xludf.DUMMYFUNCTION("IFERROR(IF(COUNTIF(IMPORTRANGE(""1IG9qoa6PeLdDDFzKpW39lxXshN0-M8Z25a_R1EpsYyg"",""Form Responses 1!B:B""),F396)&gt;0,10,),0)"),"")</f>
        <v/>
      </c>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row>
    <row r="397">
      <c r="B397" s="70" t="str">
        <f>IFERROR(__xludf.DUMMYFUNCTION("IFERROR(IF(COUNTIF(IMPORTRANGE(""1RTcwEJsI_0aJRebhNwO_H_AoKl9r46k7hWYbtciIyM4"",""Form Responses 1!B:B""),A397)&gt;0,10,),0)"),"")</f>
        <v/>
      </c>
      <c r="C397" s="70" t="str">
        <f>IFERROR(__xludf.DUMMYFUNCTION("IFERROR(VLOOKUP(A397,IMPORTRANGE(""11i8IUhq_U6RRKRV3CBWIKqYed_fMvFgNUHTq1YDJfp8"",""Form Responses 1!B:C""),2,FALSE),)"),"")</f>
        <v/>
      </c>
      <c r="D397" s="70" t="str">
        <f>IFERROR(__xludf.DUMMYFUNCTION("IFERROR(VLOOKUP(A397,IMPORTRANGE(""1StiHxuxrFhYdrq5WLR2JMORicW0TbnJf3J-oTHeMRtM"",""Form Responses 1!B:C""),2,FALSE),)"),"")</f>
        <v/>
      </c>
      <c r="E397" s="70" t="str">
        <f>IFERROR(__xludf.DUMMYFUNCTION("IFERROR(VLOOKUP(A397,IMPORTRANGE(""1QaxxyUjrDq2kgz300C1Bq1tacFk6e-xX218cSXCQUK0"",""Form Responses 1!B:C""),2,FALSE),)"),"")</f>
        <v/>
      </c>
      <c r="F397" s="70" t="str">
        <f>IFERROR(__xludf.DUMMYFUNCTION("IFERROR(VLOOKUP(A397,IMPORTRANGE(""1fn2ECph_y8Uz78DhjLaiXcwgt6kh3oe-0Le36Uw0noE"",""Form Responses 1!B:C""),2,FALSE),)"),"")</f>
        <v/>
      </c>
      <c r="G397" s="70"/>
      <c r="H397" s="70"/>
      <c r="I397" s="70"/>
      <c r="J397" s="70"/>
      <c r="K397" s="70"/>
      <c r="L397" s="70"/>
      <c r="M397" s="70"/>
      <c r="N397" s="70"/>
      <c r="O397" s="70"/>
      <c r="P397" s="70"/>
      <c r="Q397" s="70" t="str">
        <f>IFERROR(__xludf.DUMMYFUNCTION("IFERROR(IF(COUNTIF(IMPORTRANGE(""1WjiLR_MTMxI_IZUKuvPO4Sg2rTSIqBzP3edakSRXbOA"",""Form Responses 1!B:B""),F397)&gt;0,10,),0)"),"")</f>
        <v/>
      </c>
      <c r="R397" s="70" t="str">
        <f>IFERROR(__xludf.DUMMYFUNCTION("IFERROR(VLOOKUP(F397,IMPORTRANGE(""1Ixzbal5tEbtWhozsFEppQzOYE6ZSrkNXHg_HW5k3Wt4"",""Form Responses 1!B:C""),2,FALSE),)"),"")</f>
        <v/>
      </c>
      <c r="S397" s="70" t="str">
        <f>IFERROR(__xludf.DUMMYFUNCTION("IFERROR(VLOOKUP(F397,IMPORTRANGE(""1zxjtEKGvVIJPIDqZdnxENwVpPXYa88EihzyI44hcQUo"",""Form Responses 1!B:C""),2,FALSE),)"),"")</f>
        <v/>
      </c>
      <c r="T397" s="70" t="str">
        <f>IFERROR(__xludf.DUMMYFUNCTION("IFERROR(VLOOKUP(F397,IMPORTRANGE(""1H3cO01obd5zFULYqaT5NAqecZBFFIHeDFn4CeQLZF3w"",""Form Responses 1!B:C""),2,FALSE),)"),"")</f>
        <v/>
      </c>
      <c r="U397" s="70" t="str">
        <f>IFERROR(__xludf.DUMMYFUNCTION("IFERROR(IF(COUNTIF(IMPORTRANGE(""1IG9qoa6PeLdDDFzKpW39lxXshN0-M8Z25a_R1EpsYyg"",""Form Responses 1!B:B""),F397)&gt;0,10,),0)"),"")</f>
        <v/>
      </c>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row>
    <row r="398">
      <c r="B398" s="70" t="str">
        <f>IFERROR(__xludf.DUMMYFUNCTION("IFERROR(IF(COUNTIF(IMPORTRANGE(""1RTcwEJsI_0aJRebhNwO_H_AoKl9r46k7hWYbtciIyM4"",""Form Responses 1!B:B""),A398)&gt;0,10,),0)"),"")</f>
        <v/>
      </c>
      <c r="C398" s="70" t="str">
        <f>IFERROR(__xludf.DUMMYFUNCTION("IFERROR(VLOOKUP(A398,IMPORTRANGE(""11i8IUhq_U6RRKRV3CBWIKqYed_fMvFgNUHTq1YDJfp8"",""Form Responses 1!B:C""),2,FALSE),)"),"")</f>
        <v/>
      </c>
      <c r="D398" s="70" t="str">
        <f>IFERROR(__xludf.DUMMYFUNCTION("IFERROR(VLOOKUP(A398,IMPORTRANGE(""1StiHxuxrFhYdrq5WLR2JMORicW0TbnJf3J-oTHeMRtM"",""Form Responses 1!B:C""),2,FALSE),)"),"")</f>
        <v/>
      </c>
      <c r="E398" s="70" t="str">
        <f>IFERROR(__xludf.DUMMYFUNCTION("IFERROR(VLOOKUP(A398,IMPORTRANGE(""1QaxxyUjrDq2kgz300C1Bq1tacFk6e-xX218cSXCQUK0"",""Form Responses 1!B:C""),2,FALSE),)"),"")</f>
        <v/>
      </c>
      <c r="F398" s="70" t="str">
        <f>IFERROR(__xludf.DUMMYFUNCTION("IFERROR(VLOOKUP(A398,IMPORTRANGE(""1fn2ECph_y8Uz78DhjLaiXcwgt6kh3oe-0Le36Uw0noE"",""Form Responses 1!B:C""),2,FALSE),)"),"")</f>
        <v/>
      </c>
      <c r="G398" s="70"/>
      <c r="H398" s="70"/>
      <c r="I398" s="70"/>
      <c r="J398" s="70"/>
      <c r="K398" s="70"/>
      <c r="L398" s="70"/>
      <c r="M398" s="70"/>
      <c r="N398" s="70"/>
      <c r="O398" s="70"/>
      <c r="P398" s="70"/>
      <c r="Q398" s="70" t="str">
        <f>IFERROR(__xludf.DUMMYFUNCTION("IFERROR(IF(COUNTIF(IMPORTRANGE(""1WjiLR_MTMxI_IZUKuvPO4Sg2rTSIqBzP3edakSRXbOA"",""Form Responses 1!B:B""),F398)&gt;0,10,),0)"),"")</f>
        <v/>
      </c>
      <c r="R398" s="70" t="str">
        <f>IFERROR(__xludf.DUMMYFUNCTION("IFERROR(VLOOKUP(F398,IMPORTRANGE(""1Ixzbal5tEbtWhozsFEppQzOYE6ZSrkNXHg_HW5k3Wt4"",""Form Responses 1!B:C""),2,FALSE),)"),"")</f>
        <v/>
      </c>
      <c r="S398" s="70" t="str">
        <f>IFERROR(__xludf.DUMMYFUNCTION("IFERROR(VLOOKUP(F398,IMPORTRANGE(""1zxjtEKGvVIJPIDqZdnxENwVpPXYa88EihzyI44hcQUo"",""Form Responses 1!B:C""),2,FALSE),)"),"")</f>
        <v/>
      </c>
      <c r="T398" s="70" t="str">
        <f>IFERROR(__xludf.DUMMYFUNCTION("IFERROR(VLOOKUP(F398,IMPORTRANGE(""1H3cO01obd5zFULYqaT5NAqecZBFFIHeDFn4CeQLZF3w"",""Form Responses 1!B:C""),2,FALSE),)"),"")</f>
        <v/>
      </c>
      <c r="U398" s="70" t="str">
        <f>IFERROR(__xludf.DUMMYFUNCTION("IFERROR(IF(COUNTIF(IMPORTRANGE(""1IG9qoa6PeLdDDFzKpW39lxXshN0-M8Z25a_R1EpsYyg"",""Form Responses 1!B:B""),F398)&gt;0,10,),0)"),"")</f>
        <v/>
      </c>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row>
    <row r="399">
      <c r="B399" s="70" t="str">
        <f>IFERROR(__xludf.DUMMYFUNCTION("IFERROR(IF(COUNTIF(IMPORTRANGE(""1RTcwEJsI_0aJRebhNwO_H_AoKl9r46k7hWYbtciIyM4"",""Form Responses 1!B:B""),A399)&gt;0,10,),0)"),"")</f>
        <v/>
      </c>
      <c r="C399" s="70" t="str">
        <f>IFERROR(__xludf.DUMMYFUNCTION("IFERROR(VLOOKUP(A399,IMPORTRANGE(""11i8IUhq_U6RRKRV3CBWIKqYed_fMvFgNUHTq1YDJfp8"",""Form Responses 1!B:C""),2,FALSE),)"),"")</f>
        <v/>
      </c>
      <c r="D399" s="70" t="str">
        <f>IFERROR(__xludf.DUMMYFUNCTION("IFERROR(VLOOKUP(A399,IMPORTRANGE(""1StiHxuxrFhYdrq5WLR2JMORicW0TbnJf3J-oTHeMRtM"",""Form Responses 1!B:C""),2,FALSE),)"),"")</f>
        <v/>
      </c>
      <c r="E399" s="70" t="str">
        <f>IFERROR(__xludf.DUMMYFUNCTION("IFERROR(VLOOKUP(A399,IMPORTRANGE(""1QaxxyUjrDq2kgz300C1Bq1tacFk6e-xX218cSXCQUK0"",""Form Responses 1!B:C""),2,FALSE),)"),"")</f>
        <v/>
      </c>
      <c r="F399" s="70" t="str">
        <f>IFERROR(__xludf.DUMMYFUNCTION("IFERROR(VLOOKUP(A399,IMPORTRANGE(""1fn2ECph_y8Uz78DhjLaiXcwgt6kh3oe-0Le36Uw0noE"",""Form Responses 1!B:C""),2,FALSE),)"),"")</f>
        <v/>
      </c>
      <c r="G399" s="70"/>
      <c r="H399" s="70"/>
      <c r="I399" s="70"/>
      <c r="J399" s="70"/>
      <c r="K399" s="70"/>
      <c r="L399" s="70"/>
      <c r="M399" s="70"/>
      <c r="N399" s="70"/>
      <c r="O399" s="70"/>
      <c r="P399" s="70"/>
      <c r="Q399" s="70" t="str">
        <f>IFERROR(__xludf.DUMMYFUNCTION("IFERROR(IF(COUNTIF(IMPORTRANGE(""1WjiLR_MTMxI_IZUKuvPO4Sg2rTSIqBzP3edakSRXbOA"",""Form Responses 1!B:B""),F399)&gt;0,10,),0)"),"")</f>
        <v/>
      </c>
      <c r="R399" s="70" t="str">
        <f>IFERROR(__xludf.DUMMYFUNCTION("IFERROR(VLOOKUP(F399,IMPORTRANGE(""1Ixzbal5tEbtWhozsFEppQzOYE6ZSrkNXHg_HW5k3Wt4"",""Form Responses 1!B:C""),2,FALSE),)"),"")</f>
        <v/>
      </c>
      <c r="S399" s="70" t="str">
        <f>IFERROR(__xludf.DUMMYFUNCTION("IFERROR(VLOOKUP(F399,IMPORTRANGE(""1zxjtEKGvVIJPIDqZdnxENwVpPXYa88EihzyI44hcQUo"",""Form Responses 1!B:C""),2,FALSE),)"),"")</f>
        <v/>
      </c>
      <c r="T399" s="70" t="str">
        <f>IFERROR(__xludf.DUMMYFUNCTION("IFERROR(VLOOKUP(F399,IMPORTRANGE(""1H3cO01obd5zFULYqaT5NAqecZBFFIHeDFn4CeQLZF3w"",""Form Responses 1!B:C""),2,FALSE),)"),"")</f>
        <v/>
      </c>
      <c r="U399" s="70" t="str">
        <f>IFERROR(__xludf.DUMMYFUNCTION("IFERROR(IF(COUNTIF(IMPORTRANGE(""1IG9qoa6PeLdDDFzKpW39lxXshN0-M8Z25a_R1EpsYyg"",""Form Responses 1!B:B""),F399)&gt;0,10,),0)"),"")</f>
        <v/>
      </c>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row>
    <row r="400">
      <c r="B400" s="70" t="str">
        <f>IFERROR(__xludf.DUMMYFUNCTION("IFERROR(IF(COUNTIF(IMPORTRANGE(""1RTcwEJsI_0aJRebhNwO_H_AoKl9r46k7hWYbtciIyM4"",""Form Responses 1!B:B""),A400)&gt;0,10,),0)"),"")</f>
        <v/>
      </c>
      <c r="C400" s="70" t="str">
        <f>IFERROR(__xludf.DUMMYFUNCTION("IFERROR(VLOOKUP(A400,IMPORTRANGE(""11i8IUhq_U6RRKRV3CBWIKqYed_fMvFgNUHTq1YDJfp8"",""Form Responses 1!B:C""),2,FALSE),)"),"")</f>
        <v/>
      </c>
      <c r="D400" s="70" t="str">
        <f>IFERROR(__xludf.DUMMYFUNCTION("IFERROR(VLOOKUP(A400,IMPORTRANGE(""1StiHxuxrFhYdrq5WLR2JMORicW0TbnJf3J-oTHeMRtM"",""Form Responses 1!B:C""),2,FALSE),)"),"")</f>
        <v/>
      </c>
      <c r="E400" s="70" t="str">
        <f>IFERROR(__xludf.DUMMYFUNCTION("IFERROR(VLOOKUP(A400,IMPORTRANGE(""1QaxxyUjrDq2kgz300C1Bq1tacFk6e-xX218cSXCQUK0"",""Form Responses 1!B:C""),2,FALSE),)"),"")</f>
        <v/>
      </c>
      <c r="F400" s="70" t="str">
        <f>IFERROR(__xludf.DUMMYFUNCTION("IFERROR(VLOOKUP(A400,IMPORTRANGE(""1fn2ECph_y8Uz78DhjLaiXcwgt6kh3oe-0Le36Uw0noE"",""Form Responses 1!B:C""),2,FALSE),)"),"")</f>
        <v/>
      </c>
      <c r="G400" s="70"/>
      <c r="H400" s="70"/>
      <c r="I400" s="70"/>
      <c r="J400" s="70"/>
      <c r="K400" s="70"/>
      <c r="L400" s="70"/>
      <c r="M400" s="70"/>
      <c r="N400" s="70"/>
      <c r="O400" s="70"/>
      <c r="P400" s="70"/>
      <c r="Q400" s="70" t="str">
        <f>IFERROR(__xludf.DUMMYFUNCTION("IFERROR(IF(COUNTIF(IMPORTRANGE(""1WjiLR_MTMxI_IZUKuvPO4Sg2rTSIqBzP3edakSRXbOA"",""Form Responses 1!B:B""),F400)&gt;0,10,),0)"),"")</f>
        <v/>
      </c>
      <c r="R400" s="70" t="str">
        <f>IFERROR(__xludf.DUMMYFUNCTION("IFERROR(VLOOKUP(F400,IMPORTRANGE(""1Ixzbal5tEbtWhozsFEppQzOYE6ZSrkNXHg_HW5k3Wt4"",""Form Responses 1!B:C""),2,FALSE),)"),"")</f>
        <v/>
      </c>
      <c r="S400" s="70" t="str">
        <f>IFERROR(__xludf.DUMMYFUNCTION("IFERROR(VLOOKUP(F400,IMPORTRANGE(""1zxjtEKGvVIJPIDqZdnxENwVpPXYa88EihzyI44hcQUo"",""Form Responses 1!B:C""),2,FALSE),)"),"")</f>
        <v/>
      </c>
      <c r="T400" s="70" t="str">
        <f>IFERROR(__xludf.DUMMYFUNCTION("IFERROR(VLOOKUP(F400,IMPORTRANGE(""1H3cO01obd5zFULYqaT5NAqecZBFFIHeDFn4CeQLZF3w"",""Form Responses 1!B:C""),2,FALSE),)"),"")</f>
        <v/>
      </c>
      <c r="U400" s="70" t="str">
        <f>IFERROR(__xludf.DUMMYFUNCTION("IFERROR(IF(COUNTIF(IMPORTRANGE(""1IG9qoa6PeLdDDFzKpW39lxXshN0-M8Z25a_R1EpsYyg"",""Form Responses 1!B:B""),F400)&gt;0,10,),0)"),"")</f>
        <v/>
      </c>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row>
    <row r="401">
      <c r="B401" s="70" t="str">
        <f>IFERROR(__xludf.DUMMYFUNCTION("IFERROR(IF(COUNTIF(IMPORTRANGE(""1RTcwEJsI_0aJRebhNwO_H_AoKl9r46k7hWYbtciIyM4"",""Form Responses 1!B:B""),A401)&gt;0,10,),0)"),"")</f>
        <v/>
      </c>
      <c r="C401" s="70" t="str">
        <f>IFERROR(__xludf.DUMMYFUNCTION("IFERROR(VLOOKUP(A401,IMPORTRANGE(""11i8IUhq_U6RRKRV3CBWIKqYed_fMvFgNUHTq1YDJfp8"",""Form Responses 1!B:C""),2,FALSE),)"),"")</f>
        <v/>
      </c>
      <c r="D401" s="70" t="str">
        <f>IFERROR(__xludf.DUMMYFUNCTION("IFERROR(VLOOKUP(A401,IMPORTRANGE(""1StiHxuxrFhYdrq5WLR2JMORicW0TbnJf3J-oTHeMRtM"",""Form Responses 1!B:C""),2,FALSE),)"),"")</f>
        <v/>
      </c>
      <c r="E401" s="70" t="str">
        <f>IFERROR(__xludf.DUMMYFUNCTION("IFERROR(VLOOKUP(A401,IMPORTRANGE(""1QaxxyUjrDq2kgz300C1Bq1tacFk6e-xX218cSXCQUK0"",""Form Responses 1!B:C""),2,FALSE),)"),"")</f>
        <v/>
      </c>
      <c r="F401" s="70" t="str">
        <f>IFERROR(__xludf.DUMMYFUNCTION("IFERROR(VLOOKUP(A401,IMPORTRANGE(""1fn2ECph_y8Uz78DhjLaiXcwgt6kh3oe-0Le36Uw0noE"",""Form Responses 1!B:C""),2,FALSE),)"),"")</f>
        <v/>
      </c>
      <c r="G401" s="70"/>
      <c r="H401" s="70"/>
      <c r="I401" s="70"/>
      <c r="J401" s="70"/>
      <c r="K401" s="70"/>
      <c r="L401" s="70"/>
      <c r="M401" s="70"/>
      <c r="N401" s="70"/>
      <c r="O401" s="70"/>
      <c r="P401" s="70"/>
      <c r="Q401" s="70" t="str">
        <f>IFERROR(__xludf.DUMMYFUNCTION("IFERROR(IF(COUNTIF(IMPORTRANGE(""1WjiLR_MTMxI_IZUKuvPO4Sg2rTSIqBzP3edakSRXbOA"",""Form Responses 1!B:B""),F401)&gt;0,10,),0)"),"")</f>
        <v/>
      </c>
      <c r="R401" s="70" t="str">
        <f>IFERROR(__xludf.DUMMYFUNCTION("IFERROR(VLOOKUP(F401,IMPORTRANGE(""1Ixzbal5tEbtWhozsFEppQzOYE6ZSrkNXHg_HW5k3Wt4"",""Form Responses 1!B:C""),2,FALSE),)"),"")</f>
        <v/>
      </c>
      <c r="S401" s="70" t="str">
        <f>IFERROR(__xludf.DUMMYFUNCTION("IFERROR(VLOOKUP(F401,IMPORTRANGE(""1zxjtEKGvVIJPIDqZdnxENwVpPXYa88EihzyI44hcQUo"",""Form Responses 1!B:C""),2,FALSE),)"),"")</f>
        <v/>
      </c>
      <c r="T401" s="70" t="str">
        <f>IFERROR(__xludf.DUMMYFUNCTION("IFERROR(VLOOKUP(F401,IMPORTRANGE(""1H3cO01obd5zFULYqaT5NAqecZBFFIHeDFn4CeQLZF3w"",""Form Responses 1!B:C""),2,FALSE),)"),"")</f>
        <v/>
      </c>
      <c r="U401" s="70" t="str">
        <f>IFERROR(__xludf.DUMMYFUNCTION("IFERROR(IF(COUNTIF(IMPORTRANGE(""1IG9qoa6PeLdDDFzKpW39lxXshN0-M8Z25a_R1EpsYyg"",""Form Responses 1!B:B""),F401)&gt;0,10,),0)"),"")</f>
        <v/>
      </c>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row>
    <row r="402">
      <c r="B402" s="70" t="str">
        <f>IFERROR(__xludf.DUMMYFUNCTION("IFERROR(IF(COUNTIF(IMPORTRANGE(""1RTcwEJsI_0aJRebhNwO_H_AoKl9r46k7hWYbtciIyM4"",""Form Responses 1!B:B""),A402)&gt;0,10,),0)"),"")</f>
        <v/>
      </c>
      <c r="C402" s="70" t="str">
        <f>IFERROR(__xludf.DUMMYFUNCTION("IFERROR(VLOOKUP(A402,IMPORTRANGE(""11i8IUhq_U6RRKRV3CBWIKqYed_fMvFgNUHTq1YDJfp8"",""Form Responses 1!B:C""),2,FALSE),)"),"")</f>
        <v/>
      </c>
      <c r="D402" s="70" t="str">
        <f>IFERROR(__xludf.DUMMYFUNCTION("IFERROR(VLOOKUP(A402,IMPORTRANGE(""1StiHxuxrFhYdrq5WLR2JMORicW0TbnJf3J-oTHeMRtM"",""Form Responses 1!B:C""),2,FALSE),)"),"")</f>
        <v/>
      </c>
      <c r="E402" s="70" t="str">
        <f>IFERROR(__xludf.DUMMYFUNCTION("IFERROR(VLOOKUP(A402,IMPORTRANGE(""1QaxxyUjrDq2kgz300C1Bq1tacFk6e-xX218cSXCQUK0"",""Form Responses 1!B:C""),2,FALSE),)"),"")</f>
        <v/>
      </c>
      <c r="F402" s="70" t="str">
        <f>IFERROR(__xludf.DUMMYFUNCTION("IFERROR(VLOOKUP(A402,IMPORTRANGE(""1fn2ECph_y8Uz78DhjLaiXcwgt6kh3oe-0Le36Uw0noE"",""Form Responses 1!B:C""),2,FALSE),)"),"")</f>
        <v/>
      </c>
      <c r="G402" s="70"/>
      <c r="H402" s="70"/>
      <c r="I402" s="70"/>
      <c r="J402" s="70"/>
      <c r="K402" s="70"/>
      <c r="L402" s="70"/>
      <c r="M402" s="70"/>
      <c r="N402" s="70"/>
      <c r="O402" s="70"/>
      <c r="P402" s="70"/>
      <c r="Q402" s="70" t="str">
        <f>IFERROR(__xludf.DUMMYFUNCTION("IFERROR(IF(COUNTIF(IMPORTRANGE(""1WjiLR_MTMxI_IZUKuvPO4Sg2rTSIqBzP3edakSRXbOA"",""Form Responses 1!B:B""),F402)&gt;0,10,),0)"),"")</f>
        <v/>
      </c>
      <c r="R402" s="70" t="str">
        <f>IFERROR(__xludf.DUMMYFUNCTION("IFERROR(VLOOKUP(F402,IMPORTRANGE(""1Ixzbal5tEbtWhozsFEppQzOYE6ZSrkNXHg_HW5k3Wt4"",""Form Responses 1!B:C""),2,FALSE),)"),"")</f>
        <v/>
      </c>
      <c r="S402" s="70" t="str">
        <f>IFERROR(__xludf.DUMMYFUNCTION("IFERROR(VLOOKUP(F402,IMPORTRANGE(""1zxjtEKGvVIJPIDqZdnxENwVpPXYa88EihzyI44hcQUo"",""Form Responses 1!B:C""),2,FALSE),)"),"")</f>
        <v/>
      </c>
      <c r="T402" s="70" t="str">
        <f>IFERROR(__xludf.DUMMYFUNCTION("IFERROR(VLOOKUP(F402,IMPORTRANGE(""1H3cO01obd5zFULYqaT5NAqecZBFFIHeDFn4CeQLZF3w"",""Form Responses 1!B:C""),2,FALSE),)"),"")</f>
        <v/>
      </c>
      <c r="U402" s="70" t="str">
        <f>IFERROR(__xludf.DUMMYFUNCTION("IFERROR(IF(COUNTIF(IMPORTRANGE(""1IG9qoa6PeLdDDFzKpW39lxXshN0-M8Z25a_R1EpsYyg"",""Form Responses 1!B:B""),F402)&gt;0,10,),0)"),"")</f>
        <v/>
      </c>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row>
    <row r="403">
      <c r="B403" s="70" t="str">
        <f>IFERROR(__xludf.DUMMYFUNCTION("IFERROR(IF(COUNTIF(IMPORTRANGE(""1RTcwEJsI_0aJRebhNwO_H_AoKl9r46k7hWYbtciIyM4"",""Form Responses 1!B:B""),A403)&gt;0,10,),0)"),"")</f>
        <v/>
      </c>
      <c r="C403" s="70" t="str">
        <f>IFERROR(__xludf.DUMMYFUNCTION("IFERROR(VLOOKUP(A403,IMPORTRANGE(""11i8IUhq_U6RRKRV3CBWIKqYed_fMvFgNUHTq1YDJfp8"",""Form Responses 1!B:C""),2,FALSE),)"),"")</f>
        <v/>
      </c>
      <c r="D403" s="70" t="str">
        <f>IFERROR(__xludf.DUMMYFUNCTION("IFERROR(VLOOKUP(A403,IMPORTRANGE(""1StiHxuxrFhYdrq5WLR2JMORicW0TbnJf3J-oTHeMRtM"",""Form Responses 1!B:C""),2,FALSE),)"),"")</f>
        <v/>
      </c>
      <c r="E403" s="70" t="str">
        <f>IFERROR(__xludf.DUMMYFUNCTION("IFERROR(VLOOKUP(A403,IMPORTRANGE(""1QaxxyUjrDq2kgz300C1Bq1tacFk6e-xX218cSXCQUK0"",""Form Responses 1!B:C""),2,FALSE),)"),"")</f>
        <v/>
      </c>
      <c r="F403" s="70" t="str">
        <f>IFERROR(__xludf.DUMMYFUNCTION("IFERROR(VLOOKUP(A403,IMPORTRANGE(""1fn2ECph_y8Uz78DhjLaiXcwgt6kh3oe-0Le36Uw0noE"",""Form Responses 1!B:C""),2,FALSE),)"),"")</f>
        <v/>
      </c>
      <c r="G403" s="70"/>
      <c r="H403" s="70"/>
      <c r="I403" s="70"/>
      <c r="J403" s="70"/>
      <c r="K403" s="70"/>
      <c r="L403" s="70"/>
      <c r="M403" s="70"/>
      <c r="N403" s="70"/>
      <c r="O403" s="70"/>
      <c r="P403" s="70"/>
      <c r="Q403" s="70" t="str">
        <f>IFERROR(__xludf.DUMMYFUNCTION("IFERROR(IF(COUNTIF(IMPORTRANGE(""1WjiLR_MTMxI_IZUKuvPO4Sg2rTSIqBzP3edakSRXbOA"",""Form Responses 1!B:B""),F403)&gt;0,10,),0)"),"")</f>
        <v/>
      </c>
      <c r="R403" s="70" t="str">
        <f>IFERROR(__xludf.DUMMYFUNCTION("IFERROR(VLOOKUP(F403,IMPORTRANGE(""1Ixzbal5tEbtWhozsFEppQzOYE6ZSrkNXHg_HW5k3Wt4"",""Form Responses 1!B:C""),2,FALSE),)"),"")</f>
        <v/>
      </c>
      <c r="S403" s="70" t="str">
        <f>IFERROR(__xludf.DUMMYFUNCTION("IFERROR(VLOOKUP(F403,IMPORTRANGE(""1zxjtEKGvVIJPIDqZdnxENwVpPXYa88EihzyI44hcQUo"",""Form Responses 1!B:C""),2,FALSE),)"),"")</f>
        <v/>
      </c>
      <c r="T403" s="70" t="str">
        <f>IFERROR(__xludf.DUMMYFUNCTION("IFERROR(VLOOKUP(F403,IMPORTRANGE(""1H3cO01obd5zFULYqaT5NAqecZBFFIHeDFn4CeQLZF3w"",""Form Responses 1!B:C""),2,FALSE),)"),"")</f>
        <v/>
      </c>
      <c r="U403" s="70" t="str">
        <f>IFERROR(__xludf.DUMMYFUNCTION("IFERROR(IF(COUNTIF(IMPORTRANGE(""1IG9qoa6PeLdDDFzKpW39lxXshN0-M8Z25a_R1EpsYyg"",""Form Responses 1!B:B""),F403)&gt;0,10,),0)"),"")</f>
        <v/>
      </c>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row>
    <row r="404">
      <c r="B404" s="70" t="str">
        <f>IFERROR(__xludf.DUMMYFUNCTION("IFERROR(IF(COUNTIF(IMPORTRANGE(""1RTcwEJsI_0aJRebhNwO_H_AoKl9r46k7hWYbtciIyM4"",""Form Responses 1!B:B""),A404)&gt;0,10,),0)"),"")</f>
        <v/>
      </c>
      <c r="C404" s="70" t="str">
        <f>IFERROR(__xludf.DUMMYFUNCTION("IFERROR(VLOOKUP(A404,IMPORTRANGE(""11i8IUhq_U6RRKRV3CBWIKqYed_fMvFgNUHTq1YDJfp8"",""Form Responses 1!B:C""),2,FALSE),)"),"")</f>
        <v/>
      </c>
      <c r="D404" s="70" t="str">
        <f>IFERROR(__xludf.DUMMYFUNCTION("IFERROR(VLOOKUP(A404,IMPORTRANGE(""1StiHxuxrFhYdrq5WLR2JMORicW0TbnJf3J-oTHeMRtM"",""Form Responses 1!B:C""),2,FALSE),)"),"")</f>
        <v/>
      </c>
      <c r="E404" s="70" t="str">
        <f>IFERROR(__xludf.DUMMYFUNCTION("IFERROR(VLOOKUP(A404,IMPORTRANGE(""1QaxxyUjrDq2kgz300C1Bq1tacFk6e-xX218cSXCQUK0"",""Form Responses 1!B:C""),2,FALSE),)"),"")</f>
        <v/>
      </c>
      <c r="F404" s="70" t="str">
        <f>IFERROR(__xludf.DUMMYFUNCTION("IFERROR(VLOOKUP(A404,IMPORTRANGE(""1fn2ECph_y8Uz78DhjLaiXcwgt6kh3oe-0Le36Uw0noE"",""Form Responses 1!B:C""),2,FALSE),)"),"")</f>
        <v/>
      </c>
      <c r="G404" s="70"/>
      <c r="H404" s="70"/>
      <c r="I404" s="70"/>
      <c r="J404" s="70"/>
      <c r="K404" s="70"/>
      <c r="L404" s="70"/>
      <c r="M404" s="70"/>
      <c r="N404" s="70"/>
      <c r="O404" s="70"/>
      <c r="P404" s="70"/>
      <c r="Q404" s="70" t="str">
        <f>IFERROR(__xludf.DUMMYFUNCTION("IFERROR(IF(COUNTIF(IMPORTRANGE(""1WjiLR_MTMxI_IZUKuvPO4Sg2rTSIqBzP3edakSRXbOA"",""Form Responses 1!B:B""),F404)&gt;0,10,),0)"),"")</f>
        <v/>
      </c>
      <c r="R404" s="70" t="str">
        <f>IFERROR(__xludf.DUMMYFUNCTION("IFERROR(VLOOKUP(F404,IMPORTRANGE(""1Ixzbal5tEbtWhozsFEppQzOYE6ZSrkNXHg_HW5k3Wt4"",""Form Responses 1!B:C""),2,FALSE),)"),"")</f>
        <v/>
      </c>
      <c r="S404" s="70" t="str">
        <f>IFERROR(__xludf.DUMMYFUNCTION("IFERROR(VLOOKUP(F404,IMPORTRANGE(""1zxjtEKGvVIJPIDqZdnxENwVpPXYa88EihzyI44hcQUo"",""Form Responses 1!B:C""),2,FALSE),)"),"")</f>
        <v/>
      </c>
      <c r="T404" s="70" t="str">
        <f>IFERROR(__xludf.DUMMYFUNCTION("IFERROR(VLOOKUP(F404,IMPORTRANGE(""1H3cO01obd5zFULYqaT5NAqecZBFFIHeDFn4CeQLZF3w"",""Form Responses 1!B:C""),2,FALSE),)"),"")</f>
        <v/>
      </c>
      <c r="U404" s="70" t="str">
        <f>IFERROR(__xludf.DUMMYFUNCTION("IFERROR(IF(COUNTIF(IMPORTRANGE(""1IG9qoa6PeLdDDFzKpW39lxXshN0-M8Z25a_R1EpsYyg"",""Form Responses 1!B:B""),F404)&gt;0,10,),0)"),"")</f>
        <v/>
      </c>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row>
    <row r="405">
      <c r="B405" s="70" t="str">
        <f>IFERROR(__xludf.DUMMYFUNCTION("IFERROR(IF(COUNTIF(IMPORTRANGE(""1RTcwEJsI_0aJRebhNwO_H_AoKl9r46k7hWYbtciIyM4"",""Form Responses 1!B:B""),A405)&gt;0,10,),0)"),"")</f>
        <v/>
      </c>
      <c r="C405" s="70" t="str">
        <f>IFERROR(__xludf.DUMMYFUNCTION("IFERROR(VLOOKUP(A405,IMPORTRANGE(""11i8IUhq_U6RRKRV3CBWIKqYed_fMvFgNUHTq1YDJfp8"",""Form Responses 1!B:C""),2,FALSE),)"),"")</f>
        <v/>
      </c>
      <c r="D405" s="70" t="str">
        <f>IFERROR(__xludf.DUMMYFUNCTION("IFERROR(VLOOKUP(A405,IMPORTRANGE(""1StiHxuxrFhYdrq5WLR2JMORicW0TbnJf3J-oTHeMRtM"",""Form Responses 1!B:C""),2,FALSE),)"),"")</f>
        <v/>
      </c>
      <c r="E405" s="70" t="str">
        <f>IFERROR(__xludf.DUMMYFUNCTION("IFERROR(VLOOKUP(A405,IMPORTRANGE(""1QaxxyUjrDq2kgz300C1Bq1tacFk6e-xX218cSXCQUK0"",""Form Responses 1!B:C""),2,FALSE),)"),"")</f>
        <v/>
      </c>
      <c r="F405" s="70" t="str">
        <f>IFERROR(__xludf.DUMMYFUNCTION("IFERROR(VLOOKUP(A405,IMPORTRANGE(""1fn2ECph_y8Uz78DhjLaiXcwgt6kh3oe-0Le36Uw0noE"",""Form Responses 1!B:C""),2,FALSE),)"),"")</f>
        <v/>
      </c>
      <c r="G405" s="70"/>
      <c r="H405" s="70"/>
      <c r="I405" s="70"/>
      <c r="J405" s="70"/>
      <c r="K405" s="70"/>
      <c r="L405" s="70"/>
      <c r="M405" s="70"/>
      <c r="N405" s="70"/>
      <c r="O405" s="70"/>
      <c r="P405" s="70"/>
      <c r="Q405" s="70" t="str">
        <f>IFERROR(__xludf.DUMMYFUNCTION("IFERROR(IF(COUNTIF(IMPORTRANGE(""1WjiLR_MTMxI_IZUKuvPO4Sg2rTSIqBzP3edakSRXbOA"",""Form Responses 1!B:B""),F405)&gt;0,10,),0)"),"")</f>
        <v/>
      </c>
      <c r="R405" s="70" t="str">
        <f>IFERROR(__xludf.DUMMYFUNCTION("IFERROR(VLOOKUP(F405,IMPORTRANGE(""1Ixzbal5tEbtWhozsFEppQzOYE6ZSrkNXHg_HW5k3Wt4"",""Form Responses 1!B:C""),2,FALSE),)"),"")</f>
        <v/>
      </c>
      <c r="S405" s="70" t="str">
        <f>IFERROR(__xludf.DUMMYFUNCTION("IFERROR(VLOOKUP(F405,IMPORTRANGE(""1zxjtEKGvVIJPIDqZdnxENwVpPXYa88EihzyI44hcQUo"",""Form Responses 1!B:C""),2,FALSE),)"),"")</f>
        <v/>
      </c>
      <c r="T405" s="70" t="str">
        <f>IFERROR(__xludf.DUMMYFUNCTION("IFERROR(VLOOKUP(F405,IMPORTRANGE(""1H3cO01obd5zFULYqaT5NAqecZBFFIHeDFn4CeQLZF3w"",""Form Responses 1!B:C""),2,FALSE),)"),"")</f>
        <v/>
      </c>
      <c r="U405" s="70" t="str">
        <f>IFERROR(__xludf.DUMMYFUNCTION("IFERROR(IF(COUNTIF(IMPORTRANGE(""1IG9qoa6PeLdDDFzKpW39lxXshN0-M8Z25a_R1EpsYyg"",""Form Responses 1!B:B""),F405)&gt;0,10,),0)"),"")</f>
        <v/>
      </c>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row>
    <row r="406">
      <c r="B406" s="70" t="str">
        <f>IFERROR(__xludf.DUMMYFUNCTION("IFERROR(IF(COUNTIF(IMPORTRANGE(""1RTcwEJsI_0aJRebhNwO_H_AoKl9r46k7hWYbtciIyM4"",""Form Responses 1!B:B""),A406)&gt;0,10,),0)"),"")</f>
        <v/>
      </c>
      <c r="C406" s="70" t="str">
        <f>IFERROR(__xludf.DUMMYFUNCTION("IFERROR(VLOOKUP(A406,IMPORTRANGE(""11i8IUhq_U6RRKRV3CBWIKqYed_fMvFgNUHTq1YDJfp8"",""Form Responses 1!B:C""),2,FALSE),)"),"")</f>
        <v/>
      </c>
      <c r="D406" s="70" t="str">
        <f>IFERROR(__xludf.DUMMYFUNCTION("IFERROR(VLOOKUP(A406,IMPORTRANGE(""1StiHxuxrFhYdrq5WLR2JMORicW0TbnJf3J-oTHeMRtM"",""Form Responses 1!B:C""),2,FALSE),)"),"")</f>
        <v/>
      </c>
      <c r="E406" s="70" t="str">
        <f>IFERROR(__xludf.DUMMYFUNCTION("IFERROR(VLOOKUP(A406,IMPORTRANGE(""1QaxxyUjrDq2kgz300C1Bq1tacFk6e-xX218cSXCQUK0"",""Form Responses 1!B:C""),2,FALSE),)"),"")</f>
        <v/>
      </c>
      <c r="F406" s="70" t="str">
        <f>IFERROR(__xludf.DUMMYFUNCTION("IFERROR(VLOOKUP(A406,IMPORTRANGE(""1fn2ECph_y8Uz78DhjLaiXcwgt6kh3oe-0Le36Uw0noE"",""Form Responses 1!B:C""),2,FALSE),)"),"")</f>
        <v/>
      </c>
      <c r="G406" s="70"/>
      <c r="H406" s="70"/>
      <c r="I406" s="70"/>
      <c r="J406" s="70"/>
      <c r="K406" s="70"/>
      <c r="L406" s="70"/>
      <c r="M406" s="70"/>
      <c r="N406" s="70"/>
      <c r="O406" s="70"/>
      <c r="P406" s="70"/>
      <c r="Q406" s="70" t="str">
        <f>IFERROR(__xludf.DUMMYFUNCTION("IFERROR(IF(COUNTIF(IMPORTRANGE(""1WjiLR_MTMxI_IZUKuvPO4Sg2rTSIqBzP3edakSRXbOA"",""Form Responses 1!B:B""),F406)&gt;0,10,),0)"),"")</f>
        <v/>
      </c>
      <c r="R406" s="70" t="str">
        <f>IFERROR(__xludf.DUMMYFUNCTION("IFERROR(VLOOKUP(F406,IMPORTRANGE(""1Ixzbal5tEbtWhozsFEppQzOYE6ZSrkNXHg_HW5k3Wt4"",""Form Responses 1!B:C""),2,FALSE),)"),"")</f>
        <v/>
      </c>
      <c r="S406" s="70" t="str">
        <f>IFERROR(__xludf.DUMMYFUNCTION("IFERROR(VLOOKUP(F406,IMPORTRANGE(""1zxjtEKGvVIJPIDqZdnxENwVpPXYa88EihzyI44hcQUo"",""Form Responses 1!B:C""),2,FALSE),)"),"")</f>
        <v/>
      </c>
      <c r="T406" s="70" t="str">
        <f>IFERROR(__xludf.DUMMYFUNCTION("IFERROR(VLOOKUP(F406,IMPORTRANGE(""1H3cO01obd5zFULYqaT5NAqecZBFFIHeDFn4CeQLZF3w"",""Form Responses 1!B:C""),2,FALSE),)"),"")</f>
        <v/>
      </c>
      <c r="U406" s="70" t="str">
        <f>IFERROR(__xludf.DUMMYFUNCTION("IFERROR(IF(COUNTIF(IMPORTRANGE(""1IG9qoa6PeLdDDFzKpW39lxXshN0-M8Z25a_R1EpsYyg"",""Form Responses 1!B:B""),F406)&gt;0,10,),0)"),"")</f>
        <v/>
      </c>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row>
    <row r="407">
      <c r="B407" s="70" t="str">
        <f>IFERROR(__xludf.DUMMYFUNCTION("IFERROR(IF(COUNTIF(IMPORTRANGE(""1RTcwEJsI_0aJRebhNwO_H_AoKl9r46k7hWYbtciIyM4"",""Form Responses 1!B:B""),A407)&gt;0,10,),0)"),"")</f>
        <v/>
      </c>
      <c r="C407" s="70" t="str">
        <f>IFERROR(__xludf.DUMMYFUNCTION("IFERROR(VLOOKUP(A407,IMPORTRANGE(""11i8IUhq_U6RRKRV3CBWIKqYed_fMvFgNUHTq1YDJfp8"",""Form Responses 1!B:C""),2,FALSE),)"),"")</f>
        <v/>
      </c>
      <c r="D407" s="70" t="str">
        <f>IFERROR(__xludf.DUMMYFUNCTION("IFERROR(VLOOKUP(A407,IMPORTRANGE(""1StiHxuxrFhYdrq5WLR2JMORicW0TbnJf3J-oTHeMRtM"",""Form Responses 1!B:C""),2,FALSE),)"),"")</f>
        <v/>
      </c>
      <c r="E407" s="70" t="str">
        <f>IFERROR(__xludf.DUMMYFUNCTION("IFERROR(VLOOKUP(A407,IMPORTRANGE(""1QaxxyUjrDq2kgz300C1Bq1tacFk6e-xX218cSXCQUK0"",""Form Responses 1!B:C""),2,FALSE),)"),"")</f>
        <v/>
      </c>
      <c r="F407" s="70" t="str">
        <f>IFERROR(__xludf.DUMMYFUNCTION("IFERROR(VLOOKUP(A407,IMPORTRANGE(""1fn2ECph_y8Uz78DhjLaiXcwgt6kh3oe-0Le36Uw0noE"",""Form Responses 1!B:C""),2,FALSE),)"),"")</f>
        <v/>
      </c>
      <c r="G407" s="70"/>
      <c r="H407" s="70"/>
      <c r="I407" s="70"/>
      <c r="J407" s="70"/>
      <c r="K407" s="70"/>
      <c r="L407" s="70"/>
      <c r="M407" s="70"/>
      <c r="N407" s="70"/>
      <c r="O407" s="70"/>
      <c r="P407" s="70"/>
      <c r="Q407" s="70" t="str">
        <f>IFERROR(__xludf.DUMMYFUNCTION("IFERROR(IF(COUNTIF(IMPORTRANGE(""1WjiLR_MTMxI_IZUKuvPO4Sg2rTSIqBzP3edakSRXbOA"",""Form Responses 1!B:B""),F407)&gt;0,10,),0)"),"")</f>
        <v/>
      </c>
      <c r="R407" s="70" t="str">
        <f>IFERROR(__xludf.DUMMYFUNCTION("IFERROR(VLOOKUP(F407,IMPORTRANGE(""1Ixzbal5tEbtWhozsFEppQzOYE6ZSrkNXHg_HW5k3Wt4"",""Form Responses 1!B:C""),2,FALSE),)"),"")</f>
        <v/>
      </c>
      <c r="S407" s="70" t="str">
        <f>IFERROR(__xludf.DUMMYFUNCTION("IFERROR(VLOOKUP(F407,IMPORTRANGE(""1zxjtEKGvVIJPIDqZdnxENwVpPXYa88EihzyI44hcQUo"",""Form Responses 1!B:C""),2,FALSE),)"),"")</f>
        <v/>
      </c>
      <c r="T407" s="70" t="str">
        <f>IFERROR(__xludf.DUMMYFUNCTION("IFERROR(VLOOKUP(F407,IMPORTRANGE(""1H3cO01obd5zFULYqaT5NAqecZBFFIHeDFn4CeQLZF3w"",""Form Responses 1!B:C""),2,FALSE),)"),"")</f>
        <v/>
      </c>
      <c r="U407" s="70" t="str">
        <f>IFERROR(__xludf.DUMMYFUNCTION("IFERROR(IF(COUNTIF(IMPORTRANGE(""1IG9qoa6PeLdDDFzKpW39lxXshN0-M8Z25a_R1EpsYyg"",""Form Responses 1!B:B""),F407)&gt;0,10,),0)"),"")</f>
        <v/>
      </c>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row>
    <row r="408">
      <c r="B408" s="70" t="str">
        <f>IFERROR(__xludf.DUMMYFUNCTION("IFERROR(IF(COUNTIF(IMPORTRANGE(""1RTcwEJsI_0aJRebhNwO_H_AoKl9r46k7hWYbtciIyM4"",""Form Responses 1!B:B""),A408)&gt;0,10,),0)"),"")</f>
        <v/>
      </c>
      <c r="C408" s="70" t="str">
        <f>IFERROR(__xludf.DUMMYFUNCTION("IFERROR(VLOOKUP(A408,IMPORTRANGE(""11i8IUhq_U6RRKRV3CBWIKqYed_fMvFgNUHTq1YDJfp8"",""Form Responses 1!B:C""),2,FALSE),)"),"")</f>
        <v/>
      </c>
      <c r="D408" s="70" t="str">
        <f>IFERROR(__xludf.DUMMYFUNCTION("IFERROR(VLOOKUP(A408,IMPORTRANGE(""1StiHxuxrFhYdrq5WLR2JMORicW0TbnJf3J-oTHeMRtM"",""Form Responses 1!B:C""),2,FALSE),)"),"")</f>
        <v/>
      </c>
      <c r="E408" s="70" t="str">
        <f>IFERROR(__xludf.DUMMYFUNCTION("IFERROR(VLOOKUP(A408,IMPORTRANGE(""1QaxxyUjrDq2kgz300C1Bq1tacFk6e-xX218cSXCQUK0"",""Form Responses 1!B:C""),2,FALSE),)"),"")</f>
        <v/>
      </c>
      <c r="F408" s="70" t="str">
        <f>IFERROR(__xludf.DUMMYFUNCTION("IFERROR(VLOOKUP(A408,IMPORTRANGE(""1fn2ECph_y8Uz78DhjLaiXcwgt6kh3oe-0Le36Uw0noE"",""Form Responses 1!B:C""),2,FALSE),)"),"")</f>
        <v/>
      </c>
      <c r="G408" s="70"/>
      <c r="H408" s="70"/>
      <c r="I408" s="70"/>
      <c r="J408" s="70"/>
      <c r="K408" s="70"/>
      <c r="L408" s="70"/>
      <c r="M408" s="70"/>
      <c r="N408" s="70"/>
      <c r="O408" s="70"/>
      <c r="P408" s="70"/>
      <c r="Q408" s="70" t="str">
        <f>IFERROR(__xludf.DUMMYFUNCTION("IFERROR(IF(COUNTIF(IMPORTRANGE(""1WjiLR_MTMxI_IZUKuvPO4Sg2rTSIqBzP3edakSRXbOA"",""Form Responses 1!B:B""),F408)&gt;0,10,),0)"),"")</f>
        <v/>
      </c>
      <c r="R408" s="70" t="str">
        <f>IFERROR(__xludf.DUMMYFUNCTION("IFERROR(VLOOKUP(F408,IMPORTRANGE(""1Ixzbal5tEbtWhozsFEppQzOYE6ZSrkNXHg_HW5k3Wt4"",""Form Responses 1!B:C""),2,FALSE),)"),"")</f>
        <v/>
      </c>
      <c r="S408" s="70" t="str">
        <f>IFERROR(__xludf.DUMMYFUNCTION("IFERROR(VLOOKUP(F408,IMPORTRANGE(""1zxjtEKGvVIJPIDqZdnxENwVpPXYa88EihzyI44hcQUo"",""Form Responses 1!B:C""),2,FALSE),)"),"")</f>
        <v/>
      </c>
      <c r="T408" s="70" t="str">
        <f>IFERROR(__xludf.DUMMYFUNCTION("IFERROR(VLOOKUP(F408,IMPORTRANGE(""1H3cO01obd5zFULYqaT5NAqecZBFFIHeDFn4CeQLZF3w"",""Form Responses 1!B:C""),2,FALSE),)"),"")</f>
        <v/>
      </c>
      <c r="U408" s="70" t="str">
        <f>IFERROR(__xludf.DUMMYFUNCTION("IFERROR(IF(COUNTIF(IMPORTRANGE(""1IG9qoa6PeLdDDFzKpW39lxXshN0-M8Z25a_R1EpsYyg"",""Form Responses 1!B:B""),F408)&gt;0,10,),0)"),"")</f>
        <v/>
      </c>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row>
    <row r="409">
      <c r="B409" s="70" t="str">
        <f>IFERROR(__xludf.DUMMYFUNCTION("IFERROR(IF(COUNTIF(IMPORTRANGE(""1RTcwEJsI_0aJRebhNwO_H_AoKl9r46k7hWYbtciIyM4"",""Form Responses 1!B:B""),A409)&gt;0,10,),0)"),"")</f>
        <v/>
      </c>
      <c r="C409" s="70" t="str">
        <f>IFERROR(__xludf.DUMMYFUNCTION("IFERROR(VLOOKUP(A409,IMPORTRANGE(""11i8IUhq_U6RRKRV3CBWIKqYed_fMvFgNUHTq1YDJfp8"",""Form Responses 1!B:C""),2,FALSE),)"),"")</f>
        <v/>
      </c>
      <c r="D409" s="70" t="str">
        <f>IFERROR(__xludf.DUMMYFUNCTION("IFERROR(VLOOKUP(A409,IMPORTRANGE(""1StiHxuxrFhYdrq5WLR2JMORicW0TbnJf3J-oTHeMRtM"",""Form Responses 1!B:C""),2,FALSE),)"),"")</f>
        <v/>
      </c>
      <c r="E409" s="70" t="str">
        <f>IFERROR(__xludf.DUMMYFUNCTION("IFERROR(VLOOKUP(A409,IMPORTRANGE(""1QaxxyUjrDq2kgz300C1Bq1tacFk6e-xX218cSXCQUK0"",""Form Responses 1!B:C""),2,FALSE),)"),"")</f>
        <v/>
      </c>
      <c r="F409" s="70" t="str">
        <f>IFERROR(__xludf.DUMMYFUNCTION("IFERROR(VLOOKUP(A409,IMPORTRANGE(""1fn2ECph_y8Uz78DhjLaiXcwgt6kh3oe-0Le36Uw0noE"",""Form Responses 1!B:C""),2,FALSE),)"),"")</f>
        <v/>
      </c>
      <c r="G409" s="70"/>
      <c r="H409" s="70"/>
      <c r="I409" s="70"/>
      <c r="J409" s="70"/>
      <c r="K409" s="70"/>
      <c r="L409" s="70"/>
      <c r="M409" s="70"/>
      <c r="N409" s="70"/>
      <c r="O409" s="70"/>
      <c r="P409" s="70"/>
      <c r="Q409" s="70" t="str">
        <f>IFERROR(__xludf.DUMMYFUNCTION("IFERROR(IF(COUNTIF(IMPORTRANGE(""1WjiLR_MTMxI_IZUKuvPO4Sg2rTSIqBzP3edakSRXbOA"",""Form Responses 1!B:B""),F409)&gt;0,10,),0)"),"")</f>
        <v/>
      </c>
      <c r="R409" s="70" t="str">
        <f>IFERROR(__xludf.DUMMYFUNCTION("IFERROR(VLOOKUP(F409,IMPORTRANGE(""1Ixzbal5tEbtWhozsFEppQzOYE6ZSrkNXHg_HW5k3Wt4"",""Form Responses 1!B:C""),2,FALSE),)"),"")</f>
        <v/>
      </c>
      <c r="S409" s="70" t="str">
        <f>IFERROR(__xludf.DUMMYFUNCTION("IFERROR(VLOOKUP(F409,IMPORTRANGE(""1zxjtEKGvVIJPIDqZdnxENwVpPXYa88EihzyI44hcQUo"",""Form Responses 1!B:C""),2,FALSE),)"),"")</f>
        <v/>
      </c>
      <c r="T409" s="70" t="str">
        <f>IFERROR(__xludf.DUMMYFUNCTION("IFERROR(VLOOKUP(F409,IMPORTRANGE(""1H3cO01obd5zFULYqaT5NAqecZBFFIHeDFn4CeQLZF3w"",""Form Responses 1!B:C""),2,FALSE),)"),"")</f>
        <v/>
      </c>
      <c r="U409" s="70" t="str">
        <f>IFERROR(__xludf.DUMMYFUNCTION("IFERROR(IF(COUNTIF(IMPORTRANGE(""1IG9qoa6PeLdDDFzKpW39lxXshN0-M8Z25a_R1EpsYyg"",""Form Responses 1!B:B""),F409)&gt;0,10,),0)"),"")</f>
        <v/>
      </c>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row>
    <row r="410">
      <c r="B410" s="70" t="str">
        <f>IFERROR(__xludf.DUMMYFUNCTION("IFERROR(IF(COUNTIF(IMPORTRANGE(""1RTcwEJsI_0aJRebhNwO_H_AoKl9r46k7hWYbtciIyM4"",""Form Responses 1!B:B""),A410)&gt;0,10,),0)"),"")</f>
        <v/>
      </c>
      <c r="C410" s="70" t="str">
        <f>IFERROR(__xludf.DUMMYFUNCTION("IFERROR(VLOOKUP(A410,IMPORTRANGE(""11i8IUhq_U6RRKRV3CBWIKqYed_fMvFgNUHTq1YDJfp8"",""Form Responses 1!B:C""),2,FALSE),)"),"")</f>
        <v/>
      </c>
      <c r="D410" s="70" t="str">
        <f>IFERROR(__xludf.DUMMYFUNCTION("IFERROR(VLOOKUP(A410,IMPORTRANGE(""1StiHxuxrFhYdrq5WLR2JMORicW0TbnJf3J-oTHeMRtM"",""Form Responses 1!B:C""),2,FALSE),)"),"")</f>
        <v/>
      </c>
      <c r="E410" s="70" t="str">
        <f>IFERROR(__xludf.DUMMYFUNCTION("IFERROR(VLOOKUP(A410,IMPORTRANGE(""1QaxxyUjrDq2kgz300C1Bq1tacFk6e-xX218cSXCQUK0"",""Form Responses 1!B:C""),2,FALSE),)"),"")</f>
        <v/>
      </c>
      <c r="F410" s="70" t="str">
        <f>IFERROR(__xludf.DUMMYFUNCTION("IFERROR(VLOOKUP(A410,IMPORTRANGE(""1fn2ECph_y8Uz78DhjLaiXcwgt6kh3oe-0Le36Uw0noE"",""Form Responses 1!B:C""),2,FALSE),)"),"")</f>
        <v/>
      </c>
      <c r="G410" s="70"/>
      <c r="H410" s="70"/>
      <c r="I410" s="70"/>
      <c r="J410" s="70"/>
      <c r="K410" s="70"/>
      <c r="L410" s="70"/>
      <c r="M410" s="70"/>
      <c r="N410" s="70"/>
      <c r="O410" s="70"/>
      <c r="P410" s="70"/>
      <c r="Q410" s="70" t="str">
        <f>IFERROR(__xludf.DUMMYFUNCTION("IFERROR(IF(COUNTIF(IMPORTRANGE(""1WjiLR_MTMxI_IZUKuvPO4Sg2rTSIqBzP3edakSRXbOA"",""Form Responses 1!B:B""),F410)&gt;0,10,),0)"),"")</f>
        <v/>
      </c>
      <c r="R410" s="70" t="str">
        <f>IFERROR(__xludf.DUMMYFUNCTION("IFERROR(VLOOKUP(F410,IMPORTRANGE(""1Ixzbal5tEbtWhozsFEppQzOYE6ZSrkNXHg_HW5k3Wt4"",""Form Responses 1!B:C""),2,FALSE),)"),"")</f>
        <v/>
      </c>
      <c r="S410" s="70" t="str">
        <f>IFERROR(__xludf.DUMMYFUNCTION("IFERROR(VLOOKUP(F410,IMPORTRANGE(""1zxjtEKGvVIJPIDqZdnxENwVpPXYa88EihzyI44hcQUo"",""Form Responses 1!B:C""),2,FALSE),)"),"")</f>
        <v/>
      </c>
      <c r="T410" s="70" t="str">
        <f>IFERROR(__xludf.DUMMYFUNCTION("IFERROR(VLOOKUP(F410,IMPORTRANGE(""1H3cO01obd5zFULYqaT5NAqecZBFFIHeDFn4CeQLZF3w"",""Form Responses 1!B:C""),2,FALSE),)"),"")</f>
        <v/>
      </c>
      <c r="U410" s="70" t="str">
        <f>IFERROR(__xludf.DUMMYFUNCTION("IFERROR(IF(COUNTIF(IMPORTRANGE(""1IG9qoa6PeLdDDFzKpW39lxXshN0-M8Z25a_R1EpsYyg"",""Form Responses 1!B:B""),F410)&gt;0,10,),0)"),"")</f>
        <v/>
      </c>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row>
    <row r="411">
      <c r="B411" s="70" t="str">
        <f>IFERROR(__xludf.DUMMYFUNCTION("IFERROR(IF(COUNTIF(IMPORTRANGE(""1RTcwEJsI_0aJRebhNwO_H_AoKl9r46k7hWYbtciIyM4"",""Form Responses 1!B:B""),A411)&gt;0,10,),0)"),"")</f>
        <v/>
      </c>
      <c r="C411" s="70" t="str">
        <f>IFERROR(__xludf.DUMMYFUNCTION("IFERROR(VLOOKUP(A411,IMPORTRANGE(""11i8IUhq_U6RRKRV3CBWIKqYed_fMvFgNUHTq1YDJfp8"",""Form Responses 1!B:C""),2,FALSE),)"),"")</f>
        <v/>
      </c>
      <c r="D411" s="70" t="str">
        <f>IFERROR(__xludf.DUMMYFUNCTION("IFERROR(VLOOKUP(A411,IMPORTRANGE(""1StiHxuxrFhYdrq5WLR2JMORicW0TbnJf3J-oTHeMRtM"",""Form Responses 1!B:C""),2,FALSE),)"),"")</f>
        <v/>
      </c>
      <c r="E411" s="70" t="str">
        <f>IFERROR(__xludf.DUMMYFUNCTION("IFERROR(VLOOKUP(A411,IMPORTRANGE(""1QaxxyUjrDq2kgz300C1Bq1tacFk6e-xX218cSXCQUK0"",""Form Responses 1!B:C""),2,FALSE),)"),"")</f>
        <v/>
      </c>
      <c r="F411" s="70" t="str">
        <f>IFERROR(__xludf.DUMMYFUNCTION("IFERROR(VLOOKUP(A411,IMPORTRANGE(""1fn2ECph_y8Uz78DhjLaiXcwgt6kh3oe-0Le36Uw0noE"",""Form Responses 1!B:C""),2,FALSE),)"),"")</f>
        <v/>
      </c>
      <c r="G411" s="70"/>
      <c r="H411" s="70"/>
      <c r="I411" s="70"/>
      <c r="J411" s="70"/>
      <c r="K411" s="70"/>
      <c r="L411" s="70"/>
      <c r="M411" s="70"/>
      <c r="N411" s="70"/>
      <c r="O411" s="70"/>
      <c r="P411" s="70"/>
      <c r="Q411" s="70" t="str">
        <f>IFERROR(__xludf.DUMMYFUNCTION("IFERROR(IF(COUNTIF(IMPORTRANGE(""1WjiLR_MTMxI_IZUKuvPO4Sg2rTSIqBzP3edakSRXbOA"",""Form Responses 1!B:B""),F411)&gt;0,10,),0)"),"")</f>
        <v/>
      </c>
      <c r="R411" s="70" t="str">
        <f>IFERROR(__xludf.DUMMYFUNCTION("IFERROR(VLOOKUP(F411,IMPORTRANGE(""1Ixzbal5tEbtWhozsFEppQzOYE6ZSrkNXHg_HW5k3Wt4"",""Form Responses 1!B:C""),2,FALSE),)"),"")</f>
        <v/>
      </c>
      <c r="S411" s="70" t="str">
        <f>IFERROR(__xludf.DUMMYFUNCTION("IFERROR(VLOOKUP(F411,IMPORTRANGE(""1zxjtEKGvVIJPIDqZdnxENwVpPXYa88EihzyI44hcQUo"",""Form Responses 1!B:C""),2,FALSE),)"),"")</f>
        <v/>
      </c>
      <c r="T411" s="70" t="str">
        <f>IFERROR(__xludf.DUMMYFUNCTION("IFERROR(VLOOKUP(F411,IMPORTRANGE(""1H3cO01obd5zFULYqaT5NAqecZBFFIHeDFn4CeQLZF3w"",""Form Responses 1!B:C""),2,FALSE),)"),"")</f>
        <v/>
      </c>
      <c r="U411" s="70" t="str">
        <f>IFERROR(__xludf.DUMMYFUNCTION("IFERROR(IF(COUNTIF(IMPORTRANGE(""1IG9qoa6PeLdDDFzKpW39lxXshN0-M8Z25a_R1EpsYyg"",""Form Responses 1!B:B""),F411)&gt;0,10,),0)"),"")</f>
        <v/>
      </c>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row>
    <row r="412">
      <c r="B412" s="70" t="str">
        <f>IFERROR(__xludf.DUMMYFUNCTION("IFERROR(IF(COUNTIF(IMPORTRANGE(""1RTcwEJsI_0aJRebhNwO_H_AoKl9r46k7hWYbtciIyM4"",""Form Responses 1!B:B""),A412)&gt;0,10,),0)"),"")</f>
        <v/>
      </c>
      <c r="C412" s="70" t="str">
        <f>IFERROR(__xludf.DUMMYFUNCTION("IFERROR(VLOOKUP(A412,IMPORTRANGE(""11i8IUhq_U6RRKRV3CBWIKqYed_fMvFgNUHTq1YDJfp8"",""Form Responses 1!B:C""),2,FALSE),)"),"")</f>
        <v/>
      </c>
      <c r="D412" s="70" t="str">
        <f>IFERROR(__xludf.DUMMYFUNCTION("IFERROR(VLOOKUP(A412,IMPORTRANGE(""1StiHxuxrFhYdrq5WLR2JMORicW0TbnJf3J-oTHeMRtM"",""Form Responses 1!B:C""),2,FALSE),)"),"")</f>
        <v/>
      </c>
      <c r="E412" s="70" t="str">
        <f>IFERROR(__xludf.DUMMYFUNCTION("IFERROR(VLOOKUP(A412,IMPORTRANGE(""1QaxxyUjrDq2kgz300C1Bq1tacFk6e-xX218cSXCQUK0"",""Form Responses 1!B:C""),2,FALSE),)"),"")</f>
        <v/>
      </c>
      <c r="F412" s="70" t="str">
        <f>IFERROR(__xludf.DUMMYFUNCTION("IFERROR(VLOOKUP(A412,IMPORTRANGE(""1fn2ECph_y8Uz78DhjLaiXcwgt6kh3oe-0Le36Uw0noE"",""Form Responses 1!B:C""),2,FALSE),)"),"")</f>
        <v/>
      </c>
      <c r="G412" s="70"/>
      <c r="H412" s="70"/>
      <c r="I412" s="70"/>
      <c r="J412" s="70"/>
      <c r="K412" s="70"/>
      <c r="L412" s="70"/>
      <c r="M412" s="70"/>
      <c r="N412" s="70"/>
      <c r="O412" s="70"/>
      <c r="P412" s="70"/>
      <c r="Q412" s="70" t="str">
        <f>IFERROR(__xludf.DUMMYFUNCTION("IFERROR(IF(COUNTIF(IMPORTRANGE(""1WjiLR_MTMxI_IZUKuvPO4Sg2rTSIqBzP3edakSRXbOA"",""Form Responses 1!B:B""),F412)&gt;0,10,),0)"),"")</f>
        <v/>
      </c>
      <c r="R412" s="70" t="str">
        <f>IFERROR(__xludf.DUMMYFUNCTION("IFERROR(VLOOKUP(F412,IMPORTRANGE(""1Ixzbal5tEbtWhozsFEppQzOYE6ZSrkNXHg_HW5k3Wt4"",""Form Responses 1!B:C""),2,FALSE),)"),"")</f>
        <v/>
      </c>
      <c r="S412" s="70" t="str">
        <f>IFERROR(__xludf.DUMMYFUNCTION("IFERROR(VLOOKUP(F412,IMPORTRANGE(""1zxjtEKGvVIJPIDqZdnxENwVpPXYa88EihzyI44hcQUo"",""Form Responses 1!B:C""),2,FALSE),)"),"")</f>
        <v/>
      </c>
      <c r="T412" s="70" t="str">
        <f>IFERROR(__xludf.DUMMYFUNCTION("IFERROR(VLOOKUP(F412,IMPORTRANGE(""1H3cO01obd5zFULYqaT5NAqecZBFFIHeDFn4CeQLZF3w"",""Form Responses 1!B:C""),2,FALSE),)"),"")</f>
        <v/>
      </c>
      <c r="U412" s="70" t="str">
        <f>IFERROR(__xludf.DUMMYFUNCTION("IFERROR(IF(COUNTIF(IMPORTRANGE(""1IG9qoa6PeLdDDFzKpW39lxXshN0-M8Z25a_R1EpsYyg"",""Form Responses 1!B:B""),F412)&gt;0,10,),0)"),"")</f>
        <v/>
      </c>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row>
    <row r="413">
      <c r="B413" s="70" t="str">
        <f>IFERROR(__xludf.DUMMYFUNCTION("IFERROR(IF(COUNTIF(IMPORTRANGE(""1RTcwEJsI_0aJRebhNwO_H_AoKl9r46k7hWYbtciIyM4"",""Form Responses 1!B:B""),A413)&gt;0,10,),0)"),"")</f>
        <v/>
      </c>
      <c r="C413" s="70" t="str">
        <f>IFERROR(__xludf.DUMMYFUNCTION("IFERROR(VLOOKUP(A413,IMPORTRANGE(""11i8IUhq_U6RRKRV3CBWIKqYed_fMvFgNUHTq1YDJfp8"",""Form Responses 1!B:C""),2,FALSE),)"),"")</f>
        <v/>
      </c>
      <c r="D413" s="70" t="str">
        <f>IFERROR(__xludf.DUMMYFUNCTION("IFERROR(VLOOKUP(A413,IMPORTRANGE(""1StiHxuxrFhYdrq5WLR2JMORicW0TbnJf3J-oTHeMRtM"",""Form Responses 1!B:C""),2,FALSE),)"),"")</f>
        <v/>
      </c>
      <c r="E413" s="70" t="str">
        <f>IFERROR(__xludf.DUMMYFUNCTION("IFERROR(VLOOKUP(A413,IMPORTRANGE(""1QaxxyUjrDq2kgz300C1Bq1tacFk6e-xX218cSXCQUK0"",""Form Responses 1!B:C""),2,FALSE),)"),"")</f>
        <v/>
      </c>
      <c r="F413" s="70" t="str">
        <f>IFERROR(__xludf.DUMMYFUNCTION("IFERROR(VLOOKUP(A413,IMPORTRANGE(""1fn2ECph_y8Uz78DhjLaiXcwgt6kh3oe-0Le36Uw0noE"",""Form Responses 1!B:C""),2,FALSE),)"),"")</f>
        <v/>
      </c>
      <c r="G413" s="70"/>
      <c r="H413" s="70"/>
      <c r="I413" s="70"/>
      <c r="J413" s="70"/>
      <c r="K413" s="70"/>
      <c r="L413" s="70"/>
      <c r="M413" s="70"/>
      <c r="N413" s="70"/>
      <c r="O413" s="70"/>
      <c r="P413" s="70"/>
      <c r="Q413" s="70" t="str">
        <f>IFERROR(__xludf.DUMMYFUNCTION("IFERROR(IF(COUNTIF(IMPORTRANGE(""1WjiLR_MTMxI_IZUKuvPO4Sg2rTSIqBzP3edakSRXbOA"",""Form Responses 1!B:B""),F413)&gt;0,10,),0)"),"")</f>
        <v/>
      </c>
      <c r="R413" s="70" t="str">
        <f>IFERROR(__xludf.DUMMYFUNCTION("IFERROR(VLOOKUP(F413,IMPORTRANGE(""1Ixzbal5tEbtWhozsFEppQzOYE6ZSrkNXHg_HW5k3Wt4"",""Form Responses 1!B:C""),2,FALSE),)"),"")</f>
        <v/>
      </c>
      <c r="S413" s="70" t="str">
        <f>IFERROR(__xludf.DUMMYFUNCTION("IFERROR(VLOOKUP(F413,IMPORTRANGE(""1zxjtEKGvVIJPIDqZdnxENwVpPXYa88EihzyI44hcQUo"",""Form Responses 1!B:C""),2,FALSE),)"),"")</f>
        <v/>
      </c>
      <c r="T413" s="70" t="str">
        <f>IFERROR(__xludf.DUMMYFUNCTION("IFERROR(VLOOKUP(F413,IMPORTRANGE(""1H3cO01obd5zFULYqaT5NAqecZBFFIHeDFn4CeQLZF3w"",""Form Responses 1!B:C""),2,FALSE),)"),"")</f>
        <v/>
      </c>
      <c r="U413" s="70" t="str">
        <f>IFERROR(__xludf.DUMMYFUNCTION("IFERROR(IF(COUNTIF(IMPORTRANGE(""1IG9qoa6PeLdDDFzKpW39lxXshN0-M8Z25a_R1EpsYyg"",""Form Responses 1!B:B""),F413)&gt;0,10,),0)"),"")</f>
        <v/>
      </c>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row>
    <row r="414">
      <c r="B414" s="70" t="str">
        <f>IFERROR(__xludf.DUMMYFUNCTION("IFERROR(IF(COUNTIF(IMPORTRANGE(""1RTcwEJsI_0aJRebhNwO_H_AoKl9r46k7hWYbtciIyM4"",""Form Responses 1!B:B""),A414)&gt;0,10,),0)"),"")</f>
        <v/>
      </c>
      <c r="C414" s="70" t="str">
        <f>IFERROR(__xludf.DUMMYFUNCTION("IFERROR(VLOOKUP(A414,IMPORTRANGE(""11i8IUhq_U6RRKRV3CBWIKqYed_fMvFgNUHTq1YDJfp8"",""Form Responses 1!B:C""),2,FALSE),)"),"")</f>
        <v/>
      </c>
      <c r="D414" s="70" t="str">
        <f>IFERROR(__xludf.DUMMYFUNCTION("IFERROR(VLOOKUP(A414,IMPORTRANGE(""1StiHxuxrFhYdrq5WLR2JMORicW0TbnJf3J-oTHeMRtM"",""Form Responses 1!B:C""),2,FALSE),)"),"")</f>
        <v/>
      </c>
      <c r="E414" s="70" t="str">
        <f>IFERROR(__xludf.DUMMYFUNCTION("IFERROR(VLOOKUP(A414,IMPORTRANGE(""1QaxxyUjrDq2kgz300C1Bq1tacFk6e-xX218cSXCQUK0"",""Form Responses 1!B:C""),2,FALSE),)"),"")</f>
        <v/>
      </c>
      <c r="F414" s="70" t="str">
        <f>IFERROR(__xludf.DUMMYFUNCTION("IFERROR(VLOOKUP(A414,IMPORTRANGE(""1fn2ECph_y8Uz78DhjLaiXcwgt6kh3oe-0Le36Uw0noE"",""Form Responses 1!B:C""),2,FALSE),)"),"")</f>
        <v/>
      </c>
      <c r="G414" s="70"/>
      <c r="H414" s="70"/>
      <c r="I414" s="70"/>
      <c r="J414" s="70"/>
      <c r="K414" s="70"/>
      <c r="L414" s="70"/>
      <c r="M414" s="70"/>
      <c r="N414" s="70"/>
      <c r="O414" s="70"/>
      <c r="P414" s="70"/>
      <c r="Q414" s="70" t="str">
        <f>IFERROR(__xludf.DUMMYFUNCTION("IFERROR(IF(COUNTIF(IMPORTRANGE(""1WjiLR_MTMxI_IZUKuvPO4Sg2rTSIqBzP3edakSRXbOA"",""Form Responses 1!B:B""),F414)&gt;0,10,),0)"),"")</f>
        <v/>
      </c>
      <c r="R414" s="70" t="str">
        <f>IFERROR(__xludf.DUMMYFUNCTION("IFERROR(VLOOKUP(F414,IMPORTRANGE(""1Ixzbal5tEbtWhozsFEppQzOYE6ZSrkNXHg_HW5k3Wt4"",""Form Responses 1!B:C""),2,FALSE),)"),"")</f>
        <v/>
      </c>
      <c r="S414" s="70" t="str">
        <f>IFERROR(__xludf.DUMMYFUNCTION("IFERROR(VLOOKUP(F414,IMPORTRANGE(""1zxjtEKGvVIJPIDqZdnxENwVpPXYa88EihzyI44hcQUo"",""Form Responses 1!B:C""),2,FALSE),)"),"")</f>
        <v/>
      </c>
      <c r="T414" s="70" t="str">
        <f>IFERROR(__xludf.DUMMYFUNCTION("IFERROR(VLOOKUP(F414,IMPORTRANGE(""1H3cO01obd5zFULYqaT5NAqecZBFFIHeDFn4CeQLZF3w"",""Form Responses 1!B:C""),2,FALSE),)"),"")</f>
        <v/>
      </c>
      <c r="U414" s="70" t="str">
        <f>IFERROR(__xludf.DUMMYFUNCTION("IFERROR(IF(COUNTIF(IMPORTRANGE(""1IG9qoa6PeLdDDFzKpW39lxXshN0-M8Z25a_R1EpsYyg"",""Form Responses 1!B:B""),F414)&gt;0,10,),0)"),"")</f>
        <v/>
      </c>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row>
    <row r="415">
      <c r="B415" s="70" t="str">
        <f>IFERROR(__xludf.DUMMYFUNCTION("IFERROR(IF(COUNTIF(IMPORTRANGE(""1RTcwEJsI_0aJRebhNwO_H_AoKl9r46k7hWYbtciIyM4"",""Form Responses 1!B:B""),A415)&gt;0,10,),0)"),"")</f>
        <v/>
      </c>
      <c r="C415" s="70" t="str">
        <f>IFERROR(__xludf.DUMMYFUNCTION("IFERROR(VLOOKUP(A415,IMPORTRANGE(""11i8IUhq_U6RRKRV3CBWIKqYed_fMvFgNUHTq1YDJfp8"",""Form Responses 1!B:C""),2,FALSE),)"),"")</f>
        <v/>
      </c>
      <c r="D415" s="70" t="str">
        <f>IFERROR(__xludf.DUMMYFUNCTION("IFERROR(VLOOKUP(A415,IMPORTRANGE(""1StiHxuxrFhYdrq5WLR2JMORicW0TbnJf3J-oTHeMRtM"",""Form Responses 1!B:C""),2,FALSE),)"),"")</f>
        <v/>
      </c>
      <c r="E415" s="70" t="str">
        <f>IFERROR(__xludf.DUMMYFUNCTION("IFERROR(VLOOKUP(A415,IMPORTRANGE(""1QaxxyUjrDq2kgz300C1Bq1tacFk6e-xX218cSXCQUK0"",""Form Responses 1!B:C""),2,FALSE),)"),"")</f>
        <v/>
      </c>
      <c r="F415" s="70" t="str">
        <f>IFERROR(__xludf.DUMMYFUNCTION("IFERROR(VLOOKUP(A415,IMPORTRANGE(""1fn2ECph_y8Uz78DhjLaiXcwgt6kh3oe-0Le36Uw0noE"",""Form Responses 1!B:C""),2,FALSE),)"),"")</f>
        <v/>
      </c>
      <c r="G415" s="70"/>
      <c r="H415" s="70"/>
      <c r="I415" s="70"/>
      <c r="J415" s="70"/>
      <c r="K415" s="70"/>
      <c r="L415" s="70"/>
      <c r="M415" s="70"/>
      <c r="N415" s="70"/>
      <c r="O415" s="70"/>
      <c r="P415" s="70"/>
      <c r="Q415" s="70" t="str">
        <f>IFERROR(__xludf.DUMMYFUNCTION("IFERROR(IF(COUNTIF(IMPORTRANGE(""1WjiLR_MTMxI_IZUKuvPO4Sg2rTSIqBzP3edakSRXbOA"",""Form Responses 1!B:B""),F415)&gt;0,10,),0)"),"")</f>
        <v/>
      </c>
      <c r="R415" s="70" t="str">
        <f>IFERROR(__xludf.DUMMYFUNCTION("IFERROR(VLOOKUP(F415,IMPORTRANGE(""1Ixzbal5tEbtWhozsFEppQzOYE6ZSrkNXHg_HW5k3Wt4"",""Form Responses 1!B:C""),2,FALSE),)"),"")</f>
        <v/>
      </c>
      <c r="S415" s="70" t="str">
        <f>IFERROR(__xludf.DUMMYFUNCTION("IFERROR(VLOOKUP(F415,IMPORTRANGE(""1zxjtEKGvVIJPIDqZdnxENwVpPXYa88EihzyI44hcQUo"",""Form Responses 1!B:C""),2,FALSE),)"),"")</f>
        <v/>
      </c>
      <c r="T415" s="70" t="str">
        <f>IFERROR(__xludf.DUMMYFUNCTION("IFERROR(VLOOKUP(F415,IMPORTRANGE(""1H3cO01obd5zFULYqaT5NAqecZBFFIHeDFn4CeQLZF3w"",""Form Responses 1!B:C""),2,FALSE),)"),"")</f>
        <v/>
      </c>
      <c r="U415" s="70" t="str">
        <f>IFERROR(__xludf.DUMMYFUNCTION("IFERROR(IF(COUNTIF(IMPORTRANGE(""1IG9qoa6PeLdDDFzKpW39lxXshN0-M8Z25a_R1EpsYyg"",""Form Responses 1!B:B""),F415)&gt;0,10,),0)"),"")</f>
        <v/>
      </c>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row>
    <row r="416">
      <c r="B416" s="70" t="str">
        <f>IFERROR(__xludf.DUMMYFUNCTION("IFERROR(IF(COUNTIF(IMPORTRANGE(""1RTcwEJsI_0aJRebhNwO_H_AoKl9r46k7hWYbtciIyM4"",""Form Responses 1!B:B""),A416)&gt;0,10,),0)"),"")</f>
        <v/>
      </c>
      <c r="C416" s="70" t="str">
        <f>IFERROR(__xludf.DUMMYFUNCTION("IFERROR(VLOOKUP(A416,IMPORTRANGE(""11i8IUhq_U6RRKRV3CBWIKqYed_fMvFgNUHTq1YDJfp8"",""Form Responses 1!B:C""),2,FALSE),)"),"")</f>
        <v/>
      </c>
      <c r="D416" s="70" t="str">
        <f>IFERROR(__xludf.DUMMYFUNCTION("IFERROR(VLOOKUP(A416,IMPORTRANGE(""1StiHxuxrFhYdrq5WLR2JMORicW0TbnJf3J-oTHeMRtM"",""Form Responses 1!B:C""),2,FALSE),)"),"")</f>
        <v/>
      </c>
      <c r="E416" s="70" t="str">
        <f>IFERROR(__xludf.DUMMYFUNCTION("IFERROR(VLOOKUP(A416,IMPORTRANGE(""1QaxxyUjrDq2kgz300C1Bq1tacFk6e-xX218cSXCQUK0"",""Form Responses 1!B:C""),2,FALSE),)"),"")</f>
        <v/>
      </c>
      <c r="F416" s="70" t="str">
        <f>IFERROR(__xludf.DUMMYFUNCTION("IFERROR(VLOOKUP(A416,IMPORTRANGE(""1fn2ECph_y8Uz78DhjLaiXcwgt6kh3oe-0Le36Uw0noE"",""Form Responses 1!B:C""),2,FALSE),)"),"")</f>
        <v/>
      </c>
      <c r="G416" s="70"/>
      <c r="H416" s="70"/>
      <c r="I416" s="70"/>
      <c r="J416" s="70"/>
      <c r="K416" s="70"/>
      <c r="L416" s="70"/>
      <c r="M416" s="70"/>
      <c r="N416" s="70"/>
      <c r="O416" s="70"/>
      <c r="P416" s="70"/>
      <c r="Q416" s="70" t="str">
        <f>IFERROR(__xludf.DUMMYFUNCTION("IFERROR(IF(COUNTIF(IMPORTRANGE(""1WjiLR_MTMxI_IZUKuvPO4Sg2rTSIqBzP3edakSRXbOA"",""Form Responses 1!B:B""),F416)&gt;0,10,),0)"),"")</f>
        <v/>
      </c>
      <c r="R416" s="70" t="str">
        <f>IFERROR(__xludf.DUMMYFUNCTION("IFERROR(VLOOKUP(F416,IMPORTRANGE(""1Ixzbal5tEbtWhozsFEppQzOYE6ZSrkNXHg_HW5k3Wt4"",""Form Responses 1!B:C""),2,FALSE),)"),"")</f>
        <v/>
      </c>
      <c r="S416" s="70" t="str">
        <f>IFERROR(__xludf.DUMMYFUNCTION("IFERROR(VLOOKUP(F416,IMPORTRANGE(""1zxjtEKGvVIJPIDqZdnxENwVpPXYa88EihzyI44hcQUo"",""Form Responses 1!B:C""),2,FALSE),)"),"")</f>
        <v/>
      </c>
      <c r="T416" s="70" t="str">
        <f>IFERROR(__xludf.DUMMYFUNCTION("IFERROR(VLOOKUP(F416,IMPORTRANGE(""1H3cO01obd5zFULYqaT5NAqecZBFFIHeDFn4CeQLZF3w"",""Form Responses 1!B:C""),2,FALSE),)"),"")</f>
        <v/>
      </c>
      <c r="U416" s="70" t="str">
        <f>IFERROR(__xludf.DUMMYFUNCTION("IFERROR(IF(COUNTIF(IMPORTRANGE(""1IG9qoa6PeLdDDFzKpW39lxXshN0-M8Z25a_R1EpsYyg"",""Form Responses 1!B:B""),F416)&gt;0,10,),0)"),"")</f>
        <v/>
      </c>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row>
    <row r="417">
      <c r="B417" s="70" t="str">
        <f>IFERROR(__xludf.DUMMYFUNCTION("IFERROR(IF(COUNTIF(IMPORTRANGE(""1RTcwEJsI_0aJRebhNwO_H_AoKl9r46k7hWYbtciIyM4"",""Form Responses 1!B:B""),A417)&gt;0,10,),0)"),"")</f>
        <v/>
      </c>
      <c r="C417" s="70" t="str">
        <f>IFERROR(__xludf.DUMMYFUNCTION("IFERROR(VLOOKUP(A417,IMPORTRANGE(""11i8IUhq_U6RRKRV3CBWIKqYed_fMvFgNUHTq1YDJfp8"",""Form Responses 1!B:C""),2,FALSE),)"),"")</f>
        <v/>
      </c>
      <c r="D417" s="70" t="str">
        <f>IFERROR(__xludf.DUMMYFUNCTION("IFERROR(VLOOKUP(A417,IMPORTRANGE(""1StiHxuxrFhYdrq5WLR2JMORicW0TbnJf3J-oTHeMRtM"",""Form Responses 1!B:C""),2,FALSE),)"),"")</f>
        <v/>
      </c>
      <c r="E417" s="70" t="str">
        <f>IFERROR(__xludf.DUMMYFUNCTION("IFERROR(VLOOKUP(A417,IMPORTRANGE(""1QaxxyUjrDq2kgz300C1Bq1tacFk6e-xX218cSXCQUK0"",""Form Responses 1!B:C""),2,FALSE),)"),"")</f>
        <v/>
      </c>
      <c r="F417" s="70" t="str">
        <f>IFERROR(__xludf.DUMMYFUNCTION("IFERROR(VLOOKUP(A417,IMPORTRANGE(""1fn2ECph_y8Uz78DhjLaiXcwgt6kh3oe-0Le36Uw0noE"",""Form Responses 1!B:C""),2,FALSE),)"),"")</f>
        <v/>
      </c>
      <c r="G417" s="70"/>
      <c r="H417" s="70"/>
      <c r="I417" s="70"/>
      <c r="J417" s="70"/>
      <c r="K417" s="70"/>
      <c r="L417" s="70"/>
      <c r="M417" s="70"/>
      <c r="N417" s="70"/>
      <c r="O417" s="70"/>
      <c r="P417" s="70"/>
      <c r="Q417" s="70" t="str">
        <f>IFERROR(__xludf.DUMMYFUNCTION("IFERROR(IF(COUNTIF(IMPORTRANGE(""1WjiLR_MTMxI_IZUKuvPO4Sg2rTSIqBzP3edakSRXbOA"",""Form Responses 1!B:B""),F417)&gt;0,10,),0)"),"")</f>
        <v/>
      </c>
      <c r="R417" s="70" t="str">
        <f>IFERROR(__xludf.DUMMYFUNCTION("IFERROR(VLOOKUP(F417,IMPORTRANGE(""1Ixzbal5tEbtWhozsFEppQzOYE6ZSrkNXHg_HW5k3Wt4"",""Form Responses 1!B:C""),2,FALSE),)"),"")</f>
        <v/>
      </c>
      <c r="S417" s="70" t="str">
        <f>IFERROR(__xludf.DUMMYFUNCTION("IFERROR(VLOOKUP(F417,IMPORTRANGE(""1zxjtEKGvVIJPIDqZdnxENwVpPXYa88EihzyI44hcQUo"",""Form Responses 1!B:C""),2,FALSE),)"),"")</f>
        <v/>
      </c>
      <c r="T417" s="70" t="str">
        <f>IFERROR(__xludf.DUMMYFUNCTION("IFERROR(VLOOKUP(F417,IMPORTRANGE(""1H3cO01obd5zFULYqaT5NAqecZBFFIHeDFn4CeQLZF3w"",""Form Responses 1!B:C""),2,FALSE),)"),"")</f>
        <v/>
      </c>
      <c r="U417" s="70" t="str">
        <f>IFERROR(__xludf.DUMMYFUNCTION("IFERROR(IF(COUNTIF(IMPORTRANGE(""1IG9qoa6PeLdDDFzKpW39lxXshN0-M8Z25a_R1EpsYyg"",""Form Responses 1!B:B""),F417)&gt;0,10,),0)"),"")</f>
        <v/>
      </c>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row>
    <row r="418">
      <c r="B418" s="70" t="str">
        <f>IFERROR(__xludf.DUMMYFUNCTION("IFERROR(IF(COUNTIF(IMPORTRANGE(""1RTcwEJsI_0aJRebhNwO_H_AoKl9r46k7hWYbtciIyM4"",""Form Responses 1!B:B""),A418)&gt;0,10,),0)"),"")</f>
        <v/>
      </c>
      <c r="C418" s="70" t="str">
        <f>IFERROR(__xludf.DUMMYFUNCTION("IFERROR(VLOOKUP(A418,IMPORTRANGE(""11i8IUhq_U6RRKRV3CBWIKqYed_fMvFgNUHTq1YDJfp8"",""Form Responses 1!B:C""),2,FALSE),)"),"")</f>
        <v/>
      </c>
      <c r="D418" s="70" t="str">
        <f>IFERROR(__xludf.DUMMYFUNCTION("IFERROR(VLOOKUP(A418,IMPORTRANGE(""1StiHxuxrFhYdrq5WLR2JMORicW0TbnJf3J-oTHeMRtM"",""Form Responses 1!B:C""),2,FALSE),)"),"")</f>
        <v/>
      </c>
      <c r="E418" s="70" t="str">
        <f>IFERROR(__xludf.DUMMYFUNCTION("IFERROR(VLOOKUP(A418,IMPORTRANGE(""1QaxxyUjrDq2kgz300C1Bq1tacFk6e-xX218cSXCQUK0"",""Form Responses 1!B:C""),2,FALSE),)"),"")</f>
        <v/>
      </c>
      <c r="F418" s="70" t="str">
        <f>IFERROR(__xludf.DUMMYFUNCTION("IFERROR(VLOOKUP(A418,IMPORTRANGE(""1fn2ECph_y8Uz78DhjLaiXcwgt6kh3oe-0Le36Uw0noE"",""Form Responses 1!B:C""),2,FALSE),)"),"")</f>
        <v/>
      </c>
      <c r="G418" s="70"/>
      <c r="H418" s="70"/>
      <c r="I418" s="70"/>
      <c r="J418" s="70"/>
      <c r="K418" s="70"/>
      <c r="L418" s="70"/>
      <c r="M418" s="70"/>
      <c r="N418" s="70"/>
      <c r="O418" s="70"/>
      <c r="P418" s="70"/>
      <c r="Q418" s="70" t="str">
        <f>IFERROR(__xludf.DUMMYFUNCTION("IFERROR(IF(COUNTIF(IMPORTRANGE(""1WjiLR_MTMxI_IZUKuvPO4Sg2rTSIqBzP3edakSRXbOA"",""Form Responses 1!B:B""),F418)&gt;0,10,),0)"),"")</f>
        <v/>
      </c>
      <c r="R418" s="70" t="str">
        <f>IFERROR(__xludf.DUMMYFUNCTION("IFERROR(VLOOKUP(F418,IMPORTRANGE(""1Ixzbal5tEbtWhozsFEppQzOYE6ZSrkNXHg_HW5k3Wt4"",""Form Responses 1!B:C""),2,FALSE),)"),"")</f>
        <v/>
      </c>
      <c r="S418" s="70" t="str">
        <f>IFERROR(__xludf.DUMMYFUNCTION("IFERROR(VLOOKUP(F418,IMPORTRANGE(""1zxjtEKGvVIJPIDqZdnxENwVpPXYa88EihzyI44hcQUo"",""Form Responses 1!B:C""),2,FALSE),)"),"")</f>
        <v/>
      </c>
      <c r="T418" s="70" t="str">
        <f>IFERROR(__xludf.DUMMYFUNCTION("IFERROR(VLOOKUP(F418,IMPORTRANGE(""1H3cO01obd5zFULYqaT5NAqecZBFFIHeDFn4CeQLZF3w"",""Form Responses 1!B:C""),2,FALSE),)"),"")</f>
        <v/>
      </c>
      <c r="U418" s="70" t="str">
        <f>IFERROR(__xludf.DUMMYFUNCTION("IFERROR(IF(COUNTIF(IMPORTRANGE(""1IG9qoa6PeLdDDFzKpW39lxXshN0-M8Z25a_R1EpsYyg"",""Form Responses 1!B:B""),F418)&gt;0,10,),0)"),"")</f>
        <v/>
      </c>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row>
    <row r="419">
      <c r="B419" s="70" t="str">
        <f>IFERROR(__xludf.DUMMYFUNCTION("IFERROR(IF(COUNTIF(IMPORTRANGE(""1RTcwEJsI_0aJRebhNwO_H_AoKl9r46k7hWYbtciIyM4"",""Form Responses 1!B:B""),A419)&gt;0,10,),0)"),"")</f>
        <v/>
      </c>
      <c r="C419" s="70" t="str">
        <f>IFERROR(__xludf.DUMMYFUNCTION("IFERROR(VLOOKUP(A419,IMPORTRANGE(""11i8IUhq_U6RRKRV3CBWIKqYed_fMvFgNUHTq1YDJfp8"",""Form Responses 1!B:C""),2,FALSE),)"),"")</f>
        <v/>
      </c>
      <c r="D419" s="70" t="str">
        <f>IFERROR(__xludf.DUMMYFUNCTION("IFERROR(VLOOKUP(A419,IMPORTRANGE(""1StiHxuxrFhYdrq5WLR2JMORicW0TbnJf3J-oTHeMRtM"",""Form Responses 1!B:C""),2,FALSE),)"),"")</f>
        <v/>
      </c>
      <c r="E419" s="70" t="str">
        <f>IFERROR(__xludf.DUMMYFUNCTION("IFERROR(VLOOKUP(A419,IMPORTRANGE(""1QaxxyUjrDq2kgz300C1Bq1tacFk6e-xX218cSXCQUK0"",""Form Responses 1!B:C""),2,FALSE),)"),"")</f>
        <v/>
      </c>
      <c r="F419" s="70" t="str">
        <f>IFERROR(__xludf.DUMMYFUNCTION("IFERROR(VLOOKUP(A419,IMPORTRANGE(""1fn2ECph_y8Uz78DhjLaiXcwgt6kh3oe-0Le36Uw0noE"",""Form Responses 1!B:C""),2,FALSE),)"),"")</f>
        <v/>
      </c>
      <c r="G419" s="70"/>
      <c r="H419" s="70"/>
      <c r="I419" s="70"/>
      <c r="J419" s="70"/>
      <c r="K419" s="70"/>
      <c r="L419" s="70"/>
      <c r="M419" s="70"/>
      <c r="N419" s="70"/>
      <c r="O419" s="70"/>
      <c r="P419" s="70"/>
      <c r="Q419" s="70" t="str">
        <f>IFERROR(__xludf.DUMMYFUNCTION("IFERROR(IF(COUNTIF(IMPORTRANGE(""1WjiLR_MTMxI_IZUKuvPO4Sg2rTSIqBzP3edakSRXbOA"",""Form Responses 1!B:B""),F419)&gt;0,10,),0)"),"")</f>
        <v/>
      </c>
      <c r="R419" s="70" t="str">
        <f>IFERROR(__xludf.DUMMYFUNCTION("IFERROR(VLOOKUP(F419,IMPORTRANGE(""1Ixzbal5tEbtWhozsFEppQzOYE6ZSrkNXHg_HW5k3Wt4"",""Form Responses 1!B:C""),2,FALSE),)"),"")</f>
        <v/>
      </c>
      <c r="S419" s="70" t="str">
        <f>IFERROR(__xludf.DUMMYFUNCTION("IFERROR(VLOOKUP(F419,IMPORTRANGE(""1zxjtEKGvVIJPIDqZdnxENwVpPXYa88EihzyI44hcQUo"",""Form Responses 1!B:C""),2,FALSE),)"),"")</f>
        <v/>
      </c>
      <c r="T419" s="70" t="str">
        <f>IFERROR(__xludf.DUMMYFUNCTION("IFERROR(VLOOKUP(F419,IMPORTRANGE(""1H3cO01obd5zFULYqaT5NAqecZBFFIHeDFn4CeQLZF3w"",""Form Responses 1!B:C""),2,FALSE),)"),"")</f>
        <v/>
      </c>
      <c r="U419" s="70" t="str">
        <f>IFERROR(__xludf.DUMMYFUNCTION("IFERROR(IF(COUNTIF(IMPORTRANGE(""1IG9qoa6PeLdDDFzKpW39lxXshN0-M8Z25a_R1EpsYyg"",""Form Responses 1!B:B""),F419)&gt;0,10,),0)"),"")</f>
        <v/>
      </c>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row>
    <row r="420">
      <c r="B420" s="70" t="str">
        <f>IFERROR(__xludf.DUMMYFUNCTION("IFERROR(IF(COUNTIF(IMPORTRANGE(""1RTcwEJsI_0aJRebhNwO_H_AoKl9r46k7hWYbtciIyM4"",""Form Responses 1!B:B""),A420)&gt;0,10,),0)"),"")</f>
        <v/>
      </c>
      <c r="C420" s="70" t="str">
        <f>IFERROR(__xludf.DUMMYFUNCTION("IFERROR(VLOOKUP(A420,IMPORTRANGE(""11i8IUhq_U6RRKRV3CBWIKqYed_fMvFgNUHTq1YDJfp8"",""Form Responses 1!B:C""),2,FALSE),)"),"")</f>
        <v/>
      </c>
      <c r="D420" s="70" t="str">
        <f>IFERROR(__xludf.DUMMYFUNCTION("IFERROR(VLOOKUP(A420,IMPORTRANGE(""1StiHxuxrFhYdrq5WLR2JMORicW0TbnJf3J-oTHeMRtM"",""Form Responses 1!B:C""),2,FALSE),)"),"")</f>
        <v/>
      </c>
      <c r="E420" s="70" t="str">
        <f>IFERROR(__xludf.DUMMYFUNCTION("IFERROR(VLOOKUP(A420,IMPORTRANGE(""1QaxxyUjrDq2kgz300C1Bq1tacFk6e-xX218cSXCQUK0"",""Form Responses 1!B:C""),2,FALSE),)"),"")</f>
        <v/>
      </c>
      <c r="F420" s="70" t="str">
        <f>IFERROR(__xludf.DUMMYFUNCTION("IFERROR(VLOOKUP(A420,IMPORTRANGE(""1fn2ECph_y8Uz78DhjLaiXcwgt6kh3oe-0Le36Uw0noE"",""Form Responses 1!B:C""),2,FALSE),)"),"")</f>
        <v/>
      </c>
      <c r="G420" s="70"/>
      <c r="H420" s="70"/>
      <c r="I420" s="70"/>
      <c r="J420" s="70"/>
      <c r="K420" s="70"/>
      <c r="L420" s="70"/>
      <c r="M420" s="70"/>
      <c r="N420" s="70"/>
      <c r="O420" s="70"/>
      <c r="P420" s="70"/>
      <c r="Q420" s="70" t="str">
        <f>IFERROR(__xludf.DUMMYFUNCTION("IFERROR(IF(COUNTIF(IMPORTRANGE(""1WjiLR_MTMxI_IZUKuvPO4Sg2rTSIqBzP3edakSRXbOA"",""Form Responses 1!B:B""),F420)&gt;0,10,),0)"),"")</f>
        <v/>
      </c>
      <c r="R420" s="70" t="str">
        <f>IFERROR(__xludf.DUMMYFUNCTION("IFERROR(VLOOKUP(F420,IMPORTRANGE(""1Ixzbal5tEbtWhozsFEppQzOYE6ZSrkNXHg_HW5k3Wt4"",""Form Responses 1!B:C""),2,FALSE),)"),"")</f>
        <v/>
      </c>
      <c r="S420" s="70" t="str">
        <f>IFERROR(__xludf.DUMMYFUNCTION("IFERROR(VLOOKUP(F420,IMPORTRANGE(""1zxjtEKGvVIJPIDqZdnxENwVpPXYa88EihzyI44hcQUo"",""Form Responses 1!B:C""),2,FALSE),)"),"")</f>
        <v/>
      </c>
      <c r="T420" s="70" t="str">
        <f>IFERROR(__xludf.DUMMYFUNCTION("IFERROR(VLOOKUP(F420,IMPORTRANGE(""1H3cO01obd5zFULYqaT5NAqecZBFFIHeDFn4CeQLZF3w"",""Form Responses 1!B:C""),2,FALSE),)"),"")</f>
        <v/>
      </c>
      <c r="U420" s="70" t="str">
        <f>IFERROR(__xludf.DUMMYFUNCTION("IFERROR(IF(COUNTIF(IMPORTRANGE(""1IG9qoa6PeLdDDFzKpW39lxXshN0-M8Z25a_R1EpsYyg"",""Form Responses 1!B:B""),F420)&gt;0,10,),0)"),"")</f>
        <v/>
      </c>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row>
    <row r="421">
      <c r="B421" s="70" t="str">
        <f>IFERROR(__xludf.DUMMYFUNCTION("IFERROR(IF(COUNTIF(IMPORTRANGE(""1RTcwEJsI_0aJRebhNwO_H_AoKl9r46k7hWYbtciIyM4"",""Form Responses 1!B:B""),A421)&gt;0,10,),0)"),"")</f>
        <v/>
      </c>
      <c r="C421" s="70" t="str">
        <f>IFERROR(__xludf.DUMMYFUNCTION("IFERROR(VLOOKUP(A421,IMPORTRANGE(""11i8IUhq_U6RRKRV3CBWIKqYed_fMvFgNUHTq1YDJfp8"",""Form Responses 1!B:C""),2,FALSE),)"),"")</f>
        <v/>
      </c>
      <c r="D421" s="70" t="str">
        <f>IFERROR(__xludf.DUMMYFUNCTION("IFERROR(VLOOKUP(A421,IMPORTRANGE(""1StiHxuxrFhYdrq5WLR2JMORicW0TbnJf3J-oTHeMRtM"",""Form Responses 1!B:C""),2,FALSE),)"),"")</f>
        <v/>
      </c>
      <c r="E421" s="70" t="str">
        <f>IFERROR(__xludf.DUMMYFUNCTION("IFERROR(VLOOKUP(A421,IMPORTRANGE(""1QaxxyUjrDq2kgz300C1Bq1tacFk6e-xX218cSXCQUK0"",""Form Responses 1!B:C""),2,FALSE),)"),"")</f>
        <v/>
      </c>
      <c r="F421" s="70" t="str">
        <f>IFERROR(__xludf.DUMMYFUNCTION("IFERROR(VLOOKUP(A421,IMPORTRANGE(""1fn2ECph_y8Uz78DhjLaiXcwgt6kh3oe-0Le36Uw0noE"",""Form Responses 1!B:C""),2,FALSE),)"),"")</f>
        <v/>
      </c>
      <c r="G421" s="70"/>
      <c r="H421" s="70"/>
      <c r="I421" s="70"/>
      <c r="J421" s="70"/>
      <c r="K421" s="70"/>
      <c r="L421" s="70"/>
      <c r="M421" s="70"/>
      <c r="N421" s="70"/>
      <c r="O421" s="70"/>
      <c r="P421" s="70"/>
      <c r="Q421" s="70" t="str">
        <f>IFERROR(__xludf.DUMMYFUNCTION("IFERROR(IF(COUNTIF(IMPORTRANGE(""1WjiLR_MTMxI_IZUKuvPO4Sg2rTSIqBzP3edakSRXbOA"",""Form Responses 1!B:B""),F421)&gt;0,10,),0)"),"")</f>
        <v/>
      </c>
      <c r="R421" s="70" t="str">
        <f>IFERROR(__xludf.DUMMYFUNCTION("IFERROR(VLOOKUP(F421,IMPORTRANGE(""1Ixzbal5tEbtWhozsFEppQzOYE6ZSrkNXHg_HW5k3Wt4"",""Form Responses 1!B:C""),2,FALSE),)"),"")</f>
        <v/>
      </c>
      <c r="S421" s="70" t="str">
        <f>IFERROR(__xludf.DUMMYFUNCTION("IFERROR(VLOOKUP(F421,IMPORTRANGE(""1zxjtEKGvVIJPIDqZdnxENwVpPXYa88EihzyI44hcQUo"",""Form Responses 1!B:C""),2,FALSE),)"),"")</f>
        <v/>
      </c>
      <c r="T421" s="70" t="str">
        <f>IFERROR(__xludf.DUMMYFUNCTION("IFERROR(VLOOKUP(F421,IMPORTRANGE(""1H3cO01obd5zFULYqaT5NAqecZBFFIHeDFn4CeQLZF3w"",""Form Responses 1!B:C""),2,FALSE),)"),"")</f>
        <v/>
      </c>
      <c r="U421" s="70" t="str">
        <f>IFERROR(__xludf.DUMMYFUNCTION("IFERROR(IF(COUNTIF(IMPORTRANGE(""1IG9qoa6PeLdDDFzKpW39lxXshN0-M8Z25a_R1EpsYyg"",""Form Responses 1!B:B""),F421)&gt;0,10,),0)"),"")</f>
        <v/>
      </c>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row>
    <row r="422">
      <c r="B422" s="70" t="str">
        <f>IFERROR(__xludf.DUMMYFUNCTION("IFERROR(IF(COUNTIF(IMPORTRANGE(""1RTcwEJsI_0aJRebhNwO_H_AoKl9r46k7hWYbtciIyM4"",""Form Responses 1!B:B""),A422)&gt;0,10,),0)"),"")</f>
        <v/>
      </c>
      <c r="C422" s="70" t="str">
        <f>IFERROR(__xludf.DUMMYFUNCTION("IFERROR(VLOOKUP(A422,IMPORTRANGE(""11i8IUhq_U6RRKRV3CBWIKqYed_fMvFgNUHTq1YDJfp8"",""Form Responses 1!B:C""),2,FALSE),)"),"")</f>
        <v/>
      </c>
      <c r="D422" s="70" t="str">
        <f>IFERROR(__xludf.DUMMYFUNCTION("IFERROR(VLOOKUP(A422,IMPORTRANGE(""1StiHxuxrFhYdrq5WLR2JMORicW0TbnJf3J-oTHeMRtM"",""Form Responses 1!B:C""),2,FALSE),)"),"")</f>
        <v/>
      </c>
      <c r="E422" s="70" t="str">
        <f>IFERROR(__xludf.DUMMYFUNCTION("IFERROR(VLOOKUP(A422,IMPORTRANGE(""1QaxxyUjrDq2kgz300C1Bq1tacFk6e-xX218cSXCQUK0"",""Form Responses 1!B:C""),2,FALSE),)"),"")</f>
        <v/>
      </c>
      <c r="F422" s="70" t="str">
        <f>IFERROR(__xludf.DUMMYFUNCTION("IFERROR(VLOOKUP(A422,IMPORTRANGE(""1fn2ECph_y8Uz78DhjLaiXcwgt6kh3oe-0Le36Uw0noE"",""Form Responses 1!B:C""),2,FALSE),)"),"")</f>
        <v/>
      </c>
      <c r="G422" s="70"/>
      <c r="H422" s="70"/>
      <c r="I422" s="70"/>
      <c r="J422" s="70"/>
      <c r="K422" s="70"/>
      <c r="L422" s="70"/>
      <c r="M422" s="70"/>
      <c r="N422" s="70"/>
      <c r="O422" s="70"/>
      <c r="P422" s="70"/>
      <c r="Q422" s="70" t="str">
        <f>IFERROR(__xludf.DUMMYFUNCTION("IFERROR(IF(COUNTIF(IMPORTRANGE(""1WjiLR_MTMxI_IZUKuvPO4Sg2rTSIqBzP3edakSRXbOA"",""Form Responses 1!B:B""),F422)&gt;0,10,),0)"),"")</f>
        <v/>
      </c>
      <c r="R422" s="70" t="str">
        <f>IFERROR(__xludf.DUMMYFUNCTION("IFERROR(VLOOKUP(F422,IMPORTRANGE(""1Ixzbal5tEbtWhozsFEppQzOYE6ZSrkNXHg_HW5k3Wt4"",""Form Responses 1!B:C""),2,FALSE),)"),"")</f>
        <v/>
      </c>
      <c r="S422" s="70" t="str">
        <f>IFERROR(__xludf.DUMMYFUNCTION("IFERROR(VLOOKUP(F422,IMPORTRANGE(""1zxjtEKGvVIJPIDqZdnxENwVpPXYa88EihzyI44hcQUo"",""Form Responses 1!B:C""),2,FALSE),)"),"")</f>
        <v/>
      </c>
      <c r="T422" s="70" t="str">
        <f>IFERROR(__xludf.DUMMYFUNCTION("IFERROR(VLOOKUP(F422,IMPORTRANGE(""1H3cO01obd5zFULYqaT5NAqecZBFFIHeDFn4CeQLZF3w"",""Form Responses 1!B:C""),2,FALSE),)"),"")</f>
        <v/>
      </c>
      <c r="U422" s="70" t="str">
        <f>IFERROR(__xludf.DUMMYFUNCTION("IFERROR(IF(COUNTIF(IMPORTRANGE(""1IG9qoa6PeLdDDFzKpW39lxXshN0-M8Z25a_R1EpsYyg"",""Form Responses 1!B:B""),F422)&gt;0,10,),0)"),"")</f>
        <v/>
      </c>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row>
    <row r="423">
      <c r="B423" s="70" t="str">
        <f>IFERROR(__xludf.DUMMYFUNCTION("IFERROR(IF(COUNTIF(IMPORTRANGE(""1RTcwEJsI_0aJRebhNwO_H_AoKl9r46k7hWYbtciIyM4"",""Form Responses 1!B:B""),A423)&gt;0,10,),0)"),"")</f>
        <v/>
      </c>
      <c r="C423" s="70" t="str">
        <f>IFERROR(__xludf.DUMMYFUNCTION("IFERROR(VLOOKUP(A423,IMPORTRANGE(""11i8IUhq_U6RRKRV3CBWIKqYed_fMvFgNUHTq1YDJfp8"",""Form Responses 1!B:C""),2,FALSE),)"),"")</f>
        <v/>
      </c>
      <c r="D423" s="70" t="str">
        <f>IFERROR(__xludf.DUMMYFUNCTION("IFERROR(VLOOKUP(A423,IMPORTRANGE(""1StiHxuxrFhYdrq5WLR2JMORicW0TbnJf3J-oTHeMRtM"",""Form Responses 1!B:C""),2,FALSE),)"),"")</f>
        <v/>
      </c>
      <c r="E423" s="70" t="str">
        <f>IFERROR(__xludf.DUMMYFUNCTION("IFERROR(VLOOKUP(A423,IMPORTRANGE(""1QaxxyUjrDq2kgz300C1Bq1tacFk6e-xX218cSXCQUK0"",""Form Responses 1!B:C""),2,FALSE),)"),"")</f>
        <v/>
      </c>
      <c r="F423" s="70" t="str">
        <f>IFERROR(__xludf.DUMMYFUNCTION("IFERROR(VLOOKUP(A423,IMPORTRANGE(""1fn2ECph_y8Uz78DhjLaiXcwgt6kh3oe-0Le36Uw0noE"",""Form Responses 1!B:C""),2,FALSE),)"),"")</f>
        <v/>
      </c>
      <c r="G423" s="70"/>
      <c r="H423" s="70"/>
      <c r="I423" s="70"/>
      <c r="J423" s="70"/>
      <c r="K423" s="70"/>
      <c r="L423" s="70"/>
      <c r="M423" s="70"/>
      <c r="N423" s="70"/>
      <c r="O423" s="70"/>
      <c r="P423" s="70"/>
      <c r="Q423" s="70" t="str">
        <f>IFERROR(__xludf.DUMMYFUNCTION("IFERROR(IF(COUNTIF(IMPORTRANGE(""1WjiLR_MTMxI_IZUKuvPO4Sg2rTSIqBzP3edakSRXbOA"",""Form Responses 1!B:B""),F423)&gt;0,10,),0)"),"")</f>
        <v/>
      </c>
      <c r="R423" s="70" t="str">
        <f>IFERROR(__xludf.DUMMYFUNCTION("IFERROR(VLOOKUP(F423,IMPORTRANGE(""1Ixzbal5tEbtWhozsFEppQzOYE6ZSrkNXHg_HW5k3Wt4"",""Form Responses 1!B:C""),2,FALSE),)"),"")</f>
        <v/>
      </c>
      <c r="S423" s="70" t="str">
        <f>IFERROR(__xludf.DUMMYFUNCTION("IFERROR(VLOOKUP(F423,IMPORTRANGE(""1zxjtEKGvVIJPIDqZdnxENwVpPXYa88EihzyI44hcQUo"",""Form Responses 1!B:C""),2,FALSE),)"),"")</f>
        <v/>
      </c>
      <c r="T423" s="70" t="str">
        <f>IFERROR(__xludf.DUMMYFUNCTION("IFERROR(VLOOKUP(F423,IMPORTRANGE(""1H3cO01obd5zFULYqaT5NAqecZBFFIHeDFn4CeQLZF3w"",""Form Responses 1!B:C""),2,FALSE),)"),"")</f>
        <v/>
      </c>
      <c r="U423" s="70" t="str">
        <f>IFERROR(__xludf.DUMMYFUNCTION("IFERROR(IF(COUNTIF(IMPORTRANGE(""1IG9qoa6PeLdDDFzKpW39lxXshN0-M8Z25a_R1EpsYyg"",""Form Responses 1!B:B""),F423)&gt;0,10,),0)"),"")</f>
        <v/>
      </c>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row>
    <row r="424">
      <c r="B424" s="70" t="str">
        <f>IFERROR(__xludf.DUMMYFUNCTION("IFERROR(IF(COUNTIF(IMPORTRANGE(""1RTcwEJsI_0aJRebhNwO_H_AoKl9r46k7hWYbtciIyM4"",""Form Responses 1!B:B""),A424)&gt;0,10,),0)"),"")</f>
        <v/>
      </c>
      <c r="C424" s="70" t="str">
        <f>IFERROR(__xludf.DUMMYFUNCTION("IFERROR(VLOOKUP(A424,IMPORTRANGE(""11i8IUhq_U6RRKRV3CBWIKqYed_fMvFgNUHTq1YDJfp8"",""Form Responses 1!B:C""),2,FALSE),)"),"")</f>
        <v/>
      </c>
      <c r="D424" s="70" t="str">
        <f>IFERROR(__xludf.DUMMYFUNCTION("IFERROR(VLOOKUP(A424,IMPORTRANGE(""1StiHxuxrFhYdrq5WLR2JMORicW0TbnJf3J-oTHeMRtM"",""Form Responses 1!B:C""),2,FALSE),)"),"")</f>
        <v/>
      </c>
      <c r="E424" s="70" t="str">
        <f>IFERROR(__xludf.DUMMYFUNCTION("IFERROR(VLOOKUP(A424,IMPORTRANGE(""1QaxxyUjrDq2kgz300C1Bq1tacFk6e-xX218cSXCQUK0"",""Form Responses 1!B:C""),2,FALSE),)"),"")</f>
        <v/>
      </c>
      <c r="F424" s="70" t="str">
        <f>IFERROR(__xludf.DUMMYFUNCTION("IFERROR(VLOOKUP(A424,IMPORTRANGE(""1fn2ECph_y8Uz78DhjLaiXcwgt6kh3oe-0Le36Uw0noE"",""Form Responses 1!B:C""),2,FALSE),)"),"")</f>
        <v/>
      </c>
      <c r="G424" s="70"/>
      <c r="H424" s="70"/>
      <c r="I424" s="70"/>
      <c r="J424" s="70"/>
      <c r="K424" s="70"/>
      <c r="L424" s="70"/>
      <c r="M424" s="70"/>
      <c r="N424" s="70"/>
      <c r="O424" s="70"/>
      <c r="P424" s="70"/>
      <c r="Q424" s="70" t="str">
        <f>IFERROR(__xludf.DUMMYFUNCTION("IFERROR(IF(COUNTIF(IMPORTRANGE(""1WjiLR_MTMxI_IZUKuvPO4Sg2rTSIqBzP3edakSRXbOA"",""Form Responses 1!B:B""),F424)&gt;0,10,),0)"),"")</f>
        <v/>
      </c>
      <c r="R424" s="70" t="str">
        <f>IFERROR(__xludf.DUMMYFUNCTION("IFERROR(VLOOKUP(F424,IMPORTRANGE(""1Ixzbal5tEbtWhozsFEppQzOYE6ZSrkNXHg_HW5k3Wt4"",""Form Responses 1!B:C""),2,FALSE),)"),"")</f>
        <v/>
      </c>
      <c r="S424" s="70" t="str">
        <f>IFERROR(__xludf.DUMMYFUNCTION("IFERROR(VLOOKUP(F424,IMPORTRANGE(""1zxjtEKGvVIJPIDqZdnxENwVpPXYa88EihzyI44hcQUo"",""Form Responses 1!B:C""),2,FALSE),)"),"")</f>
        <v/>
      </c>
      <c r="T424" s="70" t="str">
        <f>IFERROR(__xludf.DUMMYFUNCTION("IFERROR(VLOOKUP(F424,IMPORTRANGE(""1H3cO01obd5zFULYqaT5NAqecZBFFIHeDFn4CeQLZF3w"",""Form Responses 1!B:C""),2,FALSE),)"),"")</f>
        <v/>
      </c>
      <c r="U424" s="70" t="str">
        <f>IFERROR(__xludf.DUMMYFUNCTION("IFERROR(IF(COUNTIF(IMPORTRANGE(""1IG9qoa6PeLdDDFzKpW39lxXshN0-M8Z25a_R1EpsYyg"",""Form Responses 1!B:B""),F424)&gt;0,10,),0)"),"")</f>
        <v/>
      </c>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row>
    <row r="425">
      <c r="B425" s="70" t="str">
        <f>IFERROR(__xludf.DUMMYFUNCTION("IFERROR(IF(COUNTIF(IMPORTRANGE(""1RTcwEJsI_0aJRebhNwO_H_AoKl9r46k7hWYbtciIyM4"",""Form Responses 1!B:B""),A425)&gt;0,10,),0)"),"")</f>
        <v/>
      </c>
      <c r="C425" s="70" t="str">
        <f>IFERROR(__xludf.DUMMYFUNCTION("IFERROR(VLOOKUP(A425,IMPORTRANGE(""11i8IUhq_U6RRKRV3CBWIKqYed_fMvFgNUHTq1YDJfp8"",""Form Responses 1!B:C""),2,FALSE),)"),"")</f>
        <v/>
      </c>
      <c r="D425" s="70" t="str">
        <f>IFERROR(__xludf.DUMMYFUNCTION("IFERROR(VLOOKUP(A425,IMPORTRANGE(""1StiHxuxrFhYdrq5WLR2JMORicW0TbnJf3J-oTHeMRtM"",""Form Responses 1!B:C""),2,FALSE),)"),"")</f>
        <v/>
      </c>
      <c r="E425" s="70" t="str">
        <f>IFERROR(__xludf.DUMMYFUNCTION("IFERROR(VLOOKUP(A425,IMPORTRANGE(""1QaxxyUjrDq2kgz300C1Bq1tacFk6e-xX218cSXCQUK0"",""Form Responses 1!B:C""),2,FALSE),)"),"")</f>
        <v/>
      </c>
      <c r="F425" s="70" t="str">
        <f>IFERROR(__xludf.DUMMYFUNCTION("IFERROR(VLOOKUP(A425,IMPORTRANGE(""1fn2ECph_y8Uz78DhjLaiXcwgt6kh3oe-0Le36Uw0noE"",""Form Responses 1!B:C""),2,FALSE),)"),"")</f>
        <v/>
      </c>
      <c r="G425" s="70"/>
      <c r="H425" s="70"/>
      <c r="I425" s="70"/>
      <c r="J425" s="70"/>
      <c r="K425" s="70"/>
      <c r="L425" s="70"/>
      <c r="M425" s="70"/>
      <c r="N425" s="70"/>
      <c r="O425" s="70"/>
      <c r="P425" s="70"/>
      <c r="Q425" s="70" t="str">
        <f>IFERROR(__xludf.DUMMYFUNCTION("IFERROR(IF(COUNTIF(IMPORTRANGE(""1WjiLR_MTMxI_IZUKuvPO4Sg2rTSIqBzP3edakSRXbOA"",""Form Responses 1!B:B""),F425)&gt;0,10,),0)"),"")</f>
        <v/>
      </c>
      <c r="R425" s="70" t="str">
        <f>IFERROR(__xludf.DUMMYFUNCTION("IFERROR(VLOOKUP(F425,IMPORTRANGE(""1Ixzbal5tEbtWhozsFEppQzOYE6ZSrkNXHg_HW5k3Wt4"",""Form Responses 1!B:C""),2,FALSE),)"),"")</f>
        <v/>
      </c>
      <c r="S425" s="70" t="str">
        <f>IFERROR(__xludf.DUMMYFUNCTION("IFERROR(VLOOKUP(F425,IMPORTRANGE(""1zxjtEKGvVIJPIDqZdnxENwVpPXYa88EihzyI44hcQUo"",""Form Responses 1!B:C""),2,FALSE),)"),"")</f>
        <v/>
      </c>
      <c r="T425" s="70" t="str">
        <f>IFERROR(__xludf.DUMMYFUNCTION("IFERROR(VLOOKUP(F425,IMPORTRANGE(""1H3cO01obd5zFULYqaT5NAqecZBFFIHeDFn4CeQLZF3w"",""Form Responses 1!B:C""),2,FALSE),)"),"")</f>
        <v/>
      </c>
      <c r="U425" s="70" t="str">
        <f>IFERROR(__xludf.DUMMYFUNCTION("IFERROR(IF(COUNTIF(IMPORTRANGE(""1IG9qoa6PeLdDDFzKpW39lxXshN0-M8Z25a_R1EpsYyg"",""Form Responses 1!B:B""),F425)&gt;0,10,),0)"),"")</f>
        <v/>
      </c>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row>
    <row r="426">
      <c r="B426" s="70" t="str">
        <f>IFERROR(__xludf.DUMMYFUNCTION("IFERROR(IF(COUNTIF(IMPORTRANGE(""1RTcwEJsI_0aJRebhNwO_H_AoKl9r46k7hWYbtciIyM4"",""Form Responses 1!B:B""),A426)&gt;0,10,),0)"),"")</f>
        <v/>
      </c>
      <c r="C426" s="70" t="str">
        <f>IFERROR(__xludf.DUMMYFUNCTION("IFERROR(VLOOKUP(A426,IMPORTRANGE(""11i8IUhq_U6RRKRV3CBWIKqYed_fMvFgNUHTq1YDJfp8"",""Form Responses 1!B:C""),2,FALSE),)"),"")</f>
        <v/>
      </c>
      <c r="D426" s="70" t="str">
        <f>IFERROR(__xludf.DUMMYFUNCTION("IFERROR(VLOOKUP(A426,IMPORTRANGE(""1StiHxuxrFhYdrq5WLR2JMORicW0TbnJf3J-oTHeMRtM"",""Form Responses 1!B:C""),2,FALSE),)"),"")</f>
        <v/>
      </c>
      <c r="E426" s="70" t="str">
        <f>IFERROR(__xludf.DUMMYFUNCTION("IFERROR(VLOOKUP(A426,IMPORTRANGE(""1QaxxyUjrDq2kgz300C1Bq1tacFk6e-xX218cSXCQUK0"",""Form Responses 1!B:C""),2,FALSE),)"),"")</f>
        <v/>
      </c>
      <c r="F426" s="70" t="str">
        <f>IFERROR(__xludf.DUMMYFUNCTION("IFERROR(VLOOKUP(A426,IMPORTRANGE(""1fn2ECph_y8Uz78DhjLaiXcwgt6kh3oe-0Le36Uw0noE"",""Form Responses 1!B:C""),2,FALSE),)"),"")</f>
        <v/>
      </c>
      <c r="G426" s="70"/>
      <c r="H426" s="70"/>
      <c r="I426" s="70"/>
      <c r="J426" s="70"/>
      <c r="K426" s="70"/>
      <c r="L426" s="70"/>
      <c r="M426" s="70"/>
      <c r="N426" s="70"/>
      <c r="O426" s="70"/>
      <c r="P426" s="70"/>
      <c r="Q426" s="70" t="str">
        <f>IFERROR(__xludf.DUMMYFUNCTION("IFERROR(IF(COUNTIF(IMPORTRANGE(""1WjiLR_MTMxI_IZUKuvPO4Sg2rTSIqBzP3edakSRXbOA"",""Form Responses 1!B:B""),F426)&gt;0,10,),0)"),"")</f>
        <v/>
      </c>
      <c r="R426" s="70" t="str">
        <f>IFERROR(__xludf.DUMMYFUNCTION("IFERROR(VLOOKUP(F426,IMPORTRANGE(""1Ixzbal5tEbtWhozsFEppQzOYE6ZSrkNXHg_HW5k3Wt4"",""Form Responses 1!B:C""),2,FALSE),)"),"")</f>
        <v/>
      </c>
      <c r="S426" s="70" t="str">
        <f>IFERROR(__xludf.DUMMYFUNCTION("IFERROR(VLOOKUP(F426,IMPORTRANGE(""1zxjtEKGvVIJPIDqZdnxENwVpPXYa88EihzyI44hcQUo"",""Form Responses 1!B:C""),2,FALSE),)"),"")</f>
        <v/>
      </c>
      <c r="T426" s="70" t="str">
        <f>IFERROR(__xludf.DUMMYFUNCTION("IFERROR(VLOOKUP(F426,IMPORTRANGE(""1H3cO01obd5zFULYqaT5NAqecZBFFIHeDFn4CeQLZF3w"",""Form Responses 1!B:C""),2,FALSE),)"),"")</f>
        <v/>
      </c>
      <c r="U426" s="70" t="str">
        <f>IFERROR(__xludf.DUMMYFUNCTION("IFERROR(IF(COUNTIF(IMPORTRANGE(""1IG9qoa6PeLdDDFzKpW39lxXshN0-M8Z25a_R1EpsYyg"",""Form Responses 1!B:B""),F426)&gt;0,10,),0)"),"")</f>
        <v/>
      </c>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row>
    <row r="427">
      <c r="B427" s="70" t="str">
        <f>IFERROR(__xludf.DUMMYFUNCTION("IFERROR(IF(COUNTIF(IMPORTRANGE(""1RTcwEJsI_0aJRebhNwO_H_AoKl9r46k7hWYbtciIyM4"",""Form Responses 1!B:B""),A427)&gt;0,10,),0)"),"")</f>
        <v/>
      </c>
      <c r="C427" s="70" t="str">
        <f>IFERROR(__xludf.DUMMYFUNCTION("IFERROR(VLOOKUP(A427,IMPORTRANGE(""11i8IUhq_U6RRKRV3CBWIKqYed_fMvFgNUHTq1YDJfp8"",""Form Responses 1!B:C""),2,FALSE),)"),"")</f>
        <v/>
      </c>
      <c r="D427" s="70" t="str">
        <f>IFERROR(__xludf.DUMMYFUNCTION("IFERROR(VLOOKUP(A427,IMPORTRANGE(""1StiHxuxrFhYdrq5WLR2JMORicW0TbnJf3J-oTHeMRtM"",""Form Responses 1!B:C""),2,FALSE),)"),"")</f>
        <v/>
      </c>
      <c r="E427" s="70" t="str">
        <f>IFERROR(__xludf.DUMMYFUNCTION("IFERROR(VLOOKUP(A427,IMPORTRANGE(""1QaxxyUjrDq2kgz300C1Bq1tacFk6e-xX218cSXCQUK0"",""Form Responses 1!B:C""),2,FALSE),)"),"")</f>
        <v/>
      </c>
      <c r="F427" s="70" t="str">
        <f>IFERROR(__xludf.DUMMYFUNCTION("IFERROR(VLOOKUP(A427,IMPORTRANGE(""1fn2ECph_y8Uz78DhjLaiXcwgt6kh3oe-0Le36Uw0noE"",""Form Responses 1!B:C""),2,FALSE),)"),"")</f>
        <v/>
      </c>
      <c r="G427" s="70"/>
      <c r="H427" s="70"/>
      <c r="I427" s="70"/>
      <c r="J427" s="70"/>
      <c r="K427" s="70"/>
      <c r="L427" s="70"/>
      <c r="M427" s="70"/>
      <c r="N427" s="70"/>
      <c r="O427" s="70"/>
      <c r="P427" s="70"/>
      <c r="Q427" s="70" t="str">
        <f>IFERROR(__xludf.DUMMYFUNCTION("IFERROR(IF(COUNTIF(IMPORTRANGE(""1WjiLR_MTMxI_IZUKuvPO4Sg2rTSIqBzP3edakSRXbOA"",""Form Responses 1!B:B""),F427)&gt;0,10,),0)"),"")</f>
        <v/>
      </c>
      <c r="R427" s="70" t="str">
        <f>IFERROR(__xludf.DUMMYFUNCTION("IFERROR(VLOOKUP(F427,IMPORTRANGE(""1Ixzbal5tEbtWhozsFEppQzOYE6ZSrkNXHg_HW5k3Wt4"",""Form Responses 1!B:C""),2,FALSE),)"),"")</f>
        <v/>
      </c>
      <c r="S427" s="70" t="str">
        <f>IFERROR(__xludf.DUMMYFUNCTION("IFERROR(VLOOKUP(F427,IMPORTRANGE(""1zxjtEKGvVIJPIDqZdnxENwVpPXYa88EihzyI44hcQUo"",""Form Responses 1!B:C""),2,FALSE),)"),"")</f>
        <v/>
      </c>
      <c r="T427" s="70" t="str">
        <f>IFERROR(__xludf.DUMMYFUNCTION("IFERROR(VLOOKUP(F427,IMPORTRANGE(""1H3cO01obd5zFULYqaT5NAqecZBFFIHeDFn4CeQLZF3w"",""Form Responses 1!B:C""),2,FALSE),)"),"")</f>
        <v/>
      </c>
      <c r="U427" s="70" t="str">
        <f>IFERROR(__xludf.DUMMYFUNCTION("IFERROR(IF(COUNTIF(IMPORTRANGE(""1IG9qoa6PeLdDDFzKpW39lxXshN0-M8Z25a_R1EpsYyg"",""Form Responses 1!B:B""),F427)&gt;0,10,),0)"),"")</f>
        <v/>
      </c>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row>
    <row r="428">
      <c r="B428" s="70" t="str">
        <f>IFERROR(__xludf.DUMMYFUNCTION("IFERROR(IF(COUNTIF(IMPORTRANGE(""1RTcwEJsI_0aJRebhNwO_H_AoKl9r46k7hWYbtciIyM4"",""Form Responses 1!B:B""),A428)&gt;0,10,),0)"),"")</f>
        <v/>
      </c>
      <c r="C428" s="70" t="str">
        <f>IFERROR(__xludf.DUMMYFUNCTION("IFERROR(VLOOKUP(A428,IMPORTRANGE(""11i8IUhq_U6RRKRV3CBWIKqYed_fMvFgNUHTq1YDJfp8"",""Form Responses 1!B:C""),2,FALSE),)"),"")</f>
        <v/>
      </c>
      <c r="D428" s="70" t="str">
        <f>IFERROR(__xludf.DUMMYFUNCTION("IFERROR(VLOOKUP(A428,IMPORTRANGE(""1StiHxuxrFhYdrq5WLR2JMORicW0TbnJf3J-oTHeMRtM"",""Form Responses 1!B:C""),2,FALSE),)"),"")</f>
        <v/>
      </c>
      <c r="E428" s="70" t="str">
        <f>IFERROR(__xludf.DUMMYFUNCTION("IFERROR(VLOOKUP(A428,IMPORTRANGE(""1QaxxyUjrDq2kgz300C1Bq1tacFk6e-xX218cSXCQUK0"",""Form Responses 1!B:C""),2,FALSE),)"),"")</f>
        <v/>
      </c>
      <c r="F428" s="70" t="str">
        <f>IFERROR(__xludf.DUMMYFUNCTION("IFERROR(VLOOKUP(A428,IMPORTRANGE(""1fn2ECph_y8Uz78DhjLaiXcwgt6kh3oe-0Le36Uw0noE"",""Form Responses 1!B:C""),2,FALSE),)"),"")</f>
        <v/>
      </c>
      <c r="G428" s="70"/>
      <c r="H428" s="70"/>
      <c r="I428" s="70"/>
      <c r="J428" s="70"/>
      <c r="K428" s="70"/>
      <c r="L428" s="70"/>
      <c r="M428" s="70"/>
      <c r="N428" s="70"/>
      <c r="O428" s="70"/>
      <c r="P428" s="70"/>
      <c r="Q428" s="70" t="str">
        <f>IFERROR(__xludf.DUMMYFUNCTION("IFERROR(IF(COUNTIF(IMPORTRANGE(""1WjiLR_MTMxI_IZUKuvPO4Sg2rTSIqBzP3edakSRXbOA"",""Form Responses 1!B:B""),F428)&gt;0,10,),0)"),"")</f>
        <v/>
      </c>
      <c r="R428" s="70" t="str">
        <f>IFERROR(__xludf.DUMMYFUNCTION("IFERROR(VLOOKUP(F428,IMPORTRANGE(""1Ixzbal5tEbtWhozsFEppQzOYE6ZSrkNXHg_HW5k3Wt4"",""Form Responses 1!B:C""),2,FALSE),)"),"")</f>
        <v/>
      </c>
      <c r="S428" s="70" t="str">
        <f>IFERROR(__xludf.DUMMYFUNCTION("IFERROR(VLOOKUP(F428,IMPORTRANGE(""1zxjtEKGvVIJPIDqZdnxENwVpPXYa88EihzyI44hcQUo"",""Form Responses 1!B:C""),2,FALSE),)"),"")</f>
        <v/>
      </c>
      <c r="T428" s="70" t="str">
        <f>IFERROR(__xludf.DUMMYFUNCTION("IFERROR(VLOOKUP(F428,IMPORTRANGE(""1H3cO01obd5zFULYqaT5NAqecZBFFIHeDFn4CeQLZF3w"",""Form Responses 1!B:C""),2,FALSE),)"),"")</f>
        <v/>
      </c>
      <c r="U428" s="70" t="str">
        <f>IFERROR(__xludf.DUMMYFUNCTION("IFERROR(IF(COUNTIF(IMPORTRANGE(""1IG9qoa6PeLdDDFzKpW39lxXshN0-M8Z25a_R1EpsYyg"",""Form Responses 1!B:B""),F428)&gt;0,10,),0)"),"")</f>
        <v/>
      </c>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row>
    <row r="429">
      <c r="B429" s="70" t="str">
        <f>IFERROR(__xludf.DUMMYFUNCTION("IFERROR(IF(COUNTIF(IMPORTRANGE(""1RTcwEJsI_0aJRebhNwO_H_AoKl9r46k7hWYbtciIyM4"",""Form Responses 1!B:B""),A429)&gt;0,10,),0)"),"")</f>
        <v/>
      </c>
      <c r="C429" s="70" t="str">
        <f>IFERROR(__xludf.DUMMYFUNCTION("IFERROR(VLOOKUP(A429,IMPORTRANGE(""11i8IUhq_U6RRKRV3CBWIKqYed_fMvFgNUHTq1YDJfp8"",""Form Responses 1!B:C""),2,FALSE),)"),"")</f>
        <v/>
      </c>
      <c r="D429" s="70" t="str">
        <f>IFERROR(__xludf.DUMMYFUNCTION("IFERROR(VLOOKUP(A429,IMPORTRANGE(""1StiHxuxrFhYdrq5WLR2JMORicW0TbnJf3J-oTHeMRtM"",""Form Responses 1!B:C""),2,FALSE),)"),"")</f>
        <v/>
      </c>
      <c r="E429" s="70" t="str">
        <f>IFERROR(__xludf.DUMMYFUNCTION("IFERROR(VLOOKUP(A429,IMPORTRANGE(""1QaxxyUjrDq2kgz300C1Bq1tacFk6e-xX218cSXCQUK0"",""Form Responses 1!B:C""),2,FALSE),)"),"")</f>
        <v/>
      </c>
      <c r="F429" s="70" t="str">
        <f>IFERROR(__xludf.DUMMYFUNCTION("IFERROR(VLOOKUP(A429,IMPORTRANGE(""1fn2ECph_y8Uz78DhjLaiXcwgt6kh3oe-0Le36Uw0noE"",""Form Responses 1!B:C""),2,FALSE),)"),"")</f>
        <v/>
      </c>
      <c r="G429" s="70"/>
      <c r="H429" s="70"/>
      <c r="I429" s="70"/>
      <c r="J429" s="70"/>
      <c r="K429" s="70"/>
      <c r="L429" s="70"/>
      <c r="M429" s="70"/>
      <c r="N429" s="70"/>
      <c r="O429" s="70"/>
      <c r="P429" s="70"/>
      <c r="Q429" s="70" t="str">
        <f>IFERROR(__xludf.DUMMYFUNCTION("IFERROR(IF(COUNTIF(IMPORTRANGE(""1WjiLR_MTMxI_IZUKuvPO4Sg2rTSIqBzP3edakSRXbOA"",""Form Responses 1!B:B""),F429)&gt;0,10,),0)"),"")</f>
        <v/>
      </c>
      <c r="R429" s="70" t="str">
        <f>IFERROR(__xludf.DUMMYFUNCTION("IFERROR(VLOOKUP(F429,IMPORTRANGE(""1Ixzbal5tEbtWhozsFEppQzOYE6ZSrkNXHg_HW5k3Wt4"",""Form Responses 1!B:C""),2,FALSE),)"),"")</f>
        <v/>
      </c>
      <c r="S429" s="70" t="str">
        <f>IFERROR(__xludf.DUMMYFUNCTION("IFERROR(VLOOKUP(F429,IMPORTRANGE(""1zxjtEKGvVIJPIDqZdnxENwVpPXYa88EihzyI44hcQUo"",""Form Responses 1!B:C""),2,FALSE),)"),"")</f>
        <v/>
      </c>
      <c r="T429" s="70" t="str">
        <f>IFERROR(__xludf.DUMMYFUNCTION("IFERROR(VLOOKUP(F429,IMPORTRANGE(""1H3cO01obd5zFULYqaT5NAqecZBFFIHeDFn4CeQLZF3w"",""Form Responses 1!B:C""),2,FALSE),)"),"")</f>
        <v/>
      </c>
      <c r="U429" s="70" t="str">
        <f>IFERROR(__xludf.DUMMYFUNCTION("IFERROR(IF(COUNTIF(IMPORTRANGE(""1IG9qoa6PeLdDDFzKpW39lxXshN0-M8Z25a_R1EpsYyg"",""Form Responses 1!B:B""),F429)&gt;0,10,),0)"),"")</f>
        <v/>
      </c>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row>
    <row r="430">
      <c r="B430" s="70" t="str">
        <f>IFERROR(__xludf.DUMMYFUNCTION("IFERROR(IF(COUNTIF(IMPORTRANGE(""1RTcwEJsI_0aJRebhNwO_H_AoKl9r46k7hWYbtciIyM4"",""Form Responses 1!B:B""),A430)&gt;0,10,),0)"),"")</f>
        <v/>
      </c>
      <c r="C430" s="70" t="str">
        <f>IFERROR(__xludf.DUMMYFUNCTION("IFERROR(VLOOKUP(A430,IMPORTRANGE(""11i8IUhq_U6RRKRV3CBWIKqYed_fMvFgNUHTq1YDJfp8"",""Form Responses 1!B:C""),2,FALSE),)"),"")</f>
        <v/>
      </c>
      <c r="D430" s="70" t="str">
        <f>IFERROR(__xludf.DUMMYFUNCTION("IFERROR(VLOOKUP(A430,IMPORTRANGE(""1StiHxuxrFhYdrq5WLR2JMORicW0TbnJf3J-oTHeMRtM"",""Form Responses 1!B:C""),2,FALSE),)"),"")</f>
        <v/>
      </c>
      <c r="E430" s="70" t="str">
        <f>IFERROR(__xludf.DUMMYFUNCTION("IFERROR(VLOOKUP(A430,IMPORTRANGE(""1QaxxyUjrDq2kgz300C1Bq1tacFk6e-xX218cSXCQUK0"",""Form Responses 1!B:C""),2,FALSE),)"),"")</f>
        <v/>
      </c>
      <c r="F430" s="70" t="str">
        <f>IFERROR(__xludf.DUMMYFUNCTION("IFERROR(VLOOKUP(A430,IMPORTRANGE(""1fn2ECph_y8Uz78DhjLaiXcwgt6kh3oe-0Le36Uw0noE"",""Form Responses 1!B:C""),2,FALSE),)"),"")</f>
        <v/>
      </c>
      <c r="G430" s="70"/>
      <c r="H430" s="70"/>
      <c r="I430" s="70"/>
      <c r="J430" s="70"/>
      <c r="K430" s="70"/>
      <c r="L430" s="70"/>
      <c r="M430" s="70"/>
      <c r="N430" s="70"/>
      <c r="O430" s="70"/>
      <c r="P430" s="70"/>
      <c r="Q430" s="70" t="str">
        <f>IFERROR(__xludf.DUMMYFUNCTION("IFERROR(IF(COUNTIF(IMPORTRANGE(""1WjiLR_MTMxI_IZUKuvPO4Sg2rTSIqBzP3edakSRXbOA"",""Form Responses 1!B:B""),F430)&gt;0,10,),0)"),"")</f>
        <v/>
      </c>
      <c r="R430" s="70" t="str">
        <f>IFERROR(__xludf.DUMMYFUNCTION("IFERROR(VLOOKUP(F430,IMPORTRANGE(""1Ixzbal5tEbtWhozsFEppQzOYE6ZSrkNXHg_HW5k3Wt4"",""Form Responses 1!B:C""),2,FALSE),)"),"")</f>
        <v/>
      </c>
      <c r="S430" s="70" t="str">
        <f>IFERROR(__xludf.DUMMYFUNCTION("IFERROR(VLOOKUP(F430,IMPORTRANGE(""1zxjtEKGvVIJPIDqZdnxENwVpPXYa88EihzyI44hcQUo"",""Form Responses 1!B:C""),2,FALSE),)"),"")</f>
        <v/>
      </c>
      <c r="T430" s="70" t="str">
        <f>IFERROR(__xludf.DUMMYFUNCTION("IFERROR(VLOOKUP(F430,IMPORTRANGE(""1H3cO01obd5zFULYqaT5NAqecZBFFIHeDFn4CeQLZF3w"",""Form Responses 1!B:C""),2,FALSE),)"),"")</f>
        <v/>
      </c>
      <c r="U430" s="70" t="str">
        <f>IFERROR(__xludf.DUMMYFUNCTION("IFERROR(IF(COUNTIF(IMPORTRANGE(""1IG9qoa6PeLdDDFzKpW39lxXshN0-M8Z25a_R1EpsYyg"",""Form Responses 1!B:B""),F430)&gt;0,10,),0)"),"")</f>
        <v/>
      </c>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row>
    <row r="431">
      <c r="B431" s="70" t="str">
        <f>IFERROR(__xludf.DUMMYFUNCTION("IFERROR(IF(COUNTIF(IMPORTRANGE(""1RTcwEJsI_0aJRebhNwO_H_AoKl9r46k7hWYbtciIyM4"",""Form Responses 1!B:B""),A431)&gt;0,10,),0)"),"")</f>
        <v/>
      </c>
      <c r="C431" s="70" t="str">
        <f>IFERROR(__xludf.DUMMYFUNCTION("IFERROR(VLOOKUP(A431,IMPORTRANGE(""11i8IUhq_U6RRKRV3CBWIKqYed_fMvFgNUHTq1YDJfp8"",""Form Responses 1!B:C""),2,FALSE),)"),"")</f>
        <v/>
      </c>
      <c r="D431" s="70" t="str">
        <f>IFERROR(__xludf.DUMMYFUNCTION("IFERROR(VLOOKUP(A431,IMPORTRANGE(""1StiHxuxrFhYdrq5WLR2JMORicW0TbnJf3J-oTHeMRtM"",""Form Responses 1!B:C""),2,FALSE),)"),"")</f>
        <v/>
      </c>
      <c r="E431" s="70" t="str">
        <f>IFERROR(__xludf.DUMMYFUNCTION("IFERROR(VLOOKUP(A431,IMPORTRANGE(""1QaxxyUjrDq2kgz300C1Bq1tacFk6e-xX218cSXCQUK0"",""Form Responses 1!B:C""),2,FALSE),)"),"")</f>
        <v/>
      </c>
      <c r="F431" s="70" t="str">
        <f>IFERROR(__xludf.DUMMYFUNCTION("IFERROR(VLOOKUP(A431,IMPORTRANGE(""1fn2ECph_y8Uz78DhjLaiXcwgt6kh3oe-0Le36Uw0noE"",""Form Responses 1!B:C""),2,FALSE),)"),"")</f>
        <v/>
      </c>
      <c r="G431" s="70"/>
      <c r="H431" s="70"/>
      <c r="I431" s="70"/>
      <c r="J431" s="70"/>
      <c r="K431" s="70"/>
      <c r="L431" s="70"/>
      <c r="M431" s="70"/>
      <c r="N431" s="70"/>
      <c r="O431" s="70"/>
      <c r="P431" s="70"/>
      <c r="Q431" s="70" t="str">
        <f>IFERROR(__xludf.DUMMYFUNCTION("IFERROR(IF(COUNTIF(IMPORTRANGE(""1WjiLR_MTMxI_IZUKuvPO4Sg2rTSIqBzP3edakSRXbOA"",""Form Responses 1!B:B""),F431)&gt;0,10,),0)"),"")</f>
        <v/>
      </c>
      <c r="R431" s="70" t="str">
        <f>IFERROR(__xludf.DUMMYFUNCTION("IFERROR(VLOOKUP(F431,IMPORTRANGE(""1Ixzbal5tEbtWhozsFEppQzOYE6ZSrkNXHg_HW5k3Wt4"",""Form Responses 1!B:C""),2,FALSE),)"),"")</f>
        <v/>
      </c>
      <c r="S431" s="70" t="str">
        <f>IFERROR(__xludf.DUMMYFUNCTION("IFERROR(VLOOKUP(F431,IMPORTRANGE(""1zxjtEKGvVIJPIDqZdnxENwVpPXYa88EihzyI44hcQUo"",""Form Responses 1!B:C""),2,FALSE),)"),"")</f>
        <v/>
      </c>
      <c r="T431" s="70" t="str">
        <f>IFERROR(__xludf.DUMMYFUNCTION("IFERROR(VLOOKUP(F431,IMPORTRANGE(""1H3cO01obd5zFULYqaT5NAqecZBFFIHeDFn4CeQLZF3w"",""Form Responses 1!B:C""),2,FALSE),)"),"")</f>
        <v/>
      </c>
      <c r="U431" s="70" t="str">
        <f>IFERROR(__xludf.DUMMYFUNCTION("IFERROR(IF(COUNTIF(IMPORTRANGE(""1IG9qoa6PeLdDDFzKpW39lxXshN0-M8Z25a_R1EpsYyg"",""Form Responses 1!B:B""),F431)&gt;0,10,),0)"),"")</f>
        <v/>
      </c>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row>
    <row r="432">
      <c r="B432" s="70" t="str">
        <f>IFERROR(__xludf.DUMMYFUNCTION("IFERROR(IF(COUNTIF(IMPORTRANGE(""1RTcwEJsI_0aJRebhNwO_H_AoKl9r46k7hWYbtciIyM4"",""Form Responses 1!B:B""),A432)&gt;0,10,),0)"),"")</f>
        <v/>
      </c>
      <c r="C432" s="70" t="str">
        <f>IFERROR(__xludf.DUMMYFUNCTION("IFERROR(VLOOKUP(A432,IMPORTRANGE(""11i8IUhq_U6RRKRV3CBWIKqYed_fMvFgNUHTq1YDJfp8"",""Form Responses 1!B:C""),2,FALSE),)"),"")</f>
        <v/>
      </c>
      <c r="D432" s="70" t="str">
        <f>IFERROR(__xludf.DUMMYFUNCTION("IFERROR(VLOOKUP(A432,IMPORTRANGE(""1StiHxuxrFhYdrq5WLR2JMORicW0TbnJf3J-oTHeMRtM"",""Form Responses 1!B:C""),2,FALSE),)"),"")</f>
        <v/>
      </c>
      <c r="E432" s="70" t="str">
        <f>IFERROR(__xludf.DUMMYFUNCTION("IFERROR(VLOOKUP(A432,IMPORTRANGE(""1QaxxyUjrDq2kgz300C1Bq1tacFk6e-xX218cSXCQUK0"",""Form Responses 1!B:C""),2,FALSE),)"),"")</f>
        <v/>
      </c>
      <c r="F432" s="70" t="str">
        <f>IFERROR(__xludf.DUMMYFUNCTION("IFERROR(VLOOKUP(A432,IMPORTRANGE(""1fn2ECph_y8Uz78DhjLaiXcwgt6kh3oe-0Le36Uw0noE"",""Form Responses 1!B:C""),2,FALSE),)"),"")</f>
        <v/>
      </c>
      <c r="G432" s="70"/>
      <c r="H432" s="70"/>
      <c r="I432" s="70"/>
      <c r="J432" s="70"/>
      <c r="K432" s="70"/>
      <c r="L432" s="70"/>
      <c r="M432" s="70"/>
      <c r="N432" s="70"/>
      <c r="O432" s="70"/>
      <c r="P432" s="70"/>
      <c r="Q432" s="70" t="str">
        <f>IFERROR(__xludf.DUMMYFUNCTION("IFERROR(IF(COUNTIF(IMPORTRANGE(""1WjiLR_MTMxI_IZUKuvPO4Sg2rTSIqBzP3edakSRXbOA"",""Form Responses 1!B:B""),F432)&gt;0,10,),0)"),"")</f>
        <v/>
      </c>
      <c r="R432" s="70" t="str">
        <f>IFERROR(__xludf.DUMMYFUNCTION("IFERROR(VLOOKUP(F432,IMPORTRANGE(""1Ixzbal5tEbtWhozsFEppQzOYE6ZSrkNXHg_HW5k3Wt4"",""Form Responses 1!B:C""),2,FALSE),)"),"")</f>
        <v/>
      </c>
      <c r="S432" s="70" t="str">
        <f>IFERROR(__xludf.DUMMYFUNCTION("IFERROR(VLOOKUP(F432,IMPORTRANGE(""1zxjtEKGvVIJPIDqZdnxENwVpPXYa88EihzyI44hcQUo"",""Form Responses 1!B:C""),2,FALSE),)"),"")</f>
        <v/>
      </c>
      <c r="T432" s="70" t="str">
        <f>IFERROR(__xludf.DUMMYFUNCTION("IFERROR(VLOOKUP(F432,IMPORTRANGE(""1H3cO01obd5zFULYqaT5NAqecZBFFIHeDFn4CeQLZF3w"",""Form Responses 1!B:C""),2,FALSE),)"),"")</f>
        <v/>
      </c>
      <c r="U432" s="70" t="str">
        <f>IFERROR(__xludf.DUMMYFUNCTION("IFERROR(IF(COUNTIF(IMPORTRANGE(""1IG9qoa6PeLdDDFzKpW39lxXshN0-M8Z25a_R1EpsYyg"",""Form Responses 1!B:B""),F432)&gt;0,10,),0)"),"")</f>
        <v/>
      </c>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row>
    <row r="433">
      <c r="B433" s="70" t="str">
        <f>IFERROR(__xludf.DUMMYFUNCTION("IFERROR(IF(COUNTIF(IMPORTRANGE(""1RTcwEJsI_0aJRebhNwO_H_AoKl9r46k7hWYbtciIyM4"",""Form Responses 1!B:B""),A433)&gt;0,10,),0)"),"")</f>
        <v/>
      </c>
      <c r="C433" s="70" t="str">
        <f>IFERROR(__xludf.DUMMYFUNCTION("IFERROR(VLOOKUP(A433,IMPORTRANGE(""11i8IUhq_U6RRKRV3CBWIKqYed_fMvFgNUHTq1YDJfp8"",""Form Responses 1!B:C""),2,FALSE),)"),"")</f>
        <v/>
      </c>
      <c r="D433" s="70" t="str">
        <f>IFERROR(__xludf.DUMMYFUNCTION("IFERROR(VLOOKUP(A433,IMPORTRANGE(""1StiHxuxrFhYdrq5WLR2JMORicW0TbnJf3J-oTHeMRtM"",""Form Responses 1!B:C""),2,FALSE),)"),"")</f>
        <v/>
      </c>
      <c r="E433" s="70" t="str">
        <f>IFERROR(__xludf.DUMMYFUNCTION("IFERROR(VLOOKUP(A433,IMPORTRANGE(""1QaxxyUjrDq2kgz300C1Bq1tacFk6e-xX218cSXCQUK0"",""Form Responses 1!B:C""),2,FALSE),)"),"")</f>
        <v/>
      </c>
      <c r="F433" s="70" t="str">
        <f>IFERROR(__xludf.DUMMYFUNCTION("IFERROR(VLOOKUP(A433,IMPORTRANGE(""1fn2ECph_y8Uz78DhjLaiXcwgt6kh3oe-0Le36Uw0noE"",""Form Responses 1!B:C""),2,FALSE),)"),"")</f>
        <v/>
      </c>
      <c r="G433" s="70"/>
      <c r="H433" s="70"/>
      <c r="I433" s="70"/>
      <c r="J433" s="70"/>
      <c r="K433" s="70"/>
      <c r="L433" s="70"/>
      <c r="M433" s="70"/>
      <c r="N433" s="70"/>
      <c r="O433" s="70"/>
      <c r="P433" s="70"/>
      <c r="Q433" s="70" t="str">
        <f>IFERROR(__xludf.DUMMYFUNCTION("IFERROR(IF(COUNTIF(IMPORTRANGE(""1WjiLR_MTMxI_IZUKuvPO4Sg2rTSIqBzP3edakSRXbOA"",""Form Responses 1!B:B""),F433)&gt;0,10,),0)"),"")</f>
        <v/>
      </c>
      <c r="R433" s="70" t="str">
        <f>IFERROR(__xludf.DUMMYFUNCTION("IFERROR(VLOOKUP(F433,IMPORTRANGE(""1Ixzbal5tEbtWhozsFEppQzOYE6ZSrkNXHg_HW5k3Wt4"",""Form Responses 1!B:C""),2,FALSE),)"),"")</f>
        <v/>
      </c>
      <c r="S433" s="70" t="str">
        <f>IFERROR(__xludf.DUMMYFUNCTION("IFERROR(VLOOKUP(F433,IMPORTRANGE(""1zxjtEKGvVIJPIDqZdnxENwVpPXYa88EihzyI44hcQUo"",""Form Responses 1!B:C""),2,FALSE),)"),"")</f>
        <v/>
      </c>
      <c r="T433" s="70" t="str">
        <f>IFERROR(__xludf.DUMMYFUNCTION("IFERROR(VLOOKUP(F433,IMPORTRANGE(""1H3cO01obd5zFULYqaT5NAqecZBFFIHeDFn4CeQLZF3w"",""Form Responses 1!B:C""),2,FALSE),)"),"")</f>
        <v/>
      </c>
      <c r="U433" s="70" t="str">
        <f>IFERROR(__xludf.DUMMYFUNCTION("IFERROR(IF(COUNTIF(IMPORTRANGE(""1IG9qoa6PeLdDDFzKpW39lxXshN0-M8Z25a_R1EpsYyg"",""Form Responses 1!B:B""),F433)&gt;0,10,),0)"),"")</f>
        <v/>
      </c>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row>
    <row r="434">
      <c r="B434" s="70" t="str">
        <f>IFERROR(__xludf.DUMMYFUNCTION("IFERROR(IF(COUNTIF(IMPORTRANGE(""1RTcwEJsI_0aJRebhNwO_H_AoKl9r46k7hWYbtciIyM4"",""Form Responses 1!B:B""),A434)&gt;0,10,),0)"),"")</f>
        <v/>
      </c>
      <c r="C434" s="70" t="str">
        <f>IFERROR(__xludf.DUMMYFUNCTION("IFERROR(VLOOKUP(A434,IMPORTRANGE(""11i8IUhq_U6RRKRV3CBWIKqYed_fMvFgNUHTq1YDJfp8"",""Form Responses 1!B:C""),2,FALSE),)"),"")</f>
        <v/>
      </c>
      <c r="D434" s="70" t="str">
        <f>IFERROR(__xludf.DUMMYFUNCTION("IFERROR(VLOOKUP(A434,IMPORTRANGE(""1StiHxuxrFhYdrq5WLR2JMORicW0TbnJf3J-oTHeMRtM"",""Form Responses 1!B:C""),2,FALSE),)"),"")</f>
        <v/>
      </c>
      <c r="E434" s="70" t="str">
        <f>IFERROR(__xludf.DUMMYFUNCTION("IFERROR(VLOOKUP(A434,IMPORTRANGE(""1QaxxyUjrDq2kgz300C1Bq1tacFk6e-xX218cSXCQUK0"",""Form Responses 1!B:C""),2,FALSE),)"),"")</f>
        <v/>
      </c>
      <c r="F434" s="70" t="str">
        <f>IFERROR(__xludf.DUMMYFUNCTION("IFERROR(VLOOKUP(A434,IMPORTRANGE(""1fn2ECph_y8Uz78DhjLaiXcwgt6kh3oe-0Le36Uw0noE"",""Form Responses 1!B:C""),2,FALSE),)"),"")</f>
        <v/>
      </c>
      <c r="G434" s="70"/>
      <c r="H434" s="70"/>
      <c r="I434" s="70"/>
      <c r="J434" s="70"/>
      <c r="K434" s="70"/>
      <c r="L434" s="70"/>
      <c r="M434" s="70"/>
      <c r="N434" s="70"/>
      <c r="O434" s="70"/>
      <c r="P434" s="70"/>
      <c r="Q434" s="70" t="str">
        <f>IFERROR(__xludf.DUMMYFUNCTION("IFERROR(IF(COUNTIF(IMPORTRANGE(""1WjiLR_MTMxI_IZUKuvPO4Sg2rTSIqBzP3edakSRXbOA"",""Form Responses 1!B:B""),F434)&gt;0,10,),0)"),"")</f>
        <v/>
      </c>
      <c r="R434" s="70" t="str">
        <f>IFERROR(__xludf.DUMMYFUNCTION("IFERROR(VLOOKUP(F434,IMPORTRANGE(""1Ixzbal5tEbtWhozsFEppQzOYE6ZSrkNXHg_HW5k3Wt4"",""Form Responses 1!B:C""),2,FALSE),)"),"")</f>
        <v/>
      </c>
      <c r="S434" s="70" t="str">
        <f>IFERROR(__xludf.DUMMYFUNCTION("IFERROR(VLOOKUP(F434,IMPORTRANGE(""1zxjtEKGvVIJPIDqZdnxENwVpPXYa88EihzyI44hcQUo"",""Form Responses 1!B:C""),2,FALSE),)"),"")</f>
        <v/>
      </c>
      <c r="T434" s="70" t="str">
        <f>IFERROR(__xludf.DUMMYFUNCTION("IFERROR(VLOOKUP(F434,IMPORTRANGE(""1H3cO01obd5zFULYqaT5NAqecZBFFIHeDFn4CeQLZF3w"",""Form Responses 1!B:C""),2,FALSE),)"),"")</f>
        <v/>
      </c>
      <c r="U434" s="70" t="str">
        <f>IFERROR(__xludf.DUMMYFUNCTION("IFERROR(IF(COUNTIF(IMPORTRANGE(""1IG9qoa6PeLdDDFzKpW39lxXshN0-M8Z25a_R1EpsYyg"",""Form Responses 1!B:B""),F434)&gt;0,10,),0)"),"")</f>
        <v/>
      </c>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row>
    <row r="435">
      <c r="B435" s="70" t="str">
        <f>IFERROR(__xludf.DUMMYFUNCTION("IFERROR(IF(COUNTIF(IMPORTRANGE(""1RTcwEJsI_0aJRebhNwO_H_AoKl9r46k7hWYbtciIyM4"",""Form Responses 1!B:B""),A435)&gt;0,10,),0)"),"")</f>
        <v/>
      </c>
      <c r="C435" s="70" t="str">
        <f>IFERROR(__xludf.DUMMYFUNCTION("IFERROR(VLOOKUP(A435,IMPORTRANGE(""11i8IUhq_U6RRKRV3CBWIKqYed_fMvFgNUHTq1YDJfp8"",""Form Responses 1!B:C""),2,FALSE),)"),"")</f>
        <v/>
      </c>
      <c r="D435" s="70" t="str">
        <f>IFERROR(__xludf.DUMMYFUNCTION("IFERROR(VLOOKUP(A435,IMPORTRANGE(""1StiHxuxrFhYdrq5WLR2JMORicW0TbnJf3J-oTHeMRtM"",""Form Responses 1!B:C""),2,FALSE),)"),"")</f>
        <v/>
      </c>
      <c r="E435" s="70" t="str">
        <f>IFERROR(__xludf.DUMMYFUNCTION("IFERROR(VLOOKUP(A435,IMPORTRANGE(""1QaxxyUjrDq2kgz300C1Bq1tacFk6e-xX218cSXCQUK0"",""Form Responses 1!B:C""),2,FALSE),)"),"")</f>
        <v/>
      </c>
      <c r="F435" s="70" t="str">
        <f>IFERROR(__xludf.DUMMYFUNCTION("IFERROR(VLOOKUP(A435,IMPORTRANGE(""1fn2ECph_y8Uz78DhjLaiXcwgt6kh3oe-0Le36Uw0noE"",""Form Responses 1!B:C""),2,FALSE),)"),"")</f>
        <v/>
      </c>
      <c r="G435" s="70"/>
      <c r="H435" s="70"/>
      <c r="I435" s="70"/>
      <c r="J435" s="70"/>
      <c r="K435" s="70"/>
      <c r="L435" s="70"/>
      <c r="M435" s="70"/>
      <c r="N435" s="70"/>
      <c r="O435" s="70"/>
      <c r="P435" s="70"/>
      <c r="Q435" s="70" t="str">
        <f>IFERROR(__xludf.DUMMYFUNCTION("IFERROR(IF(COUNTIF(IMPORTRANGE(""1WjiLR_MTMxI_IZUKuvPO4Sg2rTSIqBzP3edakSRXbOA"",""Form Responses 1!B:B""),F435)&gt;0,10,),0)"),"")</f>
        <v/>
      </c>
      <c r="R435" s="70" t="str">
        <f>IFERROR(__xludf.DUMMYFUNCTION("IFERROR(VLOOKUP(F435,IMPORTRANGE(""1Ixzbal5tEbtWhozsFEppQzOYE6ZSrkNXHg_HW5k3Wt4"",""Form Responses 1!B:C""),2,FALSE),)"),"")</f>
        <v/>
      </c>
      <c r="S435" s="70" t="str">
        <f>IFERROR(__xludf.DUMMYFUNCTION("IFERROR(VLOOKUP(F435,IMPORTRANGE(""1zxjtEKGvVIJPIDqZdnxENwVpPXYa88EihzyI44hcQUo"",""Form Responses 1!B:C""),2,FALSE),)"),"")</f>
        <v/>
      </c>
      <c r="T435" s="70" t="str">
        <f>IFERROR(__xludf.DUMMYFUNCTION("IFERROR(VLOOKUP(F435,IMPORTRANGE(""1H3cO01obd5zFULYqaT5NAqecZBFFIHeDFn4CeQLZF3w"",""Form Responses 1!B:C""),2,FALSE),)"),"")</f>
        <v/>
      </c>
      <c r="U435" s="70" t="str">
        <f>IFERROR(__xludf.DUMMYFUNCTION("IFERROR(IF(COUNTIF(IMPORTRANGE(""1IG9qoa6PeLdDDFzKpW39lxXshN0-M8Z25a_R1EpsYyg"",""Form Responses 1!B:B""),F435)&gt;0,10,),0)"),"")</f>
        <v/>
      </c>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row>
    <row r="436">
      <c r="B436" s="70" t="str">
        <f>IFERROR(__xludf.DUMMYFUNCTION("IFERROR(IF(COUNTIF(IMPORTRANGE(""1RTcwEJsI_0aJRebhNwO_H_AoKl9r46k7hWYbtciIyM4"",""Form Responses 1!B:B""),A436)&gt;0,10,),0)"),"")</f>
        <v/>
      </c>
      <c r="C436" s="70" t="str">
        <f>IFERROR(__xludf.DUMMYFUNCTION("IFERROR(VLOOKUP(A436,IMPORTRANGE(""11i8IUhq_U6RRKRV3CBWIKqYed_fMvFgNUHTq1YDJfp8"",""Form Responses 1!B:C""),2,FALSE),)"),"")</f>
        <v/>
      </c>
      <c r="D436" s="70" t="str">
        <f>IFERROR(__xludf.DUMMYFUNCTION("IFERROR(VLOOKUP(A436,IMPORTRANGE(""1StiHxuxrFhYdrq5WLR2JMORicW0TbnJf3J-oTHeMRtM"",""Form Responses 1!B:C""),2,FALSE),)"),"")</f>
        <v/>
      </c>
      <c r="E436" s="70" t="str">
        <f>IFERROR(__xludf.DUMMYFUNCTION("IFERROR(VLOOKUP(A436,IMPORTRANGE(""1QaxxyUjrDq2kgz300C1Bq1tacFk6e-xX218cSXCQUK0"",""Form Responses 1!B:C""),2,FALSE),)"),"")</f>
        <v/>
      </c>
      <c r="F436" s="70" t="str">
        <f>IFERROR(__xludf.DUMMYFUNCTION("IFERROR(VLOOKUP(A436,IMPORTRANGE(""1fn2ECph_y8Uz78DhjLaiXcwgt6kh3oe-0Le36Uw0noE"",""Form Responses 1!B:C""),2,FALSE),)"),"")</f>
        <v/>
      </c>
      <c r="G436" s="70"/>
      <c r="H436" s="70"/>
      <c r="I436" s="70"/>
      <c r="J436" s="70"/>
      <c r="K436" s="70"/>
      <c r="L436" s="70"/>
      <c r="M436" s="70"/>
      <c r="N436" s="70"/>
      <c r="O436" s="70"/>
      <c r="P436" s="70"/>
      <c r="Q436" s="70" t="str">
        <f>IFERROR(__xludf.DUMMYFUNCTION("IFERROR(IF(COUNTIF(IMPORTRANGE(""1WjiLR_MTMxI_IZUKuvPO4Sg2rTSIqBzP3edakSRXbOA"",""Form Responses 1!B:B""),F436)&gt;0,10,),0)"),"")</f>
        <v/>
      </c>
      <c r="R436" s="70" t="str">
        <f>IFERROR(__xludf.DUMMYFUNCTION("IFERROR(VLOOKUP(F436,IMPORTRANGE(""1Ixzbal5tEbtWhozsFEppQzOYE6ZSrkNXHg_HW5k3Wt4"",""Form Responses 1!B:C""),2,FALSE),)"),"")</f>
        <v/>
      </c>
      <c r="S436" s="70" t="str">
        <f>IFERROR(__xludf.DUMMYFUNCTION("IFERROR(VLOOKUP(F436,IMPORTRANGE(""1zxjtEKGvVIJPIDqZdnxENwVpPXYa88EihzyI44hcQUo"",""Form Responses 1!B:C""),2,FALSE),)"),"")</f>
        <v/>
      </c>
      <c r="T436" s="70" t="str">
        <f>IFERROR(__xludf.DUMMYFUNCTION("IFERROR(VLOOKUP(F436,IMPORTRANGE(""1H3cO01obd5zFULYqaT5NAqecZBFFIHeDFn4CeQLZF3w"",""Form Responses 1!B:C""),2,FALSE),)"),"")</f>
        <v/>
      </c>
      <c r="U436" s="70" t="str">
        <f>IFERROR(__xludf.DUMMYFUNCTION("IFERROR(IF(COUNTIF(IMPORTRANGE(""1IG9qoa6PeLdDDFzKpW39lxXshN0-M8Z25a_R1EpsYyg"",""Form Responses 1!B:B""),F436)&gt;0,10,),0)"),"")</f>
        <v/>
      </c>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row>
    <row r="437">
      <c r="B437" s="70" t="str">
        <f>IFERROR(__xludf.DUMMYFUNCTION("IFERROR(IF(COUNTIF(IMPORTRANGE(""1RTcwEJsI_0aJRebhNwO_H_AoKl9r46k7hWYbtciIyM4"",""Form Responses 1!B:B""),A437)&gt;0,10,),0)"),"")</f>
        <v/>
      </c>
      <c r="C437" s="70" t="str">
        <f>IFERROR(__xludf.DUMMYFUNCTION("IFERROR(VLOOKUP(A437,IMPORTRANGE(""11i8IUhq_U6RRKRV3CBWIKqYed_fMvFgNUHTq1YDJfp8"",""Form Responses 1!B:C""),2,FALSE),)"),"")</f>
        <v/>
      </c>
      <c r="D437" s="70" t="str">
        <f>IFERROR(__xludf.DUMMYFUNCTION("IFERROR(VLOOKUP(A437,IMPORTRANGE(""1StiHxuxrFhYdrq5WLR2JMORicW0TbnJf3J-oTHeMRtM"",""Form Responses 1!B:C""),2,FALSE),)"),"")</f>
        <v/>
      </c>
      <c r="E437" s="70" t="str">
        <f>IFERROR(__xludf.DUMMYFUNCTION("IFERROR(VLOOKUP(A437,IMPORTRANGE(""1QaxxyUjrDq2kgz300C1Bq1tacFk6e-xX218cSXCQUK0"",""Form Responses 1!B:C""),2,FALSE),)"),"")</f>
        <v/>
      </c>
      <c r="F437" s="70" t="str">
        <f>IFERROR(__xludf.DUMMYFUNCTION("IFERROR(VLOOKUP(A437,IMPORTRANGE(""1fn2ECph_y8Uz78DhjLaiXcwgt6kh3oe-0Le36Uw0noE"",""Form Responses 1!B:C""),2,FALSE),)"),"")</f>
        <v/>
      </c>
      <c r="G437" s="70"/>
      <c r="H437" s="70"/>
      <c r="I437" s="70"/>
      <c r="J437" s="70"/>
      <c r="K437" s="70"/>
      <c r="L437" s="70"/>
      <c r="M437" s="70"/>
      <c r="N437" s="70"/>
      <c r="O437" s="70"/>
      <c r="P437" s="70"/>
      <c r="Q437" s="70" t="str">
        <f>IFERROR(__xludf.DUMMYFUNCTION("IFERROR(IF(COUNTIF(IMPORTRANGE(""1WjiLR_MTMxI_IZUKuvPO4Sg2rTSIqBzP3edakSRXbOA"",""Form Responses 1!B:B""),F437)&gt;0,10,),0)"),"")</f>
        <v/>
      </c>
      <c r="R437" s="70" t="str">
        <f>IFERROR(__xludf.DUMMYFUNCTION("IFERROR(VLOOKUP(F437,IMPORTRANGE(""1Ixzbal5tEbtWhozsFEppQzOYE6ZSrkNXHg_HW5k3Wt4"",""Form Responses 1!B:C""),2,FALSE),)"),"")</f>
        <v/>
      </c>
      <c r="S437" s="70" t="str">
        <f>IFERROR(__xludf.DUMMYFUNCTION("IFERROR(VLOOKUP(F437,IMPORTRANGE(""1zxjtEKGvVIJPIDqZdnxENwVpPXYa88EihzyI44hcQUo"",""Form Responses 1!B:C""),2,FALSE),)"),"")</f>
        <v/>
      </c>
      <c r="T437" s="70" t="str">
        <f>IFERROR(__xludf.DUMMYFUNCTION("IFERROR(VLOOKUP(F437,IMPORTRANGE(""1H3cO01obd5zFULYqaT5NAqecZBFFIHeDFn4CeQLZF3w"",""Form Responses 1!B:C""),2,FALSE),)"),"")</f>
        <v/>
      </c>
      <c r="U437" s="70" t="str">
        <f>IFERROR(__xludf.DUMMYFUNCTION("IFERROR(IF(COUNTIF(IMPORTRANGE(""1IG9qoa6PeLdDDFzKpW39lxXshN0-M8Z25a_R1EpsYyg"",""Form Responses 1!B:B""),F437)&gt;0,10,),0)"),"")</f>
        <v/>
      </c>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row>
    <row r="438">
      <c r="B438" s="70" t="str">
        <f>IFERROR(__xludf.DUMMYFUNCTION("IFERROR(IF(COUNTIF(IMPORTRANGE(""1RTcwEJsI_0aJRebhNwO_H_AoKl9r46k7hWYbtciIyM4"",""Form Responses 1!B:B""),A438)&gt;0,10,),0)"),"")</f>
        <v/>
      </c>
      <c r="C438" s="70" t="str">
        <f>IFERROR(__xludf.DUMMYFUNCTION("IFERROR(VLOOKUP(A438,IMPORTRANGE(""11i8IUhq_U6RRKRV3CBWIKqYed_fMvFgNUHTq1YDJfp8"",""Form Responses 1!B:C""),2,FALSE),)"),"")</f>
        <v/>
      </c>
      <c r="D438" s="70" t="str">
        <f>IFERROR(__xludf.DUMMYFUNCTION("IFERROR(VLOOKUP(A438,IMPORTRANGE(""1StiHxuxrFhYdrq5WLR2JMORicW0TbnJf3J-oTHeMRtM"",""Form Responses 1!B:C""),2,FALSE),)"),"")</f>
        <v/>
      </c>
      <c r="E438" s="70" t="str">
        <f>IFERROR(__xludf.DUMMYFUNCTION("IFERROR(VLOOKUP(A438,IMPORTRANGE(""1QaxxyUjrDq2kgz300C1Bq1tacFk6e-xX218cSXCQUK0"",""Form Responses 1!B:C""),2,FALSE),)"),"")</f>
        <v/>
      </c>
      <c r="F438" s="70" t="str">
        <f>IFERROR(__xludf.DUMMYFUNCTION("IFERROR(VLOOKUP(A438,IMPORTRANGE(""1fn2ECph_y8Uz78DhjLaiXcwgt6kh3oe-0Le36Uw0noE"",""Form Responses 1!B:C""),2,FALSE),)"),"")</f>
        <v/>
      </c>
      <c r="G438" s="70"/>
      <c r="H438" s="70"/>
      <c r="I438" s="70"/>
      <c r="J438" s="70"/>
      <c r="K438" s="70"/>
      <c r="L438" s="70"/>
      <c r="M438" s="70"/>
      <c r="N438" s="70"/>
      <c r="O438" s="70"/>
      <c r="P438" s="70"/>
      <c r="Q438" s="70" t="str">
        <f>IFERROR(__xludf.DUMMYFUNCTION("IFERROR(IF(COUNTIF(IMPORTRANGE(""1WjiLR_MTMxI_IZUKuvPO4Sg2rTSIqBzP3edakSRXbOA"",""Form Responses 1!B:B""),F438)&gt;0,10,),0)"),"")</f>
        <v/>
      </c>
      <c r="R438" s="70" t="str">
        <f>IFERROR(__xludf.DUMMYFUNCTION("IFERROR(VLOOKUP(F438,IMPORTRANGE(""1Ixzbal5tEbtWhozsFEppQzOYE6ZSrkNXHg_HW5k3Wt4"",""Form Responses 1!B:C""),2,FALSE),)"),"")</f>
        <v/>
      </c>
      <c r="S438" s="70" t="str">
        <f>IFERROR(__xludf.DUMMYFUNCTION("IFERROR(VLOOKUP(F438,IMPORTRANGE(""1zxjtEKGvVIJPIDqZdnxENwVpPXYa88EihzyI44hcQUo"",""Form Responses 1!B:C""),2,FALSE),)"),"")</f>
        <v/>
      </c>
      <c r="T438" s="70" t="str">
        <f>IFERROR(__xludf.DUMMYFUNCTION("IFERROR(VLOOKUP(F438,IMPORTRANGE(""1H3cO01obd5zFULYqaT5NAqecZBFFIHeDFn4CeQLZF3w"",""Form Responses 1!B:C""),2,FALSE),)"),"")</f>
        <v/>
      </c>
      <c r="U438" s="70" t="str">
        <f>IFERROR(__xludf.DUMMYFUNCTION("IFERROR(IF(COUNTIF(IMPORTRANGE(""1IG9qoa6PeLdDDFzKpW39lxXshN0-M8Z25a_R1EpsYyg"",""Form Responses 1!B:B""),F438)&gt;0,10,),0)"),"")</f>
        <v/>
      </c>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row>
    <row r="439">
      <c r="B439" s="70" t="str">
        <f>IFERROR(__xludf.DUMMYFUNCTION("IFERROR(IF(COUNTIF(IMPORTRANGE(""1RTcwEJsI_0aJRebhNwO_H_AoKl9r46k7hWYbtciIyM4"",""Form Responses 1!B:B""),A439)&gt;0,10,),0)"),"")</f>
        <v/>
      </c>
      <c r="C439" s="70" t="str">
        <f>IFERROR(__xludf.DUMMYFUNCTION("IFERROR(VLOOKUP(A439,IMPORTRANGE(""11i8IUhq_U6RRKRV3CBWIKqYed_fMvFgNUHTq1YDJfp8"",""Form Responses 1!B:C""),2,FALSE),)"),"")</f>
        <v/>
      </c>
      <c r="D439" s="70" t="str">
        <f>IFERROR(__xludf.DUMMYFUNCTION("IFERROR(VLOOKUP(A439,IMPORTRANGE(""1StiHxuxrFhYdrq5WLR2JMORicW0TbnJf3J-oTHeMRtM"",""Form Responses 1!B:C""),2,FALSE),)"),"")</f>
        <v/>
      </c>
      <c r="E439" s="70" t="str">
        <f>IFERROR(__xludf.DUMMYFUNCTION("IFERROR(VLOOKUP(A439,IMPORTRANGE(""1QaxxyUjrDq2kgz300C1Bq1tacFk6e-xX218cSXCQUK0"",""Form Responses 1!B:C""),2,FALSE),)"),"")</f>
        <v/>
      </c>
      <c r="F439" s="70" t="str">
        <f>IFERROR(__xludf.DUMMYFUNCTION("IFERROR(VLOOKUP(A439,IMPORTRANGE(""1fn2ECph_y8Uz78DhjLaiXcwgt6kh3oe-0Le36Uw0noE"",""Form Responses 1!B:C""),2,FALSE),)"),"")</f>
        <v/>
      </c>
      <c r="G439" s="70"/>
      <c r="H439" s="70"/>
      <c r="I439" s="70"/>
      <c r="J439" s="70"/>
      <c r="K439" s="70"/>
      <c r="L439" s="70"/>
      <c r="M439" s="70"/>
      <c r="N439" s="70"/>
      <c r="O439" s="70"/>
      <c r="P439" s="70"/>
      <c r="Q439" s="70" t="str">
        <f>IFERROR(__xludf.DUMMYFUNCTION("IFERROR(IF(COUNTIF(IMPORTRANGE(""1WjiLR_MTMxI_IZUKuvPO4Sg2rTSIqBzP3edakSRXbOA"",""Form Responses 1!B:B""),F439)&gt;0,10,),0)"),"")</f>
        <v/>
      </c>
      <c r="R439" s="70" t="str">
        <f>IFERROR(__xludf.DUMMYFUNCTION("IFERROR(VLOOKUP(F439,IMPORTRANGE(""1Ixzbal5tEbtWhozsFEppQzOYE6ZSrkNXHg_HW5k3Wt4"",""Form Responses 1!B:C""),2,FALSE),)"),"")</f>
        <v/>
      </c>
      <c r="S439" s="70" t="str">
        <f>IFERROR(__xludf.DUMMYFUNCTION("IFERROR(VLOOKUP(F439,IMPORTRANGE(""1zxjtEKGvVIJPIDqZdnxENwVpPXYa88EihzyI44hcQUo"",""Form Responses 1!B:C""),2,FALSE),)"),"")</f>
        <v/>
      </c>
      <c r="T439" s="70" t="str">
        <f>IFERROR(__xludf.DUMMYFUNCTION("IFERROR(VLOOKUP(F439,IMPORTRANGE(""1H3cO01obd5zFULYqaT5NAqecZBFFIHeDFn4CeQLZF3w"",""Form Responses 1!B:C""),2,FALSE),)"),"")</f>
        <v/>
      </c>
      <c r="U439" s="70" t="str">
        <f>IFERROR(__xludf.DUMMYFUNCTION("IFERROR(IF(COUNTIF(IMPORTRANGE(""1IG9qoa6PeLdDDFzKpW39lxXshN0-M8Z25a_R1EpsYyg"",""Form Responses 1!B:B""),F439)&gt;0,10,),0)"),"")</f>
        <v/>
      </c>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row>
    <row r="440">
      <c r="B440" s="70" t="str">
        <f>IFERROR(__xludf.DUMMYFUNCTION("IFERROR(IF(COUNTIF(IMPORTRANGE(""1RTcwEJsI_0aJRebhNwO_H_AoKl9r46k7hWYbtciIyM4"",""Form Responses 1!B:B""),A440)&gt;0,10,),0)"),"")</f>
        <v/>
      </c>
      <c r="C440" s="70" t="str">
        <f>IFERROR(__xludf.DUMMYFUNCTION("IFERROR(VLOOKUP(A440,IMPORTRANGE(""11i8IUhq_U6RRKRV3CBWIKqYed_fMvFgNUHTq1YDJfp8"",""Form Responses 1!B:C""),2,FALSE),)"),"")</f>
        <v/>
      </c>
      <c r="D440" s="70" t="str">
        <f>IFERROR(__xludf.DUMMYFUNCTION("IFERROR(VLOOKUP(A440,IMPORTRANGE(""1StiHxuxrFhYdrq5WLR2JMORicW0TbnJf3J-oTHeMRtM"",""Form Responses 1!B:C""),2,FALSE),)"),"")</f>
        <v/>
      </c>
      <c r="E440" s="70" t="str">
        <f>IFERROR(__xludf.DUMMYFUNCTION("IFERROR(VLOOKUP(A440,IMPORTRANGE(""1QaxxyUjrDq2kgz300C1Bq1tacFk6e-xX218cSXCQUK0"",""Form Responses 1!B:C""),2,FALSE),)"),"")</f>
        <v/>
      </c>
      <c r="F440" s="70" t="str">
        <f>IFERROR(__xludf.DUMMYFUNCTION("IFERROR(VLOOKUP(A440,IMPORTRANGE(""1fn2ECph_y8Uz78DhjLaiXcwgt6kh3oe-0Le36Uw0noE"",""Form Responses 1!B:C""),2,FALSE),)"),"")</f>
        <v/>
      </c>
      <c r="G440" s="70"/>
      <c r="H440" s="70"/>
      <c r="I440" s="70"/>
      <c r="J440" s="70"/>
      <c r="K440" s="70"/>
      <c r="L440" s="70"/>
      <c r="M440" s="70"/>
      <c r="N440" s="70"/>
      <c r="O440" s="70"/>
      <c r="P440" s="70"/>
      <c r="Q440" s="70" t="str">
        <f>IFERROR(__xludf.DUMMYFUNCTION("IFERROR(IF(COUNTIF(IMPORTRANGE(""1WjiLR_MTMxI_IZUKuvPO4Sg2rTSIqBzP3edakSRXbOA"",""Form Responses 1!B:B""),F440)&gt;0,10,),0)"),"")</f>
        <v/>
      </c>
      <c r="R440" s="70" t="str">
        <f>IFERROR(__xludf.DUMMYFUNCTION("IFERROR(VLOOKUP(F440,IMPORTRANGE(""1Ixzbal5tEbtWhozsFEppQzOYE6ZSrkNXHg_HW5k3Wt4"",""Form Responses 1!B:C""),2,FALSE),)"),"")</f>
        <v/>
      </c>
      <c r="S440" s="70" t="str">
        <f>IFERROR(__xludf.DUMMYFUNCTION("IFERROR(VLOOKUP(F440,IMPORTRANGE(""1zxjtEKGvVIJPIDqZdnxENwVpPXYa88EihzyI44hcQUo"",""Form Responses 1!B:C""),2,FALSE),)"),"")</f>
        <v/>
      </c>
      <c r="T440" s="70" t="str">
        <f>IFERROR(__xludf.DUMMYFUNCTION("IFERROR(VLOOKUP(F440,IMPORTRANGE(""1H3cO01obd5zFULYqaT5NAqecZBFFIHeDFn4CeQLZF3w"",""Form Responses 1!B:C""),2,FALSE),)"),"")</f>
        <v/>
      </c>
      <c r="U440" s="70" t="str">
        <f>IFERROR(__xludf.DUMMYFUNCTION("IFERROR(IF(COUNTIF(IMPORTRANGE(""1IG9qoa6PeLdDDFzKpW39lxXshN0-M8Z25a_R1EpsYyg"",""Form Responses 1!B:B""),F440)&gt;0,10,),0)"),"")</f>
        <v/>
      </c>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row>
    <row r="441">
      <c r="B441" s="70" t="str">
        <f>IFERROR(__xludf.DUMMYFUNCTION("IFERROR(IF(COUNTIF(IMPORTRANGE(""1RTcwEJsI_0aJRebhNwO_H_AoKl9r46k7hWYbtciIyM4"",""Form Responses 1!B:B""),A441)&gt;0,10,),0)"),"")</f>
        <v/>
      </c>
      <c r="C441" s="70" t="str">
        <f>IFERROR(__xludf.DUMMYFUNCTION("IFERROR(VLOOKUP(A441,IMPORTRANGE(""11i8IUhq_U6RRKRV3CBWIKqYed_fMvFgNUHTq1YDJfp8"",""Form Responses 1!B:C""),2,FALSE),)"),"")</f>
        <v/>
      </c>
      <c r="D441" s="70" t="str">
        <f>IFERROR(__xludf.DUMMYFUNCTION("IFERROR(VLOOKUP(A441,IMPORTRANGE(""1StiHxuxrFhYdrq5WLR2JMORicW0TbnJf3J-oTHeMRtM"",""Form Responses 1!B:C""),2,FALSE),)"),"")</f>
        <v/>
      </c>
      <c r="E441" s="70" t="str">
        <f>IFERROR(__xludf.DUMMYFUNCTION("IFERROR(VLOOKUP(A441,IMPORTRANGE(""1QaxxyUjrDq2kgz300C1Bq1tacFk6e-xX218cSXCQUK0"",""Form Responses 1!B:C""),2,FALSE),)"),"")</f>
        <v/>
      </c>
      <c r="F441" s="70" t="str">
        <f>IFERROR(__xludf.DUMMYFUNCTION("IFERROR(VLOOKUP(A441,IMPORTRANGE(""1fn2ECph_y8Uz78DhjLaiXcwgt6kh3oe-0Le36Uw0noE"",""Form Responses 1!B:C""),2,FALSE),)"),"")</f>
        <v/>
      </c>
      <c r="G441" s="70"/>
      <c r="H441" s="70"/>
      <c r="I441" s="70"/>
      <c r="J441" s="70"/>
      <c r="K441" s="70"/>
      <c r="L441" s="70"/>
      <c r="M441" s="70"/>
      <c r="N441" s="70"/>
      <c r="O441" s="70"/>
      <c r="P441" s="70"/>
      <c r="Q441" s="70" t="str">
        <f>IFERROR(__xludf.DUMMYFUNCTION("IFERROR(IF(COUNTIF(IMPORTRANGE(""1WjiLR_MTMxI_IZUKuvPO4Sg2rTSIqBzP3edakSRXbOA"",""Form Responses 1!B:B""),F441)&gt;0,10,),0)"),"")</f>
        <v/>
      </c>
      <c r="R441" s="70" t="str">
        <f>IFERROR(__xludf.DUMMYFUNCTION("IFERROR(VLOOKUP(F441,IMPORTRANGE(""1Ixzbal5tEbtWhozsFEppQzOYE6ZSrkNXHg_HW5k3Wt4"",""Form Responses 1!B:C""),2,FALSE),)"),"")</f>
        <v/>
      </c>
      <c r="S441" s="70" t="str">
        <f>IFERROR(__xludf.DUMMYFUNCTION("IFERROR(VLOOKUP(F441,IMPORTRANGE(""1zxjtEKGvVIJPIDqZdnxENwVpPXYa88EihzyI44hcQUo"",""Form Responses 1!B:C""),2,FALSE),)"),"")</f>
        <v/>
      </c>
      <c r="T441" s="70" t="str">
        <f>IFERROR(__xludf.DUMMYFUNCTION("IFERROR(VLOOKUP(F441,IMPORTRANGE(""1H3cO01obd5zFULYqaT5NAqecZBFFIHeDFn4CeQLZF3w"",""Form Responses 1!B:C""),2,FALSE),)"),"")</f>
        <v/>
      </c>
      <c r="U441" s="70" t="str">
        <f>IFERROR(__xludf.DUMMYFUNCTION("IFERROR(IF(COUNTIF(IMPORTRANGE(""1IG9qoa6PeLdDDFzKpW39lxXshN0-M8Z25a_R1EpsYyg"",""Form Responses 1!B:B""),F441)&gt;0,10,),0)"),"")</f>
        <v/>
      </c>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row>
    <row r="442">
      <c r="B442" s="70" t="str">
        <f>IFERROR(__xludf.DUMMYFUNCTION("IFERROR(IF(COUNTIF(IMPORTRANGE(""1RTcwEJsI_0aJRebhNwO_H_AoKl9r46k7hWYbtciIyM4"",""Form Responses 1!B:B""),A442)&gt;0,10,),0)"),"")</f>
        <v/>
      </c>
      <c r="C442" s="70" t="str">
        <f>IFERROR(__xludf.DUMMYFUNCTION("IFERROR(VLOOKUP(A442,IMPORTRANGE(""11i8IUhq_U6RRKRV3CBWIKqYed_fMvFgNUHTq1YDJfp8"",""Form Responses 1!B:C""),2,FALSE),)"),"")</f>
        <v/>
      </c>
      <c r="D442" s="70" t="str">
        <f>IFERROR(__xludf.DUMMYFUNCTION("IFERROR(VLOOKUP(A442,IMPORTRANGE(""1StiHxuxrFhYdrq5WLR2JMORicW0TbnJf3J-oTHeMRtM"",""Form Responses 1!B:C""),2,FALSE),)"),"")</f>
        <v/>
      </c>
      <c r="E442" s="70" t="str">
        <f>IFERROR(__xludf.DUMMYFUNCTION("IFERROR(VLOOKUP(A442,IMPORTRANGE(""1QaxxyUjrDq2kgz300C1Bq1tacFk6e-xX218cSXCQUK0"",""Form Responses 1!B:C""),2,FALSE),)"),"")</f>
        <v/>
      </c>
      <c r="F442" s="70" t="str">
        <f>IFERROR(__xludf.DUMMYFUNCTION("IFERROR(VLOOKUP(A442,IMPORTRANGE(""1fn2ECph_y8Uz78DhjLaiXcwgt6kh3oe-0Le36Uw0noE"",""Form Responses 1!B:C""),2,FALSE),)"),"")</f>
        <v/>
      </c>
      <c r="G442" s="70"/>
      <c r="H442" s="70"/>
      <c r="I442" s="70"/>
      <c r="J442" s="70"/>
      <c r="K442" s="70"/>
      <c r="L442" s="70"/>
      <c r="M442" s="70"/>
      <c r="N442" s="70"/>
      <c r="O442" s="70"/>
      <c r="P442" s="70"/>
      <c r="Q442" s="70" t="str">
        <f>IFERROR(__xludf.DUMMYFUNCTION("IFERROR(IF(COUNTIF(IMPORTRANGE(""1WjiLR_MTMxI_IZUKuvPO4Sg2rTSIqBzP3edakSRXbOA"",""Form Responses 1!B:B""),F442)&gt;0,10,),0)"),"")</f>
        <v/>
      </c>
      <c r="R442" s="70" t="str">
        <f>IFERROR(__xludf.DUMMYFUNCTION("IFERROR(VLOOKUP(F442,IMPORTRANGE(""1Ixzbal5tEbtWhozsFEppQzOYE6ZSrkNXHg_HW5k3Wt4"",""Form Responses 1!B:C""),2,FALSE),)"),"")</f>
        <v/>
      </c>
      <c r="S442" s="70" t="str">
        <f>IFERROR(__xludf.DUMMYFUNCTION("IFERROR(VLOOKUP(F442,IMPORTRANGE(""1zxjtEKGvVIJPIDqZdnxENwVpPXYa88EihzyI44hcQUo"",""Form Responses 1!B:C""),2,FALSE),)"),"")</f>
        <v/>
      </c>
      <c r="T442" s="70" t="str">
        <f>IFERROR(__xludf.DUMMYFUNCTION("IFERROR(VLOOKUP(F442,IMPORTRANGE(""1H3cO01obd5zFULYqaT5NAqecZBFFIHeDFn4CeQLZF3w"",""Form Responses 1!B:C""),2,FALSE),)"),"")</f>
        <v/>
      </c>
      <c r="U442" s="70" t="str">
        <f>IFERROR(__xludf.DUMMYFUNCTION("IFERROR(IF(COUNTIF(IMPORTRANGE(""1IG9qoa6PeLdDDFzKpW39lxXshN0-M8Z25a_R1EpsYyg"",""Form Responses 1!B:B""),F442)&gt;0,10,),0)"),"")</f>
        <v/>
      </c>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row>
    <row r="443">
      <c r="B443" s="70" t="str">
        <f>IFERROR(__xludf.DUMMYFUNCTION("IFERROR(IF(COUNTIF(IMPORTRANGE(""1RTcwEJsI_0aJRebhNwO_H_AoKl9r46k7hWYbtciIyM4"",""Form Responses 1!B:B""),A443)&gt;0,10,),0)"),"")</f>
        <v/>
      </c>
      <c r="C443" s="70" t="str">
        <f>IFERROR(__xludf.DUMMYFUNCTION("IFERROR(VLOOKUP(A443,IMPORTRANGE(""11i8IUhq_U6RRKRV3CBWIKqYed_fMvFgNUHTq1YDJfp8"",""Form Responses 1!B:C""),2,FALSE),)"),"")</f>
        <v/>
      </c>
      <c r="D443" s="70" t="str">
        <f>IFERROR(__xludf.DUMMYFUNCTION("IFERROR(VLOOKUP(A443,IMPORTRANGE(""1StiHxuxrFhYdrq5WLR2JMORicW0TbnJf3J-oTHeMRtM"",""Form Responses 1!B:C""),2,FALSE),)"),"")</f>
        <v/>
      </c>
      <c r="E443" s="70" t="str">
        <f>IFERROR(__xludf.DUMMYFUNCTION("IFERROR(VLOOKUP(A443,IMPORTRANGE(""1QaxxyUjrDq2kgz300C1Bq1tacFk6e-xX218cSXCQUK0"",""Form Responses 1!B:C""),2,FALSE),)"),"")</f>
        <v/>
      </c>
      <c r="F443" s="70" t="str">
        <f>IFERROR(__xludf.DUMMYFUNCTION("IFERROR(VLOOKUP(A443,IMPORTRANGE(""1fn2ECph_y8Uz78DhjLaiXcwgt6kh3oe-0Le36Uw0noE"",""Form Responses 1!B:C""),2,FALSE),)"),"")</f>
        <v/>
      </c>
      <c r="G443" s="70"/>
      <c r="H443" s="70"/>
      <c r="I443" s="70"/>
      <c r="J443" s="70"/>
      <c r="K443" s="70"/>
      <c r="L443" s="70"/>
      <c r="M443" s="70"/>
      <c r="N443" s="70"/>
      <c r="O443" s="70"/>
      <c r="P443" s="70"/>
      <c r="Q443" s="70" t="str">
        <f>IFERROR(__xludf.DUMMYFUNCTION("IFERROR(IF(COUNTIF(IMPORTRANGE(""1WjiLR_MTMxI_IZUKuvPO4Sg2rTSIqBzP3edakSRXbOA"",""Form Responses 1!B:B""),F443)&gt;0,10,),0)"),"")</f>
        <v/>
      </c>
      <c r="R443" s="70" t="str">
        <f>IFERROR(__xludf.DUMMYFUNCTION("IFERROR(VLOOKUP(F443,IMPORTRANGE(""1Ixzbal5tEbtWhozsFEppQzOYE6ZSrkNXHg_HW5k3Wt4"",""Form Responses 1!B:C""),2,FALSE),)"),"")</f>
        <v/>
      </c>
      <c r="S443" s="70" t="str">
        <f>IFERROR(__xludf.DUMMYFUNCTION("IFERROR(VLOOKUP(F443,IMPORTRANGE(""1zxjtEKGvVIJPIDqZdnxENwVpPXYa88EihzyI44hcQUo"",""Form Responses 1!B:C""),2,FALSE),)"),"")</f>
        <v/>
      </c>
      <c r="T443" s="70" t="str">
        <f>IFERROR(__xludf.DUMMYFUNCTION("IFERROR(VLOOKUP(F443,IMPORTRANGE(""1H3cO01obd5zFULYqaT5NAqecZBFFIHeDFn4CeQLZF3w"",""Form Responses 1!B:C""),2,FALSE),)"),"")</f>
        <v/>
      </c>
      <c r="U443" s="70" t="str">
        <f>IFERROR(__xludf.DUMMYFUNCTION("IFERROR(IF(COUNTIF(IMPORTRANGE(""1IG9qoa6PeLdDDFzKpW39lxXshN0-M8Z25a_R1EpsYyg"",""Form Responses 1!B:B""),F443)&gt;0,10,),0)"),"")</f>
        <v/>
      </c>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row>
    <row r="444">
      <c r="B444" s="70" t="str">
        <f>IFERROR(__xludf.DUMMYFUNCTION("IFERROR(IF(COUNTIF(IMPORTRANGE(""1RTcwEJsI_0aJRebhNwO_H_AoKl9r46k7hWYbtciIyM4"",""Form Responses 1!B:B""),A444)&gt;0,10,),0)"),"")</f>
        <v/>
      </c>
      <c r="C444" s="70" t="str">
        <f>IFERROR(__xludf.DUMMYFUNCTION("IFERROR(VLOOKUP(A444,IMPORTRANGE(""11i8IUhq_U6RRKRV3CBWIKqYed_fMvFgNUHTq1YDJfp8"",""Form Responses 1!B:C""),2,FALSE),)"),"")</f>
        <v/>
      </c>
      <c r="D444" s="70" t="str">
        <f>IFERROR(__xludf.DUMMYFUNCTION("IFERROR(VLOOKUP(A444,IMPORTRANGE(""1StiHxuxrFhYdrq5WLR2JMORicW0TbnJf3J-oTHeMRtM"",""Form Responses 1!B:C""),2,FALSE),)"),"")</f>
        <v/>
      </c>
      <c r="E444" s="70" t="str">
        <f>IFERROR(__xludf.DUMMYFUNCTION("IFERROR(VLOOKUP(A444,IMPORTRANGE(""1QaxxyUjrDq2kgz300C1Bq1tacFk6e-xX218cSXCQUK0"",""Form Responses 1!B:C""),2,FALSE),)"),"")</f>
        <v/>
      </c>
      <c r="F444" s="70" t="str">
        <f>IFERROR(__xludf.DUMMYFUNCTION("IFERROR(VLOOKUP(A444,IMPORTRANGE(""1fn2ECph_y8Uz78DhjLaiXcwgt6kh3oe-0Le36Uw0noE"",""Form Responses 1!B:C""),2,FALSE),)"),"")</f>
        <v/>
      </c>
      <c r="G444" s="70"/>
      <c r="H444" s="70"/>
      <c r="I444" s="70"/>
      <c r="J444" s="70"/>
      <c r="K444" s="70"/>
      <c r="L444" s="70"/>
      <c r="M444" s="70"/>
      <c r="N444" s="70"/>
      <c r="O444" s="70"/>
      <c r="P444" s="70"/>
      <c r="Q444" s="70" t="str">
        <f>IFERROR(__xludf.DUMMYFUNCTION("IFERROR(IF(COUNTIF(IMPORTRANGE(""1WjiLR_MTMxI_IZUKuvPO4Sg2rTSIqBzP3edakSRXbOA"",""Form Responses 1!B:B""),F444)&gt;0,10,),0)"),"")</f>
        <v/>
      </c>
      <c r="R444" s="70" t="str">
        <f>IFERROR(__xludf.DUMMYFUNCTION("IFERROR(VLOOKUP(F444,IMPORTRANGE(""1Ixzbal5tEbtWhozsFEppQzOYE6ZSrkNXHg_HW5k3Wt4"",""Form Responses 1!B:C""),2,FALSE),)"),"")</f>
        <v/>
      </c>
      <c r="S444" s="70" t="str">
        <f>IFERROR(__xludf.DUMMYFUNCTION("IFERROR(VLOOKUP(F444,IMPORTRANGE(""1zxjtEKGvVIJPIDqZdnxENwVpPXYa88EihzyI44hcQUo"",""Form Responses 1!B:C""),2,FALSE),)"),"")</f>
        <v/>
      </c>
      <c r="T444" s="70" t="str">
        <f>IFERROR(__xludf.DUMMYFUNCTION("IFERROR(VLOOKUP(F444,IMPORTRANGE(""1H3cO01obd5zFULYqaT5NAqecZBFFIHeDFn4CeQLZF3w"",""Form Responses 1!B:C""),2,FALSE),)"),"")</f>
        <v/>
      </c>
      <c r="U444" s="70" t="str">
        <f>IFERROR(__xludf.DUMMYFUNCTION("IFERROR(IF(COUNTIF(IMPORTRANGE(""1IG9qoa6PeLdDDFzKpW39lxXshN0-M8Z25a_R1EpsYyg"",""Form Responses 1!B:B""),F444)&gt;0,10,),0)"),"")</f>
        <v/>
      </c>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c r="AU444" s="70"/>
    </row>
    <row r="445">
      <c r="B445" s="70" t="str">
        <f>IFERROR(__xludf.DUMMYFUNCTION("IFERROR(IF(COUNTIF(IMPORTRANGE(""1RTcwEJsI_0aJRebhNwO_H_AoKl9r46k7hWYbtciIyM4"",""Form Responses 1!B:B""),A445)&gt;0,10,),0)"),"")</f>
        <v/>
      </c>
      <c r="C445" s="70" t="str">
        <f>IFERROR(__xludf.DUMMYFUNCTION("IFERROR(VLOOKUP(A445,IMPORTRANGE(""11i8IUhq_U6RRKRV3CBWIKqYed_fMvFgNUHTq1YDJfp8"",""Form Responses 1!B:C""),2,FALSE),)"),"")</f>
        <v/>
      </c>
      <c r="D445" s="70" t="str">
        <f>IFERROR(__xludf.DUMMYFUNCTION("IFERROR(VLOOKUP(A445,IMPORTRANGE(""1StiHxuxrFhYdrq5WLR2JMORicW0TbnJf3J-oTHeMRtM"",""Form Responses 1!B:C""),2,FALSE),)"),"")</f>
        <v/>
      </c>
      <c r="E445" s="70" t="str">
        <f>IFERROR(__xludf.DUMMYFUNCTION("IFERROR(VLOOKUP(A445,IMPORTRANGE(""1QaxxyUjrDq2kgz300C1Bq1tacFk6e-xX218cSXCQUK0"",""Form Responses 1!B:C""),2,FALSE),)"),"")</f>
        <v/>
      </c>
      <c r="F445" s="70" t="str">
        <f>IFERROR(__xludf.DUMMYFUNCTION("IFERROR(VLOOKUP(A445,IMPORTRANGE(""1fn2ECph_y8Uz78DhjLaiXcwgt6kh3oe-0Le36Uw0noE"",""Form Responses 1!B:C""),2,FALSE),)"),"")</f>
        <v/>
      </c>
      <c r="G445" s="70"/>
      <c r="H445" s="70"/>
      <c r="I445" s="70"/>
      <c r="J445" s="70"/>
      <c r="K445" s="70"/>
      <c r="L445" s="70"/>
      <c r="M445" s="70"/>
      <c r="N445" s="70"/>
      <c r="O445" s="70"/>
      <c r="P445" s="70"/>
      <c r="Q445" s="70" t="str">
        <f>IFERROR(__xludf.DUMMYFUNCTION("IFERROR(IF(COUNTIF(IMPORTRANGE(""1WjiLR_MTMxI_IZUKuvPO4Sg2rTSIqBzP3edakSRXbOA"",""Form Responses 1!B:B""),F445)&gt;0,10,),0)"),"")</f>
        <v/>
      </c>
      <c r="R445" s="70" t="str">
        <f>IFERROR(__xludf.DUMMYFUNCTION("IFERROR(VLOOKUP(F445,IMPORTRANGE(""1Ixzbal5tEbtWhozsFEppQzOYE6ZSrkNXHg_HW5k3Wt4"",""Form Responses 1!B:C""),2,FALSE),)"),"")</f>
        <v/>
      </c>
      <c r="S445" s="70" t="str">
        <f>IFERROR(__xludf.DUMMYFUNCTION("IFERROR(VLOOKUP(F445,IMPORTRANGE(""1zxjtEKGvVIJPIDqZdnxENwVpPXYa88EihzyI44hcQUo"",""Form Responses 1!B:C""),2,FALSE),)"),"")</f>
        <v/>
      </c>
      <c r="T445" s="70" t="str">
        <f>IFERROR(__xludf.DUMMYFUNCTION("IFERROR(VLOOKUP(F445,IMPORTRANGE(""1H3cO01obd5zFULYqaT5NAqecZBFFIHeDFn4CeQLZF3w"",""Form Responses 1!B:C""),2,FALSE),)"),"")</f>
        <v/>
      </c>
      <c r="U445" s="70" t="str">
        <f>IFERROR(__xludf.DUMMYFUNCTION("IFERROR(IF(COUNTIF(IMPORTRANGE(""1IG9qoa6PeLdDDFzKpW39lxXshN0-M8Z25a_R1EpsYyg"",""Form Responses 1!B:B""),F445)&gt;0,10,),0)"),"")</f>
        <v/>
      </c>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c r="AU445" s="70"/>
    </row>
    <row r="446">
      <c r="B446" s="70" t="str">
        <f>IFERROR(__xludf.DUMMYFUNCTION("IFERROR(IF(COUNTIF(IMPORTRANGE(""1RTcwEJsI_0aJRebhNwO_H_AoKl9r46k7hWYbtciIyM4"",""Form Responses 1!B:B""),A446)&gt;0,10,),0)"),"")</f>
        <v/>
      </c>
      <c r="C446" s="70" t="str">
        <f>IFERROR(__xludf.DUMMYFUNCTION("IFERROR(VLOOKUP(A446,IMPORTRANGE(""11i8IUhq_U6RRKRV3CBWIKqYed_fMvFgNUHTq1YDJfp8"",""Form Responses 1!B:C""),2,FALSE),)"),"")</f>
        <v/>
      </c>
      <c r="D446" s="70" t="str">
        <f>IFERROR(__xludf.DUMMYFUNCTION("IFERROR(VLOOKUP(A446,IMPORTRANGE(""1StiHxuxrFhYdrq5WLR2JMORicW0TbnJf3J-oTHeMRtM"",""Form Responses 1!B:C""),2,FALSE),)"),"")</f>
        <v/>
      </c>
      <c r="E446" s="70" t="str">
        <f>IFERROR(__xludf.DUMMYFUNCTION("IFERROR(VLOOKUP(A446,IMPORTRANGE(""1QaxxyUjrDq2kgz300C1Bq1tacFk6e-xX218cSXCQUK0"",""Form Responses 1!B:C""),2,FALSE),)"),"")</f>
        <v/>
      </c>
      <c r="F446" s="70" t="str">
        <f>IFERROR(__xludf.DUMMYFUNCTION("IFERROR(VLOOKUP(A446,IMPORTRANGE(""1fn2ECph_y8Uz78DhjLaiXcwgt6kh3oe-0Le36Uw0noE"",""Form Responses 1!B:C""),2,FALSE),)"),"")</f>
        <v/>
      </c>
      <c r="G446" s="70"/>
      <c r="H446" s="70"/>
      <c r="I446" s="70"/>
      <c r="J446" s="70"/>
      <c r="K446" s="70"/>
      <c r="L446" s="70"/>
      <c r="M446" s="70"/>
      <c r="N446" s="70"/>
      <c r="O446" s="70"/>
      <c r="P446" s="70"/>
      <c r="Q446" s="70" t="str">
        <f>IFERROR(__xludf.DUMMYFUNCTION("IFERROR(IF(COUNTIF(IMPORTRANGE(""1WjiLR_MTMxI_IZUKuvPO4Sg2rTSIqBzP3edakSRXbOA"",""Form Responses 1!B:B""),F446)&gt;0,10,),0)"),"")</f>
        <v/>
      </c>
      <c r="R446" s="70" t="str">
        <f>IFERROR(__xludf.DUMMYFUNCTION("IFERROR(VLOOKUP(F446,IMPORTRANGE(""1Ixzbal5tEbtWhozsFEppQzOYE6ZSrkNXHg_HW5k3Wt4"",""Form Responses 1!B:C""),2,FALSE),)"),"")</f>
        <v/>
      </c>
      <c r="S446" s="70" t="str">
        <f>IFERROR(__xludf.DUMMYFUNCTION("IFERROR(VLOOKUP(F446,IMPORTRANGE(""1zxjtEKGvVIJPIDqZdnxENwVpPXYa88EihzyI44hcQUo"",""Form Responses 1!B:C""),2,FALSE),)"),"")</f>
        <v/>
      </c>
      <c r="T446" s="70" t="str">
        <f>IFERROR(__xludf.DUMMYFUNCTION("IFERROR(VLOOKUP(F446,IMPORTRANGE(""1H3cO01obd5zFULYqaT5NAqecZBFFIHeDFn4CeQLZF3w"",""Form Responses 1!B:C""),2,FALSE),)"),"")</f>
        <v/>
      </c>
      <c r="U446" s="70" t="str">
        <f>IFERROR(__xludf.DUMMYFUNCTION("IFERROR(IF(COUNTIF(IMPORTRANGE(""1IG9qoa6PeLdDDFzKpW39lxXshN0-M8Z25a_R1EpsYyg"",""Form Responses 1!B:B""),F446)&gt;0,10,),0)"),"")</f>
        <v/>
      </c>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row>
    <row r="447">
      <c r="B447" s="70" t="str">
        <f>IFERROR(__xludf.DUMMYFUNCTION("IFERROR(IF(COUNTIF(IMPORTRANGE(""1RTcwEJsI_0aJRebhNwO_H_AoKl9r46k7hWYbtciIyM4"",""Form Responses 1!B:B""),A447)&gt;0,10,),0)"),"")</f>
        <v/>
      </c>
      <c r="C447" s="70" t="str">
        <f>IFERROR(__xludf.DUMMYFUNCTION("IFERROR(VLOOKUP(A447,IMPORTRANGE(""11i8IUhq_U6RRKRV3CBWIKqYed_fMvFgNUHTq1YDJfp8"",""Form Responses 1!B:C""),2,FALSE),)"),"")</f>
        <v/>
      </c>
      <c r="D447" s="70" t="str">
        <f>IFERROR(__xludf.DUMMYFUNCTION("IFERROR(VLOOKUP(A447,IMPORTRANGE(""1StiHxuxrFhYdrq5WLR2JMORicW0TbnJf3J-oTHeMRtM"",""Form Responses 1!B:C""),2,FALSE),)"),"")</f>
        <v/>
      </c>
      <c r="E447" s="70" t="str">
        <f>IFERROR(__xludf.DUMMYFUNCTION("IFERROR(VLOOKUP(A447,IMPORTRANGE(""1QaxxyUjrDq2kgz300C1Bq1tacFk6e-xX218cSXCQUK0"",""Form Responses 1!B:C""),2,FALSE),)"),"")</f>
        <v/>
      </c>
      <c r="F447" s="70" t="str">
        <f>IFERROR(__xludf.DUMMYFUNCTION("IFERROR(VLOOKUP(A447,IMPORTRANGE(""1fn2ECph_y8Uz78DhjLaiXcwgt6kh3oe-0Le36Uw0noE"",""Form Responses 1!B:C""),2,FALSE),)"),"")</f>
        <v/>
      </c>
      <c r="G447" s="70"/>
      <c r="H447" s="70"/>
      <c r="I447" s="70"/>
      <c r="J447" s="70"/>
      <c r="K447" s="70"/>
      <c r="L447" s="70"/>
      <c r="M447" s="70"/>
      <c r="N447" s="70"/>
      <c r="O447" s="70"/>
      <c r="P447" s="70"/>
      <c r="Q447" s="70" t="str">
        <f>IFERROR(__xludf.DUMMYFUNCTION("IFERROR(IF(COUNTIF(IMPORTRANGE(""1WjiLR_MTMxI_IZUKuvPO4Sg2rTSIqBzP3edakSRXbOA"",""Form Responses 1!B:B""),F447)&gt;0,10,),0)"),"")</f>
        <v/>
      </c>
      <c r="R447" s="70" t="str">
        <f>IFERROR(__xludf.DUMMYFUNCTION("IFERROR(VLOOKUP(F447,IMPORTRANGE(""1Ixzbal5tEbtWhozsFEppQzOYE6ZSrkNXHg_HW5k3Wt4"",""Form Responses 1!B:C""),2,FALSE),)"),"")</f>
        <v/>
      </c>
      <c r="S447" s="70" t="str">
        <f>IFERROR(__xludf.DUMMYFUNCTION("IFERROR(VLOOKUP(F447,IMPORTRANGE(""1zxjtEKGvVIJPIDqZdnxENwVpPXYa88EihzyI44hcQUo"",""Form Responses 1!B:C""),2,FALSE),)"),"")</f>
        <v/>
      </c>
      <c r="T447" s="70" t="str">
        <f>IFERROR(__xludf.DUMMYFUNCTION("IFERROR(VLOOKUP(F447,IMPORTRANGE(""1H3cO01obd5zFULYqaT5NAqecZBFFIHeDFn4CeQLZF3w"",""Form Responses 1!B:C""),2,FALSE),)"),"")</f>
        <v/>
      </c>
      <c r="U447" s="70" t="str">
        <f>IFERROR(__xludf.DUMMYFUNCTION("IFERROR(IF(COUNTIF(IMPORTRANGE(""1IG9qoa6PeLdDDFzKpW39lxXshN0-M8Z25a_R1EpsYyg"",""Form Responses 1!B:B""),F447)&gt;0,10,),0)"),"")</f>
        <v/>
      </c>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row>
    <row r="448">
      <c r="B448" s="70" t="str">
        <f>IFERROR(__xludf.DUMMYFUNCTION("IFERROR(IF(COUNTIF(IMPORTRANGE(""1RTcwEJsI_0aJRebhNwO_H_AoKl9r46k7hWYbtciIyM4"",""Form Responses 1!B:B""),A448)&gt;0,10,),0)"),"")</f>
        <v/>
      </c>
      <c r="C448" s="70" t="str">
        <f>IFERROR(__xludf.DUMMYFUNCTION("IFERROR(VLOOKUP(A448,IMPORTRANGE(""11i8IUhq_U6RRKRV3CBWIKqYed_fMvFgNUHTq1YDJfp8"",""Form Responses 1!B:C""),2,FALSE),)"),"")</f>
        <v/>
      </c>
      <c r="D448" s="70" t="str">
        <f>IFERROR(__xludf.DUMMYFUNCTION("IFERROR(VLOOKUP(A448,IMPORTRANGE(""1StiHxuxrFhYdrq5WLR2JMORicW0TbnJf3J-oTHeMRtM"",""Form Responses 1!B:C""),2,FALSE),)"),"")</f>
        <v/>
      </c>
      <c r="E448" s="70" t="str">
        <f>IFERROR(__xludf.DUMMYFUNCTION("IFERROR(VLOOKUP(A448,IMPORTRANGE(""1QaxxyUjrDq2kgz300C1Bq1tacFk6e-xX218cSXCQUK0"",""Form Responses 1!B:C""),2,FALSE),)"),"")</f>
        <v/>
      </c>
      <c r="F448" s="70" t="str">
        <f>IFERROR(__xludf.DUMMYFUNCTION("IFERROR(VLOOKUP(A448,IMPORTRANGE(""1fn2ECph_y8Uz78DhjLaiXcwgt6kh3oe-0Le36Uw0noE"",""Form Responses 1!B:C""),2,FALSE),)"),"")</f>
        <v/>
      </c>
      <c r="G448" s="70"/>
      <c r="H448" s="70"/>
      <c r="I448" s="70"/>
      <c r="J448" s="70"/>
      <c r="K448" s="70"/>
      <c r="L448" s="70"/>
      <c r="M448" s="70"/>
      <c r="N448" s="70"/>
      <c r="O448" s="70"/>
      <c r="P448" s="70"/>
      <c r="Q448" s="70" t="str">
        <f>IFERROR(__xludf.DUMMYFUNCTION("IFERROR(IF(COUNTIF(IMPORTRANGE(""1WjiLR_MTMxI_IZUKuvPO4Sg2rTSIqBzP3edakSRXbOA"",""Form Responses 1!B:B""),F448)&gt;0,10,),0)"),"")</f>
        <v/>
      </c>
      <c r="R448" s="70" t="str">
        <f>IFERROR(__xludf.DUMMYFUNCTION("IFERROR(VLOOKUP(F448,IMPORTRANGE(""1Ixzbal5tEbtWhozsFEppQzOYE6ZSrkNXHg_HW5k3Wt4"",""Form Responses 1!B:C""),2,FALSE),)"),"")</f>
        <v/>
      </c>
      <c r="S448" s="70" t="str">
        <f>IFERROR(__xludf.DUMMYFUNCTION("IFERROR(VLOOKUP(F448,IMPORTRANGE(""1zxjtEKGvVIJPIDqZdnxENwVpPXYa88EihzyI44hcQUo"",""Form Responses 1!B:C""),2,FALSE),)"),"")</f>
        <v/>
      </c>
      <c r="T448" s="70" t="str">
        <f>IFERROR(__xludf.DUMMYFUNCTION("IFERROR(VLOOKUP(F448,IMPORTRANGE(""1H3cO01obd5zFULYqaT5NAqecZBFFIHeDFn4CeQLZF3w"",""Form Responses 1!B:C""),2,FALSE),)"),"")</f>
        <v/>
      </c>
      <c r="U448" s="70" t="str">
        <f>IFERROR(__xludf.DUMMYFUNCTION("IFERROR(IF(COUNTIF(IMPORTRANGE(""1IG9qoa6PeLdDDFzKpW39lxXshN0-M8Z25a_R1EpsYyg"",""Form Responses 1!B:B""),F448)&gt;0,10,),0)"),"")</f>
        <v/>
      </c>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row>
    <row r="449">
      <c r="B449" s="70" t="str">
        <f>IFERROR(__xludf.DUMMYFUNCTION("IFERROR(IF(COUNTIF(IMPORTRANGE(""1RTcwEJsI_0aJRebhNwO_H_AoKl9r46k7hWYbtciIyM4"",""Form Responses 1!B:B""),A449)&gt;0,10,),0)"),"")</f>
        <v/>
      </c>
      <c r="C449" s="70" t="str">
        <f>IFERROR(__xludf.DUMMYFUNCTION("IFERROR(VLOOKUP(A449,IMPORTRANGE(""11i8IUhq_U6RRKRV3CBWIKqYed_fMvFgNUHTq1YDJfp8"",""Form Responses 1!B:C""),2,FALSE),)"),"")</f>
        <v/>
      </c>
      <c r="D449" s="70" t="str">
        <f>IFERROR(__xludf.DUMMYFUNCTION("IFERROR(VLOOKUP(A449,IMPORTRANGE(""1StiHxuxrFhYdrq5WLR2JMORicW0TbnJf3J-oTHeMRtM"",""Form Responses 1!B:C""),2,FALSE),)"),"")</f>
        <v/>
      </c>
      <c r="E449" s="70" t="str">
        <f>IFERROR(__xludf.DUMMYFUNCTION("IFERROR(VLOOKUP(A449,IMPORTRANGE(""1QaxxyUjrDq2kgz300C1Bq1tacFk6e-xX218cSXCQUK0"",""Form Responses 1!B:C""),2,FALSE),)"),"")</f>
        <v/>
      </c>
      <c r="F449" s="70" t="str">
        <f>IFERROR(__xludf.DUMMYFUNCTION("IFERROR(VLOOKUP(A449,IMPORTRANGE(""1fn2ECph_y8Uz78DhjLaiXcwgt6kh3oe-0Le36Uw0noE"",""Form Responses 1!B:C""),2,FALSE),)"),"")</f>
        <v/>
      </c>
      <c r="G449" s="70"/>
      <c r="H449" s="70"/>
      <c r="I449" s="70"/>
      <c r="J449" s="70"/>
      <c r="K449" s="70"/>
      <c r="L449" s="70"/>
      <c r="M449" s="70"/>
      <c r="N449" s="70"/>
      <c r="O449" s="70"/>
      <c r="P449" s="70"/>
      <c r="Q449" s="70" t="str">
        <f>IFERROR(__xludf.DUMMYFUNCTION("IFERROR(IF(COUNTIF(IMPORTRANGE(""1WjiLR_MTMxI_IZUKuvPO4Sg2rTSIqBzP3edakSRXbOA"",""Form Responses 1!B:B""),F449)&gt;0,10,),0)"),"")</f>
        <v/>
      </c>
      <c r="R449" s="70" t="str">
        <f>IFERROR(__xludf.DUMMYFUNCTION("IFERROR(VLOOKUP(F449,IMPORTRANGE(""1Ixzbal5tEbtWhozsFEppQzOYE6ZSrkNXHg_HW5k3Wt4"",""Form Responses 1!B:C""),2,FALSE),)"),"")</f>
        <v/>
      </c>
      <c r="S449" s="70" t="str">
        <f>IFERROR(__xludf.DUMMYFUNCTION("IFERROR(VLOOKUP(F449,IMPORTRANGE(""1zxjtEKGvVIJPIDqZdnxENwVpPXYa88EihzyI44hcQUo"",""Form Responses 1!B:C""),2,FALSE),)"),"")</f>
        <v/>
      </c>
      <c r="T449" s="70" t="str">
        <f>IFERROR(__xludf.DUMMYFUNCTION("IFERROR(VLOOKUP(F449,IMPORTRANGE(""1H3cO01obd5zFULYqaT5NAqecZBFFIHeDFn4CeQLZF3w"",""Form Responses 1!B:C""),2,FALSE),)"),"")</f>
        <v/>
      </c>
      <c r="U449" s="70" t="str">
        <f>IFERROR(__xludf.DUMMYFUNCTION("IFERROR(IF(COUNTIF(IMPORTRANGE(""1IG9qoa6PeLdDDFzKpW39lxXshN0-M8Z25a_R1EpsYyg"",""Form Responses 1!B:B""),F449)&gt;0,10,),0)"),"")</f>
        <v/>
      </c>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row>
    <row r="450">
      <c r="B450" s="70" t="str">
        <f>IFERROR(__xludf.DUMMYFUNCTION("IFERROR(IF(COUNTIF(IMPORTRANGE(""1RTcwEJsI_0aJRebhNwO_H_AoKl9r46k7hWYbtciIyM4"",""Form Responses 1!B:B""),A450)&gt;0,10,),0)"),"")</f>
        <v/>
      </c>
      <c r="C450" s="70" t="str">
        <f>IFERROR(__xludf.DUMMYFUNCTION("IFERROR(VLOOKUP(A450,IMPORTRANGE(""11i8IUhq_U6RRKRV3CBWIKqYed_fMvFgNUHTq1YDJfp8"",""Form Responses 1!B:C""),2,FALSE),)"),"")</f>
        <v/>
      </c>
      <c r="D450" s="70" t="str">
        <f>IFERROR(__xludf.DUMMYFUNCTION("IFERROR(VLOOKUP(A450,IMPORTRANGE(""1StiHxuxrFhYdrq5WLR2JMORicW0TbnJf3J-oTHeMRtM"",""Form Responses 1!B:C""),2,FALSE),)"),"")</f>
        <v/>
      </c>
      <c r="E450" s="70" t="str">
        <f>IFERROR(__xludf.DUMMYFUNCTION("IFERROR(VLOOKUP(A450,IMPORTRANGE(""1QaxxyUjrDq2kgz300C1Bq1tacFk6e-xX218cSXCQUK0"",""Form Responses 1!B:C""),2,FALSE),)"),"")</f>
        <v/>
      </c>
      <c r="F450" s="70" t="str">
        <f>IFERROR(__xludf.DUMMYFUNCTION("IFERROR(VLOOKUP(A450,IMPORTRANGE(""1fn2ECph_y8Uz78DhjLaiXcwgt6kh3oe-0Le36Uw0noE"",""Form Responses 1!B:C""),2,FALSE),)"),"")</f>
        <v/>
      </c>
      <c r="G450" s="70"/>
      <c r="H450" s="70"/>
      <c r="I450" s="70"/>
      <c r="J450" s="70"/>
      <c r="K450" s="70"/>
      <c r="L450" s="70"/>
      <c r="M450" s="70"/>
      <c r="N450" s="70"/>
      <c r="O450" s="70"/>
      <c r="P450" s="70"/>
      <c r="Q450" s="70" t="str">
        <f>IFERROR(__xludf.DUMMYFUNCTION("IFERROR(IF(COUNTIF(IMPORTRANGE(""1WjiLR_MTMxI_IZUKuvPO4Sg2rTSIqBzP3edakSRXbOA"",""Form Responses 1!B:B""),F450)&gt;0,10,),0)"),"")</f>
        <v/>
      </c>
      <c r="R450" s="70" t="str">
        <f>IFERROR(__xludf.DUMMYFUNCTION("IFERROR(VLOOKUP(F450,IMPORTRANGE(""1Ixzbal5tEbtWhozsFEppQzOYE6ZSrkNXHg_HW5k3Wt4"",""Form Responses 1!B:C""),2,FALSE),)"),"")</f>
        <v/>
      </c>
      <c r="S450" s="70" t="str">
        <f>IFERROR(__xludf.DUMMYFUNCTION("IFERROR(VLOOKUP(F450,IMPORTRANGE(""1zxjtEKGvVIJPIDqZdnxENwVpPXYa88EihzyI44hcQUo"",""Form Responses 1!B:C""),2,FALSE),)"),"")</f>
        <v/>
      </c>
      <c r="T450" s="70" t="str">
        <f>IFERROR(__xludf.DUMMYFUNCTION("IFERROR(VLOOKUP(F450,IMPORTRANGE(""1H3cO01obd5zFULYqaT5NAqecZBFFIHeDFn4CeQLZF3w"",""Form Responses 1!B:C""),2,FALSE),)"),"")</f>
        <v/>
      </c>
      <c r="U450" s="70" t="str">
        <f>IFERROR(__xludf.DUMMYFUNCTION("IFERROR(IF(COUNTIF(IMPORTRANGE(""1IG9qoa6PeLdDDFzKpW39lxXshN0-M8Z25a_R1EpsYyg"",""Form Responses 1!B:B""),F450)&gt;0,10,),0)"),"")</f>
        <v/>
      </c>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row>
    <row r="451">
      <c r="B451" s="70" t="str">
        <f>IFERROR(__xludf.DUMMYFUNCTION("IFERROR(IF(COUNTIF(IMPORTRANGE(""1RTcwEJsI_0aJRebhNwO_H_AoKl9r46k7hWYbtciIyM4"",""Form Responses 1!B:B""),A451)&gt;0,10,),0)"),"")</f>
        <v/>
      </c>
      <c r="C451" s="70" t="str">
        <f>IFERROR(__xludf.DUMMYFUNCTION("IFERROR(VLOOKUP(A451,IMPORTRANGE(""11i8IUhq_U6RRKRV3CBWIKqYed_fMvFgNUHTq1YDJfp8"",""Form Responses 1!B:C""),2,FALSE),)"),"")</f>
        <v/>
      </c>
      <c r="D451" s="70" t="str">
        <f>IFERROR(__xludf.DUMMYFUNCTION("IFERROR(VLOOKUP(A451,IMPORTRANGE(""1StiHxuxrFhYdrq5WLR2JMORicW0TbnJf3J-oTHeMRtM"",""Form Responses 1!B:C""),2,FALSE),)"),"")</f>
        <v/>
      </c>
      <c r="E451" s="70" t="str">
        <f>IFERROR(__xludf.DUMMYFUNCTION("IFERROR(VLOOKUP(A451,IMPORTRANGE(""1QaxxyUjrDq2kgz300C1Bq1tacFk6e-xX218cSXCQUK0"",""Form Responses 1!B:C""),2,FALSE),)"),"")</f>
        <v/>
      </c>
      <c r="F451" s="70" t="str">
        <f>IFERROR(__xludf.DUMMYFUNCTION("IFERROR(VLOOKUP(A451,IMPORTRANGE(""1fn2ECph_y8Uz78DhjLaiXcwgt6kh3oe-0Le36Uw0noE"",""Form Responses 1!B:C""),2,FALSE),)"),"")</f>
        <v/>
      </c>
      <c r="G451" s="70"/>
      <c r="H451" s="70"/>
      <c r="I451" s="70"/>
      <c r="J451" s="70"/>
      <c r="K451" s="70"/>
      <c r="L451" s="70"/>
      <c r="M451" s="70"/>
      <c r="N451" s="70"/>
      <c r="O451" s="70"/>
      <c r="P451" s="70"/>
      <c r="Q451" s="70" t="str">
        <f>IFERROR(__xludf.DUMMYFUNCTION("IFERROR(IF(COUNTIF(IMPORTRANGE(""1WjiLR_MTMxI_IZUKuvPO4Sg2rTSIqBzP3edakSRXbOA"",""Form Responses 1!B:B""),F451)&gt;0,10,),0)"),"")</f>
        <v/>
      </c>
      <c r="R451" s="70" t="str">
        <f>IFERROR(__xludf.DUMMYFUNCTION("IFERROR(VLOOKUP(F451,IMPORTRANGE(""1Ixzbal5tEbtWhozsFEppQzOYE6ZSrkNXHg_HW5k3Wt4"",""Form Responses 1!B:C""),2,FALSE),)"),"")</f>
        <v/>
      </c>
      <c r="S451" s="70" t="str">
        <f>IFERROR(__xludf.DUMMYFUNCTION("IFERROR(VLOOKUP(F451,IMPORTRANGE(""1zxjtEKGvVIJPIDqZdnxENwVpPXYa88EihzyI44hcQUo"",""Form Responses 1!B:C""),2,FALSE),)"),"")</f>
        <v/>
      </c>
      <c r="T451" s="70" t="str">
        <f>IFERROR(__xludf.DUMMYFUNCTION("IFERROR(VLOOKUP(F451,IMPORTRANGE(""1H3cO01obd5zFULYqaT5NAqecZBFFIHeDFn4CeQLZF3w"",""Form Responses 1!B:C""),2,FALSE),)"),"")</f>
        <v/>
      </c>
      <c r="U451" s="70" t="str">
        <f>IFERROR(__xludf.DUMMYFUNCTION("IFERROR(IF(COUNTIF(IMPORTRANGE(""1IG9qoa6PeLdDDFzKpW39lxXshN0-M8Z25a_R1EpsYyg"",""Form Responses 1!B:B""),F451)&gt;0,10,),0)"),"")</f>
        <v/>
      </c>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row>
    <row r="452">
      <c r="B452" s="70" t="str">
        <f>IFERROR(__xludf.DUMMYFUNCTION("IFERROR(IF(COUNTIF(IMPORTRANGE(""1RTcwEJsI_0aJRebhNwO_H_AoKl9r46k7hWYbtciIyM4"",""Form Responses 1!B:B""),A452)&gt;0,10,),0)"),"")</f>
        <v/>
      </c>
      <c r="C452" s="70" t="str">
        <f>IFERROR(__xludf.DUMMYFUNCTION("IFERROR(VLOOKUP(A452,IMPORTRANGE(""11i8IUhq_U6RRKRV3CBWIKqYed_fMvFgNUHTq1YDJfp8"",""Form Responses 1!B:C""),2,FALSE),)"),"")</f>
        <v/>
      </c>
      <c r="D452" s="70" t="str">
        <f>IFERROR(__xludf.DUMMYFUNCTION("IFERROR(VLOOKUP(A452,IMPORTRANGE(""1StiHxuxrFhYdrq5WLR2JMORicW0TbnJf3J-oTHeMRtM"",""Form Responses 1!B:C""),2,FALSE),)"),"")</f>
        <v/>
      </c>
      <c r="E452" s="70" t="str">
        <f>IFERROR(__xludf.DUMMYFUNCTION("IFERROR(VLOOKUP(A452,IMPORTRANGE(""1QaxxyUjrDq2kgz300C1Bq1tacFk6e-xX218cSXCQUK0"",""Form Responses 1!B:C""),2,FALSE),)"),"")</f>
        <v/>
      </c>
      <c r="F452" s="70" t="str">
        <f>IFERROR(__xludf.DUMMYFUNCTION("IFERROR(VLOOKUP(A452,IMPORTRANGE(""1fn2ECph_y8Uz78DhjLaiXcwgt6kh3oe-0Le36Uw0noE"",""Form Responses 1!B:C""),2,FALSE),)"),"")</f>
        <v/>
      </c>
      <c r="G452" s="70"/>
      <c r="H452" s="70"/>
      <c r="I452" s="70"/>
      <c r="J452" s="70"/>
      <c r="K452" s="70"/>
      <c r="L452" s="70"/>
      <c r="M452" s="70"/>
      <c r="N452" s="70"/>
      <c r="O452" s="70"/>
      <c r="P452" s="70"/>
      <c r="Q452" s="70" t="str">
        <f>IFERROR(__xludf.DUMMYFUNCTION("IFERROR(IF(COUNTIF(IMPORTRANGE(""1WjiLR_MTMxI_IZUKuvPO4Sg2rTSIqBzP3edakSRXbOA"",""Form Responses 1!B:B""),F452)&gt;0,10,),0)"),"")</f>
        <v/>
      </c>
      <c r="R452" s="70" t="str">
        <f>IFERROR(__xludf.DUMMYFUNCTION("IFERROR(VLOOKUP(F452,IMPORTRANGE(""1Ixzbal5tEbtWhozsFEppQzOYE6ZSrkNXHg_HW5k3Wt4"",""Form Responses 1!B:C""),2,FALSE),)"),"")</f>
        <v/>
      </c>
      <c r="S452" s="70" t="str">
        <f>IFERROR(__xludf.DUMMYFUNCTION("IFERROR(VLOOKUP(F452,IMPORTRANGE(""1zxjtEKGvVIJPIDqZdnxENwVpPXYa88EihzyI44hcQUo"",""Form Responses 1!B:C""),2,FALSE),)"),"")</f>
        <v/>
      </c>
      <c r="T452" s="70" t="str">
        <f>IFERROR(__xludf.DUMMYFUNCTION("IFERROR(VLOOKUP(F452,IMPORTRANGE(""1H3cO01obd5zFULYqaT5NAqecZBFFIHeDFn4CeQLZF3w"",""Form Responses 1!B:C""),2,FALSE),)"),"")</f>
        <v/>
      </c>
      <c r="U452" s="70" t="str">
        <f>IFERROR(__xludf.DUMMYFUNCTION("IFERROR(IF(COUNTIF(IMPORTRANGE(""1IG9qoa6PeLdDDFzKpW39lxXshN0-M8Z25a_R1EpsYyg"",""Form Responses 1!B:B""),F452)&gt;0,10,),0)"),"")</f>
        <v/>
      </c>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row>
    <row r="453">
      <c r="B453" s="70" t="str">
        <f>IFERROR(__xludf.DUMMYFUNCTION("IFERROR(IF(COUNTIF(IMPORTRANGE(""1RTcwEJsI_0aJRebhNwO_H_AoKl9r46k7hWYbtciIyM4"",""Form Responses 1!B:B""),A453)&gt;0,10,),0)"),"")</f>
        <v/>
      </c>
      <c r="C453" s="70" t="str">
        <f>IFERROR(__xludf.DUMMYFUNCTION("IFERROR(VLOOKUP(A453,IMPORTRANGE(""11i8IUhq_U6RRKRV3CBWIKqYed_fMvFgNUHTq1YDJfp8"",""Form Responses 1!B:C""),2,FALSE),)"),"")</f>
        <v/>
      </c>
      <c r="D453" s="70" t="str">
        <f>IFERROR(__xludf.DUMMYFUNCTION("IFERROR(VLOOKUP(A453,IMPORTRANGE(""1StiHxuxrFhYdrq5WLR2JMORicW0TbnJf3J-oTHeMRtM"",""Form Responses 1!B:C""),2,FALSE),)"),"")</f>
        <v/>
      </c>
      <c r="E453" s="70" t="str">
        <f>IFERROR(__xludf.DUMMYFUNCTION("IFERROR(VLOOKUP(A453,IMPORTRANGE(""1QaxxyUjrDq2kgz300C1Bq1tacFk6e-xX218cSXCQUK0"",""Form Responses 1!B:C""),2,FALSE),)"),"")</f>
        <v/>
      </c>
      <c r="F453" s="70" t="str">
        <f>IFERROR(__xludf.DUMMYFUNCTION("IFERROR(VLOOKUP(A453,IMPORTRANGE(""1fn2ECph_y8Uz78DhjLaiXcwgt6kh3oe-0Le36Uw0noE"",""Form Responses 1!B:C""),2,FALSE),)"),"")</f>
        <v/>
      </c>
      <c r="G453" s="70"/>
      <c r="H453" s="70"/>
      <c r="I453" s="70"/>
      <c r="J453" s="70"/>
      <c r="K453" s="70"/>
      <c r="L453" s="70"/>
      <c r="M453" s="70"/>
      <c r="N453" s="70"/>
      <c r="O453" s="70"/>
      <c r="P453" s="70"/>
      <c r="Q453" s="70" t="str">
        <f>IFERROR(__xludf.DUMMYFUNCTION("IFERROR(IF(COUNTIF(IMPORTRANGE(""1WjiLR_MTMxI_IZUKuvPO4Sg2rTSIqBzP3edakSRXbOA"",""Form Responses 1!B:B""),F453)&gt;0,10,),0)"),"")</f>
        <v/>
      </c>
      <c r="R453" s="70" t="str">
        <f>IFERROR(__xludf.DUMMYFUNCTION("IFERROR(VLOOKUP(F453,IMPORTRANGE(""1Ixzbal5tEbtWhozsFEppQzOYE6ZSrkNXHg_HW5k3Wt4"",""Form Responses 1!B:C""),2,FALSE),)"),"")</f>
        <v/>
      </c>
      <c r="S453" s="70" t="str">
        <f>IFERROR(__xludf.DUMMYFUNCTION("IFERROR(VLOOKUP(F453,IMPORTRANGE(""1zxjtEKGvVIJPIDqZdnxENwVpPXYa88EihzyI44hcQUo"",""Form Responses 1!B:C""),2,FALSE),)"),"")</f>
        <v/>
      </c>
      <c r="T453" s="70" t="str">
        <f>IFERROR(__xludf.DUMMYFUNCTION("IFERROR(VLOOKUP(F453,IMPORTRANGE(""1H3cO01obd5zFULYqaT5NAqecZBFFIHeDFn4CeQLZF3w"",""Form Responses 1!B:C""),2,FALSE),)"),"")</f>
        <v/>
      </c>
      <c r="U453" s="70" t="str">
        <f>IFERROR(__xludf.DUMMYFUNCTION("IFERROR(IF(COUNTIF(IMPORTRANGE(""1IG9qoa6PeLdDDFzKpW39lxXshN0-M8Z25a_R1EpsYyg"",""Form Responses 1!B:B""),F453)&gt;0,10,),0)"),"")</f>
        <v/>
      </c>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row>
    <row r="454">
      <c r="B454" s="70" t="str">
        <f>IFERROR(__xludf.DUMMYFUNCTION("IFERROR(IF(COUNTIF(IMPORTRANGE(""1RTcwEJsI_0aJRebhNwO_H_AoKl9r46k7hWYbtciIyM4"",""Form Responses 1!B:B""),A454)&gt;0,10,),0)"),"")</f>
        <v/>
      </c>
      <c r="C454" s="70" t="str">
        <f>IFERROR(__xludf.DUMMYFUNCTION("IFERROR(VLOOKUP(A454,IMPORTRANGE(""11i8IUhq_U6RRKRV3CBWIKqYed_fMvFgNUHTq1YDJfp8"",""Form Responses 1!B:C""),2,FALSE),)"),"")</f>
        <v/>
      </c>
      <c r="D454" s="70" t="str">
        <f>IFERROR(__xludf.DUMMYFUNCTION("IFERROR(VLOOKUP(A454,IMPORTRANGE(""1StiHxuxrFhYdrq5WLR2JMORicW0TbnJf3J-oTHeMRtM"",""Form Responses 1!B:C""),2,FALSE),)"),"")</f>
        <v/>
      </c>
      <c r="E454" s="70" t="str">
        <f>IFERROR(__xludf.DUMMYFUNCTION("IFERROR(VLOOKUP(A454,IMPORTRANGE(""1QaxxyUjrDq2kgz300C1Bq1tacFk6e-xX218cSXCQUK0"",""Form Responses 1!B:C""),2,FALSE),)"),"")</f>
        <v/>
      </c>
      <c r="F454" s="70" t="str">
        <f>IFERROR(__xludf.DUMMYFUNCTION("IFERROR(VLOOKUP(A454,IMPORTRANGE(""1fn2ECph_y8Uz78DhjLaiXcwgt6kh3oe-0Le36Uw0noE"",""Form Responses 1!B:C""),2,FALSE),)"),"")</f>
        <v/>
      </c>
      <c r="G454" s="70"/>
      <c r="H454" s="70"/>
      <c r="I454" s="70"/>
      <c r="J454" s="70"/>
      <c r="K454" s="70"/>
      <c r="L454" s="70"/>
      <c r="M454" s="70"/>
      <c r="N454" s="70"/>
      <c r="O454" s="70"/>
      <c r="P454" s="70"/>
      <c r="Q454" s="70" t="str">
        <f>IFERROR(__xludf.DUMMYFUNCTION("IFERROR(IF(COUNTIF(IMPORTRANGE(""1WjiLR_MTMxI_IZUKuvPO4Sg2rTSIqBzP3edakSRXbOA"",""Form Responses 1!B:B""),F454)&gt;0,10,),0)"),"")</f>
        <v/>
      </c>
      <c r="R454" s="70" t="str">
        <f>IFERROR(__xludf.DUMMYFUNCTION("IFERROR(VLOOKUP(F454,IMPORTRANGE(""1Ixzbal5tEbtWhozsFEppQzOYE6ZSrkNXHg_HW5k3Wt4"",""Form Responses 1!B:C""),2,FALSE),)"),"")</f>
        <v/>
      </c>
      <c r="S454" s="70" t="str">
        <f>IFERROR(__xludf.DUMMYFUNCTION("IFERROR(VLOOKUP(F454,IMPORTRANGE(""1zxjtEKGvVIJPIDqZdnxENwVpPXYa88EihzyI44hcQUo"",""Form Responses 1!B:C""),2,FALSE),)"),"")</f>
        <v/>
      </c>
      <c r="T454" s="70" t="str">
        <f>IFERROR(__xludf.DUMMYFUNCTION("IFERROR(VLOOKUP(F454,IMPORTRANGE(""1H3cO01obd5zFULYqaT5NAqecZBFFIHeDFn4CeQLZF3w"",""Form Responses 1!B:C""),2,FALSE),)"),"")</f>
        <v/>
      </c>
      <c r="U454" s="70" t="str">
        <f>IFERROR(__xludf.DUMMYFUNCTION("IFERROR(IF(COUNTIF(IMPORTRANGE(""1IG9qoa6PeLdDDFzKpW39lxXshN0-M8Z25a_R1EpsYyg"",""Form Responses 1!B:B""),F454)&gt;0,10,),0)"),"")</f>
        <v/>
      </c>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row>
    <row r="455">
      <c r="B455" s="70" t="str">
        <f>IFERROR(__xludf.DUMMYFUNCTION("IFERROR(IF(COUNTIF(IMPORTRANGE(""1RTcwEJsI_0aJRebhNwO_H_AoKl9r46k7hWYbtciIyM4"",""Form Responses 1!B:B""),A455)&gt;0,10,),0)"),"")</f>
        <v/>
      </c>
      <c r="C455" s="70" t="str">
        <f>IFERROR(__xludf.DUMMYFUNCTION("IFERROR(VLOOKUP(A455,IMPORTRANGE(""11i8IUhq_U6RRKRV3CBWIKqYed_fMvFgNUHTq1YDJfp8"",""Form Responses 1!B:C""),2,FALSE),)"),"")</f>
        <v/>
      </c>
      <c r="D455" s="70" t="str">
        <f>IFERROR(__xludf.DUMMYFUNCTION("IFERROR(VLOOKUP(A455,IMPORTRANGE(""1StiHxuxrFhYdrq5WLR2JMORicW0TbnJf3J-oTHeMRtM"",""Form Responses 1!B:C""),2,FALSE),)"),"")</f>
        <v/>
      </c>
      <c r="E455" s="70" t="str">
        <f>IFERROR(__xludf.DUMMYFUNCTION("IFERROR(VLOOKUP(A455,IMPORTRANGE(""1QaxxyUjrDq2kgz300C1Bq1tacFk6e-xX218cSXCQUK0"",""Form Responses 1!B:C""),2,FALSE),)"),"")</f>
        <v/>
      </c>
      <c r="F455" s="70" t="str">
        <f>IFERROR(__xludf.DUMMYFUNCTION("IFERROR(VLOOKUP(A455,IMPORTRANGE(""1fn2ECph_y8Uz78DhjLaiXcwgt6kh3oe-0Le36Uw0noE"",""Form Responses 1!B:C""),2,FALSE),)"),"")</f>
        <v/>
      </c>
      <c r="G455" s="70"/>
      <c r="H455" s="70"/>
      <c r="I455" s="70"/>
      <c r="J455" s="70"/>
      <c r="K455" s="70"/>
      <c r="L455" s="70"/>
      <c r="M455" s="70"/>
      <c r="N455" s="70"/>
      <c r="O455" s="70"/>
      <c r="P455" s="70"/>
      <c r="Q455" s="70" t="str">
        <f>IFERROR(__xludf.DUMMYFUNCTION("IFERROR(IF(COUNTIF(IMPORTRANGE(""1WjiLR_MTMxI_IZUKuvPO4Sg2rTSIqBzP3edakSRXbOA"",""Form Responses 1!B:B""),F455)&gt;0,10,),0)"),"")</f>
        <v/>
      </c>
      <c r="R455" s="70" t="str">
        <f>IFERROR(__xludf.DUMMYFUNCTION("IFERROR(VLOOKUP(F455,IMPORTRANGE(""1Ixzbal5tEbtWhozsFEppQzOYE6ZSrkNXHg_HW5k3Wt4"",""Form Responses 1!B:C""),2,FALSE),)"),"")</f>
        <v/>
      </c>
      <c r="S455" s="70" t="str">
        <f>IFERROR(__xludf.DUMMYFUNCTION("IFERROR(VLOOKUP(F455,IMPORTRANGE(""1zxjtEKGvVIJPIDqZdnxENwVpPXYa88EihzyI44hcQUo"",""Form Responses 1!B:C""),2,FALSE),)"),"")</f>
        <v/>
      </c>
      <c r="T455" s="70" t="str">
        <f>IFERROR(__xludf.DUMMYFUNCTION("IFERROR(VLOOKUP(F455,IMPORTRANGE(""1H3cO01obd5zFULYqaT5NAqecZBFFIHeDFn4CeQLZF3w"",""Form Responses 1!B:C""),2,FALSE),)"),"")</f>
        <v/>
      </c>
      <c r="U455" s="70" t="str">
        <f>IFERROR(__xludf.DUMMYFUNCTION("IFERROR(IF(COUNTIF(IMPORTRANGE(""1IG9qoa6PeLdDDFzKpW39lxXshN0-M8Z25a_R1EpsYyg"",""Form Responses 1!B:B""),F455)&gt;0,10,),0)"),"")</f>
        <v/>
      </c>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row>
    <row r="456">
      <c r="B456" s="70" t="str">
        <f>IFERROR(__xludf.DUMMYFUNCTION("IFERROR(IF(COUNTIF(IMPORTRANGE(""1RTcwEJsI_0aJRebhNwO_H_AoKl9r46k7hWYbtciIyM4"",""Form Responses 1!B:B""),A456)&gt;0,10,),0)"),"")</f>
        <v/>
      </c>
      <c r="C456" s="70" t="str">
        <f>IFERROR(__xludf.DUMMYFUNCTION("IFERROR(VLOOKUP(A456,IMPORTRANGE(""11i8IUhq_U6RRKRV3CBWIKqYed_fMvFgNUHTq1YDJfp8"",""Form Responses 1!B:C""),2,FALSE),)"),"")</f>
        <v/>
      </c>
      <c r="D456" s="70" t="str">
        <f>IFERROR(__xludf.DUMMYFUNCTION("IFERROR(VLOOKUP(A456,IMPORTRANGE(""1StiHxuxrFhYdrq5WLR2JMORicW0TbnJf3J-oTHeMRtM"",""Form Responses 1!B:C""),2,FALSE),)"),"")</f>
        <v/>
      </c>
      <c r="E456" s="70" t="str">
        <f>IFERROR(__xludf.DUMMYFUNCTION("IFERROR(VLOOKUP(A456,IMPORTRANGE(""1QaxxyUjrDq2kgz300C1Bq1tacFk6e-xX218cSXCQUK0"",""Form Responses 1!B:C""),2,FALSE),)"),"")</f>
        <v/>
      </c>
      <c r="F456" s="70" t="str">
        <f>IFERROR(__xludf.DUMMYFUNCTION("IFERROR(VLOOKUP(A456,IMPORTRANGE(""1fn2ECph_y8Uz78DhjLaiXcwgt6kh3oe-0Le36Uw0noE"",""Form Responses 1!B:C""),2,FALSE),)"),"")</f>
        <v/>
      </c>
      <c r="G456" s="70"/>
      <c r="H456" s="70"/>
      <c r="I456" s="70"/>
      <c r="J456" s="70"/>
      <c r="K456" s="70"/>
      <c r="L456" s="70"/>
      <c r="M456" s="70"/>
      <c r="N456" s="70"/>
      <c r="O456" s="70"/>
      <c r="P456" s="70"/>
      <c r="Q456" s="70" t="str">
        <f>IFERROR(__xludf.DUMMYFUNCTION("IFERROR(IF(COUNTIF(IMPORTRANGE(""1WjiLR_MTMxI_IZUKuvPO4Sg2rTSIqBzP3edakSRXbOA"",""Form Responses 1!B:B""),F456)&gt;0,10,),0)"),"")</f>
        <v/>
      </c>
      <c r="R456" s="70" t="str">
        <f>IFERROR(__xludf.DUMMYFUNCTION("IFERROR(VLOOKUP(F456,IMPORTRANGE(""1Ixzbal5tEbtWhozsFEppQzOYE6ZSrkNXHg_HW5k3Wt4"",""Form Responses 1!B:C""),2,FALSE),)"),"")</f>
        <v/>
      </c>
      <c r="S456" s="70" t="str">
        <f>IFERROR(__xludf.DUMMYFUNCTION("IFERROR(VLOOKUP(F456,IMPORTRANGE(""1zxjtEKGvVIJPIDqZdnxENwVpPXYa88EihzyI44hcQUo"",""Form Responses 1!B:C""),2,FALSE),)"),"")</f>
        <v/>
      </c>
      <c r="T456" s="70" t="str">
        <f>IFERROR(__xludf.DUMMYFUNCTION("IFERROR(VLOOKUP(F456,IMPORTRANGE(""1H3cO01obd5zFULYqaT5NAqecZBFFIHeDFn4CeQLZF3w"",""Form Responses 1!B:C""),2,FALSE),)"),"")</f>
        <v/>
      </c>
      <c r="U456" s="70" t="str">
        <f>IFERROR(__xludf.DUMMYFUNCTION("IFERROR(IF(COUNTIF(IMPORTRANGE(""1IG9qoa6PeLdDDFzKpW39lxXshN0-M8Z25a_R1EpsYyg"",""Form Responses 1!B:B""),F456)&gt;0,10,),0)"),"")</f>
        <v/>
      </c>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row>
    <row r="457">
      <c r="B457" s="70" t="str">
        <f>IFERROR(__xludf.DUMMYFUNCTION("IFERROR(IF(COUNTIF(IMPORTRANGE(""1RTcwEJsI_0aJRebhNwO_H_AoKl9r46k7hWYbtciIyM4"",""Form Responses 1!B:B""),A457)&gt;0,10,),0)"),"")</f>
        <v/>
      </c>
      <c r="C457" s="70" t="str">
        <f>IFERROR(__xludf.DUMMYFUNCTION("IFERROR(VLOOKUP(A457,IMPORTRANGE(""11i8IUhq_U6RRKRV3CBWIKqYed_fMvFgNUHTq1YDJfp8"",""Form Responses 1!B:C""),2,FALSE),)"),"")</f>
        <v/>
      </c>
      <c r="D457" s="70" t="str">
        <f>IFERROR(__xludf.DUMMYFUNCTION("IFERROR(VLOOKUP(A457,IMPORTRANGE(""1StiHxuxrFhYdrq5WLR2JMORicW0TbnJf3J-oTHeMRtM"",""Form Responses 1!B:C""),2,FALSE),)"),"")</f>
        <v/>
      </c>
      <c r="E457" s="70" t="str">
        <f>IFERROR(__xludf.DUMMYFUNCTION("IFERROR(VLOOKUP(A457,IMPORTRANGE(""1QaxxyUjrDq2kgz300C1Bq1tacFk6e-xX218cSXCQUK0"",""Form Responses 1!B:C""),2,FALSE),)"),"")</f>
        <v/>
      </c>
      <c r="F457" s="70" t="str">
        <f>IFERROR(__xludf.DUMMYFUNCTION("IFERROR(VLOOKUP(A457,IMPORTRANGE(""1fn2ECph_y8Uz78DhjLaiXcwgt6kh3oe-0Le36Uw0noE"",""Form Responses 1!B:C""),2,FALSE),)"),"")</f>
        <v/>
      </c>
      <c r="G457" s="70"/>
      <c r="H457" s="70"/>
      <c r="I457" s="70"/>
      <c r="J457" s="70"/>
      <c r="K457" s="70"/>
      <c r="L457" s="70"/>
      <c r="M457" s="70"/>
      <c r="N457" s="70"/>
      <c r="O457" s="70"/>
      <c r="P457" s="70"/>
      <c r="Q457" s="70" t="str">
        <f>IFERROR(__xludf.DUMMYFUNCTION("IFERROR(IF(COUNTIF(IMPORTRANGE(""1WjiLR_MTMxI_IZUKuvPO4Sg2rTSIqBzP3edakSRXbOA"",""Form Responses 1!B:B""),F457)&gt;0,10,),0)"),"")</f>
        <v/>
      </c>
      <c r="R457" s="70" t="str">
        <f>IFERROR(__xludf.DUMMYFUNCTION("IFERROR(VLOOKUP(F457,IMPORTRANGE(""1Ixzbal5tEbtWhozsFEppQzOYE6ZSrkNXHg_HW5k3Wt4"",""Form Responses 1!B:C""),2,FALSE),)"),"")</f>
        <v/>
      </c>
      <c r="S457" s="70" t="str">
        <f>IFERROR(__xludf.DUMMYFUNCTION("IFERROR(VLOOKUP(F457,IMPORTRANGE(""1zxjtEKGvVIJPIDqZdnxENwVpPXYa88EihzyI44hcQUo"",""Form Responses 1!B:C""),2,FALSE),)"),"")</f>
        <v/>
      </c>
      <c r="T457" s="70" t="str">
        <f>IFERROR(__xludf.DUMMYFUNCTION("IFERROR(VLOOKUP(F457,IMPORTRANGE(""1H3cO01obd5zFULYqaT5NAqecZBFFIHeDFn4CeQLZF3w"",""Form Responses 1!B:C""),2,FALSE),)"),"")</f>
        <v/>
      </c>
      <c r="U457" s="70" t="str">
        <f>IFERROR(__xludf.DUMMYFUNCTION("IFERROR(IF(COUNTIF(IMPORTRANGE(""1IG9qoa6PeLdDDFzKpW39lxXshN0-M8Z25a_R1EpsYyg"",""Form Responses 1!B:B""),F457)&gt;0,10,),0)"),"")</f>
        <v/>
      </c>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row>
    <row r="458">
      <c r="B458" s="70" t="str">
        <f>IFERROR(__xludf.DUMMYFUNCTION("IFERROR(IF(COUNTIF(IMPORTRANGE(""1RTcwEJsI_0aJRebhNwO_H_AoKl9r46k7hWYbtciIyM4"",""Form Responses 1!B:B""),A458)&gt;0,10,),0)"),"")</f>
        <v/>
      </c>
      <c r="C458" s="70" t="str">
        <f>IFERROR(__xludf.DUMMYFUNCTION("IFERROR(VLOOKUP(A458,IMPORTRANGE(""11i8IUhq_U6RRKRV3CBWIKqYed_fMvFgNUHTq1YDJfp8"",""Form Responses 1!B:C""),2,FALSE),)"),"")</f>
        <v/>
      </c>
      <c r="D458" s="70" t="str">
        <f>IFERROR(__xludf.DUMMYFUNCTION("IFERROR(VLOOKUP(A458,IMPORTRANGE(""1StiHxuxrFhYdrq5WLR2JMORicW0TbnJf3J-oTHeMRtM"",""Form Responses 1!B:C""),2,FALSE),)"),"")</f>
        <v/>
      </c>
      <c r="E458" s="70" t="str">
        <f>IFERROR(__xludf.DUMMYFUNCTION("IFERROR(VLOOKUP(A458,IMPORTRANGE(""1QaxxyUjrDq2kgz300C1Bq1tacFk6e-xX218cSXCQUK0"",""Form Responses 1!B:C""),2,FALSE),)"),"")</f>
        <v/>
      </c>
      <c r="F458" s="70" t="str">
        <f>IFERROR(__xludf.DUMMYFUNCTION("IFERROR(VLOOKUP(A458,IMPORTRANGE(""1fn2ECph_y8Uz78DhjLaiXcwgt6kh3oe-0Le36Uw0noE"",""Form Responses 1!B:C""),2,FALSE),)"),"")</f>
        <v/>
      </c>
      <c r="G458" s="70"/>
      <c r="H458" s="70"/>
      <c r="I458" s="70"/>
      <c r="J458" s="70"/>
      <c r="K458" s="70"/>
      <c r="L458" s="70"/>
      <c r="M458" s="70"/>
      <c r="N458" s="70"/>
      <c r="O458" s="70"/>
      <c r="P458" s="70"/>
      <c r="Q458" s="70" t="str">
        <f>IFERROR(__xludf.DUMMYFUNCTION("IFERROR(IF(COUNTIF(IMPORTRANGE(""1WjiLR_MTMxI_IZUKuvPO4Sg2rTSIqBzP3edakSRXbOA"",""Form Responses 1!B:B""),F458)&gt;0,10,),0)"),"")</f>
        <v/>
      </c>
      <c r="R458" s="70" t="str">
        <f>IFERROR(__xludf.DUMMYFUNCTION("IFERROR(VLOOKUP(F458,IMPORTRANGE(""1Ixzbal5tEbtWhozsFEppQzOYE6ZSrkNXHg_HW5k3Wt4"",""Form Responses 1!B:C""),2,FALSE),)"),"")</f>
        <v/>
      </c>
      <c r="S458" s="70" t="str">
        <f>IFERROR(__xludf.DUMMYFUNCTION("IFERROR(VLOOKUP(F458,IMPORTRANGE(""1zxjtEKGvVIJPIDqZdnxENwVpPXYa88EihzyI44hcQUo"",""Form Responses 1!B:C""),2,FALSE),)"),"")</f>
        <v/>
      </c>
      <c r="T458" s="70" t="str">
        <f>IFERROR(__xludf.DUMMYFUNCTION("IFERROR(VLOOKUP(F458,IMPORTRANGE(""1H3cO01obd5zFULYqaT5NAqecZBFFIHeDFn4CeQLZF3w"",""Form Responses 1!B:C""),2,FALSE),)"),"")</f>
        <v/>
      </c>
      <c r="U458" s="70" t="str">
        <f>IFERROR(__xludf.DUMMYFUNCTION("IFERROR(IF(COUNTIF(IMPORTRANGE(""1IG9qoa6PeLdDDFzKpW39lxXshN0-M8Z25a_R1EpsYyg"",""Form Responses 1!B:B""),F458)&gt;0,10,),0)"),"")</f>
        <v/>
      </c>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row>
    <row r="459">
      <c r="B459" s="70" t="str">
        <f>IFERROR(__xludf.DUMMYFUNCTION("IFERROR(IF(COUNTIF(IMPORTRANGE(""1RTcwEJsI_0aJRebhNwO_H_AoKl9r46k7hWYbtciIyM4"",""Form Responses 1!B:B""),A459)&gt;0,10,),0)"),"")</f>
        <v/>
      </c>
      <c r="C459" s="70" t="str">
        <f>IFERROR(__xludf.DUMMYFUNCTION("IFERROR(VLOOKUP(A459,IMPORTRANGE(""11i8IUhq_U6RRKRV3CBWIKqYed_fMvFgNUHTq1YDJfp8"",""Form Responses 1!B:C""),2,FALSE),)"),"")</f>
        <v/>
      </c>
      <c r="D459" s="70" t="str">
        <f>IFERROR(__xludf.DUMMYFUNCTION("IFERROR(VLOOKUP(A459,IMPORTRANGE(""1StiHxuxrFhYdrq5WLR2JMORicW0TbnJf3J-oTHeMRtM"",""Form Responses 1!B:C""),2,FALSE),)"),"")</f>
        <v/>
      </c>
      <c r="E459" s="70" t="str">
        <f>IFERROR(__xludf.DUMMYFUNCTION("IFERROR(VLOOKUP(A459,IMPORTRANGE(""1QaxxyUjrDq2kgz300C1Bq1tacFk6e-xX218cSXCQUK0"",""Form Responses 1!B:C""),2,FALSE),)"),"")</f>
        <v/>
      </c>
      <c r="F459" s="70" t="str">
        <f>IFERROR(__xludf.DUMMYFUNCTION("IFERROR(VLOOKUP(A459,IMPORTRANGE(""1fn2ECph_y8Uz78DhjLaiXcwgt6kh3oe-0Le36Uw0noE"",""Form Responses 1!B:C""),2,FALSE),)"),"")</f>
        <v/>
      </c>
      <c r="G459" s="70"/>
      <c r="H459" s="70"/>
      <c r="I459" s="70"/>
      <c r="J459" s="70"/>
      <c r="K459" s="70"/>
      <c r="L459" s="70"/>
      <c r="M459" s="70"/>
      <c r="N459" s="70"/>
      <c r="O459" s="70"/>
      <c r="P459" s="70"/>
      <c r="Q459" s="70" t="str">
        <f>IFERROR(__xludf.DUMMYFUNCTION("IFERROR(IF(COUNTIF(IMPORTRANGE(""1WjiLR_MTMxI_IZUKuvPO4Sg2rTSIqBzP3edakSRXbOA"",""Form Responses 1!B:B""),F459)&gt;0,10,),0)"),"")</f>
        <v/>
      </c>
      <c r="R459" s="70" t="str">
        <f>IFERROR(__xludf.DUMMYFUNCTION("IFERROR(VLOOKUP(F459,IMPORTRANGE(""1Ixzbal5tEbtWhozsFEppQzOYE6ZSrkNXHg_HW5k3Wt4"",""Form Responses 1!B:C""),2,FALSE),)"),"")</f>
        <v/>
      </c>
      <c r="S459" s="70" t="str">
        <f>IFERROR(__xludf.DUMMYFUNCTION("IFERROR(VLOOKUP(F459,IMPORTRANGE(""1zxjtEKGvVIJPIDqZdnxENwVpPXYa88EihzyI44hcQUo"",""Form Responses 1!B:C""),2,FALSE),)"),"")</f>
        <v/>
      </c>
      <c r="T459" s="70" t="str">
        <f>IFERROR(__xludf.DUMMYFUNCTION("IFERROR(VLOOKUP(F459,IMPORTRANGE(""1H3cO01obd5zFULYqaT5NAqecZBFFIHeDFn4CeQLZF3w"",""Form Responses 1!B:C""),2,FALSE),)"),"")</f>
        <v/>
      </c>
      <c r="U459" s="70" t="str">
        <f>IFERROR(__xludf.DUMMYFUNCTION("IFERROR(IF(COUNTIF(IMPORTRANGE(""1IG9qoa6PeLdDDFzKpW39lxXshN0-M8Z25a_R1EpsYyg"",""Form Responses 1!B:B""),F459)&gt;0,10,),0)"),"")</f>
        <v/>
      </c>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row>
    <row r="460">
      <c r="B460" s="70" t="str">
        <f>IFERROR(__xludf.DUMMYFUNCTION("IFERROR(IF(COUNTIF(IMPORTRANGE(""1RTcwEJsI_0aJRebhNwO_H_AoKl9r46k7hWYbtciIyM4"",""Form Responses 1!B:B""),A460)&gt;0,10,),0)"),"")</f>
        <v/>
      </c>
      <c r="C460" s="70" t="str">
        <f>IFERROR(__xludf.DUMMYFUNCTION("IFERROR(VLOOKUP(A460,IMPORTRANGE(""11i8IUhq_U6RRKRV3CBWIKqYed_fMvFgNUHTq1YDJfp8"",""Form Responses 1!B:C""),2,FALSE),)"),"")</f>
        <v/>
      </c>
      <c r="D460" s="70" t="str">
        <f>IFERROR(__xludf.DUMMYFUNCTION("IFERROR(VLOOKUP(A460,IMPORTRANGE(""1StiHxuxrFhYdrq5WLR2JMORicW0TbnJf3J-oTHeMRtM"",""Form Responses 1!B:C""),2,FALSE),)"),"")</f>
        <v/>
      </c>
      <c r="E460" s="70" t="str">
        <f>IFERROR(__xludf.DUMMYFUNCTION("IFERROR(VLOOKUP(A460,IMPORTRANGE(""1QaxxyUjrDq2kgz300C1Bq1tacFk6e-xX218cSXCQUK0"",""Form Responses 1!B:C""),2,FALSE),)"),"")</f>
        <v/>
      </c>
      <c r="F460" s="70" t="str">
        <f>IFERROR(__xludf.DUMMYFUNCTION("IFERROR(VLOOKUP(A460,IMPORTRANGE(""1fn2ECph_y8Uz78DhjLaiXcwgt6kh3oe-0Le36Uw0noE"",""Form Responses 1!B:C""),2,FALSE),)"),"")</f>
        <v/>
      </c>
      <c r="G460" s="70"/>
      <c r="H460" s="70"/>
      <c r="I460" s="70"/>
      <c r="J460" s="70"/>
      <c r="K460" s="70"/>
      <c r="L460" s="70"/>
      <c r="M460" s="70"/>
      <c r="N460" s="70"/>
      <c r="O460" s="70"/>
      <c r="P460" s="70"/>
      <c r="Q460" s="70" t="str">
        <f>IFERROR(__xludf.DUMMYFUNCTION("IFERROR(IF(COUNTIF(IMPORTRANGE(""1WjiLR_MTMxI_IZUKuvPO4Sg2rTSIqBzP3edakSRXbOA"",""Form Responses 1!B:B""),F460)&gt;0,10,),0)"),"")</f>
        <v/>
      </c>
      <c r="R460" s="70" t="str">
        <f>IFERROR(__xludf.DUMMYFUNCTION("IFERROR(VLOOKUP(F460,IMPORTRANGE(""1Ixzbal5tEbtWhozsFEppQzOYE6ZSrkNXHg_HW5k3Wt4"",""Form Responses 1!B:C""),2,FALSE),)"),"")</f>
        <v/>
      </c>
      <c r="S460" s="70" t="str">
        <f>IFERROR(__xludf.DUMMYFUNCTION("IFERROR(VLOOKUP(F460,IMPORTRANGE(""1zxjtEKGvVIJPIDqZdnxENwVpPXYa88EihzyI44hcQUo"",""Form Responses 1!B:C""),2,FALSE),)"),"")</f>
        <v/>
      </c>
      <c r="T460" s="70" t="str">
        <f>IFERROR(__xludf.DUMMYFUNCTION("IFERROR(VLOOKUP(F460,IMPORTRANGE(""1H3cO01obd5zFULYqaT5NAqecZBFFIHeDFn4CeQLZF3w"",""Form Responses 1!B:C""),2,FALSE),)"),"")</f>
        <v/>
      </c>
      <c r="U460" s="70" t="str">
        <f>IFERROR(__xludf.DUMMYFUNCTION("IFERROR(IF(COUNTIF(IMPORTRANGE(""1IG9qoa6PeLdDDFzKpW39lxXshN0-M8Z25a_R1EpsYyg"",""Form Responses 1!B:B""),F460)&gt;0,10,),0)"),"")</f>
        <v/>
      </c>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row>
    <row r="461">
      <c r="B461" s="70" t="str">
        <f>IFERROR(__xludf.DUMMYFUNCTION("IFERROR(IF(COUNTIF(IMPORTRANGE(""1RTcwEJsI_0aJRebhNwO_H_AoKl9r46k7hWYbtciIyM4"",""Form Responses 1!B:B""),A461)&gt;0,10,),0)"),"")</f>
        <v/>
      </c>
      <c r="C461" s="70" t="str">
        <f>IFERROR(__xludf.DUMMYFUNCTION("IFERROR(VLOOKUP(A461,IMPORTRANGE(""11i8IUhq_U6RRKRV3CBWIKqYed_fMvFgNUHTq1YDJfp8"",""Form Responses 1!B:C""),2,FALSE),)"),"")</f>
        <v/>
      </c>
      <c r="D461" s="70" t="str">
        <f>IFERROR(__xludf.DUMMYFUNCTION("IFERROR(VLOOKUP(A461,IMPORTRANGE(""1StiHxuxrFhYdrq5WLR2JMORicW0TbnJf3J-oTHeMRtM"",""Form Responses 1!B:C""),2,FALSE),)"),"")</f>
        <v/>
      </c>
      <c r="E461" s="70" t="str">
        <f>IFERROR(__xludf.DUMMYFUNCTION("IFERROR(VLOOKUP(A461,IMPORTRANGE(""1QaxxyUjrDq2kgz300C1Bq1tacFk6e-xX218cSXCQUK0"",""Form Responses 1!B:C""),2,FALSE),)"),"")</f>
        <v/>
      </c>
      <c r="F461" s="70" t="str">
        <f>IFERROR(__xludf.DUMMYFUNCTION("IFERROR(VLOOKUP(A461,IMPORTRANGE(""1fn2ECph_y8Uz78DhjLaiXcwgt6kh3oe-0Le36Uw0noE"",""Form Responses 1!B:C""),2,FALSE),)"),"")</f>
        <v/>
      </c>
      <c r="G461" s="70"/>
      <c r="H461" s="70"/>
      <c r="I461" s="70"/>
      <c r="J461" s="70"/>
      <c r="K461" s="70"/>
      <c r="L461" s="70"/>
      <c r="M461" s="70"/>
      <c r="N461" s="70"/>
      <c r="O461" s="70"/>
      <c r="P461" s="70"/>
      <c r="Q461" s="70" t="str">
        <f>IFERROR(__xludf.DUMMYFUNCTION("IFERROR(IF(COUNTIF(IMPORTRANGE(""1WjiLR_MTMxI_IZUKuvPO4Sg2rTSIqBzP3edakSRXbOA"",""Form Responses 1!B:B""),F461)&gt;0,10,),0)"),"")</f>
        <v/>
      </c>
      <c r="R461" s="70" t="str">
        <f>IFERROR(__xludf.DUMMYFUNCTION("IFERROR(VLOOKUP(F461,IMPORTRANGE(""1Ixzbal5tEbtWhozsFEppQzOYE6ZSrkNXHg_HW5k3Wt4"",""Form Responses 1!B:C""),2,FALSE),)"),"")</f>
        <v/>
      </c>
      <c r="S461" s="70" t="str">
        <f>IFERROR(__xludf.DUMMYFUNCTION("IFERROR(VLOOKUP(F461,IMPORTRANGE(""1zxjtEKGvVIJPIDqZdnxENwVpPXYa88EihzyI44hcQUo"",""Form Responses 1!B:C""),2,FALSE),)"),"")</f>
        <v/>
      </c>
      <c r="T461" s="70" t="str">
        <f>IFERROR(__xludf.DUMMYFUNCTION("IFERROR(VLOOKUP(F461,IMPORTRANGE(""1H3cO01obd5zFULYqaT5NAqecZBFFIHeDFn4CeQLZF3w"",""Form Responses 1!B:C""),2,FALSE),)"),"")</f>
        <v/>
      </c>
      <c r="U461" s="70" t="str">
        <f>IFERROR(__xludf.DUMMYFUNCTION("IFERROR(IF(COUNTIF(IMPORTRANGE(""1IG9qoa6PeLdDDFzKpW39lxXshN0-M8Z25a_R1EpsYyg"",""Form Responses 1!B:B""),F461)&gt;0,10,),0)"),"")</f>
        <v/>
      </c>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row>
    <row r="462">
      <c r="B462" s="70" t="str">
        <f>IFERROR(__xludf.DUMMYFUNCTION("IFERROR(IF(COUNTIF(IMPORTRANGE(""1RTcwEJsI_0aJRebhNwO_H_AoKl9r46k7hWYbtciIyM4"",""Form Responses 1!B:B""),A462)&gt;0,10,),0)"),"")</f>
        <v/>
      </c>
      <c r="C462" s="70" t="str">
        <f>IFERROR(__xludf.DUMMYFUNCTION("IFERROR(VLOOKUP(A462,IMPORTRANGE(""11i8IUhq_U6RRKRV3CBWIKqYed_fMvFgNUHTq1YDJfp8"",""Form Responses 1!B:C""),2,FALSE),)"),"")</f>
        <v/>
      </c>
      <c r="D462" s="70" t="str">
        <f>IFERROR(__xludf.DUMMYFUNCTION("IFERROR(VLOOKUP(A462,IMPORTRANGE(""1StiHxuxrFhYdrq5WLR2JMORicW0TbnJf3J-oTHeMRtM"",""Form Responses 1!B:C""),2,FALSE),)"),"")</f>
        <v/>
      </c>
      <c r="E462" s="70" t="str">
        <f>IFERROR(__xludf.DUMMYFUNCTION("IFERROR(VLOOKUP(A462,IMPORTRANGE(""1QaxxyUjrDq2kgz300C1Bq1tacFk6e-xX218cSXCQUK0"",""Form Responses 1!B:C""),2,FALSE),)"),"")</f>
        <v/>
      </c>
      <c r="F462" s="70" t="str">
        <f>IFERROR(__xludf.DUMMYFUNCTION("IFERROR(VLOOKUP(A462,IMPORTRANGE(""1fn2ECph_y8Uz78DhjLaiXcwgt6kh3oe-0Le36Uw0noE"",""Form Responses 1!B:C""),2,FALSE),)"),"")</f>
        <v/>
      </c>
      <c r="G462" s="70"/>
      <c r="H462" s="70"/>
      <c r="I462" s="70"/>
      <c r="J462" s="70"/>
      <c r="K462" s="70"/>
      <c r="L462" s="70"/>
      <c r="M462" s="70"/>
      <c r="N462" s="70"/>
      <c r="O462" s="70"/>
      <c r="P462" s="70"/>
      <c r="Q462" s="70" t="str">
        <f>IFERROR(__xludf.DUMMYFUNCTION("IFERROR(IF(COUNTIF(IMPORTRANGE(""1WjiLR_MTMxI_IZUKuvPO4Sg2rTSIqBzP3edakSRXbOA"",""Form Responses 1!B:B""),F462)&gt;0,10,),0)"),"")</f>
        <v/>
      </c>
      <c r="R462" s="70" t="str">
        <f>IFERROR(__xludf.DUMMYFUNCTION("IFERROR(VLOOKUP(F462,IMPORTRANGE(""1Ixzbal5tEbtWhozsFEppQzOYE6ZSrkNXHg_HW5k3Wt4"",""Form Responses 1!B:C""),2,FALSE),)"),"")</f>
        <v/>
      </c>
      <c r="S462" s="70" t="str">
        <f>IFERROR(__xludf.DUMMYFUNCTION("IFERROR(VLOOKUP(F462,IMPORTRANGE(""1zxjtEKGvVIJPIDqZdnxENwVpPXYa88EihzyI44hcQUo"",""Form Responses 1!B:C""),2,FALSE),)"),"")</f>
        <v/>
      </c>
      <c r="T462" s="70" t="str">
        <f>IFERROR(__xludf.DUMMYFUNCTION("IFERROR(VLOOKUP(F462,IMPORTRANGE(""1H3cO01obd5zFULYqaT5NAqecZBFFIHeDFn4CeQLZF3w"",""Form Responses 1!B:C""),2,FALSE),)"),"")</f>
        <v/>
      </c>
      <c r="U462" s="70" t="str">
        <f>IFERROR(__xludf.DUMMYFUNCTION("IFERROR(IF(COUNTIF(IMPORTRANGE(""1IG9qoa6PeLdDDFzKpW39lxXshN0-M8Z25a_R1EpsYyg"",""Form Responses 1!B:B""),F462)&gt;0,10,),0)"),"")</f>
        <v/>
      </c>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row>
    <row r="463">
      <c r="B463" s="70" t="str">
        <f>IFERROR(__xludf.DUMMYFUNCTION("IFERROR(IF(COUNTIF(IMPORTRANGE(""1RTcwEJsI_0aJRebhNwO_H_AoKl9r46k7hWYbtciIyM4"",""Form Responses 1!B:B""),A463)&gt;0,10,),0)"),"")</f>
        <v/>
      </c>
      <c r="C463" s="70" t="str">
        <f>IFERROR(__xludf.DUMMYFUNCTION("IFERROR(VLOOKUP(A463,IMPORTRANGE(""11i8IUhq_U6RRKRV3CBWIKqYed_fMvFgNUHTq1YDJfp8"",""Form Responses 1!B:C""),2,FALSE),)"),"")</f>
        <v/>
      </c>
      <c r="D463" s="70" t="str">
        <f>IFERROR(__xludf.DUMMYFUNCTION("IFERROR(VLOOKUP(A463,IMPORTRANGE(""1StiHxuxrFhYdrq5WLR2JMORicW0TbnJf3J-oTHeMRtM"",""Form Responses 1!B:C""),2,FALSE),)"),"")</f>
        <v/>
      </c>
      <c r="E463" s="70" t="str">
        <f>IFERROR(__xludf.DUMMYFUNCTION("IFERROR(VLOOKUP(A463,IMPORTRANGE(""1QaxxyUjrDq2kgz300C1Bq1tacFk6e-xX218cSXCQUK0"",""Form Responses 1!B:C""),2,FALSE),)"),"")</f>
        <v/>
      </c>
      <c r="F463" s="70" t="str">
        <f>IFERROR(__xludf.DUMMYFUNCTION("IFERROR(VLOOKUP(A463,IMPORTRANGE(""1fn2ECph_y8Uz78DhjLaiXcwgt6kh3oe-0Le36Uw0noE"",""Form Responses 1!B:C""),2,FALSE),)"),"")</f>
        <v/>
      </c>
      <c r="G463" s="70"/>
      <c r="H463" s="70"/>
      <c r="I463" s="70"/>
      <c r="J463" s="70"/>
      <c r="K463" s="70"/>
      <c r="L463" s="70"/>
      <c r="M463" s="70"/>
      <c r="N463" s="70"/>
      <c r="O463" s="70"/>
      <c r="P463" s="70"/>
      <c r="Q463" s="70" t="str">
        <f>IFERROR(__xludf.DUMMYFUNCTION("IFERROR(IF(COUNTIF(IMPORTRANGE(""1WjiLR_MTMxI_IZUKuvPO4Sg2rTSIqBzP3edakSRXbOA"",""Form Responses 1!B:B""),F463)&gt;0,10,),0)"),"")</f>
        <v/>
      </c>
      <c r="R463" s="70" t="str">
        <f>IFERROR(__xludf.DUMMYFUNCTION("IFERROR(VLOOKUP(F463,IMPORTRANGE(""1Ixzbal5tEbtWhozsFEppQzOYE6ZSrkNXHg_HW5k3Wt4"",""Form Responses 1!B:C""),2,FALSE),)"),"")</f>
        <v/>
      </c>
      <c r="S463" s="70" t="str">
        <f>IFERROR(__xludf.DUMMYFUNCTION("IFERROR(VLOOKUP(F463,IMPORTRANGE(""1zxjtEKGvVIJPIDqZdnxENwVpPXYa88EihzyI44hcQUo"",""Form Responses 1!B:C""),2,FALSE),)"),"")</f>
        <v/>
      </c>
      <c r="T463" s="70" t="str">
        <f>IFERROR(__xludf.DUMMYFUNCTION("IFERROR(VLOOKUP(F463,IMPORTRANGE(""1H3cO01obd5zFULYqaT5NAqecZBFFIHeDFn4CeQLZF3w"",""Form Responses 1!B:C""),2,FALSE),)"),"")</f>
        <v/>
      </c>
      <c r="U463" s="70" t="str">
        <f>IFERROR(__xludf.DUMMYFUNCTION("IFERROR(IF(COUNTIF(IMPORTRANGE(""1IG9qoa6PeLdDDFzKpW39lxXshN0-M8Z25a_R1EpsYyg"",""Form Responses 1!B:B""),F463)&gt;0,10,),0)"),"")</f>
        <v/>
      </c>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row>
    <row r="464">
      <c r="B464" s="70" t="str">
        <f>IFERROR(__xludf.DUMMYFUNCTION("IFERROR(IF(COUNTIF(IMPORTRANGE(""1RTcwEJsI_0aJRebhNwO_H_AoKl9r46k7hWYbtciIyM4"",""Form Responses 1!B:B""),A464)&gt;0,10,),0)"),"")</f>
        <v/>
      </c>
      <c r="C464" s="70" t="str">
        <f>IFERROR(__xludf.DUMMYFUNCTION("IFERROR(VLOOKUP(A464,IMPORTRANGE(""11i8IUhq_U6RRKRV3CBWIKqYed_fMvFgNUHTq1YDJfp8"",""Form Responses 1!B:C""),2,FALSE),)"),"")</f>
        <v/>
      </c>
      <c r="D464" s="70" t="str">
        <f>IFERROR(__xludf.DUMMYFUNCTION("IFERROR(VLOOKUP(A464,IMPORTRANGE(""1StiHxuxrFhYdrq5WLR2JMORicW0TbnJf3J-oTHeMRtM"",""Form Responses 1!B:C""),2,FALSE),)"),"")</f>
        <v/>
      </c>
      <c r="E464" s="70" t="str">
        <f>IFERROR(__xludf.DUMMYFUNCTION("IFERROR(VLOOKUP(A464,IMPORTRANGE(""1QaxxyUjrDq2kgz300C1Bq1tacFk6e-xX218cSXCQUK0"",""Form Responses 1!B:C""),2,FALSE),)"),"")</f>
        <v/>
      </c>
      <c r="F464" s="70" t="str">
        <f>IFERROR(__xludf.DUMMYFUNCTION("IFERROR(VLOOKUP(A464,IMPORTRANGE(""1fn2ECph_y8Uz78DhjLaiXcwgt6kh3oe-0Le36Uw0noE"",""Form Responses 1!B:C""),2,FALSE),)"),"")</f>
        <v/>
      </c>
      <c r="G464" s="70"/>
      <c r="H464" s="70"/>
      <c r="I464" s="70"/>
      <c r="J464" s="70"/>
      <c r="K464" s="70"/>
      <c r="L464" s="70"/>
      <c r="M464" s="70"/>
      <c r="N464" s="70"/>
      <c r="O464" s="70"/>
      <c r="P464" s="70"/>
      <c r="Q464" s="70" t="str">
        <f>IFERROR(__xludf.DUMMYFUNCTION("IFERROR(IF(COUNTIF(IMPORTRANGE(""1WjiLR_MTMxI_IZUKuvPO4Sg2rTSIqBzP3edakSRXbOA"",""Form Responses 1!B:B""),F464)&gt;0,10,),0)"),"")</f>
        <v/>
      </c>
      <c r="R464" s="70" t="str">
        <f>IFERROR(__xludf.DUMMYFUNCTION("IFERROR(VLOOKUP(F464,IMPORTRANGE(""1Ixzbal5tEbtWhozsFEppQzOYE6ZSrkNXHg_HW5k3Wt4"",""Form Responses 1!B:C""),2,FALSE),)"),"")</f>
        <v/>
      </c>
      <c r="S464" s="70" t="str">
        <f>IFERROR(__xludf.DUMMYFUNCTION("IFERROR(VLOOKUP(F464,IMPORTRANGE(""1zxjtEKGvVIJPIDqZdnxENwVpPXYa88EihzyI44hcQUo"",""Form Responses 1!B:C""),2,FALSE),)"),"")</f>
        <v/>
      </c>
      <c r="T464" s="70" t="str">
        <f>IFERROR(__xludf.DUMMYFUNCTION("IFERROR(VLOOKUP(F464,IMPORTRANGE(""1H3cO01obd5zFULYqaT5NAqecZBFFIHeDFn4CeQLZF3w"",""Form Responses 1!B:C""),2,FALSE),)"),"")</f>
        <v/>
      </c>
      <c r="U464" s="70" t="str">
        <f>IFERROR(__xludf.DUMMYFUNCTION("IFERROR(IF(COUNTIF(IMPORTRANGE(""1IG9qoa6PeLdDDFzKpW39lxXshN0-M8Z25a_R1EpsYyg"",""Form Responses 1!B:B""),F464)&gt;0,10,),0)"),"")</f>
        <v/>
      </c>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row>
    <row r="465">
      <c r="B465" s="70" t="str">
        <f>IFERROR(__xludf.DUMMYFUNCTION("IFERROR(IF(COUNTIF(IMPORTRANGE(""1RTcwEJsI_0aJRebhNwO_H_AoKl9r46k7hWYbtciIyM4"",""Form Responses 1!B:B""),A465)&gt;0,10,),0)"),"")</f>
        <v/>
      </c>
      <c r="C465" s="70" t="str">
        <f>IFERROR(__xludf.DUMMYFUNCTION("IFERROR(VLOOKUP(A465,IMPORTRANGE(""11i8IUhq_U6RRKRV3CBWIKqYed_fMvFgNUHTq1YDJfp8"",""Form Responses 1!B:C""),2,FALSE),)"),"")</f>
        <v/>
      </c>
      <c r="D465" s="70" t="str">
        <f>IFERROR(__xludf.DUMMYFUNCTION("IFERROR(VLOOKUP(A465,IMPORTRANGE(""1StiHxuxrFhYdrq5WLR2JMORicW0TbnJf3J-oTHeMRtM"",""Form Responses 1!B:C""),2,FALSE),)"),"")</f>
        <v/>
      </c>
      <c r="E465" s="70" t="str">
        <f>IFERROR(__xludf.DUMMYFUNCTION("IFERROR(VLOOKUP(A465,IMPORTRANGE(""1QaxxyUjrDq2kgz300C1Bq1tacFk6e-xX218cSXCQUK0"",""Form Responses 1!B:C""),2,FALSE),)"),"")</f>
        <v/>
      </c>
      <c r="F465" s="70" t="str">
        <f>IFERROR(__xludf.DUMMYFUNCTION("IFERROR(VLOOKUP(A465,IMPORTRANGE(""1fn2ECph_y8Uz78DhjLaiXcwgt6kh3oe-0Le36Uw0noE"",""Form Responses 1!B:C""),2,FALSE),)"),"")</f>
        <v/>
      </c>
      <c r="G465" s="70"/>
      <c r="H465" s="70"/>
      <c r="I465" s="70"/>
      <c r="J465" s="70"/>
      <c r="K465" s="70"/>
      <c r="L465" s="70"/>
      <c r="M465" s="70"/>
      <c r="N465" s="70"/>
      <c r="O465" s="70"/>
      <c r="P465" s="70"/>
      <c r="Q465" s="70" t="str">
        <f>IFERROR(__xludf.DUMMYFUNCTION("IFERROR(IF(COUNTIF(IMPORTRANGE(""1WjiLR_MTMxI_IZUKuvPO4Sg2rTSIqBzP3edakSRXbOA"",""Form Responses 1!B:B""),F465)&gt;0,10,),0)"),"")</f>
        <v/>
      </c>
      <c r="R465" s="70" t="str">
        <f>IFERROR(__xludf.DUMMYFUNCTION("IFERROR(VLOOKUP(F465,IMPORTRANGE(""1Ixzbal5tEbtWhozsFEppQzOYE6ZSrkNXHg_HW5k3Wt4"",""Form Responses 1!B:C""),2,FALSE),)"),"")</f>
        <v/>
      </c>
      <c r="S465" s="70" t="str">
        <f>IFERROR(__xludf.DUMMYFUNCTION("IFERROR(VLOOKUP(F465,IMPORTRANGE(""1zxjtEKGvVIJPIDqZdnxENwVpPXYa88EihzyI44hcQUo"",""Form Responses 1!B:C""),2,FALSE),)"),"")</f>
        <v/>
      </c>
      <c r="T465" s="70" t="str">
        <f>IFERROR(__xludf.DUMMYFUNCTION("IFERROR(VLOOKUP(F465,IMPORTRANGE(""1H3cO01obd5zFULYqaT5NAqecZBFFIHeDFn4CeQLZF3w"",""Form Responses 1!B:C""),2,FALSE),)"),"")</f>
        <v/>
      </c>
      <c r="U465" s="70" t="str">
        <f>IFERROR(__xludf.DUMMYFUNCTION("IFERROR(IF(COUNTIF(IMPORTRANGE(""1IG9qoa6PeLdDDFzKpW39lxXshN0-M8Z25a_R1EpsYyg"",""Form Responses 1!B:B""),F465)&gt;0,10,),0)"),"")</f>
        <v/>
      </c>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row>
    <row r="466">
      <c r="B466" s="70" t="str">
        <f>IFERROR(__xludf.DUMMYFUNCTION("IFERROR(IF(COUNTIF(IMPORTRANGE(""1RTcwEJsI_0aJRebhNwO_H_AoKl9r46k7hWYbtciIyM4"",""Form Responses 1!B:B""),A466)&gt;0,10,),0)"),"")</f>
        <v/>
      </c>
      <c r="C466" s="70" t="str">
        <f>IFERROR(__xludf.DUMMYFUNCTION("IFERROR(VLOOKUP(A466,IMPORTRANGE(""11i8IUhq_U6RRKRV3CBWIKqYed_fMvFgNUHTq1YDJfp8"",""Form Responses 1!B:C""),2,FALSE),)"),"")</f>
        <v/>
      </c>
      <c r="D466" s="70" t="str">
        <f>IFERROR(__xludf.DUMMYFUNCTION("IFERROR(VLOOKUP(A466,IMPORTRANGE(""1StiHxuxrFhYdrq5WLR2JMORicW0TbnJf3J-oTHeMRtM"",""Form Responses 1!B:C""),2,FALSE),)"),"")</f>
        <v/>
      </c>
      <c r="E466" s="70" t="str">
        <f>IFERROR(__xludf.DUMMYFUNCTION("IFERROR(VLOOKUP(A466,IMPORTRANGE(""1QaxxyUjrDq2kgz300C1Bq1tacFk6e-xX218cSXCQUK0"",""Form Responses 1!B:C""),2,FALSE),)"),"")</f>
        <v/>
      </c>
      <c r="F466" s="70" t="str">
        <f>IFERROR(__xludf.DUMMYFUNCTION("IFERROR(VLOOKUP(A466,IMPORTRANGE(""1fn2ECph_y8Uz78DhjLaiXcwgt6kh3oe-0Le36Uw0noE"",""Form Responses 1!B:C""),2,FALSE),)"),"")</f>
        <v/>
      </c>
      <c r="G466" s="70"/>
      <c r="H466" s="70"/>
      <c r="I466" s="70"/>
      <c r="J466" s="70"/>
      <c r="K466" s="70"/>
      <c r="L466" s="70"/>
      <c r="M466" s="70"/>
      <c r="N466" s="70"/>
      <c r="O466" s="70"/>
      <c r="P466" s="70"/>
      <c r="Q466" s="70" t="str">
        <f>IFERROR(__xludf.DUMMYFUNCTION("IFERROR(IF(COUNTIF(IMPORTRANGE(""1WjiLR_MTMxI_IZUKuvPO4Sg2rTSIqBzP3edakSRXbOA"",""Form Responses 1!B:B""),F466)&gt;0,10,),0)"),"")</f>
        <v/>
      </c>
      <c r="R466" s="70" t="str">
        <f>IFERROR(__xludf.DUMMYFUNCTION("IFERROR(VLOOKUP(F466,IMPORTRANGE(""1Ixzbal5tEbtWhozsFEppQzOYE6ZSrkNXHg_HW5k3Wt4"",""Form Responses 1!B:C""),2,FALSE),)"),"")</f>
        <v/>
      </c>
      <c r="S466" s="70" t="str">
        <f>IFERROR(__xludf.DUMMYFUNCTION("IFERROR(VLOOKUP(F466,IMPORTRANGE(""1zxjtEKGvVIJPIDqZdnxENwVpPXYa88EihzyI44hcQUo"",""Form Responses 1!B:C""),2,FALSE),)"),"")</f>
        <v/>
      </c>
      <c r="T466" s="70" t="str">
        <f>IFERROR(__xludf.DUMMYFUNCTION("IFERROR(VLOOKUP(F466,IMPORTRANGE(""1H3cO01obd5zFULYqaT5NAqecZBFFIHeDFn4CeQLZF3w"",""Form Responses 1!B:C""),2,FALSE),)"),"")</f>
        <v/>
      </c>
      <c r="U466" s="70" t="str">
        <f>IFERROR(__xludf.DUMMYFUNCTION("IFERROR(IF(COUNTIF(IMPORTRANGE(""1IG9qoa6PeLdDDFzKpW39lxXshN0-M8Z25a_R1EpsYyg"",""Form Responses 1!B:B""),F466)&gt;0,10,),0)"),"")</f>
        <v/>
      </c>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row>
    <row r="467">
      <c r="B467" s="70" t="str">
        <f>IFERROR(__xludf.DUMMYFUNCTION("IFERROR(IF(COUNTIF(IMPORTRANGE(""1RTcwEJsI_0aJRebhNwO_H_AoKl9r46k7hWYbtciIyM4"",""Form Responses 1!B:B""),A467)&gt;0,10,),0)"),"")</f>
        <v/>
      </c>
      <c r="C467" s="70" t="str">
        <f>IFERROR(__xludf.DUMMYFUNCTION("IFERROR(VLOOKUP(A467,IMPORTRANGE(""11i8IUhq_U6RRKRV3CBWIKqYed_fMvFgNUHTq1YDJfp8"",""Form Responses 1!B:C""),2,FALSE),)"),"")</f>
        <v/>
      </c>
      <c r="D467" s="70" t="str">
        <f>IFERROR(__xludf.DUMMYFUNCTION("IFERROR(VLOOKUP(A467,IMPORTRANGE(""1StiHxuxrFhYdrq5WLR2JMORicW0TbnJf3J-oTHeMRtM"",""Form Responses 1!B:C""),2,FALSE),)"),"")</f>
        <v/>
      </c>
      <c r="E467" s="70" t="str">
        <f>IFERROR(__xludf.DUMMYFUNCTION("IFERROR(VLOOKUP(A467,IMPORTRANGE(""1QaxxyUjrDq2kgz300C1Bq1tacFk6e-xX218cSXCQUK0"",""Form Responses 1!B:C""),2,FALSE),)"),"")</f>
        <v/>
      </c>
      <c r="F467" s="70" t="str">
        <f>IFERROR(__xludf.DUMMYFUNCTION("IFERROR(VLOOKUP(A467,IMPORTRANGE(""1fn2ECph_y8Uz78DhjLaiXcwgt6kh3oe-0Le36Uw0noE"",""Form Responses 1!B:C""),2,FALSE),)"),"")</f>
        <v/>
      </c>
      <c r="G467" s="70"/>
      <c r="H467" s="70"/>
      <c r="I467" s="70"/>
      <c r="J467" s="70"/>
      <c r="K467" s="70"/>
      <c r="L467" s="70"/>
      <c r="M467" s="70"/>
      <c r="N467" s="70"/>
      <c r="O467" s="70"/>
      <c r="P467" s="70"/>
      <c r="Q467" s="70" t="str">
        <f>IFERROR(__xludf.DUMMYFUNCTION("IFERROR(IF(COUNTIF(IMPORTRANGE(""1WjiLR_MTMxI_IZUKuvPO4Sg2rTSIqBzP3edakSRXbOA"",""Form Responses 1!B:B""),F467)&gt;0,10,),0)"),"")</f>
        <v/>
      </c>
      <c r="R467" s="70" t="str">
        <f>IFERROR(__xludf.DUMMYFUNCTION("IFERROR(VLOOKUP(F467,IMPORTRANGE(""1Ixzbal5tEbtWhozsFEppQzOYE6ZSrkNXHg_HW5k3Wt4"",""Form Responses 1!B:C""),2,FALSE),)"),"")</f>
        <v/>
      </c>
      <c r="S467" s="70" t="str">
        <f>IFERROR(__xludf.DUMMYFUNCTION("IFERROR(VLOOKUP(F467,IMPORTRANGE(""1zxjtEKGvVIJPIDqZdnxENwVpPXYa88EihzyI44hcQUo"",""Form Responses 1!B:C""),2,FALSE),)"),"")</f>
        <v/>
      </c>
      <c r="T467" s="70" t="str">
        <f>IFERROR(__xludf.DUMMYFUNCTION("IFERROR(VLOOKUP(F467,IMPORTRANGE(""1H3cO01obd5zFULYqaT5NAqecZBFFIHeDFn4CeQLZF3w"",""Form Responses 1!B:C""),2,FALSE),)"),"")</f>
        <v/>
      </c>
      <c r="U467" s="70" t="str">
        <f>IFERROR(__xludf.DUMMYFUNCTION("IFERROR(IF(COUNTIF(IMPORTRANGE(""1IG9qoa6PeLdDDFzKpW39lxXshN0-M8Z25a_R1EpsYyg"",""Form Responses 1!B:B""),F467)&gt;0,10,),0)"),"")</f>
        <v/>
      </c>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row>
    <row r="468">
      <c r="B468" s="70" t="str">
        <f>IFERROR(__xludf.DUMMYFUNCTION("IFERROR(IF(COUNTIF(IMPORTRANGE(""1RTcwEJsI_0aJRebhNwO_H_AoKl9r46k7hWYbtciIyM4"",""Form Responses 1!B:B""),A468)&gt;0,10,),0)"),"")</f>
        <v/>
      </c>
      <c r="C468" s="70" t="str">
        <f>IFERROR(__xludf.DUMMYFUNCTION("IFERROR(VLOOKUP(A468,IMPORTRANGE(""11i8IUhq_U6RRKRV3CBWIKqYed_fMvFgNUHTq1YDJfp8"",""Form Responses 1!B:C""),2,FALSE),)"),"")</f>
        <v/>
      </c>
      <c r="D468" s="70" t="str">
        <f>IFERROR(__xludf.DUMMYFUNCTION("IFERROR(VLOOKUP(A468,IMPORTRANGE(""1StiHxuxrFhYdrq5WLR2JMORicW0TbnJf3J-oTHeMRtM"",""Form Responses 1!B:C""),2,FALSE),)"),"")</f>
        <v/>
      </c>
      <c r="E468" s="70" t="str">
        <f>IFERROR(__xludf.DUMMYFUNCTION("IFERROR(VLOOKUP(A468,IMPORTRANGE(""1QaxxyUjrDq2kgz300C1Bq1tacFk6e-xX218cSXCQUK0"",""Form Responses 1!B:C""),2,FALSE),)"),"")</f>
        <v/>
      </c>
      <c r="F468" s="70" t="str">
        <f>IFERROR(__xludf.DUMMYFUNCTION("IFERROR(VLOOKUP(A468,IMPORTRANGE(""1fn2ECph_y8Uz78DhjLaiXcwgt6kh3oe-0Le36Uw0noE"",""Form Responses 1!B:C""),2,FALSE),)"),"")</f>
        <v/>
      </c>
      <c r="G468" s="70"/>
      <c r="H468" s="70"/>
      <c r="I468" s="70"/>
      <c r="J468" s="70"/>
      <c r="K468" s="70"/>
      <c r="L468" s="70"/>
      <c r="M468" s="70"/>
      <c r="N468" s="70"/>
      <c r="O468" s="70"/>
      <c r="P468" s="70"/>
      <c r="Q468" s="70" t="str">
        <f>IFERROR(__xludf.DUMMYFUNCTION("IFERROR(IF(COUNTIF(IMPORTRANGE(""1WjiLR_MTMxI_IZUKuvPO4Sg2rTSIqBzP3edakSRXbOA"",""Form Responses 1!B:B""),F468)&gt;0,10,),0)"),"")</f>
        <v/>
      </c>
      <c r="R468" s="70" t="str">
        <f>IFERROR(__xludf.DUMMYFUNCTION("IFERROR(VLOOKUP(F468,IMPORTRANGE(""1Ixzbal5tEbtWhozsFEppQzOYE6ZSrkNXHg_HW5k3Wt4"",""Form Responses 1!B:C""),2,FALSE),)"),"")</f>
        <v/>
      </c>
      <c r="S468" s="70" t="str">
        <f>IFERROR(__xludf.DUMMYFUNCTION("IFERROR(VLOOKUP(F468,IMPORTRANGE(""1zxjtEKGvVIJPIDqZdnxENwVpPXYa88EihzyI44hcQUo"",""Form Responses 1!B:C""),2,FALSE),)"),"")</f>
        <v/>
      </c>
      <c r="T468" s="70" t="str">
        <f>IFERROR(__xludf.DUMMYFUNCTION("IFERROR(VLOOKUP(F468,IMPORTRANGE(""1H3cO01obd5zFULYqaT5NAqecZBFFIHeDFn4CeQLZF3w"",""Form Responses 1!B:C""),2,FALSE),)"),"")</f>
        <v/>
      </c>
      <c r="U468" s="70" t="str">
        <f>IFERROR(__xludf.DUMMYFUNCTION("IFERROR(IF(COUNTIF(IMPORTRANGE(""1IG9qoa6PeLdDDFzKpW39lxXshN0-M8Z25a_R1EpsYyg"",""Form Responses 1!B:B""),F468)&gt;0,10,),0)"),"")</f>
        <v/>
      </c>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row>
    <row r="469">
      <c r="B469" s="70" t="str">
        <f>IFERROR(__xludf.DUMMYFUNCTION("IFERROR(IF(COUNTIF(IMPORTRANGE(""1RTcwEJsI_0aJRebhNwO_H_AoKl9r46k7hWYbtciIyM4"",""Form Responses 1!B:B""),A469)&gt;0,10,),0)"),"")</f>
        <v/>
      </c>
      <c r="C469" s="70" t="str">
        <f>IFERROR(__xludf.DUMMYFUNCTION("IFERROR(VLOOKUP(A469,IMPORTRANGE(""11i8IUhq_U6RRKRV3CBWIKqYed_fMvFgNUHTq1YDJfp8"",""Form Responses 1!B:C""),2,FALSE),)"),"")</f>
        <v/>
      </c>
      <c r="D469" s="70" t="str">
        <f>IFERROR(__xludf.DUMMYFUNCTION("IFERROR(VLOOKUP(A469,IMPORTRANGE(""1StiHxuxrFhYdrq5WLR2JMORicW0TbnJf3J-oTHeMRtM"",""Form Responses 1!B:C""),2,FALSE),)"),"")</f>
        <v/>
      </c>
      <c r="E469" s="70" t="str">
        <f>IFERROR(__xludf.DUMMYFUNCTION("IFERROR(VLOOKUP(A469,IMPORTRANGE(""1QaxxyUjrDq2kgz300C1Bq1tacFk6e-xX218cSXCQUK0"",""Form Responses 1!B:C""),2,FALSE),)"),"")</f>
        <v/>
      </c>
      <c r="F469" s="70" t="str">
        <f>IFERROR(__xludf.DUMMYFUNCTION("IFERROR(VLOOKUP(A469,IMPORTRANGE(""1fn2ECph_y8Uz78DhjLaiXcwgt6kh3oe-0Le36Uw0noE"",""Form Responses 1!B:C""),2,FALSE),)"),"")</f>
        <v/>
      </c>
      <c r="G469" s="70"/>
      <c r="H469" s="70"/>
      <c r="I469" s="70"/>
      <c r="J469" s="70"/>
      <c r="K469" s="70"/>
      <c r="L469" s="70"/>
      <c r="M469" s="70"/>
      <c r="N469" s="70"/>
      <c r="O469" s="70"/>
      <c r="P469" s="70"/>
      <c r="Q469" s="70" t="str">
        <f>IFERROR(__xludf.DUMMYFUNCTION("IFERROR(IF(COUNTIF(IMPORTRANGE(""1WjiLR_MTMxI_IZUKuvPO4Sg2rTSIqBzP3edakSRXbOA"",""Form Responses 1!B:B""),F469)&gt;0,10,),0)"),"")</f>
        <v/>
      </c>
      <c r="R469" s="70" t="str">
        <f>IFERROR(__xludf.DUMMYFUNCTION("IFERROR(VLOOKUP(F469,IMPORTRANGE(""1Ixzbal5tEbtWhozsFEppQzOYE6ZSrkNXHg_HW5k3Wt4"",""Form Responses 1!B:C""),2,FALSE),)"),"")</f>
        <v/>
      </c>
      <c r="S469" s="70" t="str">
        <f>IFERROR(__xludf.DUMMYFUNCTION("IFERROR(VLOOKUP(F469,IMPORTRANGE(""1zxjtEKGvVIJPIDqZdnxENwVpPXYa88EihzyI44hcQUo"",""Form Responses 1!B:C""),2,FALSE),)"),"")</f>
        <v/>
      </c>
      <c r="T469" s="70" t="str">
        <f>IFERROR(__xludf.DUMMYFUNCTION("IFERROR(VLOOKUP(F469,IMPORTRANGE(""1H3cO01obd5zFULYqaT5NAqecZBFFIHeDFn4CeQLZF3w"",""Form Responses 1!B:C""),2,FALSE),)"),"")</f>
        <v/>
      </c>
      <c r="U469" s="70" t="str">
        <f>IFERROR(__xludf.DUMMYFUNCTION("IFERROR(IF(COUNTIF(IMPORTRANGE(""1IG9qoa6PeLdDDFzKpW39lxXshN0-M8Z25a_R1EpsYyg"",""Form Responses 1!B:B""),F469)&gt;0,10,),0)"),"")</f>
        <v/>
      </c>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row>
    <row r="470">
      <c r="B470" s="70" t="str">
        <f>IFERROR(__xludf.DUMMYFUNCTION("IFERROR(IF(COUNTIF(IMPORTRANGE(""1RTcwEJsI_0aJRebhNwO_H_AoKl9r46k7hWYbtciIyM4"",""Form Responses 1!B:B""),A470)&gt;0,10,),0)"),"")</f>
        <v/>
      </c>
      <c r="C470" s="70" t="str">
        <f>IFERROR(__xludf.DUMMYFUNCTION("IFERROR(VLOOKUP(A470,IMPORTRANGE(""11i8IUhq_U6RRKRV3CBWIKqYed_fMvFgNUHTq1YDJfp8"",""Form Responses 1!B:C""),2,FALSE),)"),"")</f>
        <v/>
      </c>
      <c r="D470" s="70" t="str">
        <f>IFERROR(__xludf.DUMMYFUNCTION("IFERROR(VLOOKUP(A470,IMPORTRANGE(""1StiHxuxrFhYdrq5WLR2JMORicW0TbnJf3J-oTHeMRtM"",""Form Responses 1!B:C""),2,FALSE),)"),"")</f>
        <v/>
      </c>
      <c r="E470" s="70" t="str">
        <f>IFERROR(__xludf.DUMMYFUNCTION("IFERROR(VLOOKUP(A470,IMPORTRANGE(""1QaxxyUjrDq2kgz300C1Bq1tacFk6e-xX218cSXCQUK0"",""Form Responses 1!B:C""),2,FALSE),)"),"")</f>
        <v/>
      </c>
      <c r="F470" s="70" t="str">
        <f>IFERROR(__xludf.DUMMYFUNCTION("IFERROR(VLOOKUP(A470,IMPORTRANGE(""1fn2ECph_y8Uz78DhjLaiXcwgt6kh3oe-0Le36Uw0noE"",""Form Responses 1!B:C""),2,FALSE),)"),"")</f>
        <v/>
      </c>
      <c r="G470" s="70"/>
      <c r="H470" s="70"/>
      <c r="I470" s="70"/>
      <c r="J470" s="70"/>
      <c r="K470" s="70"/>
      <c r="L470" s="70"/>
      <c r="M470" s="70"/>
      <c r="N470" s="70"/>
      <c r="O470" s="70"/>
      <c r="P470" s="70"/>
      <c r="Q470" s="70" t="str">
        <f>IFERROR(__xludf.DUMMYFUNCTION("IFERROR(IF(COUNTIF(IMPORTRANGE(""1WjiLR_MTMxI_IZUKuvPO4Sg2rTSIqBzP3edakSRXbOA"",""Form Responses 1!B:B""),F470)&gt;0,10,),0)"),"")</f>
        <v/>
      </c>
      <c r="R470" s="70" t="str">
        <f>IFERROR(__xludf.DUMMYFUNCTION("IFERROR(VLOOKUP(F470,IMPORTRANGE(""1Ixzbal5tEbtWhozsFEppQzOYE6ZSrkNXHg_HW5k3Wt4"",""Form Responses 1!B:C""),2,FALSE),)"),"")</f>
        <v/>
      </c>
      <c r="S470" s="70" t="str">
        <f>IFERROR(__xludf.DUMMYFUNCTION("IFERROR(VLOOKUP(F470,IMPORTRANGE(""1zxjtEKGvVIJPIDqZdnxENwVpPXYa88EihzyI44hcQUo"",""Form Responses 1!B:C""),2,FALSE),)"),"")</f>
        <v/>
      </c>
      <c r="T470" s="70" t="str">
        <f>IFERROR(__xludf.DUMMYFUNCTION("IFERROR(VLOOKUP(F470,IMPORTRANGE(""1H3cO01obd5zFULYqaT5NAqecZBFFIHeDFn4CeQLZF3w"",""Form Responses 1!B:C""),2,FALSE),)"),"")</f>
        <v/>
      </c>
      <c r="U470" s="70" t="str">
        <f>IFERROR(__xludf.DUMMYFUNCTION("IFERROR(IF(COUNTIF(IMPORTRANGE(""1IG9qoa6PeLdDDFzKpW39lxXshN0-M8Z25a_R1EpsYyg"",""Form Responses 1!B:B""),F470)&gt;0,10,),0)"),"")</f>
        <v/>
      </c>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row>
    <row r="471">
      <c r="B471" s="70" t="str">
        <f>IFERROR(__xludf.DUMMYFUNCTION("IFERROR(IF(COUNTIF(IMPORTRANGE(""1RTcwEJsI_0aJRebhNwO_H_AoKl9r46k7hWYbtciIyM4"",""Form Responses 1!B:B""),A471)&gt;0,10,),0)"),"")</f>
        <v/>
      </c>
      <c r="C471" s="70" t="str">
        <f>IFERROR(__xludf.DUMMYFUNCTION("IFERROR(VLOOKUP(A471,IMPORTRANGE(""11i8IUhq_U6RRKRV3CBWIKqYed_fMvFgNUHTq1YDJfp8"",""Form Responses 1!B:C""),2,FALSE),)"),"")</f>
        <v/>
      </c>
      <c r="D471" s="70" t="str">
        <f>IFERROR(__xludf.DUMMYFUNCTION("IFERROR(VLOOKUP(A471,IMPORTRANGE(""1StiHxuxrFhYdrq5WLR2JMORicW0TbnJf3J-oTHeMRtM"",""Form Responses 1!B:C""),2,FALSE),)"),"")</f>
        <v/>
      </c>
      <c r="E471" s="70" t="str">
        <f>IFERROR(__xludf.DUMMYFUNCTION("IFERROR(VLOOKUP(A471,IMPORTRANGE(""1QaxxyUjrDq2kgz300C1Bq1tacFk6e-xX218cSXCQUK0"",""Form Responses 1!B:C""),2,FALSE),)"),"")</f>
        <v/>
      </c>
      <c r="F471" s="70" t="str">
        <f>IFERROR(__xludf.DUMMYFUNCTION("IFERROR(VLOOKUP(A471,IMPORTRANGE(""1fn2ECph_y8Uz78DhjLaiXcwgt6kh3oe-0Le36Uw0noE"",""Form Responses 1!B:C""),2,FALSE),)"),"")</f>
        <v/>
      </c>
      <c r="G471" s="70"/>
      <c r="H471" s="70"/>
      <c r="I471" s="70"/>
      <c r="J471" s="70"/>
      <c r="K471" s="70"/>
      <c r="L471" s="70"/>
      <c r="M471" s="70"/>
      <c r="N471" s="70"/>
      <c r="O471" s="70"/>
      <c r="P471" s="70"/>
      <c r="Q471" s="70" t="str">
        <f>IFERROR(__xludf.DUMMYFUNCTION("IFERROR(IF(COUNTIF(IMPORTRANGE(""1WjiLR_MTMxI_IZUKuvPO4Sg2rTSIqBzP3edakSRXbOA"",""Form Responses 1!B:B""),F471)&gt;0,10,),0)"),"")</f>
        <v/>
      </c>
      <c r="R471" s="70" t="str">
        <f>IFERROR(__xludf.DUMMYFUNCTION("IFERROR(VLOOKUP(F471,IMPORTRANGE(""1Ixzbal5tEbtWhozsFEppQzOYE6ZSrkNXHg_HW5k3Wt4"",""Form Responses 1!B:C""),2,FALSE),)"),"")</f>
        <v/>
      </c>
      <c r="S471" s="70" t="str">
        <f>IFERROR(__xludf.DUMMYFUNCTION("IFERROR(VLOOKUP(F471,IMPORTRANGE(""1zxjtEKGvVIJPIDqZdnxENwVpPXYa88EihzyI44hcQUo"",""Form Responses 1!B:C""),2,FALSE),)"),"")</f>
        <v/>
      </c>
      <c r="T471" s="70" t="str">
        <f>IFERROR(__xludf.DUMMYFUNCTION("IFERROR(VLOOKUP(F471,IMPORTRANGE(""1H3cO01obd5zFULYqaT5NAqecZBFFIHeDFn4CeQLZF3w"",""Form Responses 1!B:C""),2,FALSE),)"),"")</f>
        <v/>
      </c>
      <c r="U471" s="70" t="str">
        <f>IFERROR(__xludf.DUMMYFUNCTION("IFERROR(IF(COUNTIF(IMPORTRANGE(""1IG9qoa6PeLdDDFzKpW39lxXshN0-M8Z25a_R1EpsYyg"",""Form Responses 1!B:B""),F471)&gt;0,10,),0)"),"")</f>
        <v/>
      </c>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row>
    <row r="472">
      <c r="B472" s="70" t="str">
        <f>IFERROR(__xludf.DUMMYFUNCTION("IFERROR(IF(COUNTIF(IMPORTRANGE(""1RTcwEJsI_0aJRebhNwO_H_AoKl9r46k7hWYbtciIyM4"",""Form Responses 1!B:B""),A472)&gt;0,10,),0)"),"")</f>
        <v/>
      </c>
      <c r="C472" s="70" t="str">
        <f>IFERROR(__xludf.DUMMYFUNCTION("IFERROR(VLOOKUP(A472,IMPORTRANGE(""11i8IUhq_U6RRKRV3CBWIKqYed_fMvFgNUHTq1YDJfp8"",""Form Responses 1!B:C""),2,FALSE),)"),"")</f>
        <v/>
      </c>
      <c r="D472" s="70" t="str">
        <f>IFERROR(__xludf.DUMMYFUNCTION("IFERROR(VLOOKUP(A472,IMPORTRANGE(""1StiHxuxrFhYdrq5WLR2JMORicW0TbnJf3J-oTHeMRtM"",""Form Responses 1!B:C""),2,FALSE),)"),"")</f>
        <v/>
      </c>
      <c r="E472" s="70" t="str">
        <f>IFERROR(__xludf.DUMMYFUNCTION("IFERROR(VLOOKUP(A472,IMPORTRANGE(""1QaxxyUjrDq2kgz300C1Bq1tacFk6e-xX218cSXCQUK0"",""Form Responses 1!B:C""),2,FALSE),)"),"")</f>
        <v/>
      </c>
      <c r="F472" s="70" t="str">
        <f>IFERROR(__xludf.DUMMYFUNCTION("IFERROR(VLOOKUP(A472,IMPORTRANGE(""1fn2ECph_y8Uz78DhjLaiXcwgt6kh3oe-0Le36Uw0noE"",""Form Responses 1!B:C""),2,FALSE),)"),"")</f>
        <v/>
      </c>
      <c r="G472" s="70"/>
      <c r="H472" s="70"/>
      <c r="I472" s="70"/>
      <c r="J472" s="70"/>
      <c r="K472" s="70"/>
      <c r="L472" s="70"/>
      <c r="M472" s="70"/>
      <c r="N472" s="70"/>
      <c r="O472" s="70"/>
      <c r="P472" s="70"/>
      <c r="Q472" s="70" t="str">
        <f>IFERROR(__xludf.DUMMYFUNCTION("IFERROR(IF(COUNTIF(IMPORTRANGE(""1WjiLR_MTMxI_IZUKuvPO4Sg2rTSIqBzP3edakSRXbOA"",""Form Responses 1!B:B""),F472)&gt;0,10,),0)"),"")</f>
        <v/>
      </c>
      <c r="R472" s="70" t="str">
        <f>IFERROR(__xludf.DUMMYFUNCTION("IFERROR(VLOOKUP(F472,IMPORTRANGE(""1Ixzbal5tEbtWhozsFEppQzOYE6ZSrkNXHg_HW5k3Wt4"",""Form Responses 1!B:C""),2,FALSE),)"),"")</f>
        <v/>
      </c>
      <c r="S472" s="70" t="str">
        <f>IFERROR(__xludf.DUMMYFUNCTION("IFERROR(VLOOKUP(F472,IMPORTRANGE(""1zxjtEKGvVIJPIDqZdnxENwVpPXYa88EihzyI44hcQUo"",""Form Responses 1!B:C""),2,FALSE),)"),"")</f>
        <v/>
      </c>
      <c r="T472" s="70" t="str">
        <f>IFERROR(__xludf.DUMMYFUNCTION("IFERROR(VLOOKUP(F472,IMPORTRANGE(""1H3cO01obd5zFULYqaT5NAqecZBFFIHeDFn4CeQLZF3w"",""Form Responses 1!B:C""),2,FALSE),)"),"")</f>
        <v/>
      </c>
      <c r="U472" s="70" t="str">
        <f>IFERROR(__xludf.DUMMYFUNCTION("IFERROR(IF(COUNTIF(IMPORTRANGE(""1IG9qoa6PeLdDDFzKpW39lxXshN0-M8Z25a_R1EpsYyg"",""Form Responses 1!B:B""),F472)&gt;0,10,),0)"),"")</f>
        <v/>
      </c>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row>
    <row r="473">
      <c r="B473" s="70" t="str">
        <f>IFERROR(__xludf.DUMMYFUNCTION("IFERROR(IF(COUNTIF(IMPORTRANGE(""1RTcwEJsI_0aJRebhNwO_H_AoKl9r46k7hWYbtciIyM4"",""Form Responses 1!B:B""),A473)&gt;0,10,),0)"),"")</f>
        <v/>
      </c>
      <c r="C473" s="70" t="str">
        <f>IFERROR(__xludf.DUMMYFUNCTION("IFERROR(VLOOKUP(A473,IMPORTRANGE(""11i8IUhq_U6RRKRV3CBWIKqYed_fMvFgNUHTq1YDJfp8"",""Form Responses 1!B:C""),2,FALSE),)"),"")</f>
        <v/>
      </c>
      <c r="D473" s="70" t="str">
        <f>IFERROR(__xludf.DUMMYFUNCTION("IFERROR(VLOOKUP(A473,IMPORTRANGE(""1StiHxuxrFhYdrq5WLR2JMORicW0TbnJf3J-oTHeMRtM"",""Form Responses 1!B:C""),2,FALSE),)"),"")</f>
        <v/>
      </c>
      <c r="E473" s="70" t="str">
        <f>IFERROR(__xludf.DUMMYFUNCTION("IFERROR(VLOOKUP(A473,IMPORTRANGE(""1QaxxyUjrDq2kgz300C1Bq1tacFk6e-xX218cSXCQUK0"",""Form Responses 1!B:C""),2,FALSE),)"),"")</f>
        <v/>
      </c>
      <c r="F473" s="70" t="str">
        <f>IFERROR(__xludf.DUMMYFUNCTION("IFERROR(VLOOKUP(A473,IMPORTRANGE(""1fn2ECph_y8Uz78DhjLaiXcwgt6kh3oe-0Le36Uw0noE"",""Form Responses 1!B:C""),2,FALSE),)"),"")</f>
        <v/>
      </c>
      <c r="G473" s="70"/>
      <c r="H473" s="70"/>
      <c r="I473" s="70"/>
      <c r="J473" s="70"/>
      <c r="K473" s="70"/>
      <c r="L473" s="70"/>
      <c r="M473" s="70"/>
      <c r="N473" s="70"/>
      <c r="O473" s="70"/>
      <c r="P473" s="70"/>
      <c r="Q473" s="70" t="str">
        <f>IFERROR(__xludf.DUMMYFUNCTION("IFERROR(IF(COUNTIF(IMPORTRANGE(""1WjiLR_MTMxI_IZUKuvPO4Sg2rTSIqBzP3edakSRXbOA"",""Form Responses 1!B:B""),F473)&gt;0,10,),0)"),"")</f>
        <v/>
      </c>
      <c r="R473" s="70" t="str">
        <f>IFERROR(__xludf.DUMMYFUNCTION("IFERROR(VLOOKUP(F473,IMPORTRANGE(""1Ixzbal5tEbtWhozsFEppQzOYE6ZSrkNXHg_HW5k3Wt4"",""Form Responses 1!B:C""),2,FALSE),)"),"")</f>
        <v/>
      </c>
      <c r="S473" s="70" t="str">
        <f>IFERROR(__xludf.DUMMYFUNCTION("IFERROR(VLOOKUP(F473,IMPORTRANGE(""1zxjtEKGvVIJPIDqZdnxENwVpPXYa88EihzyI44hcQUo"",""Form Responses 1!B:C""),2,FALSE),)"),"")</f>
        <v/>
      </c>
      <c r="T473" s="70" t="str">
        <f>IFERROR(__xludf.DUMMYFUNCTION("IFERROR(VLOOKUP(F473,IMPORTRANGE(""1H3cO01obd5zFULYqaT5NAqecZBFFIHeDFn4CeQLZF3w"",""Form Responses 1!B:C""),2,FALSE),)"),"")</f>
        <v/>
      </c>
      <c r="U473" s="70" t="str">
        <f>IFERROR(__xludf.DUMMYFUNCTION("IFERROR(IF(COUNTIF(IMPORTRANGE(""1IG9qoa6PeLdDDFzKpW39lxXshN0-M8Z25a_R1EpsYyg"",""Form Responses 1!B:B""),F473)&gt;0,10,),0)"),"")</f>
        <v/>
      </c>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row>
    <row r="474">
      <c r="B474" s="70" t="str">
        <f>IFERROR(__xludf.DUMMYFUNCTION("IFERROR(IF(COUNTIF(IMPORTRANGE(""1RTcwEJsI_0aJRebhNwO_H_AoKl9r46k7hWYbtciIyM4"",""Form Responses 1!B:B""),A474)&gt;0,10,),0)"),"")</f>
        <v/>
      </c>
      <c r="C474" s="70" t="str">
        <f>IFERROR(__xludf.DUMMYFUNCTION("IFERROR(VLOOKUP(A474,IMPORTRANGE(""11i8IUhq_U6RRKRV3CBWIKqYed_fMvFgNUHTq1YDJfp8"",""Form Responses 1!B:C""),2,FALSE),)"),"")</f>
        <v/>
      </c>
      <c r="D474" s="70" t="str">
        <f>IFERROR(__xludf.DUMMYFUNCTION("IFERROR(VLOOKUP(A474,IMPORTRANGE(""1StiHxuxrFhYdrq5WLR2JMORicW0TbnJf3J-oTHeMRtM"",""Form Responses 1!B:C""),2,FALSE),)"),"")</f>
        <v/>
      </c>
      <c r="E474" s="70" t="str">
        <f>IFERROR(__xludf.DUMMYFUNCTION("IFERROR(VLOOKUP(A474,IMPORTRANGE(""1QaxxyUjrDq2kgz300C1Bq1tacFk6e-xX218cSXCQUK0"",""Form Responses 1!B:C""),2,FALSE),)"),"")</f>
        <v/>
      </c>
      <c r="F474" s="70" t="str">
        <f>IFERROR(__xludf.DUMMYFUNCTION("IFERROR(VLOOKUP(A474,IMPORTRANGE(""1fn2ECph_y8Uz78DhjLaiXcwgt6kh3oe-0Le36Uw0noE"",""Form Responses 1!B:C""),2,FALSE),)"),"")</f>
        <v/>
      </c>
      <c r="G474" s="70"/>
      <c r="H474" s="70"/>
      <c r="I474" s="70"/>
      <c r="J474" s="70"/>
      <c r="K474" s="70"/>
      <c r="L474" s="70"/>
      <c r="M474" s="70"/>
      <c r="N474" s="70"/>
      <c r="O474" s="70"/>
      <c r="P474" s="70"/>
      <c r="Q474" s="70" t="str">
        <f>IFERROR(__xludf.DUMMYFUNCTION("IFERROR(IF(COUNTIF(IMPORTRANGE(""1WjiLR_MTMxI_IZUKuvPO4Sg2rTSIqBzP3edakSRXbOA"",""Form Responses 1!B:B""),F474)&gt;0,10,),0)"),"")</f>
        <v/>
      </c>
      <c r="R474" s="70" t="str">
        <f>IFERROR(__xludf.DUMMYFUNCTION("IFERROR(VLOOKUP(F474,IMPORTRANGE(""1Ixzbal5tEbtWhozsFEppQzOYE6ZSrkNXHg_HW5k3Wt4"",""Form Responses 1!B:C""),2,FALSE),)"),"")</f>
        <v/>
      </c>
      <c r="S474" s="70" t="str">
        <f>IFERROR(__xludf.DUMMYFUNCTION("IFERROR(VLOOKUP(F474,IMPORTRANGE(""1zxjtEKGvVIJPIDqZdnxENwVpPXYa88EihzyI44hcQUo"",""Form Responses 1!B:C""),2,FALSE),)"),"")</f>
        <v/>
      </c>
      <c r="T474" s="70" t="str">
        <f>IFERROR(__xludf.DUMMYFUNCTION("IFERROR(VLOOKUP(F474,IMPORTRANGE(""1H3cO01obd5zFULYqaT5NAqecZBFFIHeDFn4CeQLZF3w"",""Form Responses 1!B:C""),2,FALSE),)"),"")</f>
        <v/>
      </c>
      <c r="U474" s="70" t="str">
        <f>IFERROR(__xludf.DUMMYFUNCTION("IFERROR(IF(COUNTIF(IMPORTRANGE(""1IG9qoa6PeLdDDFzKpW39lxXshN0-M8Z25a_R1EpsYyg"",""Form Responses 1!B:B""),F474)&gt;0,10,),0)"),"")</f>
        <v/>
      </c>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row>
    <row r="475">
      <c r="B475" s="70" t="str">
        <f>IFERROR(__xludf.DUMMYFUNCTION("IFERROR(IF(COUNTIF(IMPORTRANGE(""1RTcwEJsI_0aJRebhNwO_H_AoKl9r46k7hWYbtciIyM4"",""Form Responses 1!B:B""),A475)&gt;0,10,),0)"),"")</f>
        <v/>
      </c>
      <c r="C475" s="70" t="str">
        <f>IFERROR(__xludf.DUMMYFUNCTION("IFERROR(VLOOKUP(A475,IMPORTRANGE(""11i8IUhq_U6RRKRV3CBWIKqYed_fMvFgNUHTq1YDJfp8"",""Form Responses 1!B:C""),2,FALSE),)"),"")</f>
        <v/>
      </c>
      <c r="D475" s="70" t="str">
        <f>IFERROR(__xludf.DUMMYFUNCTION("IFERROR(VLOOKUP(A475,IMPORTRANGE(""1StiHxuxrFhYdrq5WLR2JMORicW0TbnJf3J-oTHeMRtM"",""Form Responses 1!B:C""),2,FALSE),)"),"")</f>
        <v/>
      </c>
      <c r="E475" s="70" t="str">
        <f>IFERROR(__xludf.DUMMYFUNCTION("IFERROR(VLOOKUP(A475,IMPORTRANGE(""1QaxxyUjrDq2kgz300C1Bq1tacFk6e-xX218cSXCQUK0"",""Form Responses 1!B:C""),2,FALSE),)"),"")</f>
        <v/>
      </c>
      <c r="F475" s="70" t="str">
        <f>IFERROR(__xludf.DUMMYFUNCTION("IFERROR(VLOOKUP(A475,IMPORTRANGE(""1fn2ECph_y8Uz78DhjLaiXcwgt6kh3oe-0Le36Uw0noE"",""Form Responses 1!B:C""),2,FALSE),)"),"")</f>
        <v/>
      </c>
      <c r="G475" s="70"/>
      <c r="H475" s="70"/>
      <c r="I475" s="70"/>
      <c r="J475" s="70"/>
      <c r="K475" s="70"/>
      <c r="L475" s="70"/>
      <c r="M475" s="70"/>
      <c r="N475" s="70"/>
      <c r="O475" s="70"/>
      <c r="P475" s="70"/>
      <c r="Q475" s="70" t="str">
        <f>IFERROR(__xludf.DUMMYFUNCTION("IFERROR(IF(COUNTIF(IMPORTRANGE(""1WjiLR_MTMxI_IZUKuvPO4Sg2rTSIqBzP3edakSRXbOA"",""Form Responses 1!B:B""),F475)&gt;0,10,),0)"),"")</f>
        <v/>
      </c>
      <c r="R475" s="70" t="str">
        <f>IFERROR(__xludf.DUMMYFUNCTION("IFERROR(VLOOKUP(F475,IMPORTRANGE(""1Ixzbal5tEbtWhozsFEppQzOYE6ZSrkNXHg_HW5k3Wt4"",""Form Responses 1!B:C""),2,FALSE),)"),"")</f>
        <v/>
      </c>
      <c r="S475" s="70" t="str">
        <f>IFERROR(__xludf.DUMMYFUNCTION("IFERROR(VLOOKUP(F475,IMPORTRANGE(""1zxjtEKGvVIJPIDqZdnxENwVpPXYa88EihzyI44hcQUo"",""Form Responses 1!B:C""),2,FALSE),)"),"")</f>
        <v/>
      </c>
      <c r="T475" s="70" t="str">
        <f>IFERROR(__xludf.DUMMYFUNCTION("IFERROR(VLOOKUP(F475,IMPORTRANGE(""1H3cO01obd5zFULYqaT5NAqecZBFFIHeDFn4CeQLZF3w"",""Form Responses 1!B:C""),2,FALSE),)"),"")</f>
        <v/>
      </c>
      <c r="U475" s="70" t="str">
        <f>IFERROR(__xludf.DUMMYFUNCTION("IFERROR(IF(COUNTIF(IMPORTRANGE(""1IG9qoa6PeLdDDFzKpW39lxXshN0-M8Z25a_R1EpsYyg"",""Form Responses 1!B:B""),F475)&gt;0,10,),0)"),"")</f>
        <v/>
      </c>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row>
    <row r="476">
      <c r="B476" s="70" t="str">
        <f>IFERROR(__xludf.DUMMYFUNCTION("IFERROR(IF(COUNTIF(IMPORTRANGE(""1RTcwEJsI_0aJRebhNwO_H_AoKl9r46k7hWYbtciIyM4"",""Form Responses 1!B:B""),A476)&gt;0,10,),0)"),"")</f>
        <v/>
      </c>
      <c r="C476" s="70" t="str">
        <f>IFERROR(__xludf.DUMMYFUNCTION("IFERROR(VLOOKUP(A476,IMPORTRANGE(""11i8IUhq_U6RRKRV3CBWIKqYed_fMvFgNUHTq1YDJfp8"",""Form Responses 1!B:C""),2,FALSE),)"),"")</f>
        <v/>
      </c>
      <c r="D476" s="70" t="str">
        <f>IFERROR(__xludf.DUMMYFUNCTION("IFERROR(VLOOKUP(A476,IMPORTRANGE(""1StiHxuxrFhYdrq5WLR2JMORicW0TbnJf3J-oTHeMRtM"",""Form Responses 1!B:C""),2,FALSE),)"),"")</f>
        <v/>
      </c>
      <c r="E476" s="70" t="str">
        <f>IFERROR(__xludf.DUMMYFUNCTION("IFERROR(VLOOKUP(A476,IMPORTRANGE(""1QaxxyUjrDq2kgz300C1Bq1tacFk6e-xX218cSXCQUK0"",""Form Responses 1!B:C""),2,FALSE),)"),"")</f>
        <v/>
      </c>
      <c r="F476" s="70" t="str">
        <f>IFERROR(__xludf.DUMMYFUNCTION("IFERROR(VLOOKUP(A476,IMPORTRANGE(""1fn2ECph_y8Uz78DhjLaiXcwgt6kh3oe-0Le36Uw0noE"",""Form Responses 1!B:C""),2,FALSE),)"),"")</f>
        <v/>
      </c>
      <c r="G476" s="70"/>
      <c r="H476" s="70"/>
      <c r="I476" s="70"/>
      <c r="J476" s="70"/>
      <c r="K476" s="70"/>
      <c r="L476" s="70"/>
      <c r="M476" s="70"/>
      <c r="N476" s="70"/>
      <c r="O476" s="70"/>
      <c r="P476" s="70"/>
      <c r="Q476" s="70" t="str">
        <f>IFERROR(__xludf.DUMMYFUNCTION("IFERROR(IF(COUNTIF(IMPORTRANGE(""1WjiLR_MTMxI_IZUKuvPO4Sg2rTSIqBzP3edakSRXbOA"",""Form Responses 1!B:B""),F476)&gt;0,10,),0)"),"")</f>
        <v/>
      </c>
      <c r="R476" s="70" t="str">
        <f>IFERROR(__xludf.DUMMYFUNCTION("IFERROR(VLOOKUP(F476,IMPORTRANGE(""1Ixzbal5tEbtWhozsFEppQzOYE6ZSrkNXHg_HW5k3Wt4"",""Form Responses 1!B:C""),2,FALSE),)"),"")</f>
        <v/>
      </c>
      <c r="S476" s="70" t="str">
        <f>IFERROR(__xludf.DUMMYFUNCTION("IFERROR(VLOOKUP(F476,IMPORTRANGE(""1zxjtEKGvVIJPIDqZdnxENwVpPXYa88EihzyI44hcQUo"",""Form Responses 1!B:C""),2,FALSE),)"),"")</f>
        <v/>
      </c>
      <c r="T476" s="70" t="str">
        <f>IFERROR(__xludf.DUMMYFUNCTION("IFERROR(VLOOKUP(F476,IMPORTRANGE(""1H3cO01obd5zFULYqaT5NAqecZBFFIHeDFn4CeQLZF3w"",""Form Responses 1!B:C""),2,FALSE),)"),"")</f>
        <v/>
      </c>
      <c r="U476" s="70" t="str">
        <f>IFERROR(__xludf.DUMMYFUNCTION("IFERROR(IF(COUNTIF(IMPORTRANGE(""1IG9qoa6PeLdDDFzKpW39lxXshN0-M8Z25a_R1EpsYyg"",""Form Responses 1!B:B""),F476)&gt;0,10,),0)"),"")</f>
        <v/>
      </c>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row>
    <row r="477">
      <c r="B477" s="70" t="str">
        <f>IFERROR(__xludf.DUMMYFUNCTION("IFERROR(IF(COUNTIF(IMPORTRANGE(""1RTcwEJsI_0aJRebhNwO_H_AoKl9r46k7hWYbtciIyM4"",""Form Responses 1!B:B""),A477)&gt;0,10,),0)"),"")</f>
        <v/>
      </c>
      <c r="C477" s="70" t="str">
        <f>IFERROR(__xludf.DUMMYFUNCTION("IFERROR(VLOOKUP(A477,IMPORTRANGE(""11i8IUhq_U6RRKRV3CBWIKqYed_fMvFgNUHTq1YDJfp8"",""Form Responses 1!B:C""),2,FALSE),)"),"")</f>
        <v/>
      </c>
      <c r="D477" s="70" t="str">
        <f>IFERROR(__xludf.DUMMYFUNCTION("IFERROR(VLOOKUP(A477,IMPORTRANGE(""1StiHxuxrFhYdrq5WLR2JMORicW0TbnJf3J-oTHeMRtM"",""Form Responses 1!B:C""),2,FALSE),)"),"")</f>
        <v/>
      </c>
      <c r="E477" s="70" t="str">
        <f>IFERROR(__xludf.DUMMYFUNCTION("IFERROR(VLOOKUP(A477,IMPORTRANGE(""1QaxxyUjrDq2kgz300C1Bq1tacFk6e-xX218cSXCQUK0"",""Form Responses 1!B:C""),2,FALSE),)"),"")</f>
        <v/>
      </c>
      <c r="F477" s="70" t="str">
        <f>IFERROR(__xludf.DUMMYFUNCTION("IFERROR(VLOOKUP(A477,IMPORTRANGE(""1fn2ECph_y8Uz78DhjLaiXcwgt6kh3oe-0Le36Uw0noE"",""Form Responses 1!B:C""),2,FALSE),)"),"")</f>
        <v/>
      </c>
      <c r="G477" s="70"/>
      <c r="H477" s="70"/>
      <c r="I477" s="70"/>
      <c r="J477" s="70"/>
      <c r="K477" s="70"/>
      <c r="L477" s="70"/>
      <c r="M477" s="70"/>
      <c r="N477" s="70"/>
      <c r="O477" s="70"/>
      <c r="P477" s="70"/>
      <c r="Q477" s="70" t="str">
        <f>IFERROR(__xludf.DUMMYFUNCTION("IFERROR(IF(COUNTIF(IMPORTRANGE(""1WjiLR_MTMxI_IZUKuvPO4Sg2rTSIqBzP3edakSRXbOA"",""Form Responses 1!B:B""),F477)&gt;0,10,),0)"),"")</f>
        <v/>
      </c>
      <c r="R477" s="70" t="str">
        <f>IFERROR(__xludf.DUMMYFUNCTION("IFERROR(VLOOKUP(F477,IMPORTRANGE(""1Ixzbal5tEbtWhozsFEppQzOYE6ZSrkNXHg_HW5k3Wt4"",""Form Responses 1!B:C""),2,FALSE),)"),"")</f>
        <v/>
      </c>
      <c r="S477" s="70" t="str">
        <f>IFERROR(__xludf.DUMMYFUNCTION("IFERROR(VLOOKUP(F477,IMPORTRANGE(""1zxjtEKGvVIJPIDqZdnxENwVpPXYa88EihzyI44hcQUo"",""Form Responses 1!B:C""),2,FALSE),)"),"")</f>
        <v/>
      </c>
      <c r="T477" s="70" t="str">
        <f>IFERROR(__xludf.DUMMYFUNCTION("IFERROR(VLOOKUP(F477,IMPORTRANGE(""1H3cO01obd5zFULYqaT5NAqecZBFFIHeDFn4CeQLZF3w"",""Form Responses 1!B:C""),2,FALSE),)"),"")</f>
        <v/>
      </c>
      <c r="U477" s="70" t="str">
        <f>IFERROR(__xludf.DUMMYFUNCTION("IFERROR(IF(COUNTIF(IMPORTRANGE(""1IG9qoa6PeLdDDFzKpW39lxXshN0-M8Z25a_R1EpsYyg"",""Form Responses 1!B:B""),F477)&gt;0,10,),0)"),"")</f>
        <v/>
      </c>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row>
    <row r="478">
      <c r="B478" s="70" t="str">
        <f>IFERROR(__xludf.DUMMYFUNCTION("IFERROR(IF(COUNTIF(IMPORTRANGE(""1RTcwEJsI_0aJRebhNwO_H_AoKl9r46k7hWYbtciIyM4"",""Form Responses 1!B:B""),A478)&gt;0,10,),0)"),"")</f>
        <v/>
      </c>
      <c r="C478" s="70" t="str">
        <f>IFERROR(__xludf.DUMMYFUNCTION("IFERROR(VLOOKUP(A478,IMPORTRANGE(""11i8IUhq_U6RRKRV3CBWIKqYed_fMvFgNUHTq1YDJfp8"",""Form Responses 1!B:C""),2,FALSE),)"),"")</f>
        <v/>
      </c>
      <c r="D478" s="70" t="str">
        <f>IFERROR(__xludf.DUMMYFUNCTION("IFERROR(VLOOKUP(A478,IMPORTRANGE(""1StiHxuxrFhYdrq5WLR2JMORicW0TbnJf3J-oTHeMRtM"",""Form Responses 1!B:C""),2,FALSE),)"),"")</f>
        <v/>
      </c>
      <c r="E478" s="70" t="str">
        <f>IFERROR(__xludf.DUMMYFUNCTION("IFERROR(VLOOKUP(A478,IMPORTRANGE(""1QaxxyUjrDq2kgz300C1Bq1tacFk6e-xX218cSXCQUK0"",""Form Responses 1!B:C""),2,FALSE),)"),"")</f>
        <v/>
      </c>
      <c r="F478" s="70" t="str">
        <f>IFERROR(__xludf.DUMMYFUNCTION("IFERROR(VLOOKUP(A478,IMPORTRANGE(""1fn2ECph_y8Uz78DhjLaiXcwgt6kh3oe-0Le36Uw0noE"",""Form Responses 1!B:C""),2,FALSE),)"),"")</f>
        <v/>
      </c>
      <c r="G478" s="70"/>
      <c r="H478" s="70"/>
      <c r="I478" s="70"/>
      <c r="J478" s="70"/>
      <c r="K478" s="70"/>
      <c r="L478" s="70"/>
      <c r="M478" s="70"/>
      <c r="N478" s="70"/>
      <c r="O478" s="70"/>
      <c r="P478" s="70"/>
      <c r="Q478" s="70" t="str">
        <f>IFERROR(__xludf.DUMMYFUNCTION("IFERROR(IF(COUNTIF(IMPORTRANGE(""1WjiLR_MTMxI_IZUKuvPO4Sg2rTSIqBzP3edakSRXbOA"",""Form Responses 1!B:B""),F478)&gt;0,10,),0)"),"")</f>
        <v/>
      </c>
      <c r="R478" s="70" t="str">
        <f>IFERROR(__xludf.DUMMYFUNCTION("IFERROR(VLOOKUP(F478,IMPORTRANGE(""1Ixzbal5tEbtWhozsFEppQzOYE6ZSrkNXHg_HW5k3Wt4"",""Form Responses 1!B:C""),2,FALSE),)"),"")</f>
        <v/>
      </c>
      <c r="S478" s="70" t="str">
        <f>IFERROR(__xludf.DUMMYFUNCTION("IFERROR(VLOOKUP(F478,IMPORTRANGE(""1zxjtEKGvVIJPIDqZdnxENwVpPXYa88EihzyI44hcQUo"",""Form Responses 1!B:C""),2,FALSE),)"),"")</f>
        <v/>
      </c>
      <c r="T478" s="70" t="str">
        <f>IFERROR(__xludf.DUMMYFUNCTION("IFERROR(VLOOKUP(F478,IMPORTRANGE(""1H3cO01obd5zFULYqaT5NAqecZBFFIHeDFn4CeQLZF3w"",""Form Responses 1!B:C""),2,FALSE),)"),"")</f>
        <v/>
      </c>
      <c r="U478" s="70" t="str">
        <f>IFERROR(__xludf.DUMMYFUNCTION("IFERROR(IF(COUNTIF(IMPORTRANGE(""1IG9qoa6PeLdDDFzKpW39lxXshN0-M8Z25a_R1EpsYyg"",""Form Responses 1!B:B""),F478)&gt;0,10,),0)"),"")</f>
        <v/>
      </c>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row>
    <row r="479">
      <c r="B479" s="70" t="str">
        <f>IFERROR(__xludf.DUMMYFUNCTION("IFERROR(IF(COUNTIF(IMPORTRANGE(""1RTcwEJsI_0aJRebhNwO_H_AoKl9r46k7hWYbtciIyM4"",""Form Responses 1!B:B""),A479)&gt;0,10,),0)"),"")</f>
        <v/>
      </c>
      <c r="C479" s="70" t="str">
        <f>IFERROR(__xludf.DUMMYFUNCTION("IFERROR(VLOOKUP(A479,IMPORTRANGE(""11i8IUhq_U6RRKRV3CBWIKqYed_fMvFgNUHTq1YDJfp8"",""Form Responses 1!B:C""),2,FALSE),)"),"")</f>
        <v/>
      </c>
      <c r="D479" s="70" t="str">
        <f>IFERROR(__xludf.DUMMYFUNCTION("IFERROR(VLOOKUP(A479,IMPORTRANGE(""1StiHxuxrFhYdrq5WLR2JMORicW0TbnJf3J-oTHeMRtM"",""Form Responses 1!B:C""),2,FALSE),)"),"")</f>
        <v/>
      </c>
      <c r="E479" s="70" t="str">
        <f>IFERROR(__xludf.DUMMYFUNCTION("IFERROR(VLOOKUP(A479,IMPORTRANGE(""1QaxxyUjrDq2kgz300C1Bq1tacFk6e-xX218cSXCQUK0"",""Form Responses 1!B:C""),2,FALSE),)"),"")</f>
        <v/>
      </c>
      <c r="F479" s="70" t="str">
        <f>IFERROR(__xludf.DUMMYFUNCTION("IFERROR(VLOOKUP(A479,IMPORTRANGE(""1fn2ECph_y8Uz78DhjLaiXcwgt6kh3oe-0Le36Uw0noE"",""Form Responses 1!B:C""),2,FALSE),)"),"")</f>
        <v/>
      </c>
      <c r="G479" s="70"/>
      <c r="H479" s="70"/>
      <c r="I479" s="70"/>
      <c r="J479" s="70"/>
      <c r="K479" s="70"/>
      <c r="L479" s="70"/>
      <c r="M479" s="70"/>
      <c r="N479" s="70"/>
      <c r="O479" s="70"/>
      <c r="P479" s="70"/>
      <c r="Q479" s="70" t="str">
        <f>IFERROR(__xludf.DUMMYFUNCTION("IFERROR(IF(COUNTIF(IMPORTRANGE(""1WjiLR_MTMxI_IZUKuvPO4Sg2rTSIqBzP3edakSRXbOA"",""Form Responses 1!B:B""),F479)&gt;0,10,),0)"),"")</f>
        <v/>
      </c>
      <c r="R479" s="70" t="str">
        <f>IFERROR(__xludf.DUMMYFUNCTION("IFERROR(VLOOKUP(F479,IMPORTRANGE(""1Ixzbal5tEbtWhozsFEppQzOYE6ZSrkNXHg_HW5k3Wt4"",""Form Responses 1!B:C""),2,FALSE),)"),"")</f>
        <v/>
      </c>
      <c r="S479" s="70" t="str">
        <f>IFERROR(__xludf.DUMMYFUNCTION("IFERROR(VLOOKUP(F479,IMPORTRANGE(""1zxjtEKGvVIJPIDqZdnxENwVpPXYa88EihzyI44hcQUo"",""Form Responses 1!B:C""),2,FALSE),)"),"")</f>
        <v/>
      </c>
      <c r="T479" s="70" t="str">
        <f>IFERROR(__xludf.DUMMYFUNCTION("IFERROR(VLOOKUP(F479,IMPORTRANGE(""1H3cO01obd5zFULYqaT5NAqecZBFFIHeDFn4CeQLZF3w"",""Form Responses 1!B:C""),2,FALSE),)"),"")</f>
        <v/>
      </c>
      <c r="U479" s="70" t="str">
        <f>IFERROR(__xludf.DUMMYFUNCTION("IFERROR(IF(COUNTIF(IMPORTRANGE(""1IG9qoa6PeLdDDFzKpW39lxXshN0-M8Z25a_R1EpsYyg"",""Form Responses 1!B:B""),F479)&gt;0,10,),0)"),"")</f>
        <v/>
      </c>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row>
    <row r="480">
      <c r="B480" s="70" t="str">
        <f>IFERROR(__xludf.DUMMYFUNCTION("IFERROR(IF(COUNTIF(IMPORTRANGE(""1RTcwEJsI_0aJRebhNwO_H_AoKl9r46k7hWYbtciIyM4"",""Form Responses 1!B:B""),A480)&gt;0,10,),0)"),"")</f>
        <v/>
      </c>
      <c r="C480" s="70" t="str">
        <f>IFERROR(__xludf.DUMMYFUNCTION("IFERROR(VLOOKUP(A480,IMPORTRANGE(""11i8IUhq_U6RRKRV3CBWIKqYed_fMvFgNUHTq1YDJfp8"",""Form Responses 1!B:C""),2,FALSE),)"),"")</f>
        <v/>
      </c>
      <c r="D480" s="70" t="str">
        <f>IFERROR(__xludf.DUMMYFUNCTION("IFERROR(VLOOKUP(A480,IMPORTRANGE(""1StiHxuxrFhYdrq5WLR2JMORicW0TbnJf3J-oTHeMRtM"",""Form Responses 1!B:C""),2,FALSE),)"),"")</f>
        <v/>
      </c>
      <c r="E480" s="70" t="str">
        <f>IFERROR(__xludf.DUMMYFUNCTION("IFERROR(VLOOKUP(A480,IMPORTRANGE(""1QaxxyUjrDq2kgz300C1Bq1tacFk6e-xX218cSXCQUK0"",""Form Responses 1!B:C""),2,FALSE),)"),"")</f>
        <v/>
      </c>
      <c r="F480" s="70" t="str">
        <f>IFERROR(__xludf.DUMMYFUNCTION("IFERROR(VLOOKUP(A480,IMPORTRANGE(""1fn2ECph_y8Uz78DhjLaiXcwgt6kh3oe-0Le36Uw0noE"",""Form Responses 1!B:C""),2,FALSE),)"),"")</f>
        <v/>
      </c>
      <c r="G480" s="70"/>
      <c r="H480" s="70"/>
      <c r="I480" s="70"/>
      <c r="J480" s="70"/>
      <c r="K480" s="70"/>
      <c r="L480" s="70"/>
      <c r="M480" s="70"/>
      <c r="N480" s="70"/>
      <c r="O480" s="70"/>
      <c r="P480" s="70"/>
      <c r="Q480" s="70" t="str">
        <f>IFERROR(__xludf.DUMMYFUNCTION("IFERROR(IF(COUNTIF(IMPORTRANGE(""1WjiLR_MTMxI_IZUKuvPO4Sg2rTSIqBzP3edakSRXbOA"",""Form Responses 1!B:B""),F480)&gt;0,10,),0)"),"")</f>
        <v/>
      </c>
      <c r="R480" s="70" t="str">
        <f>IFERROR(__xludf.DUMMYFUNCTION("IFERROR(VLOOKUP(F480,IMPORTRANGE(""1Ixzbal5tEbtWhozsFEppQzOYE6ZSrkNXHg_HW5k3Wt4"",""Form Responses 1!B:C""),2,FALSE),)"),"")</f>
        <v/>
      </c>
      <c r="S480" s="70" t="str">
        <f>IFERROR(__xludf.DUMMYFUNCTION("IFERROR(VLOOKUP(F480,IMPORTRANGE(""1zxjtEKGvVIJPIDqZdnxENwVpPXYa88EihzyI44hcQUo"",""Form Responses 1!B:C""),2,FALSE),)"),"")</f>
        <v/>
      </c>
      <c r="T480" s="70" t="str">
        <f>IFERROR(__xludf.DUMMYFUNCTION("IFERROR(VLOOKUP(F480,IMPORTRANGE(""1H3cO01obd5zFULYqaT5NAqecZBFFIHeDFn4CeQLZF3w"",""Form Responses 1!B:C""),2,FALSE),)"),"")</f>
        <v/>
      </c>
      <c r="U480" s="70" t="str">
        <f>IFERROR(__xludf.DUMMYFUNCTION("IFERROR(IF(COUNTIF(IMPORTRANGE(""1IG9qoa6PeLdDDFzKpW39lxXshN0-M8Z25a_R1EpsYyg"",""Form Responses 1!B:B""),F480)&gt;0,10,),0)"),"")</f>
        <v/>
      </c>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row>
    <row r="481">
      <c r="B481" s="70" t="str">
        <f>IFERROR(__xludf.DUMMYFUNCTION("IFERROR(IF(COUNTIF(IMPORTRANGE(""1RTcwEJsI_0aJRebhNwO_H_AoKl9r46k7hWYbtciIyM4"",""Form Responses 1!B:B""),A481)&gt;0,10,),0)"),"")</f>
        <v/>
      </c>
      <c r="C481" s="70" t="str">
        <f>IFERROR(__xludf.DUMMYFUNCTION("IFERROR(VLOOKUP(A481,IMPORTRANGE(""11i8IUhq_U6RRKRV3CBWIKqYed_fMvFgNUHTq1YDJfp8"",""Form Responses 1!B:C""),2,FALSE),)"),"")</f>
        <v/>
      </c>
      <c r="D481" s="70" t="str">
        <f>IFERROR(__xludf.DUMMYFUNCTION("IFERROR(VLOOKUP(A481,IMPORTRANGE(""1StiHxuxrFhYdrq5WLR2JMORicW0TbnJf3J-oTHeMRtM"",""Form Responses 1!B:C""),2,FALSE),)"),"")</f>
        <v/>
      </c>
      <c r="E481" s="70" t="str">
        <f>IFERROR(__xludf.DUMMYFUNCTION("IFERROR(VLOOKUP(A481,IMPORTRANGE(""1QaxxyUjrDq2kgz300C1Bq1tacFk6e-xX218cSXCQUK0"",""Form Responses 1!B:C""),2,FALSE),)"),"")</f>
        <v/>
      </c>
      <c r="F481" s="70" t="str">
        <f>IFERROR(__xludf.DUMMYFUNCTION("IFERROR(VLOOKUP(A481,IMPORTRANGE(""1fn2ECph_y8Uz78DhjLaiXcwgt6kh3oe-0Le36Uw0noE"",""Form Responses 1!B:C""),2,FALSE),)"),"")</f>
        <v/>
      </c>
      <c r="G481" s="70"/>
      <c r="H481" s="70"/>
      <c r="I481" s="70"/>
      <c r="J481" s="70"/>
      <c r="K481" s="70"/>
      <c r="L481" s="70"/>
      <c r="M481" s="70"/>
      <c r="N481" s="70"/>
      <c r="O481" s="70"/>
      <c r="P481" s="70"/>
      <c r="Q481" s="70" t="str">
        <f>IFERROR(__xludf.DUMMYFUNCTION("IFERROR(IF(COUNTIF(IMPORTRANGE(""1WjiLR_MTMxI_IZUKuvPO4Sg2rTSIqBzP3edakSRXbOA"",""Form Responses 1!B:B""),F481)&gt;0,10,),0)"),"")</f>
        <v/>
      </c>
      <c r="R481" s="70" t="str">
        <f>IFERROR(__xludf.DUMMYFUNCTION("IFERROR(VLOOKUP(F481,IMPORTRANGE(""1Ixzbal5tEbtWhozsFEppQzOYE6ZSrkNXHg_HW5k3Wt4"",""Form Responses 1!B:C""),2,FALSE),)"),"")</f>
        <v/>
      </c>
      <c r="S481" s="70" t="str">
        <f>IFERROR(__xludf.DUMMYFUNCTION("IFERROR(VLOOKUP(F481,IMPORTRANGE(""1zxjtEKGvVIJPIDqZdnxENwVpPXYa88EihzyI44hcQUo"",""Form Responses 1!B:C""),2,FALSE),)"),"")</f>
        <v/>
      </c>
      <c r="T481" s="70" t="str">
        <f>IFERROR(__xludf.DUMMYFUNCTION("IFERROR(VLOOKUP(F481,IMPORTRANGE(""1H3cO01obd5zFULYqaT5NAqecZBFFIHeDFn4CeQLZF3w"",""Form Responses 1!B:C""),2,FALSE),)"),"")</f>
        <v/>
      </c>
      <c r="U481" s="70" t="str">
        <f>IFERROR(__xludf.DUMMYFUNCTION("IFERROR(IF(COUNTIF(IMPORTRANGE(""1IG9qoa6PeLdDDFzKpW39lxXshN0-M8Z25a_R1EpsYyg"",""Form Responses 1!B:B""),F481)&gt;0,10,),0)"),"")</f>
        <v/>
      </c>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row>
    <row r="482">
      <c r="B482" s="70" t="str">
        <f>IFERROR(__xludf.DUMMYFUNCTION("IFERROR(IF(COUNTIF(IMPORTRANGE(""1RTcwEJsI_0aJRebhNwO_H_AoKl9r46k7hWYbtciIyM4"",""Form Responses 1!B:B""),A482)&gt;0,10,),0)"),"")</f>
        <v/>
      </c>
      <c r="C482" s="70" t="str">
        <f>IFERROR(__xludf.DUMMYFUNCTION("IFERROR(VLOOKUP(A482,IMPORTRANGE(""11i8IUhq_U6RRKRV3CBWIKqYed_fMvFgNUHTq1YDJfp8"",""Form Responses 1!B:C""),2,FALSE),)"),"")</f>
        <v/>
      </c>
      <c r="D482" s="70" t="str">
        <f>IFERROR(__xludf.DUMMYFUNCTION("IFERROR(VLOOKUP(A482,IMPORTRANGE(""1StiHxuxrFhYdrq5WLR2JMORicW0TbnJf3J-oTHeMRtM"",""Form Responses 1!B:C""),2,FALSE),)"),"")</f>
        <v/>
      </c>
      <c r="E482" s="70" t="str">
        <f>IFERROR(__xludf.DUMMYFUNCTION("IFERROR(VLOOKUP(A482,IMPORTRANGE(""1QaxxyUjrDq2kgz300C1Bq1tacFk6e-xX218cSXCQUK0"",""Form Responses 1!B:C""),2,FALSE),)"),"")</f>
        <v/>
      </c>
      <c r="F482" s="70" t="str">
        <f>IFERROR(__xludf.DUMMYFUNCTION("IFERROR(VLOOKUP(A482,IMPORTRANGE(""1fn2ECph_y8Uz78DhjLaiXcwgt6kh3oe-0Le36Uw0noE"",""Form Responses 1!B:C""),2,FALSE),)"),"")</f>
        <v/>
      </c>
      <c r="G482" s="70"/>
      <c r="H482" s="70"/>
      <c r="I482" s="70"/>
      <c r="J482" s="70"/>
      <c r="K482" s="70"/>
      <c r="L482" s="70"/>
      <c r="M482" s="70"/>
      <c r="N482" s="70"/>
      <c r="O482" s="70"/>
      <c r="P482" s="70"/>
      <c r="Q482" s="70" t="str">
        <f>IFERROR(__xludf.DUMMYFUNCTION("IFERROR(IF(COUNTIF(IMPORTRANGE(""1WjiLR_MTMxI_IZUKuvPO4Sg2rTSIqBzP3edakSRXbOA"",""Form Responses 1!B:B""),F482)&gt;0,10,),0)"),"")</f>
        <v/>
      </c>
      <c r="R482" s="70" t="str">
        <f>IFERROR(__xludf.DUMMYFUNCTION("IFERROR(VLOOKUP(F482,IMPORTRANGE(""1Ixzbal5tEbtWhozsFEppQzOYE6ZSrkNXHg_HW5k3Wt4"",""Form Responses 1!B:C""),2,FALSE),)"),"")</f>
        <v/>
      </c>
      <c r="S482" s="70" t="str">
        <f>IFERROR(__xludf.DUMMYFUNCTION("IFERROR(VLOOKUP(F482,IMPORTRANGE(""1zxjtEKGvVIJPIDqZdnxENwVpPXYa88EihzyI44hcQUo"",""Form Responses 1!B:C""),2,FALSE),)"),"")</f>
        <v/>
      </c>
      <c r="T482" s="70" t="str">
        <f>IFERROR(__xludf.DUMMYFUNCTION("IFERROR(VLOOKUP(F482,IMPORTRANGE(""1H3cO01obd5zFULYqaT5NAqecZBFFIHeDFn4CeQLZF3w"",""Form Responses 1!B:C""),2,FALSE),)"),"")</f>
        <v/>
      </c>
      <c r="U482" s="70" t="str">
        <f>IFERROR(__xludf.DUMMYFUNCTION("IFERROR(IF(COUNTIF(IMPORTRANGE(""1IG9qoa6PeLdDDFzKpW39lxXshN0-M8Z25a_R1EpsYyg"",""Form Responses 1!B:B""),F482)&gt;0,10,),0)"),"")</f>
        <v/>
      </c>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row>
    <row r="483">
      <c r="B483" s="70" t="str">
        <f>IFERROR(__xludf.DUMMYFUNCTION("IFERROR(IF(COUNTIF(IMPORTRANGE(""1RTcwEJsI_0aJRebhNwO_H_AoKl9r46k7hWYbtciIyM4"",""Form Responses 1!B:B""),A483)&gt;0,10,),0)"),"")</f>
        <v/>
      </c>
      <c r="C483" s="70" t="str">
        <f>IFERROR(__xludf.DUMMYFUNCTION("IFERROR(VLOOKUP(A483,IMPORTRANGE(""11i8IUhq_U6RRKRV3CBWIKqYed_fMvFgNUHTq1YDJfp8"",""Form Responses 1!B:C""),2,FALSE),)"),"")</f>
        <v/>
      </c>
      <c r="D483" s="70" t="str">
        <f>IFERROR(__xludf.DUMMYFUNCTION("IFERROR(VLOOKUP(A483,IMPORTRANGE(""1StiHxuxrFhYdrq5WLR2JMORicW0TbnJf3J-oTHeMRtM"",""Form Responses 1!B:C""),2,FALSE),)"),"")</f>
        <v/>
      </c>
      <c r="E483" s="70" t="str">
        <f>IFERROR(__xludf.DUMMYFUNCTION("IFERROR(VLOOKUP(A483,IMPORTRANGE(""1QaxxyUjrDq2kgz300C1Bq1tacFk6e-xX218cSXCQUK0"",""Form Responses 1!B:C""),2,FALSE),)"),"")</f>
        <v/>
      </c>
      <c r="F483" s="70" t="str">
        <f>IFERROR(__xludf.DUMMYFUNCTION("IFERROR(VLOOKUP(A483,IMPORTRANGE(""1fn2ECph_y8Uz78DhjLaiXcwgt6kh3oe-0Le36Uw0noE"",""Form Responses 1!B:C""),2,FALSE),)"),"")</f>
        <v/>
      </c>
      <c r="G483" s="70"/>
      <c r="H483" s="70"/>
      <c r="I483" s="70"/>
      <c r="J483" s="70"/>
      <c r="K483" s="70"/>
      <c r="L483" s="70"/>
      <c r="M483" s="70"/>
      <c r="N483" s="70"/>
      <c r="O483" s="70"/>
      <c r="P483" s="70"/>
      <c r="Q483" s="70" t="str">
        <f>IFERROR(__xludf.DUMMYFUNCTION("IFERROR(IF(COUNTIF(IMPORTRANGE(""1WjiLR_MTMxI_IZUKuvPO4Sg2rTSIqBzP3edakSRXbOA"",""Form Responses 1!B:B""),F483)&gt;0,10,),0)"),"")</f>
        <v/>
      </c>
      <c r="R483" s="70" t="str">
        <f>IFERROR(__xludf.DUMMYFUNCTION("IFERROR(VLOOKUP(F483,IMPORTRANGE(""1Ixzbal5tEbtWhozsFEppQzOYE6ZSrkNXHg_HW5k3Wt4"",""Form Responses 1!B:C""),2,FALSE),)"),"")</f>
        <v/>
      </c>
      <c r="S483" s="70" t="str">
        <f>IFERROR(__xludf.DUMMYFUNCTION("IFERROR(VLOOKUP(F483,IMPORTRANGE(""1zxjtEKGvVIJPIDqZdnxENwVpPXYa88EihzyI44hcQUo"",""Form Responses 1!B:C""),2,FALSE),)"),"")</f>
        <v/>
      </c>
      <c r="T483" s="70" t="str">
        <f>IFERROR(__xludf.DUMMYFUNCTION("IFERROR(VLOOKUP(F483,IMPORTRANGE(""1H3cO01obd5zFULYqaT5NAqecZBFFIHeDFn4CeQLZF3w"",""Form Responses 1!B:C""),2,FALSE),)"),"")</f>
        <v/>
      </c>
      <c r="U483" s="70" t="str">
        <f>IFERROR(__xludf.DUMMYFUNCTION("IFERROR(IF(COUNTIF(IMPORTRANGE(""1IG9qoa6PeLdDDFzKpW39lxXshN0-M8Z25a_R1EpsYyg"",""Form Responses 1!B:B""),F483)&gt;0,10,),0)"),"")</f>
        <v/>
      </c>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row>
    <row r="484">
      <c r="B484" s="70" t="str">
        <f>IFERROR(__xludf.DUMMYFUNCTION("IFERROR(IF(COUNTIF(IMPORTRANGE(""1RTcwEJsI_0aJRebhNwO_H_AoKl9r46k7hWYbtciIyM4"",""Form Responses 1!B:B""),A484)&gt;0,10,),0)"),"")</f>
        <v/>
      </c>
      <c r="C484" s="70" t="str">
        <f>IFERROR(__xludf.DUMMYFUNCTION("IFERROR(VLOOKUP(A484,IMPORTRANGE(""11i8IUhq_U6RRKRV3CBWIKqYed_fMvFgNUHTq1YDJfp8"",""Form Responses 1!B:C""),2,FALSE),)"),"")</f>
        <v/>
      </c>
      <c r="D484" s="70" t="str">
        <f>IFERROR(__xludf.DUMMYFUNCTION("IFERROR(VLOOKUP(A484,IMPORTRANGE(""1StiHxuxrFhYdrq5WLR2JMORicW0TbnJf3J-oTHeMRtM"",""Form Responses 1!B:C""),2,FALSE),)"),"")</f>
        <v/>
      </c>
      <c r="E484" s="70" t="str">
        <f>IFERROR(__xludf.DUMMYFUNCTION("IFERROR(VLOOKUP(A484,IMPORTRANGE(""1QaxxyUjrDq2kgz300C1Bq1tacFk6e-xX218cSXCQUK0"",""Form Responses 1!B:C""),2,FALSE),)"),"")</f>
        <v/>
      </c>
      <c r="F484" s="70" t="str">
        <f>IFERROR(__xludf.DUMMYFUNCTION("IFERROR(VLOOKUP(A484,IMPORTRANGE(""1fn2ECph_y8Uz78DhjLaiXcwgt6kh3oe-0Le36Uw0noE"",""Form Responses 1!B:C""),2,FALSE),)"),"")</f>
        <v/>
      </c>
      <c r="G484" s="70"/>
      <c r="H484" s="70"/>
      <c r="I484" s="70"/>
      <c r="J484" s="70"/>
      <c r="K484" s="70"/>
      <c r="L484" s="70"/>
      <c r="M484" s="70"/>
      <c r="N484" s="70"/>
      <c r="O484" s="70"/>
      <c r="P484" s="70"/>
      <c r="Q484" s="70" t="str">
        <f>IFERROR(__xludf.DUMMYFUNCTION("IFERROR(IF(COUNTIF(IMPORTRANGE(""1WjiLR_MTMxI_IZUKuvPO4Sg2rTSIqBzP3edakSRXbOA"",""Form Responses 1!B:B""),F484)&gt;0,10,),0)"),"")</f>
        <v/>
      </c>
      <c r="R484" s="70" t="str">
        <f>IFERROR(__xludf.DUMMYFUNCTION("IFERROR(VLOOKUP(F484,IMPORTRANGE(""1Ixzbal5tEbtWhozsFEppQzOYE6ZSrkNXHg_HW5k3Wt4"",""Form Responses 1!B:C""),2,FALSE),)"),"")</f>
        <v/>
      </c>
      <c r="S484" s="70" t="str">
        <f>IFERROR(__xludf.DUMMYFUNCTION("IFERROR(VLOOKUP(F484,IMPORTRANGE(""1zxjtEKGvVIJPIDqZdnxENwVpPXYa88EihzyI44hcQUo"",""Form Responses 1!B:C""),2,FALSE),)"),"")</f>
        <v/>
      </c>
      <c r="T484" s="70" t="str">
        <f>IFERROR(__xludf.DUMMYFUNCTION("IFERROR(VLOOKUP(F484,IMPORTRANGE(""1H3cO01obd5zFULYqaT5NAqecZBFFIHeDFn4CeQLZF3w"",""Form Responses 1!B:C""),2,FALSE),)"),"")</f>
        <v/>
      </c>
      <c r="U484" s="70" t="str">
        <f>IFERROR(__xludf.DUMMYFUNCTION("IFERROR(IF(COUNTIF(IMPORTRANGE(""1IG9qoa6PeLdDDFzKpW39lxXshN0-M8Z25a_R1EpsYyg"",""Form Responses 1!B:B""),F484)&gt;0,10,),0)"),"")</f>
        <v/>
      </c>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row>
    <row r="485">
      <c r="B485" s="70" t="str">
        <f>IFERROR(__xludf.DUMMYFUNCTION("IFERROR(IF(COUNTIF(IMPORTRANGE(""1RTcwEJsI_0aJRebhNwO_H_AoKl9r46k7hWYbtciIyM4"",""Form Responses 1!B:B""),A485)&gt;0,10,),0)"),"")</f>
        <v/>
      </c>
      <c r="C485" s="70" t="str">
        <f>IFERROR(__xludf.DUMMYFUNCTION("IFERROR(VLOOKUP(A485,IMPORTRANGE(""11i8IUhq_U6RRKRV3CBWIKqYed_fMvFgNUHTq1YDJfp8"",""Form Responses 1!B:C""),2,FALSE),)"),"")</f>
        <v/>
      </c>
      <c r="D485" s="70" t="str">
        <f>IFERROR(__xludf.DUMMYFUNCTION("IFERROR(VLOOKUP(A485,IMPORTRANGE(""1StiHxuxrFhYdrq5WLR2JMORicW0TbnJf3J-oTHeMRtM"",""Form Responses 1!B:C""),2,FALSE),)"),"")</f>
        <v/>
      </c>
      <c r="E485" s="70" t="str">
        <f>IFERROR(__xludf.DUMMYFUNCTION("IFERROR(VLOOKUP(A485,IMPORTRANGE(""1QaxxyUjrDq2kgz300C1Bq1tacFk6e-xX218cSXCQUK0"",""Form Responses 1!B:C""),2,FALSE),)"),"")</f>
        <v/>
      </c>
      <c r="F485" s="70" t="str">
        <f>IFERROR(__xludf.DUMMYFUNCTION("IFERROR(VLOOKUP(A485,IMPORTRANGE(""1fn2ECph_y8Uz78DhjLaiXcwgt6kh3oe-0Le36Uw0noE"",""Form Responses 1!B:C""),2,FALSE),)"),"")</f>
        <v/>
      </c>
      <c r="G485" s="70"/>
      <c r="H485" s="70"/>
      <c r="I485" s="70"/>
      <c r="J485" s="70"/>
      <c r="K485" s="70"/>
      <c r="L485" s="70"/>
      <c r="M485" s="70"/>
      <c r="N485" s="70"/>
      <c r="O485" s="70"/>
      <c r="P485" s="70"/>
      <c r="Q485" s="70" t="str">
        <f>IFERROR(__xludf.DUMMYFUNCTION("IFERROR(IF(COUNTIF(IMPORTRANGE(""1WjiLR_MTMxI_IZUKuvPO4Sg2rTSIqBzP3edakSRXbOA"",""Form Responses 1!B:B""),F485)&gt;0,10,),0)"),"")</f>
        <v/>
      </c>
      <c r="R485" s="70" t="str">
        <f>IFERROR(__xludf.DUMMYFUNCTION("IFERROR(VLOOKUP(F485,IMPORTRANGE(""1Ixzbal5tEbtWhozsFEppQzOYE6ZSrkNXHg_HW5k3Wt4"",""Form Responses 1!B:C""),2,FALSE),)"),"")</f>
        <v/>
      </c>
      <c r="S485" s="70" t="str">
        <f>IFERROR(__xludf.DUMMYFUNCTION("IFERROR(VLOOKUP(F485,IMPORTRANGE(""1zxjtEKGvVIJPIDqZdnxENwVpPXYa88EihzyI44hcQUo"",""Form Responses 1!B:C""),2,FALSE),)"),"")</f>
        <v/>
      </c>
      <c r="T485" s="70" t="str">
        <f>IFERROR(__xludf.DUMMYFUNCTION("IFERROR(VLOOKUP(F485,IMPORTRANGE(""1H3cO01obd5zFULYqaT5NAqecZBFFIHeDFn4CeQLZF3w"",""Form Responses 1!B:C""),2,FALSE),)"),"")</f>
        <v/>
      </c>
      <c r="U485" s="70" t="str">
        <f>IFERROR(__xludf.DUMMYFUNCTION("IFERROR(IF(COUNTIF(IMPORTRANGE(""1IG9qoa6PeLdDDFzKpW39lxXshN0-M8Z25a_R1EpsYyg"",""Form Responses 1!B:B""),F485)&gt;0,10,),0)"),"")</f>
        <v/>
      </c>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row>
    <row r="486">
      <c r="B486" s="70" t="str">
        <f>IFERROR(__xludf.DUMMYFUNCTION("IFERROR(IF(COUNTIF(IMPORTRANGE(""1RTcwEJsI_0aJRebhNwO_H_AoKl9r46k7hWYbtciIyM4"",""Form Responses 1!B:B""),A486)&gt;0,10,),0)"),"")</f>
        <v/>
      </c>
      <c r="C486" s="70" t="str">
        <f>IFERROR(__xludf.DUMMYFUNCTION("IFERROR(VLOOKUP(A486,IMPORTRANGE(""11i8IUhq_U6RRKRV3CBWIKqYed_fMvFgNUHTq1YDJfp8"",""Form Responses 1!B:C""),2,FALSE),)"),"")</f>
        <v/>
      </c>
      <c r="D486" s="70" t="str">
        <f>IFERROR(__xludf.DUMMYFUNCTION("IFERROR(VLOOKUP(A486,IMPORTRANGE(""1StiHxuxrFhYdrq5WLR2JMORicW0TbnJf3J-oTHeMRtM"",""Form Responses 1!B:C""),2,FALSE),)"),"")</f>
        <v/>
      </c>
      <c r="E486" s="70" t="str">
        <f>IFERROR(__xludf.DUMMYFUNCTION("IFERROR(VLOOKUP(A486,IMPORTRANGE(""1QaxxyUjrDq2kgz300C1Bq1tacFk6e-xX218cSXCQUK0"",""Form Responses 1!B:C""),2,FALSE),)"),"")</f>
        <v/>
      </c>
      <c r="F486" s="70" t="str">
        <f>IFERROR(__xludf.DUMMYFUNCTION("IFERROR(VLOOKUP(A486,IMPORTRANGE(""1fn2ECph_y8Uz78DhjLaiXcwgt6kh3oe-0Le36Uw0noE"",""Form Responses 1!B:C""),2,FALSE),)"),"")</f>
        <v/>
      </c>
      <c r="G486" s="70"/>
      <c r="H486" s="70"/>
      <c r="I486" s="70"/>
      <c r="J486" s="70"/>
      <c r="K486" s="70"/>
      <c r="L486" s="70"/>
      <c r="M486" s="70"/>
      <c r="N486" s="70"/>
      <c r="O486" s="70"/>
      <c r="P486" s="70"/>
      <c r="Q486" s="70" t="str">
        <f>IFERROR(__xludf.DUMMYFUNCTION("IFERROR(IF(COUNTIF(IMPORTRANGE(""1WjiLR_MTMxI_IZUKuvPO4Sg2rTSIqBzP3edakSRXbOA"",""Form Responses 1!B:B""),F486)&gt;0,10,),0)"),"")</f>
        <v/>
      </c>
      <c r="R486" s="70" t="str">
        <f>IFERROR(__xludf.DUMMYFUNCTION("IFERROR(VLOOKUP(F486,IMPORTRANGE(""1Ixzbal5tEbtWhozsFEppQzOYE6ZSrkNXHg_HW5k3Wt4"",""Form Responses 1!B:C""),2,FALSE),)"),"")</f>
        <v/>
      </c>
      <c r="S486" s="70" t="str">
        <f>IFERROR(__xludf.DUMMYFUNCTION("IFERROR(VLOOKUP(F486,IMPORTRANGE(""1zxjtEKGvVIJPIDqZdnxENwVpPXYa88EihzyI44hcQUo"",""Form Responses 1!B:C""),2,FALSE),)"),"")</f>
        <v/>
      </c>
      <c r="T486" s="70" t="str">
        <f>IFERROR(__xludf.DUMMYFUNCTION("IFERROR(VLOOKUP(F486,IMPORTRANGE(""1H3cO01obd5zFULYqaT5NAqecZBFFIHeDFn4CeQLZF3w"",""Form Responses 1!B:C""),2,FALSE),)"),"")</f>
        <v/>
      </c>
      <c r="U486" s="70" t="str">
        <f>IFERROR(__xludf.DUMMYFUNCTION("IFERROR(IF(COUNTIF(IMPORTRANGE(""1IG9qoa6PeLdDDFzKpW39lxXshN0-M8Z25a_R1EpsYyg"",""Form Responses 1!B:B""),F486)&gt;0,10,),0)"),"")</f>
        <v/>
      </c>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row>
    <row r="487">
      <c r="B487" s="70" t="str">
        <f>IFERROR(__xludf.DUMMYFUNCTION("IFERROR(IF(COUNTIF(IMPORTRANGE(""1RTcwEJsI_0aJRebhNwO_H_AoKl9r46k7hWYbtciIyM4"",""Form Responses 1!B:B""),A487)&gt;0,10,),0)"),"")</f>
        <v/>
      </c>
      <c r="C487" s="70" t="str">
        <f>IFERROR(__xludf.DUMMYFUNCTION("IFERROR(VLOOKUP(A487,IMPORTRANGE(""11i8IUhq_U6RRKRV3CBWIKqYed_fMvFgNUHTq1YDJfp8"",""Form Responses 1!B:C""),2,FALSE),)"),"")</f>
        <v/>
      </c>
      <c r="D487" s="70" t="str">
        <f>IFERROR(__xludf.DUMMYFUNCTION("IFERROR(VLOOKUP(A487,IMPORTRANGE(""1StiHxuxrFhYdrq5WLR2JMORicW0TbnJf3J-oTHeMRtM"",""Form Responses 1!B:C""),2,FALSE),)"),"")</f>
        <v/>
      </c>
      <c r="E487" s="70" t="str">
        <f>IFERROR(__xludf.DUMMYFUNCTION("IFERROR(VLOOKUP(A487,IMPORTRANGE(""1QaxxyUjrDq2kgz300C1Bq1tacFk6e-xX218cSXCQUK0"",""Form Responses 1!B:C""),2,FALSE),)"),"")</f>
        <v/>
      </c>
      <c r="F487" s="70" t="str">
        <f>IFERROR(__xludf.DUMMYFUNCTION("IFERROR(VLOOKUP(A487,IMPORTRANGE(""1fn2ECph_y8Uz78DhjLaiXcwgt6kh3oe-0Le36Uw0noE"",""Form Responses 1!B:C""),2,FALSE),)"),"")</f>
        <v/>
      </c>
      <c r="G487" s="70"/>
      <c r="H487" s="70"/>
      <c r="I487" s="70"/>
      <c r="J487" s="70"/>
      <c r="K487" s="70"/>
      <c r="L487" s="70"/>
      <c r="M487" s="70"/>
      <c r="N487" s="70"/>
      <c r="O487" s="70"/>
      <c r="P487" s="70"/>
      <c r="Q487" s="70" t="str">
        <f>IFERROR(__xludf.DUMMYFUNCTION("IFERROR(IF(COUNTIF(IMPORTRANGE(""1WjiLR_MTMxI_IZUKuvPO4Sg2rTSIqBzP3edakSRXbOA"",""Form Responses 1!B:B""),F487)&gt;0,10,),0)"),"")</f>
        <v/>
      </c>
      <c r="R487" s="70" t="str">
        <f>IFERROR(__xludf.DUMMYFUNCTION("IFERROR(VLOOKUP(F487,IMPORTRANGE(""1Ixzbal5tEbtWhozsFEppQzOYE6ZSrkNXHg_HW5k3Wt4"",""Form Responses 1!B:C""),2,FALSE),)"),"")</f>
        <v/>
      </c>
      <c r="S487" s="70" t="str">
        <f>IFERROR(__xludf.DUMMYFUNCTION("IFERROR(VLOOKUP(F487,IMPORTRANGE(""1zxjtEKGvVIJPIDqZdnxENwVpPXYa88EihzyI44hcQUo"",""Form Responses 1!B:C""),2,FALSE),)"),"")</f>
        <v/>
      </c>
      <c r="T487" s="70" t="str">
        <f>IFERROR(__xludf.DUMMYFUNCTION("IFERROR(VLOOKUP(F487,IMPORTRANGE(""1H3cO01obd5zFULYqaT5NAqecZBFFIHeDFn4CeQLZF3w"",""Form Responses 1!B:C""),2,FALSE),)"),"")</f>
        <v/>
      </c>
      <c r="U487" s="70" t="str">
        <f>IFERROR(__xludf.DUMMYFUNCTION("IFERROR(IF(COUNTIF(IMPORTRANGE(""1IG9qoa6PeLdDDFzKpW39lxXshN0-M8Z25a_R1EpsYyg"",""Form Responses 1!B:B""),F487)&gt;0,10,),0)"),"")</f>
        <v/>
      </c>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row>
    <row r="488">
      <c r="B488" s="70" t="str">
        <f>IFERROR(__xludf.DUMMYFUNCTION("IFERROR(IF(COUNTIF(IMPORTRANGE(""1RTcwEJsI_0aJRebhNwO_H_AoKl9r46k7hWYbtciIyM4"",""Form Responses 1!B:B""),A488)&gt;0,10,),0)"),"")</f>
        <v/>
      </c>
      <c r="C488" s="70" t="str">
        <f>IFERROR(__xludf.DUMMYFUNCTION("IFERROR(VLOOKUP(A488,IMPORTRANGE(""11i8IUhq_U6RRKRV3CBWIKqYed_fMvFgNUHTq1YDJfp8"",""Form Responses 1!B:C""),2,FALSE),)"),"")</f>
        <v/>
      </c>
      <c r="D488" s="70" t="str">
        <f>IFERROR(__xludf.DUMMYFUNCTION("IFERROR(VLOOKUP(A488,IMPORTRANGE(""1StiHxuxrFhYdrq5WLR2JMORicW0TbnJf3J-oTHeMRtM"",""Form Responses 1!B:C""),2,FALSE),)"),"")</f>
        <v/>
      </c>
      <c r="E488" s="70" t="str">
        <f>IFERROR(__xludf.DUMMYFUNCTION("IFERROR(VLOOKUP(A488,IMPORTRANGE(""1QaxxyUjrDq2kgz300C1Bq1tacFk6e-xX218cSXCQUK0"",""Form Responses 1!B:C""),2,FALSE),)"),"")</f>
        <v/>
      </c>
      <c r="F488" s="70" t="str">
        <f>IFERROR(__xludf.DUMMYFUNCTION("IFERROR(VLOOKUP(A488,IMPORTRANGE(""1fn2ECph_y8Uz78DhjLaiXcwgt6kh3oe-0Le36Uw0noE"",""Form Responses 1!B:C""),2,FALSE),)"),"")</f>
        <v/>
      </c>
      <c r="G488" s="70"/>
      <c r="H488" s="70"/>
      <c r="I488" s="70"/>
      <c r="J488" s="70"/>
      <c r="K488" s="70"/>
      <c r="L488" s="70"/>
      <c r="M488" s="70"/>
      <c r="N488" s="70"/>
      <c r="O488" s="70"/>
      <c r="P488" s="70"/>
      <c r="Q488" s="70" t="str">
        <f>IFERROR(__xludf.DUMMYFUNCTION("IFERROR(IF(COUNTIF(IMPORTRANGE(""1WjiLR_MTMxI_IZUKuvPO4Sg2rTSIqBzP3edakSRXbOA"",""Form Responses 1!B:B""),F488)&gt;0,10,),0)"),"")</f>
        <v/>
      </c>
      <c r="R488" s="70" t="str">
        <f>IFERROR(__xludf.DUMMYFUNCTION("IFERROR(VLOOKUP(F488,IMPORTRANGE(""1Ixzbal5tEbtWhozsFEppQzOYE6ZSrkNXHg_HW5k3Wt4"",""Form Responses 1!B:C""),2,FALSE),)"),"")</f>
        <v/>
      </c>
      <c r="S488" s="70" t="str">
        <f>IFERROR(__xludf.DUMMYFUNCTION("IFERROR(VLOOKUP(F488,IMPORTRANGE(""1zxjtEKGvVIJPIDqZdnxENwVpPXYa88EihzyI44hcQUo"",""Form Responses 1!B:C""),2,FALSE),)"),"")</f>
        <v/>
      </c>
      <c r="T488" s="70" t="str">
        <f>IFERROR(__xludf.DUMMYFUNCTION("IFERROR(VLOOKUP(F488,IMPORTRANGE(""1H3cO01obd5zFULYqaT5NAqecZBFFIHeDFn4CeQLZF3w"",""Form Responses 1!B:C""),2,FALSE),)"),"")</f>
        <v/>
      </c>
      <c r="U488" s="70" t="str">
        <f>IFERROR(__xludf.DUMMYFUNCTION("IFERROR(IF(COUNTIF(IMPORTRANGE(""1IG9qoa6PeLdDDFzKpW39lxXshN0-M8Z25a_R1EpsYyg"",""Form Responses 1!B:B""),F488)&gt;0,10,),0)"),"")</f>
        <v/>
      </c>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row>
    <row r="489">
      <c r="B489" s="70" t="str">
        <f>IFERROR(__xludf.DUMMYFUNCTION("IFERROR(IF(COUNTIF(IMPORTRANGE(""1RTcwEJsI_0aJRebhNwO_H_AoKl9r46k7hWYbtciIyM4"",""Form Responses 1!B:B""),A489)&gt;0,10,),0)"),"")</f>
        <v/>
      </c>
      <c r="C489" s="70" t="str">
        <f>IFERROR(__xludf.DUMMYFUNCTION("IFERROR(VLOOKUP(A489,IMPORTRANGE(""11i8IUhq_U6RRKRV3CBWIKqYed_fMvFgNUHTq1YDJfp8"",""Form Responses 1!B:C""),2,FALSE),)"),"")</f>
        <v/>
      </c>
      <c r="D489" s="70" t="str">
        <f>IFERROR(__xludf.DUMMYFUNCTION("IFERROR(VLOOKUP(A489,IMPORTRANGE(""1StiHxuxrFhYdrq5WLR2JMORicW0TbnJf3J-oTHeMRtM"",""Form Responses 1!B:C""),2,FALSE),)"),"")</f>
        <v/>
      </c>
      <c r="E489" s="70" t="str">
        <f>IFERROR(__xludf.DUMMYFUNCTION("IFERROR(VLOOKUP(A489,IMPORTRANGE(""1QaxxyUjrDq2kgz300C1Bq1tacFk6e-xX218cSXCQUK0"",""Form Responses 1!B:C""),2,FALSE),)"),"")</f>
        <v/>
      </c>
      <c r="F489" s="70" t="str">
        <f>IFERROR(__xludf.DUMMYFUNCTION("IFERROR(VLOOKUP(A489,IMPORTRANGE(""1fn2ECph_y8Uz78DhjLaiXcwgt6kh3oe-0Le36Uw0noE"",""Form Responses 1!B:C""),2,FALSE),)"),"")</f>
        <v/>
      </c>
      <c r="G489" s="70"/>
      <c r="H489" s="70"/>
      <c r="I489" s="70"/>
      <c r="J489" s="70"/>
      <c r="K489" s="70"/>
      <c r="L489" s="70"/>
      <c r="M489" s="70"/>
      <c r="N489" s="70"/>
      <c r="O489" s="70"/>
      <c r="P489" s="70"/>
      <c r="Q489" s="70" t="str">
        <f>IFERROR(__xludf.DUMMYFUNCTION("IFERROR(IF(COUNTIF(IMPORTRANGE(""1WjiLR_MTMxI_IZUKuvPO4Sg2rTSIqBzP3edakSRXbOA"",""Form Responses 1!B:B""),F489)&gt;0,10,),0)"),"")</f>
        <v/>
      </c>
      <c r="R489" s="70" t="str">
        <f>IFERROR(__xludf.DUMMYFUNCTION("IFERROR(VLOOKUP(F489,IMPORTRANGE(""1Ixzbal5tEbtWhozsFEppQzOYE6ZSrkNXHg_HW5k3Wt4"",""Form Responses 1!B:C""),2,FALSE),)"),"")</f>
        <v/>
      </c>
      <c r="S489" s="70" t="str">
        <f>IFERROR(__xludf.DUMMYFUNCTION("IFERROR(VLOOKUP(F489,IMPORTRANGE(""1zxjtEKGvVIJPIDqZdnxENwVpPXYa88EihzyI44hcQUo"",""Form Responses 1!B:C""),2,FALSE),)"),"")</f>
        <v/>
      </c>
      <c r="T489" s="70" t="str">
        <f>IFERROR(__xludf.DUMMYFUNCTION("IFERROR(VLOOKUP(F489,IMPORTRANGE(""1H3cO01obd5zFULYqaT5NAqecZBFFIHeDFn4CeQLZF3w"",""Form Responses 1!B:C""),2,FALSE),)"),"")</f>
        <v/>
      </c>
      <c r="U489" s="70" t="str">
        <f>IFERROR(__xludf.DUMMYFUNCTION("IFERROR(IF(COUNTIF(IMPORTRANGE(""1IG9qoa6PeLdDDFzKpW39lxXshN0-M8Z25a_R1EpsYyg"",""Form Responses 1!B:B""),F489)&gt;0,10,),0)"),"")</f>
        <v/>
      </c>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row>
    <row r="490">
      <c r="B490" s="70" t="str">
        <f>IFERROR(__xludf.DUMMYFUNCTION("IFERROR(IF(COUNTIF(IMPORTRANGE(""1RTcwEJsI_0aJRebhNwO_H_AoKl9r46k7hWYbtciIyM4"",""Form Responses 1!B:B""),A490)&gt;0,10,),0)"),"")</f>
        <v/>
      </c>
      <c r="C490" s="70" t="str">
        <f>IFERROR(__xludf.DUMMYFUNCTION("IFERROR(VLOOKUP(A490,IMPORTRANGE(""11i8IUhq_U6RRKRV3CBWIKqYed_fMvFgNUHTq1YDJfp8"",""Form Responses 1!B:C""),2,FALSE),)"),"")</f>
        <v/>
      </c>
      <c r="D490" s="70" t="str">
        <f>IFERROR(__xludf.DUMMYFUNCTION("IFERROR(VLOOKUP(A490,IMPORTRANGE(""1StiHxuxrFhYdrq5WLR2JMORicW0TbnJf3J-oTHeMRtM"",""Form Responses 1!B:C""),2,FALSE),)"),"")</f>
        <v/>
      </c>
      <c r="E490" s="70" t="str">
        <f>IFERROR(__xludf.DUMMYFUNCTION("IFERROR(VLOOKUP(A490,IMPORTRANGE(""1QaxxyUjrDq2kgz300C1Bq1tacFk6e-xX218cSXCQUK0"",""Form Responses 1!B:C""),2,FALSE),)"),"")</f>
        <v/>
      </c>
      <c r="F490" s="70" t="str">
        <f>IFERROR(__xludf.DUMMYFUNCTION("IFERROR(VLOOKUP(A490,IMPORTRANGE(""1fn2ECph_y8Uz78DhjLaiXcwgt6kh3oe-0Le36Uw0noE"",""Form Responses 1!B:C""),2,FALSE),)"),"")</f>
        <v/>
      </c>
      <c r="G490" s="70"/>
      <c r="H490" s="70"/>
      <c r="I490" s="70"/>
      <c r="J490" s="70"/>
      <c r="K490" s="70"/>
      <c r="L490" s="70"/>
      <c r="M490" s="70"/>
      <c r="N490" s="70"/>
      <c r="O490" s="70"/>
      <c r="P490" s="70"/>
      <c r="Q490" s="70" t="str">
        <f>IFERROR(__xludf.DUMMYFUNCTION("IFERROR(IF(COUNTIF(IMPORTRANGE(""1WjiLR_MTMxI_IZUKuvPO4Sg2rTSIqBzP3edakSRXbOA"",""Form Responses 1!B:B""),F490)&gt;0,10,),0)"),"")</f>
        <v/>
      </c>
      <c r="R490" s="70" t="str">
        <f>IFERROR(__xludf.DUMMYFUNCTION("IFERROR(VLOOKUP(F490,IMPORTRANGE(""1Ixzbal5tEbtWhozsFEppQzOYE6ZSrkNXHg_HW5k3Wt4"",""Form Responses 1!B:C""),2,FALSE),)"),"")</f>
        <v/>
      </c>
      <c r="S490" s="70" t="str">
        <f>IFERROR(__xludf.DUMMYFUNCTION("IFERROR(VLOOKUP(F490,IMPORTRANGE(""1zxjtEKGvVIJPIDqZdnxENwVpPXYa88EihzyI44hcQUo"",""Form Responses 1!B:C""),2,FALSE),)"),"")</f>
        <v/>
      </c>
      <c r="T490" s="70" t="str">
        <f>IFERROR(__xludf.DUMMYFUNCTION("IFERROR(VLOOKUP(F490,IMPORTRANGE(""1H3cO01obd5zFULYqaT5NAqecZBFFIHeDFn4CeQLZF3w"",""Form Responses 1!B:C""),2,FALSE),)"),"")</f>
        <v/>
      </c>
      <c r="U490" s="70" t="str">
        <f>IFERROR(__xludf.DUMMYFUNCTION("IFERROR(IF(COUNTIF(IMPORTRANGE(""1IG9qoa6PeLdDDFzKpW39lxXshN0-M8Z25a_R1EpsYyg"",""Form Responses 1!B:B""),F490)&gt;0,10,),0)"),"")</f>
        <v/>
      </c>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row>
    <row r="491">
      <c r="B491" s="70" t="str">
        <f>IFERROR(__xludf.DUMMYFUNCTION("IFERROR(IF(COUNTIF(IMPORTRANGE(""1RTcwEJsI_0aJRebhNwO_H_AoKl9r46k7hWYbtciIyM4"",""Form Responses 1!B:B""),A491)&gt;0,10,),0)"),"")</f>
        <v/>
      </c>
      <c r="C491" s="70" t="str">
        <f>IFERROR(__xludf.DUMMYFUNCTION("IFERROR(VLOOKUP(A491,IMPORTRANGE(""11i8IUhq_U6RRKRV3CBWIKqYed_fMvFgNUHTq1YDJfp8"",""Form Responses 1!B:C""),2,FALSE),)"),"")</f>
        <v/>
      </c>
      <c r="D491" s="70" t="str">
        <f>IFERROR(__xludf.DUMMYFUNCTION("IFERROR(VLOOKUP(A491,IMPORTRANGE(""1StiHxuxrFhYdrq5WLR2JMORicW0TbnJf3J-oTHeMRtM"",""Form Responses 1!B:C""),2,FALSE),)"),"")</f>
        <v/>
      </c>
      <c r="E491" s="70" t="str">
        <f>IFERROR(__xludf.DUMMYFUNCTION("IFERROR(VLOOKUP(A491,IMPORTRANGE(""1QaxxyUjrDq2kgz300C1Bq1tacFk6e-xX218cSXCQUK0"",""Form Responses 1!B:C""),2,FALSE),)"),"")</f>
        <v/>
      </c>
      <c r="F491" s="70" t="str">
        <f>IFERROR(__xludf.DUMMYFUNCTION("IFERROR(VLOOKUP(A491,IMPORTRANGE(""1fn2ECph_y8Uz78DhjLaiXcwgt6kh3oe-0Le36Uw0noE"",""Form Responses 1!B:C""),2,FALSE),)"),"")</f>
        <v/>
      </c>
      <c r="G491" s="70"/>
      <c r="H491" s="70"/>
      <c r="I491" s="70"/>
      <c r="J491" s="70"/>
      <c r="K491" s="70"/>
      <c r="L491" s="70"/>
      <c r="M491" s="70"/>
      <c r="N491" s="70"/>
      <c r="O491" s="70"/>
      <c r="P491" s="70"/>
      <c r="Q491" s="70" t="str">
        <f>IFERROR(__xludf.DUMMYFUNCTION("IFERROR(IF(COUNTIF(IMPORTRANGE(""1WjiLR_MTMxI_IZUKuvPO4Sg2rTSIqBzP3edakSRXbOA"",""Form Responses 1!B:B""),F491)&gt;0,10,),0)"),"")</f>
        <v/>
      </c>
      <c r="R491" s="70" t="str">
        <f>IFERROR(__xludf.DUMMYFUNCTION("IFERROR(VLOOKUP(F491,IMPORTRANGE(""1Ixzbal5tEbtWhozsFEppQzOYE6ZSrkNXHg_HW5k3Wt4"",""Form Responses 1!B:C""),2,FALSE),)"),"")</f>
        <v/>
      </c>
      <c r="S491" s="70" t="str">
        <f>IFERROR(__xludf.DUMMYFUNCTION("IFERROR(VLOOKUP(F491,IMPORTRANGE(""1zxjtEKGvVIJPIDqZdnxENwVpPXYa88EihzyI44hcQUo"",""Form Responses 1!B:C""),2,FALSE),)"),"")</f>
        <v/>
      </c>
      <c r="T491" s="70" t="str">
        <f>IFERROR(__xludf.DUMMYFUNCTION("IFERROR(VLOOKUP(F491,IMPORTRANGE(""1H3cO01obd5zFULYqaT5NAqecZBFFIHeDFn4CeQLZF3w"",""Form Responses 1!B:C""),2,FALSE),)"),"")</f>
        <v/>
      </c>
      <c r="U491" s="70" t="str">
        <f>IFERROR(__xludf.DUMMYFUNCTION("IFERROR(IF(COUNTIF(IMPORTRANGE(""1IG9qoa6PeLdDDFzKpW39lxXshN0-M8Z25a_R1EpsYyg"",""Form Responses 1!B:B""),F491)&gt;0,10,),0)"),"")</f>
        <v/>
      </c>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row>
    <row r="492">
      <c r="B492" s="70" t="str">
        <f>IFERROR(__xludf.DUMMYFUNCTION("IFERROR(IF(COUNTIF(IMPORTRANGE(""1RTcwEJsI_0aJRebhNwO_H_AoKl9r46k7hWYbtciIyM4"",""Form Responses 1!B:B""),A492)&gt;0,10,),0)"),"")</f>
        <v/>
      </c>
      <c r="C492" s="70" t="str">
        <f>IFERROR(__xludf.DUMMYFUNCTION("IFERROR(VLOOKUP(A492,IMPORTRANGE(""11i8IUhq_U6RRKRV3CBWIKqYed_fMvFgNUHTq1YDJfp8"",""Form Responses 1!B:C""),2,FALSE),)"),"")</f>
        <v/>
      </c>
      <c r="D492" s="70" t="str">
        <f>IFERROR(__xludf.DUMMYFUNCTION("IFERROR(VLOOKUP(A492,IMPORTRANGE(""1StiHxuxrFhYdrq5WLR2JMORicW0TbnJf3J-oTHeMRtM"",""Form Responses 1!B:C""),2,FALSE),)"),"")</f>
        <v/>
      </c>
      <c r="E492" s="70" t="str">
        <f>IFERROR(__xludf.DUMMYFUNCTION("IFERROR(VLOOKUP(A492,IMPORTRANGE(""1QaxxyUjrDq2kgz300C1Bq1tacFk6e-xX218cSXCQUK0"",""Form Responses 1!B:C""),2,FALSE),)"),"")</f>
        <v/>
      </c>
      <c r="F492" s="70" t="str">
        <f>IFERROR(__xludf.DUMMYFUNCTION("IFERROR(VLOOKUP(A492,IMPORTRANGE(""1fn2ECph_y8Uz78DhjLaiXcwgt6kh3oe-0Le36Uw0noE"",""Form Responses 1!B:C""),2,FALSE),)"),"")</f>
        <v/>
      </c>
      <c r="G492" s="70"/>
      <c r="H492" s="70"/>
      <c r="I492" s="70"/>
      <c r="J492" s="70"/>
      <c r="K492" s="70"/>
      <c r="L492" s="70"/>
      <c r="M492" s="70"/>
      <c r="N492" s="70"/>
      <c r="O492" s="70"/>
      <c r="P492" s="70"/>
      <c r="Q492" s="70" t="str">
        <f>IFERROR(__xludf.DUMMYFUNCTION("IFERROR(IF(COUNTIF(IMPORTRANGE(""1WjiLR_MTMxI_IZUKuvPO4Sg2rTSIqBzP3edakSRXbOA"",""Form Responses 1!B:B""),F492)&gt;0,10,),0)"),"")</f>
        <v/>
      </c>
      <c r="R492" s="70" t="str">
        <f>IFERROR(__xludf.DUMMYFUNCTION("IFERROR(VLOOKUP(F492,IMPORTRANGE(""1Ixzbal5tEbtWhozsFEppQzOYE6ZSrkNXHg_HW5k3Wt4"",""Form Responses 1!B:C""),2,FALSE),)"),"")</f>
        <v/>
      </c>
      <c r="S492" s="70" t="str">
        <f>IFERROR(__xludf.DUMMYFUNCTION("IFERROR(VLOOKUP(F492,IMPORTRANGE(""1zxjtEKGvVIJPIDqZdnxENwVpPXYa88EihzyI44hcQUo"",""Form Responses 1!B:C""),2,FALSE),)"),"")</f>
        <v/>
      </c>
      <c r="T492" s="70" t="str">
        <f>IFERROR(__xludf.DUMMYFUNCTION("IFERROR(VLOOKUP(F492,IMPORTRANGE(""1H3cO01obd5zFULYqaT5NAqecZBFFIHeDFn4CeQLZF3w"",""Form Responses 1!B:C""),2,FALSE),)"),"")</f>
        <v/>
      </c>
      <c r="U492" s="70" t="str">
        <f>IFERROR(__xludf.DUMMYFUNCTION("IFERROR(IF(COUNTIF(IMPORTRANGE(""1IG9qoa6PeLdDDFzKpW39lxXshN0-M8Z25a_R1EpsYyg"",""Form Responses 1!B:B""),F492)&gt;0,10,),0)"),"")</f>
        <v/>
      </c>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row>
    <row r="493">
      <c r="B493" s="70" t="str">
        <f>IFERROR(__xludf.DUMMYFUNCTION("IFERROR(IF(COUNTIF(IMPORTRANGE(""1RTcwEJsI_0aJRebhNwO_H_AoKl9r46k7hWYbtciIyM4"",""Form Responses 1!B:B""),A493)&gt;0,10,),0)"),"")</f>
        <v/>
      </c>
      <c r="C493" s="70" t="str">
        <f>IFERROR(__xludf.DUMMYFUNCTION("IFERROR(VLOOKUP(A493,IMPORTRANGE(""11i8IUhq_U6RRKRV3CBWIKqYed_fMvFgNUHTq1YDJfp8"",""Form Responses 1!B:C""),2,FALSE),)"),"")</f>
        <v/>
      </c>
      <c r="D493" s="70" t="str">
        <f>IFERROR(__xludf.DUMMYFUNCTION("IFERROR(VLOOKUP(A493,IMPORTRANGE(""1StiHxuxrFhYdrq5WLR2JMORicW0TbnJf3J-oTHeMRtM"",""Form Responses 1!B:C""),2,FALSE),)"),"")</f>
        <v/>
      </c>
      <c r="E493" s="70" t="str">
        <f>IFERROR(__xludf.DUMMYFUNCTION("IFERROR(VLOOKUP(A493,IMPORTRANGE(""1QaxxyUjrDq2kgz300C1Bq1tacFk6e-xX218cSXCQUK0"",""Form Responses 1!B:C""),2,FALSE),)"),"")</f>
        <v/>
      </c>
      <c r="F493" s="70" t="str">
        <f>IFERROR(__xludf.DUMMYFUNCTION("IFERROR(VLOOKUP(A493,IMPORTRANGE(""1fn2ECph_y8Uz78DhjLaiXcwgt6kh3oe-0Le36Uw0noE"",""Form Responses 1!B:C""),2,FALSE),)"),"")</f>
        <v/>
      </c>
      <c r="G493" s="70"/>
      <c r="H493" s="70"/>
      <c r="I493" s="70"/>
      <c r="J493" s="70"/>
      <c r="K493" s="70"/>
      <c r="L493" s="70"/>
      <c r="M493" s="70"/>
      <c r="N493" s="70"/>
      <c r="O493" s="70"/>
      <c r="P493" s="70"/>
      <c r="Q493" s="70" t="str">
        <f>IFERROR(__xludf.DUMMYFUNCTION("IFERROR(IF(COUNTIF(IMPORTRANGE(""1WjiLR_MTMxI_IZUKuvPO4Sg2rTSIqBzP3edakSRXbOA"",""Form Responses 1!B:B""),F493)&gt;0,10,),0)"),"")</f>
        <v/>
      </c>
      <c r="R493" s="70" t="str">
        <f>IFERROR(__xludf.DUMMYFUNCTION("IFERROR(VLOOKUP(F493,IMPORTRANGE(""1Ixzbal5tEbtWhozsFEppQzOYE6ZSrkNXHg_HW5k3Wt4"",""Form Responses 1!B:C""),2,FALSE),)"),"")</f>
        <v/>
      </c>
      <c r="S493" s="70" t="str">
        <f>IFERROR(__xludf.DUMMYFUNCTION("IFERROR(VLOOKUP(F493,IMPORTRANGE(""1zxjtEKGvVIJPIDqZdnxENwVpPXYa88EihzyI44hcQUo"",""Form Responses 1!B:C""),2,FALSE),)"),"")</f>
        <v/>
      </c>
      <c r="T493" s="70" t="str">
        <f>IFERROR(__xludf.DUMMYFUNCTION("IFERROR(VLOOKUP(F493,IMPORTRANGE(""1H3cO01obd5zFULYqaT5NAqecZBFFIHeDFn4CeQLZF3w"",""Form Responses 1!B:C""),2,FALSE),)"),"")</f>
        <v/>
      </c>
      <c r="U493" s="70" t="str">
        <f>IFERROR(__xludf.DUMMYFUNCTION("IFERROR(IF(COUNTIF(IMPORTRANGE(""1IG9qoa6PeLdDDFzKpW39lxXshN0-M8Z25a_R1EpsYyg"",""Form Responses 1!B:B""),F493)&gt;0,10,),0)"),"")</f>
        <v/>
      </c>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row>
    <row r="494">
      <c r="B494" s="70" t="str">
        <f>IFERROR(__xludf.DUMMYFUNCTION("IFERROR(IF(COUNTIF(IMPORTRANGE(""1RTcwEJsI_0aJRebhNwO_H_AoKl9r46k7hWYbtciIyM4"",""Form Responses 1!B:B""),A494)&gt;0,10,),0)"),"")</f>
        <v/>
      </c>
      <c r="C494" s="70" t="str">
        <f>IFERROR(__xludf.DUMMYFUNCTION("IFERROR(VLOOKUP(A494,IMPORTRANGE(""11i8IUhq_U6RRKRV3CBWIKqYed_fMvFgNUHTq1YDJfp8"",""Form Responses 1!B:C""),2,FALSE),)"),"")</f>
        <v/>
      </c>
      <c r="D494" s="70" t="str">
        <f>IFERROR(__xludf.DUMMYFUNCTION("IFERROR(VLOOKUP(A494,IMPORTRANGE(""1StiHxuxrFhYdrq5WLR2JMORicW0TbnJf3J-oTHeMRtM"",""Form Responses 1!B:C""),2,FALSE),)"),"")</f>
        <v/>
      </c>
      <c r="E494" s="70" t="str">
        <f>IFERROR(__xludf.DUMMYFUNCTION("IFERROR(VLOOKUP(A494,IMPORTRANGE(""1QaxxyUjrDq2kgz300C1Bq1tacFk6e-xX218cSXCQUK0"",""Form Responses 1!B:C""),2,FALSE),)"),"")</f>
        <v/>
      </c>
      <c r="F494" s="70" t="str">
        <f>IFERROR(__xludf.DUMMYFUNCTION("IFERROR(VLOOKUP(A494,IMPORTRANGE(""1fn2ECph_y8Uz78DhjLaiXcwgt6kh3oe-0Le36Uw0noE"",""Form Responses 1!B:C""),2,FALSE),)"),"")</f>
        <v/>
      </c>
      <c r="G494" s="70"/>
      <c r="H494" s="70"/>
      <c r="I494" s="70"/>
      <c r="J494" s="70"/>
      <c r="K494" s="70"/>
      <c r="L494" s="70"/>
      <c r="M494" s="70"/>
      <c r="N494" s="70"/>
      <c r="O494" s="70"/>
      <c r="P494" s="70"/>
      <c r="Q494" s="70" t="str">
        <f>IFERROR(__xludf.DUMMYFUNCTION("IFERROR(IF(COUNTIF(IMPORTRANGE(""1WjiLR_MTMxI_IZUKuvPO4Sg2rTSIqBzP3edakSRXbOA"",""Form Responses 1!B:B""),F494)&gt;0,10,),0)"),"")</f>
        <v/>
      </c>
      <c r="R494" s="70" t="str">
        <f>IFERROR(__xludf.DUMMYFUNCTION("IFERROR(VLOOKUP(F494,IMPORTRANGE(""1Ixzbal5tEbtWhozsFEppQzOYE6ZSrkNXHg_HW5k3Wt4"",""Form Responses 1!B:C""),2,FALSE),)"),"")</f>
        <v/>
      </c>
      <c r="S494" s="70" t="str">
        <f>IFERROR(__xludf.DUMMYFUNCTION("IFERROR(VLOOKUP(F494,IMPORTRANGE(""1zxjtEKGvVIJPIDqZdnxENwVpPXYa88EihzyI44hcQUo"",""Form Responses 1!B:C""),2,FALSE),)"),"")</f>
        <v/>
      </c>
      <c r="T494" s="70" t="str">
        <f>IFERROR(__xludf.DUMMYFUNCTION("IFERROR(VLOOKUP(F494,IMPORTRANGE(""1H3cO01obd5zFULYqaT5NAqecZBFFIHeDFn4CeQLZF3w"",""Form Responses 1!B:C""),2,FALSE),)"),"")</f>
        <v/>
      </c>
      <c r="U494" s="70" t="str">
        <f>IFERROR(__xludf.DUMMYFUNCTION("IFERROR(IF(COUNTIF(IMPORTRANGE(""1IG9qoa6PeLdDDFzKpW39lxXshN0-M8Z25a_R1EpsYyg"",""Form Responses 1!B:B""),F494)&gt;0,10,),0)"),"")</f>
        <v/>
      </c>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row>
    <row r="495">
      <c r="B495" s="70" t="str">
        <f>IFERROR(__xludf.DUMMYFUNCTION("IFERROR(IF(COUNTIF(IMPORTRANGE(""1RTcwEJsI_0aJRebhNwO_H_AoKl9r46k7hWYbtciIyM4"",""Form Responses 1!B:B""),A495)&gt;0,10,),0)"),"")</f>
        <v/>
      </c>
      <c r="C495" s="70" t="str">
        <f>IFERROR(__xludf.DUMMYFUNCTION("IFERROR(VLOOKUP(A495,IMPORTRANGE(""11i8IUhq_U6RRKRV3CBWIKqYed_fMvFgNUHTq1YDJfp8"",""Form Responses 1!B:C""),2,FALSE),)"),"")</f>
        <v/>
      </c>
      <c r="D495" s="70" t="str">
        <f>IFERROR(__xludf.DUMMYFUNCTION("IFERROR(VLOOKUP(A495,IMPORTRANGE(""1StiHxuxrFhYdrq5WLR2JMORicW0TbnJf3J-oTHeMRtM"",""Form Responses 1!B:C""),2,FALSE),)"),"")</f>
        <v/>
      </c>
      <c r="E495" s="70" t="str">
        <f>IFERROR(__xludf.DUMMYFUNCTION("IFERROR(VLOOKUP(A495,IMPORTRANGE(""1QaxxyUjrDq2kgz300C1Bq1tacFk6e-xX218cSXCQUK0"",""Form Responses 1!B:C""),2,FALSE),)"),"")</f>
        <v/>
      </c>
      <c r="F495" s="70" t="str">
        <f>IFERROR(__xludf.DUMMYFUNCTION("IFERROR(VLOOKUP(A495,IMPORTRANGE(""1fn2ECph_y8Uz78DhjLaiXcwgt6kh3oe-0Le36Uw0noE"",""Form Responses 1!B:C""),2,FALSE),)"),"")</f>
        <v/>
      </c>
      <c r="G495" s="70"/>
      <c r="H495" s="70"/>
      <c r="I495" s="70"/>
      <c r="J495" s="70"/>
      <c r="K495" s="70"/>
      <c r="L495" s="70"/>
      <c r="M495" s="70"/>
      <c r="N495" s="70"/>
      <c r="O495" s="70"/>
      <c r="P495" s="70"/>
      <c r="Q495" s="70" t="str">
        <f>IFERROR(__xludf.DUMMYFUNCTION("IFERROR(IF(COUNTIF(IMPORTRANGE(""1WjiLR_MTMxI_IZUKuvPO4Sg2rTSIqBzP3edakSRXbOA"",""Form Responses 1!B:B""),F495)&gt;0,10,),0)"),"")</f>
        <v/>
      </c>
      <c r="R495" s="70" t="str">
        <f>IFERROR(__xludf.DUMMYFUNCTION("IFERROR(VLOOKUP(F495,IMPORTRANGE(""1Ixzbal5tEbtWhozsFEppQzOYE6ZSrkNXHg_HW5k3Wt4"",""Form Responses 1!B:C""),2,FALSE),)"),"")</f>
        <v/>
      </c>
      <c r="S495" s="70" t="str">
        <f>IFERROR(__xludf.DUMMYFUNCTION("IFERROR(VLOOKUP(F495,IMPORTRANGE(""1zxjtEKGvVIJPIDqZdnxENwVpPXYa88EihzyI44hcQUo"",""Form Responses 1!B:C""),2,FALSE),)"),"")</f>
        <v/>
      </c>
      <c r="T495" s="70" t="str">
        <f>IFERROR(__xludf.DUMMYFUNCTION("IFERROR(VLOOKUP(F495,IMPORTRANGE(""1H3cO01obd5zFULYqaT5NAqecZBFFIHeDFn4CeQLZF3w"",""Form Responses 1!B:C""),2,FALSE),)"),"")</f>
        <v/>
      </c>
      <c r="U495" s="70" t="str">
        <f>IFERROR(__xludf.DUMMYFUNCTION("IFERROR(IF(COUNTIF(IMPORTRANGE(""1IG9qoa6PeLdDDFzKpW39lxXshN0-M8Z25a_R1EpsYyg"",""Form Responses 1!B:B""),F495)&gt;0,10,),0)"),"")</f>
        <v/>
      </c>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row>
    <row r="496">
      <c r="B496" s="70" t="str">
        <f>IFERROR(__xludf.DUMMYFUNCTION("IFERROR(IF(COUNTIF(IMPORTRANGE(""1RTcwEJsI_0aJRebhNwO_H_AoKl9r46k7hWYbtciIyM4"",""Form Responses 1!B:B""),A496)&gt;0,10,),0)"),"")</f>
        <v/>
      </c>
      <c r="C496" s="70" t="str">
        <f>IFERROR(__xludf.DUMMYFUNCTION("IFERROR(VLOOKUP(A496,IMPORTRANGE(""11i8IUhq_U6RRKRV3CBWIKqYed_fMvFgNUHTq1YDJfp8"",""Form Responses 1!B:C""),2,FALSE),)"),"")</f>
        <v/>
      </c>
      <c r="D496" s="70" t="str">
        <f>IFERROR(__xludf.DUMMYFUNCTION("IFERROR(VLOOKUP(A496,IMPORTRANGE(""1StiHxuxrFhYdrq5WLR2JMORicW0TbnJf3J-oTHeMRtM"",""Form Responses 1!B:C""),2,FALSE),)"),"")</f>
        <v/>
      </c>
      <c r="E496" s="70" t="str">
        <f>IFERROR(__xludf.DUMMYFUNCTION("IFERROR(VLOOKUP(A496,IMPORTRANGE(""1QaxxyUjrDq2kgz300C1Bq1tacFk6e-xX218cSXCQUK0"",""Form Responses 1!B:C""),2,FALSE),)"),"")</f>
        <v/>
      </c>
      <c r="F496" s="70" t="str">
        <f>IFERROR(__xludf.DUMMYFUNCTION("IFERROR(VLOOKUP(A496,IMPORTRANGE(""1fn2ECph_y8Uz78DhjLaiXcwgt6kh3oe-0Le36Uw0noE"",""Form Responses 1!B:C""),2,FALSE),)"),"")</f>
        <v/>
      </c>
      <c r="G496" s="70"/>
      <c r="H496" s="70"/>
      <c r="I496" s="70"/>
      <c r="J496" s="70"/>
      <c r="K496" s="70"/>
      <c r="L496" s="70"/>
      <c r="M496" s="70"/>
      <c r="N496" s="70"/>
      <c r="O496" s="70"/>
      <c r="P496" s="70"/>
      <c r="Q496" s="70" t="str">
        <f>IFERROR(__xludf.DUMMYFUNCTION("IFERROR(IF(COUNTIF(IMPORTRANGE(""1WjiLR_MTMxI_IZUKuvPO4Sg2rTSIqBzP3edakSRXbOA"",""Form Responses 1!B:B""),F496)&gt;0,10,),0)"),"")</f>
        <v/>
      </c>
      <c r="R496" s="70" t="str">
        <f>IFERROR(__xludf.DUMMYFUNCTION("IFERROR(VLOOKUP(F496,IMPORTRANGE(""1Ixzbal5tEbtWhozsFEppQzOYE6ZSrkNXHg_HW5k3Wt4"",""Form Responses 1!B:C""),2,FALSE),)"),"")</f>
        <v/>
      </c>
      <c r="S496" s="70" t="str">
        <f>IFERROR(__xludf.DUMMYFUNCTION("IFERROR(VLOOKUP(F496,IMPORTRANGE(""1zxjtEKGvVIJPIDqZdnxENwVpPXYa88EihzyI44hcQUo"",""Form Responses 1!B:C""),2,FALSE),)"),"")</f>
        <v/>
      </c>
      <c r="T496" s="70" t="str">
        <f>IFERROR(__xludf.DUMMYFUNCTION("IFERROR(VLOOKUP(F496,IMPORTRANGE(""1H3cO01obd5zFULYqaT5NAqecZBFFIHeDFn4CeQLZF3w"",""Form Responses 1!B:C""),2,FALSE),)"),"")</f>
        <v/>
      </c>
      <c r="U496" s="70" t="str">
        <f>IFERROR(__xludf.DUMMYFUNCTION("IFERROR(IF(COUNTIF(IMPORTRANGE(""1IG9qoa6PeLdDDFzKpW39lxXshN0-M8Z25a_R1EpsYyg"",""Form Responses 1!B:B""),F496)&gt;0,10,),0)"),"")</f>
        <v/>
      </c>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row>
    <row r="497">
      <c r="B497" s="70" t="str">
        <f>IFERROR(__xludf.DUMMYFUNCTION("IFERROR(IF(COUNTIF(IMPORTRANGE(""1RTcwEJsI_0aJRebhNwO_H_AoKl9r46k7hWYbtciIyM4"",""Form Responses 1!B:B""),A497)&gt;0,10,),0)"),"")</f>
        <v/>
      </c>
      <c r="C497" s="70" t="str">
        <f>IFERROR(__xludf.DUMMYFUNCTION("IFERROR(VLOOKUP(A497,IMPORTRANGE(""11i8IUhq_U6RRKRV3CBWIKqYed_fMvFgNUHTq1YDJfp8"",""Form Responses 1!B:C""),2,FALSE),)"),"")</f>
        <v/>
      </c>
      <c r="D497" s="70" t="str">
        <f>IFERROR(__xludf.DUMMYFUNCTION("IFERROR(VLOOKUP(A497,IMPORTRANGE(""1StiHxuxrFhYdrq5WLR2JMORicW0TbnJf3J-oTHeMRtM"",""Form Responses 1!B:C""),2,FALSE),)"),"")</f>
        <v/>
      </c>
      <c r="E497" s="70" t="str">
        <f>IFERROR(__xludf.DUMMYFUNCTION("IFERROR(VLOOKUP(A497,IMPORTRANGE(""1QaxxyUjrDq2kgz300C1Bq1tacFk6e-xX218cSXCQUK0"",""Form Responses 1!B:C""),2,FALSE),)"),"")</f>
        <v/>
      </c>
      <c r="F497" s="70" t="str">
        <f>IFERROR(__xludf.DUMMYFUNCTION("IFERROR(VLOOKUP(A497,IMPORTRANGE(""1fn2ECph_y8Uz78DhjLaiXcwgt6kh3oe-0Le36Uw0noE"",""Form Responses 1!B:C""),2,FALSE),)"),"")</f>
        <v/>
      </c>
      <c r="G497" s="70"/>
      <c r="H497" s="70"/>
      <c r="I497" s="70"/>
      <c r="J497" s="70"/>
      <c r="K497" s="70"/>
      <c r="L497" s="70"/>
      <c r="M497" s="70"/>
      <c r="N497" s="70"/>
      <c r="O497" s="70"/>
      <c r="P497" s="70"/>
      <c r="Q497" s="70" t="str">
        <f>IFERROR(__xludf.DUMMYFUNCTION("IFERROR(IF(COUNTIF(IMPORTRANGE(""1WjiLR_MTMxI_IZUKuvPO4Sg2rTSIqBzP3edakSRXbOA"",""Form Responses 1!B:B""),F497)&gt;0,10,),0)"),"")</f>
        <v/>
      </c>
      <c r="R497" s="70" t="str">
        <f>IFERROR(__xludf.DUMMYFUNCTION("IFERROR(VLOOKUP(F497,IMPORTRANGE(""1Ixzbal5tEbtWhozsFEppQzOYE6ZSrkNXHg_HW5k3Wt4"",""Form Responses 1!B:C""),2,FALSE),)"),"")</f>
        <v/>
      </c>
      <c r="S497" s="70" t="str">
        <f>IFERROR(__xludf.DUMMYFUNCTION("IFERROR(VLOOKUP(F497,IMPORTRANGE(""1zxjtEKGvVIJPIDqZdnxENwVpPXYa88EihzyI44hcQUo"",""Form Responses 1!B:C""),2,FALSE),)"),"")</f>
        <v/>
      </c>
      <c r="T497" s="70" t="str">
        <f>IFERROR(__xludf.DUMMYFUNCTION("IFERROR(VLOOKUP(F497,IMPORTRANGE(""1H3cO01obd5zFULYqaT5NAqecZBFFIHeDFn4CeQLZF3w"",""Form Responses 1!B:C""),2,FALSE),)"),"")</f>
        <v/>
      </c>
      <c r="U497" s="70" t="str">
        <f>IFERROR(__xludf.DUMMYFUNCTION("IFERROR(IF(COUNTIF(IMPORTRANGE(""1IG9qoa6PeLdDDFzKpW39lxXshN0-M8Z25a_R1EpsYyg"",""Form Responses 1!B:B""),F497)&gt;0,10,),0)"),"")</f>
        <v/>
      </c>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row>
    <row r="498">
      <c r="B498" s="70" t="str">
        <f>IFERROR(__xludf.DUMMYFUNCTION("IFERROR(IF(COUNTIF(IMPORTRANGE(""1RTcwEJsI_0aJRebhNwO_H_AoKl9r46k7hWYbtciIyM4"",""Form Responses 1!B:B""),A498)&gt;0,10,),0)"),"")</f>
        <v/>
      </c>
      <c r="C498" s="70" t="str">
        <f>IFERROR(__xludf.DUMMYFUNCTION("IFERROR(VLOOKUP(A498,IMPORTRANGE(""11i8IUhq_U6RRKRV3CBWIKqYed_fMvFgNUHTq1YDJfp8"",""Form Responses 1!B:C""),2,FALSE),)"),"")</f>
        <v/>
      </c>
      <c r="D498" s="70" t="str">
        <f>IFERROR(__xludf.DUMMYFUNCTION("IFERROR(VLOOKUP(A498,IMPORTRANGE(""1StiHxuxrFhYdrq5WLR2JMORicW0TbnJf3J-oTHeMRtM"",""Form Responses 1!B:C""),2,FALSE),)"),"")</f>
        <v/>
      </c>
      <c r="E498" s="70" t="str">
        <f>IFERROR(__xludf.DUMMYFUNCTION("IFERROR(VLOOKUP(A498,IMPORTRANGE(""1QaxxyUjrDq2kgz300C1Bq1tacFk6e-xX218cSXCQUK0"",""Form Responses 1!B:C""),2,FALSE),)"),"")</f>
        <v/>
      </c>
      <c r="F498" s="70" t="str">
        <f>IFERROR(__xludf.DUMMYFUNCTION("IFERROR(VLOOKUP(A498,IMPORTRANGE(""1fn2ECph_y8Uz78DhjLaiXcwgt6kh3oe-0Le36Uw0noE"",""Form Responses 1!B:C""),2,FALSE),)"),"")</f>
        <v/>
      </c>
      <c r="G498" s="70"/>
      <c r="H498" s="70"/>
      <c r="I498" s="70"/>
      <c r="J498" s="70"/>
      <c r="K498" s="70"/>
      <c r="L498" s="70"/>
      <c r="M498" s="70"/>
      <c r="N498" s="70"/>
      <c r="O498" s="70"/>
      <c r="P498" s="70"/>
      <c r="Q498" s="70" t="str">
        <f>IFERROR(__xludf.DUMMYFUNCTION("IFERROR(IF(COUNTIF(IMPORTRANGE(""1WjiLR_MTMxI_IZUKuvPO4Sg2rTSIqBzP3edakSRXbOA"",""Form Responses 1!B:B""),F498)&gt;0,10,),0)"),"")</f>
        <v/>
      </c>
      <c r="R498" s="70" t="str">
        <f>IFERROR(__xludf.DUMMYFUNCTION("IFERROR(VLOOKUP(F498,IMPORTRANGE(""1Ixzbal5tEbtWhozsFEppQzOYE6ZSrkNXHg_HW5k3Wt4"",""Form Responses 1!B:C""),2,FALSE),)"),"")</f>
        <v/>
      </c>
      <c r="S498" s="70" t="str">
        <f>IFERROR(__xludf.DUMMYFUNCTION("IFERROR(VLOOKUP(F498,IMPORTRANGE(""1zxjtEKGvVIJPIDqZdnxENwVpPXYa88EihzyI44hcQUo"",""Form Responses 1!B:C""),2,FALSE),)"),"")</f>
        <v/>
      </c>
      <c r="T498" s="70" t="str">
        <f>IFERROR(__xludf.DUMMYFUNCTION("IFERROR(VLOOKUP(F498,IMPORTRANGE(""1H3cO01obd5zFULYqaT5NAqecZBFFIHeDFn4CeQLZF3w"",""Form Responses 1!B:C""),2,FALSE),)"),"")</f>
        <v/>
      </c>
      <c r="U498" s="70" t="str">
        <f>IFERROR(__xludf.DUMMYFUNCTION("IFERROR(IF(COUNTIF(IMPORTRANGE(""1IG9qoa6PeLdDDFzKpW39lxXshN0-M8Z25a_R1EpsYyg"",""Form Responses 1!B:B""),F498)&gt;0,10,),0)"),"")</f>
        <v/>
      </c>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row>
    <row r="499">
      <c r="B499" s="70" t="str">
        <f>IFERROR(__xludf.DUMMYFUNCTION("IFERROR(IF(COUNTIF(IMPORTRANGE(""1RTcwEJsI_0aJRebhNwO_H_AoKl9r46k7hWYbtciIyM4"",""Form Responses 1!B:B""),A499)&gt;0,10,),0)"),"")</f>
        <v/>
      </c>
      <c r="C499" s="70" t="str">
        <f>IFERROR(__xludf.DUMMYFUNCTION("IFERROR(VLOOKUP(A499,IMPORTRANGE(""11i8IUhq_U6RRKRV3CBWIKqYed_fMvFgNUHTq1YDJfp8"",""Form Responses 1!B:C""),2,FALSE),)"),"")</f>
        <v/>
      </c>
      <c r="D499" s="70" t="str">
        <f>IFERROR(__xludf.DUMMYFUNCTION("IFERROR(VLOOKUP(A499,IMPORTRANGE(""1StiHxuxrFhYdrq5WLR2JMORicW0TbnJf3J-oTHeMRtM"",""Form Responses 1!B:C""),2,FALSE),)"),"")</f>
        <v/>
      </c>
      <c r="E499" s="70" t="str">
        <f>IFERROR(__xludf.DUMMYFUNCTION("IFERROR(VLOOKUP(A499,IMPORTRANGE(""1QaxxyUjrDq2kgz300C1Bq1tacFk6e-xX218cSXCQUK0"",""Form Responses 1!B:C""),2,FALSE),)"),"")</f>
        <v/>
      </c>
      <c r="F499" s="70" t="str">
        <f>IFERROR(__xludf.DUMMYFUNCTION("IFERROR(VLOOKUP(A499,IMPORTRANGE(""1fn2ECph_y8Uz78DhjLaiXcwgt6kh3oe-0Le36Uw0noE"",""Form Responses 1!B:C""),2,FALSE),)"),"")</f>
        <v/>
      </c>
      <c r="G499" s="70"/>
      <c r="H499" s="70"/>
      <c r="I499" s="70"/>
      <c r="J499" s="70"/>
      <c r="K499" s="70"/>
      <c r="L499" s="70"/>
      <c r="M499" s="70"/>
      <c r="N499" s="70"/>
      <c r="O499" s="70"/>
      <c r="P499" s="70"/>
      <c r="Q499" s="70" t="str">
        <f>IFERROR(__xludf.DUMMYFUNCTION("IFERROR(IF(COUNTIF(IMPORTRANGE(""1WjiLR_MTMxI_IZUKuvPO4Sg2rTSIqBzP3edakSRXbOA"",""Form Responses 1!B:B""),F499)&gt;0,10,),0)"),"")</f>
        <v/>
      </c>
      <c r="R499" s="70" t="str">
        <f>IFERROR(__xludf.DUMMYFUNCTION("IFERROR(VLOOKUP(F499,IMPORTRANGE(""1Ixzbal5tEbtWhozsFEppQzOYE6ZSrkNXHg_HW5k3Wt4"",""Form Responses 1!B:C""),2,FALSE),)"),"")</f>
        <v/>
      </c>
      <c r="S499" s="70" t="str">
        <f>IFERROR(__xludf.DUMMYFUNCTION("IFERROR(VLOOKUP(F499,IMPORTRANGE(""1zxjtEKGvVIJPIDqZdnxENwVpPXYa88EihzyI44hcQUo"",""Form Responses 1!B:C""),2,FALSE),)"),"")</f>
        <v/>
      </c>
      <c r="T499" s="70" t="str">
        <f>IFERROR(__xludf.DUMMYFUNCTION("IFERROR(VLOOKUP(F499,IMPORTRANGE(""1H3cO01obd5zFULYqaT5NAqecZBFFIHeDFn4CeQLZF3w"",""Form Responses 1!B:C""),2,FALSE),)"),"")</f>
        <v/>
      </c>
      <c r="U499" s="70" t="str">
        <f>IFERROR(__xludf.DUMMYFUNCTION("IFERROR(IF(COUNTIF(IMPORTRANGE(""1IG9qoa6PeLdDDFzKpW39lxXshN0-M8Z25a_R1EpsYyg"",""Form Responses 1!B:B""),F499)&gt;0,10,),0)"),"")</f>
        <v/>
      </c>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row>
    <row r="500">
      <c r="B500" s="70" t="str">
        <f>IFERROR(__xludf.DUMMYFUNCTION("IFERROR(IF(COUNTIF(IMPORTRANGE(""1RTcwEJsI_0aJRebhNwO_H_AoKl9r46k7hWYbtciIyM4"",""Form Responses 1!B:B""),A500)&gt;0,10,),0)"),"")</f>
        <v/>
      </c>
      <c r="C500" s="70" t="str">
        <f>IFERROR(__xludf.DUMMYFUNCTION("IFERROR(VLOOKUP(A500,IMPORTRANGE(""11i8IUhq_U6RRKRV3CBWIKqYed_fMvFgNUHTq1YDJfp8"",""Form Responses 1!B:C""),2,FALSE),)"),"")</f>
        <v/>
      </c>
      <c r="D500" s="70" t="str">
        <f>IFERROR(__xludf.DUMMYFUNCTION("IFERROR(VLOOKUP(A500,IMPORTRANGE(""1StiHxuxrFhYdrq5WLR2JMORicW0TbnJf3J-oTHeMRtM"",""Form Responses 1!B:C""),2,FALSE),)"),"")</f>
        <v/>
      </c>
      <c r="E500" s="70" t="str">
        <f>IFERROR(__xludf.DUMMYFUNCTION("IFERROR(VLOOKUP(A500,IMPORTRANGE(""1QaxxyUjrDq2kgz300C1Bq1tacFk6e-xX218cSXCQUK0"",""Form Responses 1!B:C""),2,FALSE),)"),"")</f>
        <v/>
      </c>
      <c r="F500" s="70" t="str">
        <f>IFERROR(__xludf.DUMMYFUNCTION("IFERROR(VLOOKUP(A500,IMPORTRANGE(""1fn2ECph_y8Uz78DhjLaiXcwgt6kh3oe-0Le36Uw0noE"",""Form Responses 1!B:C""),2,FALSE),)"),"")</f>
        <v/>
      </c>
      <c r="G500" s="70"/>
      <c r="H500" s="70"/>
      <c r="I500" s="70"/>
      <c r="J500" s="70"/>
      <c r="K500" s="70"/>
      <c r="L500" s="70"/>
      <c r="M500" s="70"/>
      <c r="N500" s="70"/>
      <c r="O500" s="70"/>
      <c r="P500" s="70"/>
      <c r="Q500" s="70" t="str">
        <f>IFERROR(__xludf.DUMMYFUNCTION("IFERROR(IF(COUNTIF(IMPORTRANGE(""1WjiLR_MTMxI_IZUKuvPO4Sg2rTSIqBzP3edakSRXbOA"",""Form Responses 1!B:B""),F500)&gt;0,10,),0)"),"")</f>
        <v/>
      </c>
      <c r="R500" s="70" t="str">
        <f>IFERROR(__xludf.DUMMYFUNCTION("IFERROR(VLOOKUP(F500,IMPORTRANGE(""1Ixzbal5tEbtWhozsFEppQzOYE6ZSrkNXHg_HW5k3Wt4"",""Form Responses 1!B:C""),2,FALSE),)"),"")</f>
        <v/>
      </c>
      <c r="S500" s="70" t="str">
        <f>IFERROR(__xludf.DUMMYFUNCTION("IFERROR(VLOOKUP(F500,IMPORTRANGE(""1zxjtEKGvVIJPIDqZdnxENwVpPXYa88EihzyI44hcQUo"",""Form Responses 1!B:C""),2,FALSE),)"),"")</f>
        <v/>
      </c>
      <c r="T500" s="70" t="str">
        <f>IFERROR(__xludf.DUMMYFUNCTION("IFERROR(VLOOKUP(F500,IMPORTRANGE(""1H3cO01obd5zFULYqaT5NAqecZBFFIHeDFn4CeQLZF3w"",""Form Responses 1!B:C""),2,FALSE),)"),"")</f>
        <v/>
      </c>
      <c r="U500" s="70" t="str">
        <f>IFERROR(__xludf.DUMMYFUNCTION("IFERROR(IF(COUNTIF(IMPORTRANGE(""1IG9qoa6PeLdDDFzKpW39lxXshN0-M8Z25a_R1EpsYyg"",""Form Responses 1!B:B""),F500)&gt;0,10,),0)"),"")</f>
        <v/>
      </c>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row>
    <row r="501">
      <c r="B501" s="70" t="str">
        <f>IFERROR(__xludf.DUMMYFUNCTION("IFERROR(IF(COUNTIF(IMPORTRANGE(""1RTcwEJsI_0aJRebhNwO_H_AoKl9r46k7hWYbtciIyM4"",""Form Responses 1!B:B""),A501)&gt;0,10,),0)"),"")</f>
        <v/>
      </c>
      <c r="C501" s="70" t="str">
        <f>IFERROR(__xludf.DUMMYFUNCTION("IFERROR(VLOOKUP(A501,IMPORTRANGE(""11i8IUhq_U6RRKRV3CBWIKqYed_fMvFgNUHTq1YDJfp8"",""Form Responses 1!B:C""),2,FALSE),)"),"")</f>
        <v/>
      </c>
      <c r="D501" s="70" t="str">
        <f>IFERROR(__xludf.DUMMYFUNCTION("IFERROR(VLOOKUP(A501,IMPORTRANGE(""1StiHxuxrFhYdrq5WLR2JMORicW0TbnJf3J-oTHeMRtM"",""Form Responses 1!B:C""),2,FALSE),)"),"")</f>
        <v/>
      </c>
      <c r="E501" s="70" t="str">
        <f>IFERROR(__xludf.DUMMYFUNCTION("IFERROR(VLOOKUP(A501,IMPORTRANGE(""1QaxxyUjrDq2kgz300C1Bq1tacFk6e-xX218cSXCQUK0"",""Form Responses 1!B:C""),2,FALSE),)"),"")</f>
        <v/>
      </c>
      <c r="F501" s="70" t="str">
        <f>IFERROR(__xludf.DUMMYFUNCTION("IFERROR(VLOOKUP(A501,IMPORTRANGE(""1fn2ECph_y8Uz78DhjLaiXcwgt6kh3oe-0Le36Uw0noE"",""Form Responses 1!B:C""),2,FALSE),)"),"")</f>
        <v/>
      </c>
      <c r="G501" s="70"/>
      <c r="H501" s="70"/>
      <c r="I501" s="70"/>
      <c r="J501" s="70"/>
      <c r="K501" s="70"/>
      <c r="L501" s="70"/>
      <c r="M501" s="70"/>
      <c r="N501" s="70"/>
      <c r="O501" s="70"/>
      <c r="P501" s="70"/>
      <c r="Q501" s="70" t="str">
        <f>IFERROR(__xludf.DUMMYFUNCTION("IFERROR(IF(COUNTIF(IMPORTRANGE(""1WjiLR_MTMxI_IZUKuvPO4Sg2rTSIqBzP3edakSRXbOA"",""Form Responses 1!B:B""),F501)&gt;0,10,),0)"),"")</f>
        <v/>
      </c>
      <c r="R501" s="70" t="str">
        <f>IFERROR(__xludf.DUMMYFUNCTION("IFERROR(VLOOKUP(F501,IMPORTRANGE(""1Ixzbal5tEbtWhozsFEppQzOYE6ZSrkNXHg_HW5k3Wt4"",""Form Responses 1!B:C""),2,FALSE),)"),"")</f>
        <v/>
      </c>
      <c r="S501" s="70" t="str">
        <f>IFERROR(__xludf.DUMMYFUNCTION("IFERROR(VLOOKUP(F501,IMPORTRANGE(""1zxjtEKGvVIJPIDqZdnxENwVpPXYa88EihzyI44hcQUo"",""Form Responses 1!B:C""),2,FALSE),)"),"")</f>
        <v/>
      </c>
      <c r="T501" s="70" t="str">
        <f>IFERROR(__xludf.DUMMYFUNCTION("IFERROR(VLOOKUP(F501,IMPORTRANGE(""1H3cO01obd5zFULYqaT5NAqecZBFFIHeDFn4CeQLZF3w"",""Form Responses 1!B:C""),2,FALSE),)"),"")</f>
        <v/>
      </c>
      <c r="U501" s="70" t="str">
        <f>IFERROR(__xludf.DUMMYFUNCTION("IFERROR(IF(COUNTIF(IMPORTRANGE(""1IG9qoa6PeLdDDFzKpW39lxXshN0-M8Z25a_R1EpsYyg"",""Form Responses 1!B:B""),F501)&gt;0,10,),0)"),"")</f>
        <v/>
      </c>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row>
    <row r="502">
      <c r="B502" s="70" t="str">
        <f>IFERROR(__xludf.DUMMYFUNCTION("IFERROR(IF(COUNTIF(IMPORTRANGE(""1RTcwEJsI_0aJRebhNwO_H_AoKl9r46k7hWYbtciIyM4"",""Form Responses 1!B:B""),A502)&gt;0,10,),0)"),"")</f>
        <v/>
      </c>
      <c r="C502" s="70" t="str">
        <f>IFERROR(__xludf.DUMMYFUNCTION("IFERROR(VLOOKUP(A502,IMPORTRANGE(""11i8IUhq_U6RRKRV3CBWIKqYed_fMvFgNUHTq1YDJfp8"",""Form Responses 1!B:C""),2,FALSE),)"),"")</f>
        <v/>
      </c>
      <c r="D502" s="70" t="str">
        <f>IFERROR(__xludf.DUMMYFUNCTION("IFERROR(VLOOKUP(A502,IMPORTRANGE(""1StiHxuxrFhYdrq5WLR2JMORicW0TbnJf3J-oTHeMRtM"",""Form Responses 1!B:C""),2,FALSE),)"),"")</f>
        <v/>
      </c>
      <c r="E502" s="70" t="str">
        <f>IFERROR(__xludf.DUMMYFUNCTION("IFERROR(VLOOKUP(A502,IMPORTRANGE(""1QaxxyUjrDq2kgz300C1Bq1tacFk6e-xX218cSXCQUK0"",""Form Responses 1!B:C""),2,FALSE),)"),"")</f>
        <v/>
      </c>
      <c r="F502" s="70" t="str">
        <f>IFERROR(__xludf.DUMMYFUNCTION("IFERROR(VLOOKUP(A502,IMPORTRANGE(""1fn2ECph_y8Uz78DhjLaiXcwgt6kh3oe-0Le36Uw0noE"",""Form Responses 1!B:C""),2,FALSE),)"),"")</f>
        <v/>
      </c>
      <c r="G502" s="70"/>
      <c r="H502" s="70"/>
      <c r="I502" s="70"/>
      <c r="J502" s="70"/>
      <c r="K502" s="70"/>
      <c r="L502" s="70"/>
      <c r="M502" s="70"/>
      <c r="N502" s="70"/>
      <c r="O502" s="70"/>
      <c r="P502" s="70"/>
      <c r="Q502" s="70" t="str">
        <f>IFERROR(__xludf.DUMMYFUNCTION("IFERROR(IF(COUNTIF(IMPORTRANGE(""1WjiLR_MTMxI_IZUKuvPO4Sg2rTSIqBzP3edakSRXbOA"",""Form Responses 1!B:B""),F502)&gt;0,10,),0)"),"")</f>
        <v/>
      </c>
      <c r="R502" s="70" t="str">
        <f>IFERROR(__xludf.DUMMYFUNCTION("IFERROR(VLOOKUP(F502,IMPORTRANGE(""1Ixzbal5tEbtWhozsFEppQzOYE6ZSrkNXHg_HW5k3Wt4"",""Form Responses 1!B:C""),2,FALSE),)"),"")</f>
        <v/>
      </c>
      <c r="S502" s="70" t="str">
        <f>IFERROR(__xludf.DUMMYFUNCTION("IFERROR(VLOOKUP(F502,IMPORTRANGE(""1zxjtEKGvVIJPIDqZdnxENwVpPXYa88EihzyI44hcQUo"",""Form Responses 1!B:C""),2,FALSE),)"),"")</f>
        <v/>
      </c>
      <c r="T502" s="70" t="str">
        <f>IFERROR(__xludf.DUMMYFUNCTION("IFERROR(VLOOKUP(F502,IMPORTRANGE(""1H3cO01obd5zFULYqaT5NAqecZBFFIHeDFn4CeQLZF3w"",""Form Responses 1!B:C""),2,FALSE),)"),"")</f>
        <v/>
      </c>
      <c r="U502" s="70" t="str">
        <f>IFERROR(__xludf.DUMMYFUNCTION("IFERROR(IF(COUNTIF(IMPORTRANGE(""1IG9qoa6PeLdDDFzKpW39lxXshN0-M8Z25a_R1EpsYyg"",""Form Responses 1!B:B""),F502)&gt;0,10,),0)"),"")</f>
        <v/>
      </c>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row>
    <row r="503">
      <c r="B503" s="70" t="str">
        <f>IFERROR(__xludf.DUMMYFUNCTION("IFERROR(IF(COUNTIF(IMPORTRANGE(""1RTcwEJsI_0aJRebhNwO_H_AoKl9r46k7hWYbtciIyM4"",""Form Responses 1!B:B""),A503)&gt;0,10,),0)"),"")</f>
        <v/>
      </c>
      <c r="C503" s="70" t="str">
        <f>IFERROR(__xludf.DUMMYFUNCTION("IFERROR(VLOOKUP(A503,IMPORTRANGE(""11i8IUhq_U6RRKRV3CBWIKqYed_fMvFgNUHTq1YDJfp8"",""Form Responses 1!B:C""),2,FALSE),)"),"")</f>
        <v/>
      </c>
      <c r="D503" s="70" t="str">
        <f>IFERROR(__xludf.DUMMYFUNCTION("IFERROR(VLOOKUP(A503,IMPORTRANGE(""1StiHxuxrFhYdrq5WLR2JMORicW0TbnJf3J-oTHeMRtM"",""Form Responses 1!B:C""),2,FALSE),)"),"")</f>
        <v/>
      </c>
      <c r="E503" s="70" t="str">
        <f>IFERROR(__xludf.DUMMYFUNCTION("IFERROR(VLOOKUP(A503,IMPORTRANGE(""1QaxxyUjrDq2kgz300C1Bq1tacFk6e-xX218cSXCQUK0"",""Form Responses 1!B:C""),2,FALSE),)"),"")</f>
        <v/>
      </c>
      <c r="F503" s="70" t="str">
        <f>IFERROR(__xludf.DUMMYFUNCTION("IFERROR(VLOOKUP(A503,IMPORTRANGE(""1fn2ECph_y8Uz78DhjLaiXcwgt6kh3oe-0Le36Uw0noE"",""Form Responses 1!B:C""),2,FALSE),)"),"")</f>
        <v/>
      </c>
      <c r="G503" s="70"/>
      <c r="H503" s="70"/>
      <c r="I503" s="70"/>
      <c r="J503" s="70"/>
      <c r="K503" s="70"/>
      <c r="L503" s="70"/>
      <c r="M503" s="70"/>
      <c r="N503" s="70"/>
      <c r="O503" s="70"/>
      <c r="P503" s="70"/>
      <c r="Q503" s="70" t="str">
        <f>IFERROR(__xludf.DUMMYFUNCTION("IFERROR(IF(COUNTIF(IMPORTRANGE(""1WjiLR_MTMxI_IZUKuvPO4Sg2rTSIqBzP3edakSRXbOA"",""Form Responses 1!B:B""),F503)&gt;0,10,),0)"),"")</f>
        <v/>
      </c>
      <c r="R503" s="70" t="str">
        <f>IFERROR(__xludf.DUMMYFUNCTION("IFERROR(VLOOKUP(F503,IMPORTRANGE(""1Ixzbal5tEbtWhozsFEppQzOYE6ZSrkNXHg_HW5k3Wt4"",""Form Responses 1!B:C""),2,FALSE),)"),"")</f>
        <v/>
      </c>
      <c r="S503" s="70" t="str">
        <f>IFERROR(__xludf.DUMMYFUNCTION("IFERROR(VLOOKUP(F503,IMPORTRANGE(""1zxjtEKGvVIJPIDqZdnxENwVpPXYa88EihzyI44hcQUo"",""Form Responses 1!B:C""),2,FALSE),)"),"")</f>
        <v/>
      </c>
      <c r="T503" s="70" t="str">
        <f>IFERROR(__xludf.DUMMYFUNCTION("IFERROR(VLOOKUP(F503,IMPORTRANGE(""1H3cO01obd5zFULYqaT5NAqecZBFFIHeDFn4CeQLZF3w"",""Form Responses 1!B:C""),2,FALSE),)"),"")</f>
        <v/>
      </c>
      <c r="U503" s="70" t="str">
        <f>IFERROR(__xludf.DUMMYFUNCTION("IFERROR(IF(COUNTIF(IMPORTRANGE(""1IG9qoa6PeLdDDFzKpW39lxXshN0-M8Z25a_R1EpsYyg"",""Form Responses 1!B:B""),F503)&gt;0,10,),0)"),"")</f>
        <v/>
      </c>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row>
    <row r="504">
      <c r="B504" s="70" t="str">
        <f>IFERROR(__xludf.DUMMYFUNCTION("IFERROR(IF(COUNTIF(IMPORTRANGE(""1RTcwEJsI_0aJRebhNwO_H_AoKl9r46k7hWYbtciIyM4"",""Form Responses 1!B:B""),A504)&gt;0,10,),0)"),"")</f>
        <v/>
      </c>
      <c r="C504" s="70" t="str">
        <f>IFERROR(__xludf.DUMMYFUNCTION("IFERROR(VLOOKUP(A504,IMPORTRANGE(""11i8IUhq_U6RRKRV3CBWIKqYed_fMvFgNUHTq1YDJfp8"",""Form Responses 1!B:C""),2,FALSE),)"),"")</f>
        <v/>
      </c>
      <c r="D504" s="70" t="str">
        <f>IFERROR(__xludf.DUMMYFUNCTION("IFERROR(VLOOKUP(A504,IMPORTRANGE(""1StiHxuxrFhYdrq5WLR2JMORicW0TbnJf3J-oTHeMRtM"",""Form Responses 1!B:C""),2,FALSE),)"),"")</f>
        <v/>
      </c>
      <c r="E504" s="70" t="str">
        <f>IFERROR(__xludf.DUMMYFUNCTION("IFERROR(VLOOKUP(A504,IMPORTRANGE(""1QaxxyUjrDq2kgz300C1Bq1tacFk6e-xX218cSXCQUK0"",""Form Responses 1!B:C""),2,FALSE),)"),"")</f>
        <v/>
      </c>
      <c r="F504" s="70" t="str">
        <f>IFERROR(__xludf.DUMMYFUNCTION("IFERROR(VLOOKUP(A504,IMPORTRANGE(""1fn2ECph_y8Uz78DhjLaiXcwgt6kh3oe-0Le36Uw0noE"",""Form Responses 1!B:C""),2,FALSE),)"),"")</f>
        <v/>
      </c>
      <c r="G504" s="70"/>
      <c r="H504" s="70"/>
      <c r="I504" s="70"/>
      <c r="J504" s="70"/>
      <c r="K504" s="70"/>
      <c r="L504" s="70"/>
      <c r="M504" s="70"/>
      <c r="N504" s="70"/>
      <c r="O504" s="70"/>
      <c r="P504" s="70"/>
      <c r="Q504" s="70" t="str">
        <f>IFERROR(__xludf.DUMMYFUNCTION("IFERROR(IF(COUNTIF(IMPORTRANGE(""1WjiLR_MTMxI_IZUKuvPO4Sg2rTSIqBzP3edakSRXbOA"",""Form Responses 1!B:B""),F504)&gt;0,10,),0)"),"")</f>
        <v/>
      </c>
      <c r="R504" s="70" t="str">
        <f>IFERROR(__xludf.DUMMYFUNCTION("IFERROR(VLOOKUP(F504,IMPORTRANGE(""1Ixzbal5tEbtWhozsFEppQzOYE6ZSrkNXHg_HW5k3Wt4"",""Form Responses 1!B:C""),2,FALSE),)"),"")</f>
        <v/>
      </c>
      <c r="S504" s="70" t="str">
        <f>IFERROR(__xludf.DUMMYFUNCTION("IFERROR(VLOOKUP(F504,IMPORTRANGE(""1zxjtEKGvVIJPIDqZdnxENwVpPXYa88EihzyI44hcQUo"",""Form Responses 1!B:C""),2,FALSE),)"),"")</f>
        <v/>
      </c>
      <c r="T504" s="70" t="str">
        <f>IFERROR(__xludf.DUMMYFUNCTION("IFERROR(VLOOKUP(F504,IMPORTRANGE(""1H3cO01obd5zFULYqaT5NAqecZBFFIHeDFn4CeQLZF3w"",""Form Responses 1!B:C""),2,FALSE),)"),"")</f>
        <v/>
      </c>
      <c r="U504" s="70" t="str">
        <f>IFERROR(__xludf.DUMMYFUNCTION("IFERROR(IF(COUNTIF(IMPORTRANGE(""1IG9qoa6PeLdDDFzKpW39lxXshN0-M8Z25a_R1EpsYyg"",""Form Responses 1!B:B""),F504)&gt;0,10,),0)"),"")</f>
        <v/>
      </c>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row>
    <row r="505">
      <c r="B505" s="70" t="str">
        <f>IFERROR(__xludf.DUMMYFUNCTION("IFERROR(IF(COUNTIF(IMPORTRANGE(""1RTcwEJsI_0aJRebhNwO_H_AoKl9r46k7hWYbtciIyM4"",""Form Responses 1!B:B""),A505)&gt;0,10,),0)"),"")</f>
        <v/>
      </c>
      <c r="C505" s="70" t="str">
        <f>IFERROR(__xludf.DUMMYFUNCTION("IFERROR(VLOOKUP(A505,IMPORTRANGE(""11i8IUhq_U6RRKRV3CBWIKqYed_fMvFgNUHTq1YDJfp8"",""Form Responses 1!B:C""),2,FALSE),)"),"")</f>
        <v/>
      </c>
      <c r="D505" s="70" t="str">
        <f>IFERROR(__xludf.DUMMYFUNCTION("IFERROR(VLOOKUP(A505,IMPORTRANGE(""1StiHxuxrFhYdrq5WLR2JMORicW0TbnJf3J-oTHeMRtM"",""Form Responses 1!B:C""),2,FALSE),)"),"")</f>
        <v/>
      </c>
      <c r="E505" s="70" t="str">
        <f>IFERROR(__xludf.DUMMYFUNCTION("IFERROR(VLOOKUP(A505,IMPORTRANGE(""1QaxxyUjrDq2kgz300C1Bq1tacFk6e-xX218cSXCQUK0"",""Form Responses 1!B:C""),2,FALSE),)"),"")</f>
        <v/>
      </c>
      <c r="F505" s="70" t="str">
        <f>IFERROR(__xludf.DUMMYFUNCTION("IFERROR(VLOOKUP(A505,IMPORTRANGE(""1fn2ECph_y8Uz78DhjLaiXcwgt6kh3oe-0Le36Uw0noE"",""Form Responses 1!B:C""),2,FALSE),)"),"")</f>
        <v/>
      </c>
      <c r="G505" s="70"/>
      <c r="H505" s="70"/>
      <c r="I505" s="70"/>
      <c r="J505" s="70"/>
      <c r="K505" s="70"/>
      <c r="L505" s="70"/>
      <c r="M505" s="70"/>
      <c r="N505" s="70"/>
      <c r="O505" s="70"/>
      <c r="P505" s="70"/>
      <c r="Q505" s="70" t="str">
        <f>IFERROR(__xludf.DUMMYFUNCTION("IFERROR(IF(COUNTIF(IMPORTRANGE(""1WjiLR_MTMxI_IZUKuvPO4Sg2rTSIqBzP3edakSRXbOA"",""Form Responses 1!B:B""),F505)&gt;0,10,),0)"),"")</f>
        <v/>
      </c>
      <c r="R505" s="70" t="str">
        <f>IFERROR(__xludf.DUMMYFUNCTION("IFERROR(VLOOKUP(F505,IMPORTRANGE(""1Ixzbal5tEbtWhozsFEppQzOYE6ZSrkNXHg_HW5k3Wt4"",""Form Responses 1!B:C""),2,FALSE),)"),"")</f>
        <v/>
      </c>
      <c r="S505" s="70" t="str">
        <f>IFERROR(__xludf.DUMMYFUNCTION("IFERROR(VLOOKUP(F505,IMPORTRANGE(""1zxjtEKGvVIJPIDqZdnxENwVpPXYa88EihzyI44hcQUo"",""Form Responses 1!B:C""),2,FALSE),)"),"")</f>
        <v/>
      </c>
      <c r="T505" s="70" t="str">
        <f>IFERROR(__xludf.DUMMYFUNCTION("IFERROR(VLOOKUP(F505,IMPORTRANGE(""1H3cO01obd5zFULYqaT5NAqecZBFFIHeDFn4CeQLZF3w"",""Form Responses 1!B:C""),2,FALSE),)"),"")</f>
        <v/>
      </c>
      <c r="U505" s="70" t="str">
        <f>IFERROR(__xludf.DUMMYFUNCTION("IFERROR(IF(COUNTIF(IMPORTRANGE(""1IG9qoa6PeLdDDFzKpW39lxXshN0-M8Z25a_R1EpsYyg"",""Form Responses 1!B:B""),F505)&gt;0,10,),0)"),"")</f>
        <v/>
      </c>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row>
    <row r="506">
      <c r="B506" s="70" t="str">
        <f>IFERROR(__xludf.DUMMYFUNCTION("IFERROR(IF(COUNTIF(IMPORTRANGE(""1RTcwEJsI_0aJRebhNwO_H_AoKl9r46k7hWYbtciIyM4"",""Form Responses 1!B:B""),A506)&gt;0,10,),0)"),"")</f>
        <v/>
      </c>
      <c r="C506" s="70" t="str">
        <f>IFERROR(__xludf.DUMMYFUNCTION("IFERROR(VLOOKUP(A506,IMPORTRANGE(""11i8IUhq_U6RRKRV3CBWIKqYed_fMvFgNUHTq1YDJfp8"",""Form Responses 1!B:C""),2,FALSE),)"),"")</f>
        <v/>
      </c>
      <c r="D506" s="70" t="str">
        <f>IFERROR(__xludf.DUMMYFUNCTION("IFERROR(VLOOKUP(A506,IMPORTRANGE(""1StiHxuxrFhYdrq5WLR2JMORicW0TbnJf3J-oTHeMRtM"",""Form Responses 1!B:C""),2,FALSE),)"),"")</f>
        <v/>
      </c>
      <c r="E506" s="70" t="str">
        <f>IFERROR(__xludf.DUMMYFUNCTION("IFERROR(VLOOKUP(A506,IMPORTRANGE(""1QaxxyUjrDq2kgz300C1Bq1tacFk6e-xX218cSXCQUK0"",""Form Responses 1!B:C""),2,FALSE),)"),"")</f>
        <v/>
      </c>
      <c r="F506" s="70" t="str">
        <f>IFERROR(__xludf.DUMMYFUNCTION("IFERROR(VLOOKUP(A506,IMPORTRANGE(""1fn2ECph_y8Uz78DhjLaiXcwgt6kh3oe-0Le36Uw0noE"",""Form Responses 1!B:C""),2,FALSE),)"),"")</f>
        <v/>
      </c>
      <c r="G506" s="70"/>
      <c r="H506" s="70"/>
      <c r="I506" s="70"/>
      <c r="J506" s="70"/>
      <c r="K506" s="70"/>
      <c r="L506" s="70"/>
      <c r="M506" s="70"/>
      <c r="N506" s="70"/>
      <c r="O506" s="70"/>
      <c r="P506" s="70"/>
      <c r="Q506" s="70" t="str">
        <f>IFERROR(__xludf.DUMMYFUNCTION("IFERROR(IF(COUNTIF(IMPORTRANGE(""1WjiLR_MTMxI_IZUKuvPO4Sg2rTSIqBzP3edakSRXbOA"",""Form Responses 1!B:B""),F506)&gt;0,10,),0)"),"")</f>
        <v/>
      </c>
      <c r="R506" s="70" t="str">
        <f>IFERROR(__xludf.DUMMYFUNCTION("IFERROR(VLOOKUP(F506,IMPORTRANGE(""1Ixzbal5tEbtWhozsFEppQzOYE6ZSrkNXHg_HW5k3Wt4"",""Form Responses 1!B:C""),2,FALSE),)"),"")</f>
        <v/>
      </c>
      <c r="S506" s="70" t="str">
        <f>IFERROR(__xludf.DUMMYFUNCTION("IFERROR(VLOOKUP(F506,IMPORTRANGE(""1zxjtEKGvVIJPIDqZdnxENwVpPXYa88EihzyI44hcQUo"",""Form Responses 1!B:C""),2,FALSE),)"),"")</f>
        <v/>
      </c>
      <c r="T506" s="70" t="str">
        <f>IFERROR(__xludf.DUMMYFUNCTION("IFERROR(VLOOKUP(F506,IMPORTRANGE(""1H3cO01obd5zFULYqaT5NAqecZBFFIHeDFn4CeQLZF3w"",""Form Responses 1!B:C""),2,FALSE),)"),"")</f>
        <v/>
      </c>
      <c r="U506" s="70" t="str">
        <f>IFERROR(__xludf.DUMMYFUNCTION("IFERROR(IF(COUNTIF(IMPORTRANGE(""1IG9qoa6PeLdDDFzKpW39lxXshN0-M8Z25a_R1EpsYyg"",""Form Responses 1!B:B""),F506)&gt;0,10,),0)"),"")</f>
        <v/>
      </c>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row>
    <row r="507">
      <c r="B507" s="70" t="str">
        <f>IFERROR(__xludf.DUMMYFUNCTION("IFERROR(IF(COUNTIF(IMPORTRANGE(""1RTcwEJsI_0aJRebhNwO_H_AoKl9r46k7hWYbtciIyM4"",""Form Responses 1!B:B""),A507)&gt;0,10,),0)"),"")</f>
        <v/>
      </c>
      <c r="C507" s="70" t="str">
        <f>IFERROR(__xludf.DUMMYFUNCTION("IFERROR(VLOOKUP(A507,IMPORTRANGE(""11i8IUhq_U6RRKRV3CBWIKqYed_fMvFgNUHTq1YDJfp8"",""Form Responses 1!B:C""),2,FALSE),)"),"")</f>
        <v/>
      </c>
      <c r="D507" s="70" t="str">
        <f>IFERROR(__xludf.DUMMYFUNCTION("IFERROR(VLOOKUP(A507,IMPORTRANGE(""1StiHxuxrFhYdrq5WLR2JMORicW0TbnJf3J-oTHeMRtM"",""Form Responses 1!B:C""),2,FALSE),)"),"")</f>
        <v/>
      </c>
      <c r="E507" s="70" t="str">
        <f>IFERROR(__xludf.DUMMYFUNCTION("IFERROR(VLOOKUP(A507,IMPORTRANGE(""1QaxxyUjrDq2kgz300C1Bq1tacFk6e-xX218cSXCQUK0"",""Form Responses 1!B:C""),2,FALSE),)"),"")</f>
        <v/>
      </c>
      <c r="F507" s="70" t="str">
        <f>IFERROR(__xludf.DUMMYFUNCTION("IFERROR(VLOOKUP(A507,IMPORTRANGE(""1fn2ECph_y8Uz78DhjLaiXcwgt6kh3oe-0Le36Uw0noE"",""Form Responses 1!B:C""),2,FALSE),)"),"")</f>
        <v/>
      </c>
      <c r="G507" s="70"/>
      <c r="H507" s="70"/>
      <c r="I507" s="70"/>
      <c r="J507" s="70"/>
      <c r="K507" s="70"/>
      <c r="L507" s="70"/>
      <c r="M507" s="70"/>
      <c r="N507" s="70"/>
      <c r="O507" s="70"/>
      <c r="P507" s="70"/>
      <c r="Q507" s="70" t="str">
        <f>IFERROR(__xludf.DUMMYFUNCTION("IFERROR(IF(COUNTIF(IMPORTRANGE(""1WjiLR_MTMxI_IZUKuvPO4Sg2rTSIqBzP3edakSRXbOA"",""Form Responses 1!B:B""),F507)&gt;0,10,),0)"),"")</f>
        <v/>
      </c>
      <c r="R507" s="70" t="str">
        <f>IFERROR(__xludf.DUMMYFUNCTION("IFERROR(VLOOKUP(F507,IMPORTRANGE(""1Ixzbal5tEbtWhozsFEppQzOYE6ZSrkNXHg_HW5k3Wt4"",""Form Responses 1!B:C""),2,FALSE),)"),"")</f>
        <v/>
      </c>
      <c r="S507" s="70" t="str">
        <f>IFERROR(__xludf.DUMMYFUNCTION("IFERROR(VLOOKUP(F507,IMPORTRANGE(""1zxjtEKGvVIJPIDqZdnxENwVpPXYa88EihzyI44hcQUo"",""Form Responses 1!B:C""),2,FALSE),)"),"")</f>
        <v/>
      </c>
      <c r="T507" s="70" t="str">
        <f>IFERROR(__xludf.DUMMYFUNCTION("IFERROR(VLOOKUP(F507,IMPORTRANGE(""1H3cO01obd5zFULYqaT5NAqecZBFFIHeDFn4CeQLZF3w"",""Form Responses 1!B:C""),2,FALSE),)"),"")</f>
        <v/>
      </c>
      <c r="U507" s="70" t="str">
        <f>IFERROR(__xludf.DUMMYFUNCTION("IFERROR(IF(COUNTIF(IMPORTRANGE(""1IG9qoa6PeLdDDFzKpW39lxXshN0-M8Z25a_R1EpsYyg"",""Form Responses 1!B:B""),F507)&gt;0,10,),0)"),"")</f>
        <v/>
      </c>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row>
    <row r="508">
      <c r="B508" s="70" t="str">
        <f>IFERROR(__xludf.DUMMYFUNCTION("IFERROR(IF(COUNTIF(IMPORTRANGE(""1RTcwEJsI_0aJRebhNwO_H_AoKl9r46k7hWYbtciIyM4"",""Form Responses 1!B:B""),A508)&gt;0,10,),0)"),"")</f>
        <v/>
      </c>
      <c r="C508" s="70" t="str">
        <f>IFERROR(__xludf.DUMMYFUNCTION("IFERROR(VLOOKUP(A508,IMPORTRANGE(""11i8IUhq_U6RRKRV3CBWIKqYed_fMvFgNUHTq1YDJfp8"",""Form Responses 1!B:C""),2,FALSE),)"),"")</f>
        <v/>
      </c>
      <c r="D508" s="70" t="str">
        <f>IFERROR(__xludf.DUMMYFUNCTION("IFERROR(VLOOKUP(A508,IMPORTRANGE(""1StiHxuxrFhYdrq5WLR2JMORicW0TbnJf3J-oTHeMRtM"",""Form Responses 1!B:C""),2,FALSE),)"),"")</f>
        <v/>
      </c>
      <c r="E508" s="70" t="str">
        <f>IFERROR(__xludf.DUMMYFUNCTION("IFERROR(VLOOKUP(A508,IMPORTRANGE(""1QaxxyUjrDq2kgz300C1Bq1tacFk6e-xX218cSXCQUK0"",""Form Responses 1!B:C""),2,FALSE),)"),"")</f>
        <v/>
      </c>
      <c r="F508" s="70" t="str">
        <f>IFERROR(__xludf.DUMMYFUNCTION("IFERROR(VLOOKUP(A508,IMPORTRANGE(""1fn2ECph_y8Uz78DhjLaiXcwgt6kh3oe-0Le36Uw0noE"",""Form Responses 1!B:C""),2,FALSE),)"),"")</f>
        <v/>
      </c>
      <c r="G508" s="70"/>
      <c r="H508" s="70"/>
      <c r="I508" s="70"/>
      <c r="J508" s="70"/>
      <c r="K508" s="70"/>
      <c r="L508" s="70"/>
      <c r="M508" s="70"/>
      <c r="N508" s="70"/>
      <c r="O508" s="70"/>
      <c r="P508" s="70"/>
      <c r="Q508" s="70" t="str">
        <f>IFERROR(__xludf.DUMMYFUNCTION("IFERROR(IF(COUNTIF(IMPORTRANGE(""1WjiLR_MTMxI_IZUKuvPO4Sg2rTSIqBzP3edakSRXbOA"",""Form Responses 1!B:B""),F508)&gt;0,10,),0)"),"")</f>
        <v/>
      </c>
      <c r="R508" s="70" t="str">
        <f>IFERROR(__xludf.DUMMYFUNCTION("IFERROR(VLOOKUP(F508,IMPORTRANGE(""1Ixzbal5tEbtWhozsFEppQzOYE6ZSrkNXHg_HW5k3Wt4"",""Form Responses 1!B:C""),2,FALSE),)"),"")</f>
        <v/>
      </c>
      <c r="S508" s="70" t="str">
        <f>IFERROR(__xludf.DUMMYFUNCTION("IFERROR(VLOOKUP(F508,IMPORTRANGE(""1zxjtEKGvVIJPIDqZdnxENwVpPXYa88EihzyI44hcQUo"",""Form Responses 1!B:C""),2,FALSE),)"),"")</f>
        <v/>
      </c>
      <c r="T508" s="70" t="str">
        <f>IFERROR(__xludf.DUMMYFUNCTION("IFERROR(VLOOKUP(F508,IMPORTRANGE(""1H3cO01obd5zFULYqaT5NAqecZBFFIHeDFn4CeQLZF3w"",""Form Responses 1!B:C""),2,FALSE),)"),"")</f>
        <v/>
      </c>
      <c r="U508" s="70" t="str">
        <f>IFERROR(__xludf.DUMMYFUNCTION("IFERROR(IF(COUNTIF(IMPORTRANGE(""1IG9qoa6PeLdDDFzKpW39lxXshN0-M8Z25a_R1EpsYyg"",""Form Responses 1!B:B""),F508)&gt;0,10,),0)"),"")</f>
        <v/>
      </c>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row>
    <row r="509">
      <c r="B509" s="70" t="str">
        <f>IFERROR(__xludf.DUMMYFUNCTION("IFERROR(IF(COUNTIF(IMPORTRANGE(""1RTcwEJsI_0aJRebhNwO_H_AoKl9r46k7hWYbtciIyM4"",""Form Responses 1!B:B""),A509)&gt;0,10,),0)"),"")</f>
        <v/>
      </c>
      <c r="C509" s="70" t="str">
        <f>IFERROR(__xludf.DUMMYFUNCTION("IFERROR(VLOOKUP(A509,IMPORTRANGE(""11i8IUhq_U6RRKRV3CBWIKqYed_fMvFgNUHTq1YDJfp8"",""Form Responses 1!B:C""),2,FALSE),)"),"")</f>
        <v/>
      </c>
      <c r="D509" s="70" t="str">
        <f>IFERROR(__xludf.DUMMYFUNCTION("IFERROR(VLOOKUP(A509,IMPORTRANGE(""1StiHxuxrFhYdrq5WLR2JMORicW0TbnJf3J-oTHeMRtM"",""Form Responses 1!B:C""),2,FALSE),)"),"")</f>
        <v/>
      </c>
      <c r="E509" s="70" t="str">
        <f>IFERROR(__xludf.DUMMYFUNCTION("IFERROR(VLOOKUP(A509,IMPORTRANGE(""1QaxxyUjrDq2kgz300C1Bq1tacFk6e-xX218cSXCQUK0"",""Form Responses 1!B:C""),2,FALSE),)"),"")</f>
        <v/>
      </c>
      <c r="F509" s="70" t="str">
        <f>IFERROR(__xludf.DUMMYFUNCTION("IFERROR(VLOOKUP(A509,IMPORTRANGE(""1fn2ECph_y8Uz78DhjLaiXcwgt6kh3oe-0Le36Uw0noE"",""Form Responses 1!B:C""),2,FALSE),)"),"")</f>
        <v/>
      </c>
      <c r="G509" s="70"/>
      <c r="H509" s="70"/>
      <c r="I509" s="70"/>
      <c r="J509" s="70"/>
      <c r="K509" s="70"/>
      <c r="L509" s="70"/>
      <c r="M509" s="70"/>
      <c r="N509" s="70"/>
      <c r="O509" s="70"/>
      <c r="P509" s="70"/>
      <c r="Q509" s="70" t="str">
        <f>IFERROR(__xludf.DUMMYFUNCTION("IFERROR(IF(COUNTIF(IMPORTRANGE(""1WjiLR_MTMxI_IZUKuvPO4Sg2rTSIqBzP3edakSRXbOA"",""Form Responses 1!B:B""),F509)&gt;0,10,),0)"),"")</f>
        <v/>
      </c>
      <c r="R509" s="70" t="str">
        <f>IFERROR(__xludf.DUMMYFUNCTION("IFERROR(VLOOKUP(F509,IMPORTRANGE(""1Ixzbal5tEbtWhozsFEppQzOYE6ZSrkNXHg_HW5k3Wt4"",""Form Responses 1!B:C""),2,FALSE),)"),"")</f>
        <v/>
      </c>
      <c r="S509" s="70" t="str">
        <f>IFERROR(__xludf.DUMMYFUNCTION("IFERROR(VLOOKUP(F509,IMPORTRANGE(""1zxjtEKGvVIJPIDqZdnxENwVpPXYa88EihzyI44hcQUo"",""Form Responses 1!B:C""),2,FALSE),)"),"")</f>
        <v/>
      </c>
      <c r="T509" s="70" t="str">
        <f>IFERROR(__xludf.DUMMYFUNCTION("IFERROR(VLOOKUP(F509,IMPORTRANGE(""1H3cO01obd5zFULYqaT5NAqecZBFFIHeDFn4CeQLZF3w"",""Form Responses 1!B:C""),2,FALSE),)"),"")</f>
        <v/>
      </c>
      <c r="U509" s="70" t="str">
        <f>IFERROR(__xludf.DUMMYFUNCTION("IFERROR(IF(COUNTIF(IMPORTRANGE(""1IG9qoa6PeLdDDFzKpW39lxXshN0-M8Z25a_R1EpsYyg"",""Form Responses 1!B:B""),F509)&gt;0,10,),0)"),"")</f>
        <v/>
      </c>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row>
    <row r="510">
      <c r="B510" s="70" t="str">
        <f>IFERROR(__xludf.DUMMYFUNCTION("IFERROR(IF(COUNTIF(IMPORTRANGE(""1RTcwEJsI_0aJRebhNwO_H_AoKl9r46k7hWYbtciIyM4"",""Form Responses 1!B:B""),A510)&gt;0,10,),0)"),"")</f>
        <v/>
      </c>
      <c r="C510" s="70" t="str">
        <f>IFERROR(__xludf.DUMMYFUNCTION("IFERROR(VLOOKUP(A510,IMPORTRANGE(""11i8IUhq_U6RRKRV3CBWIKqYed_fMvFgNUHTq1YDJfp8"",""Form Responses 1!B:C""),2,FALSE),)"),"")</f>
        <v/>
      </c>
      <c r="D510" s="70" t="str">
        <f>IFERROR(__xludf.DUMMYFUNCTION("IFERROR(VLOOKUP(A510,IMPORTRANGE(""1StiHxuxrFhYdrq5WLR2JMORicW0TbnJf3J-oTHeMRtM"",""Form Responses 1!B:C""),2,FALSE),)"),"")</f>
        <v/>
      </c>
      <c r="E510" s="70" t="str">
        <f>IFERROR(__xludf.DUMMYFUNCTION("IFERROR(VLOOKUP(A510,IMPORTRANGE(""1QaxxyUjrDq2kgz300C1Bq1tacFk6e-xX218cSXCQUK0"",""Form Responses 1!B:C""),2,FALSE),)"),"")</f>
        <v/>
      </c>
      <c r="F510" s="70" t="str">
        <f>IFERROR(__xludf.DUMMYFUNCTION("IFERROR(VLOOKUP(A510,IMPORTRANGE(""1fn2ECph_y8Uz78DhjLaiXcwgt6kh3oe-0Le36Uw0noE"",""Form Responses 1!B:C""),2,FALSE),)"),"")</f>
        <v/>
      </c>
      <c r="G510" s="70"/>
      <c r="H510" s="70"/>
      <c r="I510" s="70"/>
      <c r="J510" s="70"/>
      <c r="K510" s="70"/>
      <c r="L510" s="70"/>
      <c r="M510" s="70"/>
      <c r="N510" s="70"/>
      <c r="O510" s="70"/>
      <c r="P510" s="70"/>
      <c r="Q510" s="70" t="str">
        <f>IFERROR(__xludf.DUMMYFUNCTION("IFERROR(IF(COUNTIF(IMPORTRANGE(""1WjiLR_MTMxI_IZUKuvPO4Sg2rTSIqBzP3edakSRXbOA"",""Form Responses 1!B:B""),F510)&gt;0,10,),0)"),"")</f>
        <v/>
      </c>
      <c r="R510" s="70" t="str">
        <f>IFERROR(__xludf.DUMMYFUNCTION("IFERROR(VLOOKUP(F510,IMPORTRANGE(""1Ixzbal5tEbtWhozsFEppQzOYE6ZSrkNXHg_HW5k3Wt4"",""Form Responses 1!B:C""),2,FALSE),)"),"")</f>
        <v/>
      </c>
      <c r="S510" s="70" t="str">
        <f>IFERROR(__xludf.DUMMYFUNCTION("IFERROR(VLOOKUP(F510,IMPORTRANGE(""1zxjtEKGvVIJPIDqZdnxENwVpPXYa88EihzyI44hcQUo"",""Form Responses 1!B:C""),2,FALSE),)"),"")</f>
        <v/>
      </c>
      <c r="T510" s="70" t="str">
        <f>IFERROR(__xludf.DUMMYFUNCTION("IFERROR(VLOOKUP(F510,IMPORTRANGE(""1H3cO01obd5zFULYqaT5NAqecZBFFIHeDFn4CeQLZF3w"",""Form Responses 1!B:C""),2,FALSE),)"),"")</f>
        <v/>
      </c>
      <c r="U510" s="70" t="str">
        <f>IFERROR(__xludf.DUMMYFUNCTION("IFERROR(IF(COUNTIF(IMPORTRANGE(""1IG9qoa6PeLdDDFzKpW39lxXshN0-M8Z25a_R1EpsYyg"",""Form Responses 1!B:B""),F510)&gt;0,10,),0)"),"")</f>
        <v/>
      </c>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row>
    <row r="511">
      <c r="B511" s="70" t="str">
        <f>IFERROR(__xludf.DUMMYFUNCTION("IFERROR(IF(COUNTIF(IMPORTRANGE(""1RTcwEJsI_0aJRebhNwO_H_AoKl9r46k7hWYbtciIyM4"",""Form Responses 1!B:B""),A511)&gt;0,10,),0)"),"")</f>
        <v/>
      </c>
      <c r="C511" s="70" t="str">
        <f>IFERROR(__xludf.DUMMYFUNCTION("IFERROR(VLOOKUP(A511,IMPORTRANGE(""11i8IUhq_U6RRKRV3CBWIKqYed_fMvFgNUHTq1YDJfp8"",""Form Responses 1!B:C""),2,FALSE),)"),"")</f>
        <v/>
      </c>
      <c r="D511" s="70" t="str">
        <f>IFERROR(__xludf.DUMMYFUNCTION("IFERROR(VLOOKUP(A511,IMPORTRANGE(""1StiHxuxrFhYdrq5WLR2JMORicW0TbnJf3J-oTHeMRtM"",""Form Responses 1!B:C""),2,FALSE),)"),"")</f>
        <v/>
      </c>
      <c r="E511" s="70" t="str">
        <f>IFERROR(__xludf.DUMMYFUNCTION("IFERROR(VLOOKUP(A511,IMPORTRANGE(""1QaxxyUjrDq2kgz300C1Bq1tacFk6e-xX218cSXCQUK0"",""Form Responses 1!B:C""),2,FALSE),)"),"")</f>
        <v/>
      </c>
      <c r="F511" s="70" t="str">
        <f>IFERROR(__xludf.DUMMYFUNCTION("IFERROR(VLOOKUP(A511,IMPORTRANGE(""1fn2ECph_y8Uz78DhjLaiXcwgt6kh3oe-0Le36Uw0noE"",""Form Responses 1!B:C""),2,FALSE),)"),"")</f>
        <v/>
      </c>
      <c r="G511" s="70"/>
      <c r="H511" s="70"/>
      <c r="I511" s="70"/>
      <c r="J511" s="70"/>
      <c r="K511" s="70"/>
      <c r="L511" s="70"/>
      <c r="M511" s="70"/>
      <c r="N511" s="70"/>
      <c r="O511" s="70"/>
      <c r="P511" s="70"/>
      <c r="Q511" s="70" t="str">
        <f>IFERROR(__xludf.DUMMYFUNCTION("IFERROR(IF(COUNTIF(IMPORTRANGE(""1WjiLR_MTMxI_IZUKuvPO4Sg2rTSIqBzP3edakSRXbOA"",""Form Responses 1!B:B""),F511)&gt;0,10,),0)"),"")</f>
        <v/>
      </c>
      <c r="R511" s="70" t="str">
        <f>IFERROR(__xludf.DUMMYFUNCTION("IFERROR(VLOOKUP(F511,IMPORTRANGE(""1Ixzbal5tEbtWhozsFEppQzOYE6ZSrkNXHg_HW5k3Wt4"",""Form Responses 1!B:C""),2,FALSE),)"),"")</f>
        <v/>
      </c>
      <c r="S511" s="70" t="str">
        <f>IFERROR(__xludf.DUMMYFUNCTION("IFERROR(VLOOKUP(F511,IMPORTRANGE(""1zxjtEKGvVIJPIDqZdnxENwVpPXYa88EihzyI44hcQUo"",""Form Responses 1!B:C""),2,FALSE),)"),"")</f>
        <v/>
      </c>
      <c r="T511" s="70" t="str">
        <f>IFERROR(__xludf.DUMMYFUNCTION("IFERROR(VLOOKUP(F511,IMPORTRANGE(""1H3cO01obd5zFULYqaT5NAqecZBFFIHeDFn4CeQLZF3w"",""Form Responses 1!B:C""),2,FALSE),)"),"")</f>
        <v/>
      </c>
      <c r="U511" s="70" t="str">
        <f>IFERROR(__xludf.DUMMYFUNCTION("IFERROR(IF(COUNTIF(IMPORTRANGE(""1IG9qoa6PeLdDDFzKpW39lxXshN0-M8Z25a_R1EpsYyg"",""Form Responses 1!B:B""),F511)&gt;0,10,),0)"),"")</f>
        <v/>
      </c>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row>
    <row r="512">
      <c r="B512" s="70" t="str">
        <f>IFERROR(__xludf.DUMMYFUNCTION("IFERROR(IF(COUNTIF(IMPORTRANGE(""1RTcwEJsI_0aJRebhNwO_H_AoKl9r46k7hWYbtciIyM4"",""Form Responses 1!B:B""),A512)&gt;0,10,),0)"),"")</f>
        <v/>
      </c>
      <c r="C512" s="70" t="str">
        <f>IFERROR(__xludf.DUMMYFUNCTION("IFERROR(VLOOKUP(A512,IMPORTRANGE(""11i8IUhq_U6RRKRV3CBWIKqYed_fMvFgNUHTq1YDJfp8"",""Form Responses 1!B:C""),2,FALSE),)"),"")</f>
        <v/>
      </c>
      <c r="D512" s="70" t="str">
        <f>IFERROR(__xludf.DUMMYFUNCTION("IFERROR(VLOOKUP(A512,IMPORTRANGE(""1StiHxuxrFhYdrq5WLR2JMORicW0TbnJf3J-oTHeMRtM"",""Form Responses 1!B:C""),2,FALSE),)"),"")</f>
        <v/>
      </c>
      <c r="E512" s="70" t="str">
        <f>IFERROR(__xludf.DUMMYFUNCTION("IFERROR(VLOOKUP(A512,IMPORTRANGE(""1QaxxyUjrDq2kgz300C1Bq1tacFk6e-xX218cSXCQUK0"",""Form Responses 1!B:C""),2,FALSE),)"),"")</f>
        <v/>
      </c>
      <c r="F512" s="70" t="str">
        <f>IFERROR(__xludf.DUMMYFUNCTION("IFERROR(VLOOKUP(A512,IMPORTRANGE(""1fn2ECph_y8Uz78DhjLaiXcwgt6kh3oe-0Le36Uw0noE"",""Form Responses 1!B:C""),2,FALSE),)"),"")</f>
        <v/>
      </c>
      <c r="G512" s="70"/>
      <c r="H512" s="70"/>
      <c r="I512" s="70"/>
      <c r="J512" s="70"/>
      <c r="K512" s="70"/>
      <c r="L512" s="70"/>
      <c r="M512" s="70"/>
      <c r="N512" s="70"/>
      <c r="O512" s="70"/>
      <c r="P512" s="70"/>
      <c r="Q512" s="70" t="str">
        <f>IFERROR(__xludf.DUMMYFUNCTION("IFERROR(IF(COUNTIF(IMPORTRANGE(""1WjiLR_MTMxI_IZUKuvPO4Sg2rTSIqBzP3edakSRXbOA"",""Form Responses 1!B:B""),F512)&gt;0,10,),0)"),"")</f>
        <v/>
      </c>
      <c r="R512" s="70" t="str">
        <f>IFERROR(__xludf.DUMMYFUNCTION("IFERROR(VLOOKUP(F512,IMPORTRANGE(""1Ixzbal5tEbtWhozsFEppQzOYE6ZSrkNXHg_HW5k3Wt4"",""Form Responses 1!B:C""),2,FALSE),)"),"")</f>
        <v/>
      </c>
      <c r="S512" s="70" t="str">
        <f>IFERROR(__xludf.DUMMYFUNCTION("IFERROR(VLOOKUP(F512,IMPORTRANGE(""1zxjtEKGvVIJPIDqZdnxENwVpPXYa88EihzyI44hcQUo"",""Form Responses 1!B:C""),2,FALSE),)"),"")</f>
        <v/>
      </c>
      <c r="T512" s="70" t="str">
        <f>IFERROR(__xludf.DUMMYFUNCTION("IFERROR(VLOOKUP(F512,IMPORTRANGE(""1H3cO01obd5zFULYqaT5NAqecZBFFIHeDFn4CeQLZF3w"",""Form Responses 1!B:C""),2,FALSE),)"),"")</f>
        <v/>
      </c>
      <c r="U512" s="70" t="str">
        <f>IFERROR(__xludf.DUMMYFUNCTION("IFERROR(IF(COUNTIF(IMPORTRANGE(""1IG9qoa6PeLdDDFzKpW39lxXshN0-M8Z25a_R1EpsYyg"",""Form Responses 1!B:B""),F512)&gt;0,10,),0)"),"")</f>
        <v/>
      </c>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row>
    <row r="513">
      <c r="B513" s="70" t="str">
        <f>IFERROR(__xludf.DUMMYFUNCTION("IFERROR(IF(COUNTIF(IMPORTRANGE(""1RTcwEJsI_0aJRebhNwO_H_AoKl9r46k7hWYbtciIyM4"",""Form Responses 1!B:B""),A513)&gt;0,10,),0)"),"")</f>
        <v/>
      </c>
      <c r="C513" s="70" t="str">
        <f>IFERROR(__xludf.DUMMYFUNCTION("IFERROR(VLOOKUP(A513,IMPORTRANGE(""11i8IUhq_U6RRKRV3CBWIKqYed_fMvFgNUHTq1YDJfp8"",""Form Responses 1!B:C""),2,FALSE),)"),"")</f>
        <v/>
      </c>
      <c r="D513" s="70" t="str">
        <f>IFERROR(__xludf.DUMMYFUNCTION("IFERROR(VLOOKUP(A513,IMPORTRANGE(""1StiHxuxrFhYdrq5WLR2JMORicW0TbnJf3J-oTHeMRtM"",""Form Responses 1!B:C""),2,FALSE),)"),"")</f>
        <v/>
      </c>
      <c r="E513" s="70" t="str">
        <f>IFERROR(__xludf.DUMMYFUNCTION("IFERROR(VLOOKUP(A513,IMPORTRANGE(""1QaxxyUjrDq2kgz300C1Bq1tacFk6e-xX218cSXCQUK0"",""Form Responses 1!B:C""),2,FALSE),)"),"")</f>
        <v/>
      </c>
      <c r="F513" s="70" t="str">
        <f>IFERROR(__xludf.DUMMYFUNCTION("IFERROR(VLOOKUP(A513,IMPORTRANGE(""1fn2ECph_y8Uz78DhjLaiXcwgt6kh3oe-0Le36Uw0noE"",""Form Responses 1!B:C""),2,FALSE),)"),"")</f>
        <v/>
      </c>
      <c r="G513" s="70"/>
      <c r="H513" s="70"/>
      <c r="I513" s="70"/>
      <c r="J513" s="70"/>
      <c r="K513" s="70"/>
      <c r="L513" s="70"/>
      <c r="M513" s="70"/>
      <c r="N513" s="70"/>
      <c r="O513" s="70"/>
      <c r="P513" s="70"/>
      <c r="Q513" s="70" t="str">
        <f>IFERROR(__xludf.DUMMYFUNCTION("IFERROR(IF(COUNTIF(IMPORTRANGE(""1WjiLR_MTMxI_IZUKuvPO4Sg2rTSIqBzP3edakSRXbOA"",""Form Responses 1!B:B""),F513)&gt;0,10,),0)"),"")</f>
        <v/>
      </c>
      <c r="R513" s="70" t="str">
        <f>IFERROR(__xludf.DUMMYFUNCTION("IFERROR(VLOOKUP(F513,IMPORTRANGE(""1Ixzbal5tEbtWhozsFEppQzOYE6ZSrkNXHg_HW5k3Wt4"",""Form Responses 1!B:C""),2,FALSE),)"),"")</f>
        <v/>
      </c>
      <c r="S513" s="70" t="str">
        <f>IFERROR(__xludf.DUMMYFUNCTION("IFERROR(VLOOKUP(F513,IMPORTRANGE(""1zxjtEKGvVIJPIDqZdnxENwVpPXYa88EihzyI44hcQUo"",""Form Responses 1!B:C""),2,FALSE),)"),"")</f>
        <v/>
      </c>
      <c r="T513" s="70" t="str">
        <f>IFERROR(__xludf.DUMMYFUNCTION("IFERROR(VLOOKUP(F513,IMPORTRANGE(""1H3cO01obd5zFULYqaT5NAqecZBFFIHeDFn4CeQLZF3w"",""Form Responses 1!B:C""),2,FALSE),)"),"")</f>
        <v/>
      </c>
      <c r="U513" s="70" t="str">
        <f>IFERROR(__xludf.DUMMYFUNCTION("IFERROR(IF(COUNTIF(IMPORTRANGE(""1IG9qoa6PeLdDDFzKpW39lxXshN0-M8Z25a_R1EpsYyg"",""Form Responses 1!B:B""),F513)&gt;0,10,),0)"),"")</f>
        <v/>
      </c>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row>
    <row r="514">
      <c r="B514" s="70" t="str">
        <f>IFERROR(__xludf.DUMMYFUNCTION("IFERROR(IF(COUNTIF(IMPORTRANGE(""1RTcwEJsI_0aJRebhNwO_H_AoKl9r46k7hWYbtciIyM4"",""Form Responses 1!B:B""),A514)&gt;0,10,),0)"),"")</f>
        <v/>
      </c>
      <c r="C514" s="70" t="str">
        <f>IFERROR(__xludf.DUMMYFUNCTION("IFERROR(VLOOKUP(A514,IMPORTRANGE(""11i8IUhq_U6RRKRV3CBWIKqYed_fMvFgNUHTq1YDJfp8"",""Form Responses 1!B:C""),2,FALSE),)"),"")</f>
        <v/>
      </c>
      <c r="D514" s="70" t="str">
        <f>IFERROR(__xludf.DUMMYFUNCTION("IFERROR(VLOOKUP(A514,IMPORTRANGE(""1StiHxuxrFhYdrq5WLR2JMORicW0TbnJf3J-oTHeMRtM"",""Form Responses 1!B:C""),2,FALSE),)"),"")</f>
        <v/>
      </c>
      <c r="E514" s="70" t="str">
        <f>IFERROR(__xludf.DUMMYFUNCTION("IFERROR(VLOOKUP(A514,IMPORTRANGE(""1QaxxyUjrDq2kgz300C1Bq1tacFk6e-xX218cSXCQUK0"",""Form Responses 1!B:C""),2,FALSE),)"),"")</f>
        <v/>
      </c>
      <c r="F514" s="70" t="str">
        <f>IFERROR(__xludf.DUMMYFUNCTION("IFERROR(VLOOKUP(A514,IMPORTRANGE(""1fn2ECph_y8Uz78DhjLaiXcwgt6kh3oe-0Le36Uw0noE"",""Form Responses 1!B:C""),2,FALSE),)"),"")</f>
        <v/>
      </c>
      <c r="G514" s="70"/>
      <c r="H514" s="70"/>
      <c r="I514" s="70"/>
      <c r="J514" s="70"/>
      <c r="K514" s="70"/>
      <c r="L514" s="70"/>
      <c r="M514" s="70"/>
      <c r="N514" s="70"/>
      <c r="O514" s="70"/>
      <c r="P514" s="70"/>
      <c r="Q514" s="70" t="str">
        <f>IFERROR(__xludf.DUMMYFUNCTION("IFERROR(IF(COUNTIF(IMPORTRANGE(""1WjiLR_MTMxI_IZUKuvPO4Sg2rTSIqBzP3edakSRXbOA"",""Form Responses 1!B:B""),F514)&gt;0,10,),0)"),"")</f>
        <v/>
      </c>
      <c r="R514" s="70" t="str">
        <f>IFERROR(__xludf.DUMMYFUNCTION("IFERROR(VLOOKUP(F514,IMPORTRANGE(""1Ixzbal5tEbtWhozsFEppQzOYE6ZSrkNXHg_HW5k3Wt4"",""Form Responses 1!B:C""),2,FALSE),)"),"")</f>
        <v/>
      </c>
      <c r="S514" s="70" t="str">
        <f>IFERROR(__xludf.DUMMYFUNCTION("IFERROR(VLOOKUP(F514,IMPORTRANGE(""1zxjtEKGvVIJPIDqZdnxENwVpPXYa88EihzyI44hcQUo"",""Form Responses 1!B:C""),2,FALSE),)"),"")</f>
        <v/>
      </c>
      <c r="T514" s="70" t="str">
        <f>IFERROR(__xludf.DUMMYFUNCTION("IFERROR(VLOOKUP(F514,IMPORTRANGE(""1H3cO01obd5zFULYqaT5NAqecZBFFIHeDFn4CeQLZF3w"",""Form Responses 1!B:C""),2,FALSE),)"),"")</f>
        <v/>
      </c>
      <c r="U514" s="70" t="str">
        <f>IFERROR(__xludf.DUMMYFUNCTION("IFERROR(IF(COUNTIF(IMPORTRANGE(""1IG9qoa6PeLdDDFzKpW39lxXshN0-M8Z25a_R1EpsYyg"",""Form Responses 1!B:B""),F514)&gt;0,10,),0)"),"")</f>
        <v/>
      </c>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row>
    <row r="515">
      <c r="B515" s="70" t="str">
        <f>IFERROR(__xludf.DUMMYFUNCTION("IFERROR(IF(COUNTIF(IMPORTRANGE(""1RTcwEJsI_0aJRebhNwO_H_AoKl9r46k7hWYbtciIyM4"",""Form Responses 1!B:B""),A515)&gt;0,10,),0)"),"")</f>
        <v/>
      </c>
      <c r="C515" s="70" t="str">
        <f>IFERROR(__xludf.DUMMYFUNCTION("IFERROR(VLOOKUP(A515,IMPORTRANGE(""11i8IUhq_U6RRKRV3CBWIKqYed_fMvFgNUHTq1YDJfp8"",""Form Responses 1!B:C""),2,FALSE),)"),"")</f>
        <v/>
      </c>
      <c r="D515" s="70" t="str">
        <f>IFERROR(__xludf.DUMMYFUNCTION("IFERROR(VLOOKUP(A515,IMPORTRANGE(""1StiHxuxrFhYdrq5WLR2JMORicW0TbnJf3J-oTHeMRtM"",""Form Responses 1!B:C""),2,FALSE),)"),"")</f>
        <v/>
      </c>
      <c r="E515" s="70" t="str">
        <f>IFERROR(__xludf.DUMMYFUNCTION("IFERROR(VLOOKUP(A515,IMPORTRANGE(""1QaxxyUjrDq2kgz300C1Bq1tacFk6e-xX218cSXCQUK0"",""Form Responses 1!B:C""),2,FALSE),)"),"")</f>
        <v/>
      </c>
      <c r="F515" s="70" t="str">
        <f>IFERROR(__xludf.DUMMYFUNCTION("IFERROR(VLOOKUP(A515,IMPORTRANGE(""1fn2ECph_y8Uz78DhjLaiXcwgt6kh3oe-0Le36Uw0noE"",""Form Responses 1!B:C""),2,FALSE),)"),"")</f>
        <v/>
      </c>
      <c r="G515" s="70"/>
      <c r="H515" s="70"/>
      <c r="I515" s="70"/>
      <c r="J515" s="70"/>
      <c r="K515" s="70"/>
      <c r="L515" s="70"/>
      <c r="M515" s="70"/>
      <c r="N515" s="70"/>
      <c r="O515" s="70"/>
      <c r="P515" s="70"/>
      <c r="Q515" s="70" t="str">
        <f>IFERROR(__xludf.DUMMYFUNCTION("IFERROR(IF(COUNTIF(IMPORTRANGE(""1WjiLR_MTMxI_IZUKuvPO4Sg2rTSIqBzP3edakSRXbOA"",""Form Responses 1!B:B""),F515)&gt;0,10,),0)"),"")</f>
        <v/>
      </c>
      <c r="R515" s="70" t="str">
        <f>IFERROR(__xludf.DUMMYFUNCTION("IFERROR(VLOOKUP(F515,IMPORTRANGE(""1Ixzbal5tEbtWhozsFEppQzOYE6ZSrkNXHg_HW5k3Wt4"",""Form Responses 1!B:C""),2,FALSE),)"),"")</f>
        <v/>
      </c>
      <c r="S515" s="70" t="str">
        <f>IFERROR(__xludf.DUMMYFUNCTION("IFERROR(VLOOKUP(F515,IMPORTRANGE(""1zxjtEKGvVIJPIDqZdnxENwVpPXYa88EihzyI44hcQUo"",""Form Responses 1!B:C""),2,FALSE),)"),"")</f>
        <v/>
      </c>
      <c r="T515" s="70" t="str">
        <f>IFERROR(__xludf.DUMMYFUNCTION("IFERROR(VLOOKUP(F515,IMPORTRANGE(""1H3cO01obd5zFULYqaT5NAqecZBFFIHeDFn4CeQLZF3w"",""Form Responses 1!B:C""),2,FALSE),)"),"")</f>
        <v/>
      </c>
      <c r="U515" s="70" t="str">
        <f>IFERROR(__xludf.DUMMYFUNCTION("IFERROR(IF(COUNTIF(IMPORTRANGE(""1IG9qoa6PeLdDDFzKpW39lxXshN0-M8Z25a_R1EpsYyg"",""Form Responses 1!B:B""),F515)&gt;0,10,),0)"),"")</f>
        <v/>
      </c>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row>
    <row r="516">
      <c r="B516" s="70" t="str">
        <f>IFERROR(__xludf.DUMMYFUNCTION("IFERROR(IF(COUNTIF(IMPORTRANGE(""1RTcwEJsI_0aJRebhNwO_H_AoKl9r46k7hWYbtciIyM4"",""Form Responses 1!B:B""),A516)&gt;0,10,),0)"),"")</f>
        <v/>
      </c>
      <c r="C516" s="70" t="str">
        <f>IFERROR(__xludf.DUMMYFUNCTION("IFERROR(VLOOKUP(A516,IMPORTRANGE(""11i8IUhq_U6RRKRV3CBWIKqYed_fMvFgNUHTq1YDJfp8"",""Form Responses 1!B:C""),2,FALSE),)"),"")</f>
        <v/>
      </c>
      <c r="D516" s="70" t="str">
        <f>IFERROR(__xludf.DUMMYFUNCTION("IFERROR(VLOOKUP(A516,IMPORTRANGE(""1StiHxuxrFhYdrq5WLR2JMORicW0TbnJf3J-oTHeMRtM"",""Form Responses 1!B:C""),2,FALSE),)"),"")</f>
        <v/>
      </c>
      <c r="E516" s="70" t="str">
        <f>IFERROR(__xludf.DUMMYFUNCTION("IFERROR(VLOOKUP(A516,IMPORTRANGE(""1QaxxyUjrDq2kgz300C1Bq1tacFk6e-xX218cSXCQUK0"",""Form Responses 1!B:C""),2,FALSE),)"),"")</f>
        <v/>
      </c>
      <c r="F516" s="70" t="str">
        <f>IFERROR(__xludf.DUMMYFUNCTION("IFERROR(VLOOKUP(A516,IMPORTRANGE(""1fn2ECph_y8Uz78DhjLaiXcwgt6kh3oe-0Le36Uw0noE"",""Form Responses 1!B:C""),2,FALSE),)"),"")</f>
        <v/>
      </c>
      <c r="G516" s="70"/>
      <c r="H516" s="70"/>
      <c r="I516" s="70"/>
      <c r="J516" s="70"/>
      <c r="K516" s="70"/>
      <c r="L516" s="70"/>
      <c r="M516" s="70"/>
      <c r="N516" s="70"/>
      <c r="O516" s="70"/>
      <c r="P516" s="70"/>
      <c r="Q516" s="70" t="str">
        <f>IFERROR(__xludf.DUMMYFUNCTION("IFERROR(IF(COUNTIF(IMPORTRANGE(""1WjiLR_MTMxI_IZUKuvPO4Sg2rTSIqBzP3edakSRXbOA"",""Form Responses 1!B:B""),F516)&gt;0,10,),0)"),"")</f>
        <v/>
      </c>
      <c r="R516" s="70" t="str">
        <f>IFERROR(__xludf.DUMMYFUNCTION("IFERROR(VLOOKUP(F516,IMPORTRANGE(""1Ixzbal5tEbtWhozsFEppQzOYE6ZSrkNXHg_HW5k3Wt4"",""Form Responses 1!B:C""),2,FALSE),)"),"")</f>
        <v/>
      </c>
      <c r="S516" s="70" t="str">
        <f>IFERROR(__xludf.DUMMYFUNCTION("IFERROR(VLOOKUP(F516,IMPORTRANGE(""1zxjtEKGvVIJPIDqZdnxENwVpPXYa88EihzyI44hcQUo"",""Form Responses 1!B:C""),2,FALSE),)"),"")</f>
        <v/>
      </c>
      <c r="T516" s="70" t="str">
        <f>IFERROR(__xludf.DUMMYFUNCTION("IFERROR(VLOOKUP(F516,IMPORTRANGE(""1H3cO01obd5zFULYqaT5NAqecZBFFIHeDFn4CeQLZF3w"",""Form Responses 1!B:C""),2,FALSE),)"),"")</f>
        <v/>
      </c>
      <c r="U516" s="70" t="str">
        <f>IFERROR(__xludf.DUMMYFUNCTION("IFERROR(IF(COUNTIF(IMPORTRANGE(""1IG9qoa6PeLdDDFzKpW39lxXshN0-M8Z25a_R1EpsYyg"",""Form Responses 1!B:B""),F516)&gt;0,10,),0)"),"")</f>
        <v/>
      </c>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row>
    <row r="517">
      <c r="B517" s="70" t="str">
        <f>IFERROR(__xludf.DUMMYFUNCTION("IFERROR(IF(COUNTIF(IMPORTRANGE(""1RTcwEJsI_0aJRebhNwO_H_AoKl9r46k7hWYbtciIyM4"",""Form Responses 1!B:B""),A517)&gt;0,10,),0)"),"")</f>
        <v/>
      </c>
      <c r="C517" s="70" t="str">
        <f>IFERROR(__xludf.DUMMYFUNCTION("IFERROR(VLOOKUP(A517,IMPORTRANGE(""11i8IUhq_U6RRKRV3CBWIKqYed_fMvFgNUHTq1YDJfp8"",""Form Responses 1!B:C""),2,FALSE),)"),"")</f>
        <v/>
      </c>
      <c r="D517" s="70" t="str">
        <f>IFERROR(__xludf.DUMMYFUNCTION("IFERROR(VLOOKUP(A517,IMPORTRANGE(""1StiHxuxrFhYdrq5WLR2JMORicW0TbnJf3J-oTHeMRtM"",""Form Responses 1!B:C""),2,FALSE),)"),"")</f>
        <v/>
      </c>
      <c r="E517" s="70" t="str">
        <f>IFERROR(__xludf.DUMMYFUNCTION("IFERROR(VLOOKUP(A517,IMPORTRANGE(""1QaxxyUjrDq2kgz300C1Bq1tacFk6e-xX218cSXCQUK0"",""Form Responses 1!B:C""),2,FALSE),)"),"")</f>
        <v/>
      </c>
      <c r="F517" s="70" t="str">
        <f>IFERROR(__xludf.DUMMYFUNCTION("IFERROR(VLOOKUP(A517,IMPORTRANGE(""1fn2ECph_y8Uz78DhjLaiXcwgt6kh3oe-0Le36Uw0noE"",""Form Responses 1!B:C""),2,FALSE),)"),"")</f>
        <v/>
      </c>
      <c r="G517" s="70"/>
      <c r="H517" s="70"/>
      <c r="I517" s="70"/>
      <c r="J517" s="70"/>
      <c r="K517" s="70"/>
      <c r="L517" s="70"/>
      <c r="M517" s="70"/>
      <c r="N517" s="70"/>
      <c r="O517" s="70"/>
      <c r="P517" s="70"/>
      <c r="Q517" s="70" t="str">
        <f>IFERROR(__xludf.DUMMYFUNCTION("IFERROR(IF(COUNTIF(IMPORTRANGE(""1WjiLR_MTMxI_IZUKuvPO4Sg2rTSIqBzP3edakSRXbOA"",""Form Responses 1!B:B""),F517)&gt;0,10,),0)"),"")</f>
        <v/>
      </c>
      <c r="R517" s="70" t="str">
        <f>IFERROR(__xludf.DUMMYFUNCTION("IFERROR(VLOOKUP(F517,IMPORTRANGE(""1Ixzbal5tEbtWhozsFEppQzOYE6ZSrkNXHg_HW5k3Wt4"",""Form Responses 1!B:C""),2,FALSE),)"),"")</f>
        <v/>
      </c>
      <c r="S517" s="70" t="str">
        <f>IFERROR(__xludf.DUMMYFUNCTION("IFERROR(VLOOKUP(F517,IMPORTRANGE(""1zxjtEKGvVIJPIDqZdnxENwVpPXYa88EihzyI44hcQUo"",""Form Responses 1!B:C""),2,FALSE),)"),"")</f>
        <v/>
      </c>
      <c r="T517" s="70" t="str">
        <f>IFERROR(__xludf.DUMMYFUNCTION("IFERROR(VLOOKUP(F517,IMPORTRANGE(""1H3cO01obd5zFULYqaT5NAqecZBFFIHeDFn4CeQLZF3w"",""Form Responses 1!B:C""),2,FALSE),)"),"")</f>
        <v/>
      </c>
      <c r="U517" s="70" t="str">
        <f>IFERROR(__xludf.DUMMYFUNCTION("IFERROR(IF(COUNTIF(IMPORTRANGE(""1IG9qoa6PeLdDDFzKpW39lxXshN0-M8Z25a_R1EpsYyg"",""Form Responses 1!B:B""),F517)&gt;0,10,),0)"),"")</f>
        <v/>
      </c>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row>
    <row r="518">
      <c r="B518" s="70" t="str">
        <f>IFERROR(__xludf.DUMMYFUNCTION("IFERROR(IF(COUNTIF(IMPORTRANGE(""1RTcwEJsI_0aJRebhNwO_H_AoKl9r46k7hWYbtciIyM4"",""Form Responses 1!B:B""),A518)&gt;0,10,),0)"),"")</f>
        <v/>
      </c>
      <c r="C518" s="70" t="str">
        <f>IFERROR(__xludf.DUMMYFUNCTION("IFERROR(VLOOKUP(A518,IMPORTRANGE(""11i8IUhq_U6RRKRV3CBWIKqYed_fMvFgNUHTq1YDJfp8"",""Form Responses 1!B:C""),2,FALSE),)"),"")</f>
        <v/>
      </c>
      <c r="D518" s="70" t="str">
        <f>IFERROR(__xludf.DUMMYFUNCTION("IFERROR(VLOOKUP(A518,IMPORTRANGE(""1StiHxuxrFhYdrq5WLR2JMORicW0TbnJf3J-oTHeMRtM"",""Form Responses 1!B:C""),2,FALSE),)"),"")</f>
        <v/>
      </c>
      <c r="E518" s="70" t="str">
        <f>IFERROR(__xludf.DUMMYFUNCTION("IFERROR(VLOOKUP(A518,IMPORTRANGE(""1QaxxyUjrDq2kgz300C1Bq1tacFk6e-xX218cSXCQUK0"",""Form Responses 1!B:C""),2,FALSE),)"),"")</f>
        <v/>
      </c>
      <c r="F518" s="70" t="str">
        <f>IFERROR(__xludf.DUMMYFUNCTION("IFERROR(VLOOKUP(A518,IMPORTRANGE(""1fn2ECph_y8Uz78DhjLaiXcwgt6kh3oe-0Le36Uw0noE"",""Form Responses 1!B:C""),2,FALSE),)"),"")</f>
        <v/>
      </c>
      <c r="G518" s="70"/>
      <c r="H518" s="70"/>
      <c r="I518" s="70"/>
      <c r="J518" s="70"/>
      <c r="K518" s="70"/>
      <c r="L518" s="70"/>
      <c r="M518" s="70"/>
      <c r="N518" s="70"/>
      <c r="O518" s="70"/>
      <c r="P518" s="70"/>
      <c r="Q518" s="70" t="str">
        <f>IFERROR(__xludf.DUMMYFUNCTION("IFERROR(IF(COUNTIF(IMPORTRANGE(""1WjiLR_MTMxI_IZUKuvPO4Sg2rTSIqBzP3edakSRXbOA"",""Form Responses 1!B:B""),F518)&gt;0,10,),0)"),"")</f>
        <v/>
      </c>
      <c r="R518" s="70" t="str">
        <f>IFERROR(__xludf.DUMMYFUNCTION("IFERROR(VLOOKUP(F518,IMPORTRANGE(""1Ixzbal5tEbtWhozsFEppQzOYE6ZSrkNXHg_HW5k3Wt4"",""Form Responses 1!B:C""),2,FALSE),)"),"")</f>
        <v/>
      </c>
      <c r="S518" s="70" t="str">
        <f>IFERROR(__xludf.DUMMYFUNCTION("IFERROR(VLOOKUP(F518,IMPORTRANGE(""1zxjtEKGvVIJPIDqZdnxENwVpPXYa88EihzyI44hcQUo"",""Form Responses 1!B:C""),2,FALSE),)"),"")</f>
        <v/>
      </c>
      <c r="T518" s="70" t="str">
        <f>IFERROR(__xludf.DUMMYFUNCTION("IFERROR(VLOOKUP(F518,IMPORTRANGE(""1H3cO01obd5zFULYqaT5NAqecZBFFIHeDFn4CeQLZF3w"",""Form Responses 1!B:C""),2,FALSE),)"),"")</f>
        <v/>
      </c>
      <c r="U518" s="70" t="str">
        <f>IFERROR(__xludf.DUMMYFUNCTION("IFERROR(IF(COUNTIF(IMPORTRANGE(""1IG9qoa6PeLdDDFzKpW39lxXshN0-M8Z25a_R1EpsYyg"",""Form Responses 1!B:B""),F518)&gt;0,10,),0)"),"")</f>
        <v/>
      </c>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row>
    <row r="519">
      <c r="B519" s="70" t="str">
        <f>IFERROR(__xludf.DUMMYFUNCTION("IFERROR(IF(COUNTIF(IMPORTRANGE(""1RTcwEJsI_0aJRebhNwO_H_AoKl9r46k7hWYbtciIyM4"",""Form Responses 1!B:B""),A519)&gt;0,10,),0)"),"")</f>
        <v/>
      </c>
      <c r="C519" s="70" t="str">
        <f>IFERROR(__xludf.DUMMYFUNCTION("IFERROR(VLOOKUP(A519,IMPORTRANGE(""11i8IUhq_U6RRKRV3CBWIKqYed_fMvFgNUHTq1YDJfp8"",""Form Responses 1!B:C""),2,FALSE),)"),"")</f>
        <v/>
      </c>
      <c r="D519" s="70" t="str">
        <f>IFERROR(__xludf.DUMMYFUNCTION("IFERROR(VLOOKUP(A519,IMPORTRANGE(""1StiHxuxrFhYdrq5WLR2JMORicW0TbnJf3J-oTHeMRtM"",""Form Responses 1!B:C""),2,FALSE),)"),"")</f>
        <v/>
      </c>
      <c r="E519" s="70" t="str">
        <f>IFERROR(__xludf.DUMMYFUNCTION("IFERROR(VLOOKUP(A519,IMPORTRANGE(""1QaxxyUjrDq2kgz300C1Bq1tacFk6e-xX218cSXCQUK0"",""Form Responses 1!B:C""),2,FALSE),)"),"")</f>
        <v/>
      </c>
      <c r="F519" s="70" t="str">
        <f>IFERROR(__xludf.DUMMYFUNCTION("IFERROR(VLOOKUP(A519,IMPORTRANGE(""1fn2ECph_y8Uz78DhjLaiXcwgt6kh3oe-0Le36Uw0noE"",""Form Responses 1!B:C""),2,FALSE),)"),"")</f>
        <v/>
      </c>
      <c r="G519" s="70"/>
      <c r="H519" s="70"/>
      <c r="I519" s="70"/>
      <c r="J519" s="70"/>
      <c r="K519" s="70"/>
      <c r="L519" s="70"/>
      <c r="M519" s="70"/>
      <c r="N519" s="70"/>
      <c r="O519" s="70"/>
      <c r="P519" s="70"/>
      <c r="Q519" s="70" t="str">
        <f>IFERROR(__xludf.DUMMYFUNCTION("IFERROR(IF(COUNTIF(IMPORTRANGE(""1WjiLR_MTMxI_IZUKuvPO4Sg2rTSIqBzP3edakSRXbOA"",""Form Responses 1!B:B""),F519)&gt;0,10,),0)"),"")</f>
        <v/>
      </c>
      <c r="R519" s="70" t="str">
        <f>IFERROR(__xludf.DUMMYFUNCTION("IFERROR(VLOOKUP(F519,IMPORTRANGE(""1Ixzbal5tEbtWhozsFEppQzOYE6ZSrkNXHg_HW5k3Wt4"",""Form Responses 1!B:C""),2,FALSE),)"),"")</f>
        <v/>
      </c>
      <c r="S519" s="70" t="str">
        <f>IFERROR(__xludf.DUMMYFUNCTION("IFERROR(VLOOKUP(F519,IMPORTRANGE(""1zxjtEKGvVIJPIDqZdnxENwVpPXYa88EihzyI44hcQUo"",""Form Responses 1!B:C""),2,FALSE),)"),"")</f>
        <v/>
      </c>
      <c r="T519" s="70" t="str">
        <f>IFERROR(__xludf.DUMMYFUNCTION("IFERROR(VLOOKUP(F519,IMPORTRANGE(""1H3cO01obd5zFULYqaT5NAqecZBFFIHeDFn4CeQLZF3w"",""Form Responses 1!B:C""),2,FALSE),)"),"")</f>
        <v/>
      </c>
      <c r="U519" s="70" t="str">
        <f>IFERROR(__xludf.DUMMYFUNCTION("IFERROR(IF(COUNTIF(IMPORTRANGE(""1IG9qoa6PeLdDDFzKpW39lxXshN0-M8Z25a_R1EpsYyg"",""Form Responses 1!B:B""),F519)&gt;0,10,),0)"),"")</f>
        <v/>
      </c>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row>
    <row r="520">
      <c r="B520" s="70" t="str">
        <f>IFERROR(__xludf.DUMMYFUNCTION("IFERROR(IF(COUNTIF(IMPORTRANGE(""1RTcwEJsI_0aJRebhNwO_H_AoKl9r46k7hWYbtciIyM4"",""Form Responses 1!B:B""),A520)&gt;0,10,),0)"),"")</f>
        <v/>
      </c>
      <c r="C520" s="70" t="str">
        <f>IFERROR(__xludf.DUMMYFUNCTION("IFERROR(VLOOKUP(A520,IMPORTRANGE(""11i8IUhq_U6RRKRV3CBWIKqYed_fMvFgNUHTq1YDJfp8"",""Form Responses 1!B:C""),2,FALSE),)"),"")</f>
        <v/>
      </c>
      <c r="D520" s="70" t="str">
        <f>IFERROR(__xludf.DUMMYFUNCTION("IFERROR(VLOOKUP(A520,IMPORTRANGE(""1StiHxuxrFhYdrq5WLR2JMORicW0TbnJf3J-oTHeMRtM"",""Form Responses 1!B:C""),2,FALSE),)"),"")</f>
        <v/>
      </c>
      <c r="E520" s="70" t="str">
        <f>IFERROR(__xludf.DUMMYFUNCTION("IFERROR(VLOOKUP(A520,IMPORTRANGE(""1QaxxyUjrDq2kgz300C1Bq1tacFk6e-xX218cSXCQUK0"",""Form Responses 1!B:C""),2,FALSE),)"),"")</f>
        <v/>
      </c>
      <c r="F520" s="70" t="str">
        <f>IFERROR(__xludf.DUMMYFUNCTION("IFERROR(VLOOKUP(A520,IMPORTRANGE(""1fn2ECph_y8Uz78DhjLaiXcwgt6kh3oe-0Le36Uw0noE"",""Form Responses 1!B:C""),2,FALSE),)"),"")</f>
        <v/>
      </c>
      <c r="G520" s="70"/>
      <c r="H520" s="70"/>
      <c r="I520" s="70"/>
      <c r="J520" s="70"/>
      <c r="K520" s="70"/>
      <c r="L520" s="70"/>
      <c r="M520" s="70"/>
      <c r="N520" s="70"/>
      <c r="O520" s="70"/>
      <c r="P520" s="70"/>
      <c r="Q520" s="70" t="str">
        <f>IFERROR(__xludf.DUMMYFUNCTION("IFERROR(IF(COUNTIF(IMPORTRANGE(""1WjiLR_MTMxI_IZUKuvPO4Sg2rTSIqBzP3edakSRXbOA"",""Form Responses 1!B:B""),F520)&gt;0,10,),0)"),"")</f>
        <v/>
      </c>
      <c r="R520" s="70" t="str">
        <f>IFERROR(__xludf.DUMMYFUNCTION("IFERROR(VLOOKUP(F520,IMPORTRANGE(""1Ixzbal5tEbtWhozsFEppQzOYE6ZSrkNXHg_HW5k3Wt4"",""Form Responses 1!B:C""),2,FALSE),)"),"")</f>
        <v/>
      </c>
      <c r="S520" s="70" t="str">
        <f>IFERROR(__xludf.DUMMYFUNCTION("IFERROR(VLOOKUP(F520,IMPORTRANGE(""1zxjtEKGvVIJPIDqZdnxENwVpPXYa88EihzyI44hcQUo"",""Form Responses 1!B:C""),2,FALSE),)"),"")</f>
        <v/>
      </c>
      <c r="T520" s="70" t="str">
        <f>IFERROR(__xludf.DUMMYFUNCTION("IFERROR(VLOOKUP(F520,IMPORTRANGE(""1H3cO01obd5zFULYqaT5NAqecZBFFIHeDFn4CeQLZF3w"",""Form Responses 1!B:C""),2,FALSE),)"),"")</f>
        <v/>
      </c>
      <c r="U520" s="70" t="str">
        <f>IFERROR(__xludf.DUMMYFUNCTION("IFERROR(IF(COUNTIF(IMPORTRANGE(""1IG9qoa6PeLdDDFzKpW39lxXshN0-M8Z25a_R1EpsYyg"",""Form Responses 1!B:B""),F520)&gt;0,10,),0)"),"")</f>
        <v/>
      </c>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row>
    <row r="521">
      <c r="B521" s="70" t="str">
        <f>IFERROR(__xludf.DUMMYFUNCTION("IFERROR(IF(COUNTIF(IMPORTRANGE(""1RTcwEJsI_0aJRebhNwO_H_AoKl9r46k7hWYbtciIyM4"",""Form Responses 1!B:B""),A521)&gt;0,10,),0)"),"")</f>
        <v/>
      </c>
      <c r="C521" s="70" t="str">
        <f>IFERROR(__xludf.DUMMYFUNCTION("IFERROR(VLOOKUP(A521,IMPORTRANGE(""11i8IUhq_U6RRKRV3CBWIKqYed_fMvFgNUHTq1YDJfp8"",""Form Responses 1!B:C""),2,FALSE),)"),"")</f>
        <v/>
      </c>
      <c r="D521" s="70" t="str">
        <f>IFERROR(__xludf.DUMMYFUNCTION("IFERROR(VLOOKUP(A521,IMPORTRANGE(""1StiHxuxrFhYdrq5WLR2JMORicW0TbnJf3J-oTHeMRtM"",""Form Responses 1!B:C""),2,FALSE),)"),"")</f>
        <v/>
      </c>
      <c r="E521" s="70" t="str">
        <f>IFERROR(__xludf.DUMMYFUNCTION("IFERROR(VLOOKUP(A521,IMPORTRANGE(""1QaxxyUjrDq2kgz300C1Bq1tacFk6e-xX218cSXCQUK0"",""Form Responses 1!B:C""),2,FALSE),)"),"")</f>
        <v/>
      </c>
      <c r="F521" s="70" t="str">
        <f>IFERROR(__xludf.DUMMYFUNCTION("IFERROR(VLOOKUP(A521,IMPORTRANGE(""1fn2ECph_y8Uz78DhjLaiXcwgt6kh3oe-0Le36Uw0noE"",""Form Responses 1!B:C""),2,FALSE),)"),"")</f>
        <v/>
      </c>
      <c r="G521" s="70"/>
      <c r="H521" s="70"/>
      <c r="I521" s="70"/>
      <c r="J521" s="70"/>
      <c r="K521" s="70"/>
      <c r="L521" s="70"/>
      <c r="M521" s="70"/>
      <c r="N521" s="70"/>
      <c r="O521" s="70"/>
      <c r="P521" s="70"/>
      <c r="Q521" s="70" t="str">
        <f>IFERROR(__xludf.DUMMYFUNCTION("IFERROR(IF(COUNTIF(IMPORTRANGE(""1WjiLR_MTMxI_IZUKuvPO4Sg2rTSIqBzP3edakSRXbOA"",""Form Responses 1!B:B""),F521)&gt;0,10,),0)"),"")</f>
        <v/>
      </c>
      <c r="R521" s="70" t="str">
        <f>IFERROR(__xludf.DUMMYFUNCTION("IFERROR(VLOOKUP(F521,IMPORTRANGE(""1Ixzbal5tEbtWhozsFEppQzOYE6ZSrkNXHg_HW5k3Wt4"",""Form Responses 1!B:C""),2,FALSE),)"),"")</f>
        <v/>
      </c>
      <c r="S521" s="70" t="str">
        <f>IFERROR(__xludf.DUMMYFUNCTION("IFERROR(VLOOKUP(F521,IMPORTRANGE(""1zxjtEKGvVIJPIDqZdnxENwVpPXYa88EihzyI44hcQUo"",""Form Responses 1!B:C""),2,FALSE),)"),"")</f>
        <v/>
      </c>
      <c r="T521" s="70" t="str">
        <f>IFERROR(__xludf.DUMMYFUNCTION("IFERROR(VLOOKUP(F521,IMPORTRANGE(""1H3cO01obd5zFULYqaT5NAqecZBFFIHeDFn4CeQLZF3w"",""Form Responses 1!B:C""),2,FALSE),)"),"")</f>
        <v/>
      </c>
      <c r="U521" s="70" t="str">
        <f>IFERROR(__xludf.DUMMYFUNCTION("IFERROR(IF(COUNTIF(IMPORTRANGE(""1IG9qoa6PeLdDDFzKpW39lxXshN0-M8Z25a_R1EpsYyg"",""Form Responses 1!B:B""),F521)&gt;0,10,),0)"),"")</f>
        <v/>
      </c>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row>
    <row r="522">
      <c r="B522" s="70" t="str">
        <f>IFERROR(__xludf.DUMMYFUNCTION("IFERROR(IF(COUNTIF(IMPORTRANGE(""1RTcwEJsI_0aJRebhNwO_H_AoKl9r46k7hWYbtciIyM4"",""Form Responses 1!B:B""),A522)&gt;0,10,),0)"),"")</f>
        <v/>
      </c>
      <c r="C522" s="70" t="str">
        <f>IFERROR(__xludf.DUMMYFUNCTION("IFERROR(VLOOKUP(A522,IMPORTRANGE(""11i8IUhq_U6RRKRV3CBWIKqYed_fMvFgNUHTq1YDJfp8"",""Form Responses 1!B:C""),2,FALSE),)"),"")</f>
        <v/>
      </c>
      <c r="D522" s="70" t="str">
        <f>IFERROR(__xludf.DUMMYFUNCTION("IFERROR(VLOOKUP(A522,IMPORTRANGE(""1StiHxuxrFhYdrq5WLR2JMORicW0TbnJf3J-oTHeMRtM"",""Form Responses 1!B:C""),2,FALSE),)"),"")</f>
        <v/>
      </c>
      <c r="E522" s="70" t="str">
        <f>IFERROR(__xludf.DUMMYFUNCTION("IFERROR(VLOOKUP(A522,IMPORTRANGE(""1QaxxyUjrDq2kgz300C1Bq1tacFk6e-xX218cSXCQUK0"",""Form Responses 1!B:C""),2,FALSE),)"),"")</f>
        <v/>
      </c>
      <c r="F522" s="70" t="str">
        <f>IFERROR(__xludf.DUMMYFUNCTION("IFERROR(VLOOKUP(A522,IMPORTRANGE(""1fn2ECph_y8Uz78DhjLaiXcwgt6kh3oe-0Le36Uw0noE"",""Form Responses 1!B:C""),2,FALSE),)"),"")</f>
        <v/>
      </c>
      <c r="G522" s="70"/>
      <c r="H522" s="70"/>
      <c r="I522" s="70"/>
      <c r="J522" s="70"/>
      <c r="K522" s="70"/>
      <c r="L522" s="70"/>
      <c r="M522" s="70"/>
      <c r="N522" s="70"/>
      <c r="O522" s="70"/>
      <c r="P522" s="70"/>
      <c r="Q522" s="70" t="str">
        <f>IFERROR(__xludf.DUMMYFUNCTION("IFERROR(IF(COUNTIF(IMPORTRANGE(""1WjiLR_MTMxI_IZUKuvPO4Sg2rTSIqBzP3edakSRXbOA"",""Form Responses 1!B:B""),F522)&gt;0,10,),0)"),"")</f>
        <v/>
      </c>
      <c r="R522" s="70" t="str">
        <f>IFERROR(__xludf.DUMMYFUNCTION("IFERROR(VLOOKUP(F522,IMPORTRANGE(""1Ixzbal5tEbtWhozsFEppQzOYE6ZSrkNXHg_HW5k3Wt4"",""Form Responses 1!B:C""),2,FALSE),)"),"")</f>
        <v/>
      </c>
      <c r="S522" s="70" t="str">
        <f>IFERROR(__xludf.DUMMYFUNCTION("IFERROR(VLOOKUP(F522,IMPORTRANGE(""1zxjtEKGvVIJPIDqZdnxENwVpPXYa88EihzyI44hcQUo"",""Form Responses 1!B:C""),2,FALSE),)"),"")</f>
        <v/>
      </c>
      <c r="T522" s="70" t="str">
        <f>IFERROR(__xludf.DUMMYFUNCTION("IFERROR(VLOOKUP(F522,IMPORTRANGE(""1H3cO01obd5zFULYqaT5NAqecZBFFIHeDFn4CeQLZF3w"",""Form Responses 1!B:C""),2,FALSE),)"),"")</f>
        <v/>
      </c>
      <c r="U522" s="70" t="str">
        <f>IFERROR(__xludf.DUMMYFUNCTION("IFERROR(IF(COUNTIF(IMPORTRANGE(""1IG9qoa6PeLdDDFzKpW39lxXshN0-M8Z25a_R1EpsYyg"",""Form Responses 1!B:B""),F522)&gt;0,10,),0)"),"")</f>
        <v/>
      </c>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row>
    <row r="523">
      <c r="B523" s="70" t="str">
        <f>IFERROR(__xludf.DUMMYFUNCTION("IFERROR(IF(COUNTIF(IMPORTRANGE(""1RTcwEJsI_0aJRebhNwO_H_AoKl9r46k7hWYbtciIyM4"",""Form Responses 1!B:B""),A523)&gt;0,10,),0)"),"")</f>
        <v/>
      </c>
      <c r="C523" s="70" t="str">
        <f>IFERROR(__xludf.DUMMYFUNCTION("IFERROR(VLOOKUP(A523,IMPORTRANGE(""11i8IUhq_U6RRKRV3CBWIKqYed_fMvFgNUHTq1YDJfp8"",""Form Responses 1!B:C""),2,FALSE),)"),"")</f>
        <v/>
      </c>
      <c r="D523" s="70" t="str">
        <f>IFERROR(__xludf.DUMMYFUNCTION("IFERROR(VLOOKUP(A523,IMPORTRANGE(""1StiHxuxrFhYdrq5WLR2JMORicW0TbnJf3J-oTHeMRtM"",""Form Responses 1!B:C""),2,FALSE),)"),"")</f>
        <v/>
      </c>
      <c r="E523" s="70" t="str">
        <f>IFERROR(__xludf.DUMMYFUNCTION("IFERROR(VLOOKUP(A523,IMPORTRANGE(""1QaxxyUjrDq2kgz300C1Bq1tacFk6e-xX218cSXCQUK0"",""Form Responses 1!B:C""),2,FALSE),)"),"")</f>
        <v/>
      </c>
      <c r="F523" s="70" t="str">
        <f>IFERROR(__xludf.DUMMYFUNCTION("IFERROR(VLOOKUP(A523,IMPORTRANGE(""1fn2ECph_y8Uz78DhjLaiXcwgt6kh3oe-0Le36Uw0noE"",""Form Responses 1!B:C""),2,FALSE),)"),"")</f>
        <v/>
      </c>
      <c r="G523" s="70"/>
      <c r="H523" s="70"/>
      <c r="I523" s="70"/>
      <c r="J523" s="70"/>
      <c r="K523" s="70"/>
      <c r="L523" s="70"/>
      <c r="M523" s="70"/>
      <c r="N523" s="70"/>
      <c r="O523" s="70"/>
      <c r="P523" s="70"/>
      <c r="Q523" s="70" t="str">
        <f>IFERROR(__xludf.DUMMYFUNCTION("IFERROR(IF(COUNTIF(IMPORTRANGE(""1WjiLR_MTMxI_IZUKuvPO4Sg2rTSIqBzP3edakSRXbOA"",""Form Responses 1!B:B""),F523)&gt;0,10,),0)"),"")</f>
        <v/>
      </c>
      <c r="R523" s="70" t="str">
        <f>IFERROR(__xludf.DUMMYFUNCTION("IFERROR(VLOOKUP(F523,IMPORTRANGE(""1Ixzbal5tEbtWhozsFEppQzOYE6ZSrkNXHg_HW5k3Wt4"",""Form Responses 1!B:C""),2,FALSE),)"),"")</f>
        <v/>
      </c>
      <c r="S523" s="70" t="str">
        <f>IFERROR(__xludf.DUMMYFUNCTION("IFERROR(VLOOKUP(F523,IMPORTRANGE(""1zxjtEKGvVIJPIDqZdnxENwVpPXYa88EihzyI44hcQUo"",""Form Responses 1!B:C""),2,FALSE),)"),"")</f>
        <v/>
      </c>
      <c r="T523" s="70" t="str">
        <f>IFERROR(__xludf.DUMMYFUNCTION("IFERROR(VLOOKUP(F523,IMPORTRANGE(""1H3cO01obd5zFULYqaT5NAqecZBFFIHeDFn4CeQLZF3w"",""Form Responses 1!B:C""),2,FALSE),)"),"")</f>
        <v/>
      </c>
      <c r="U523" s="70" t="str">
        <f>IFERROR(__xludf.DUMMYFUNCTION("IFERROR(IF(COUNTIF(IMPORTRANGE(""1IG9qoa6PeLdDDFzKpW39lxXshN0-M8Z25a_R1EpsYyg"",""Form Responses 1!B:B""),F523)&gt;0,10,),0)"),"")</f>
        <v/>
      </c>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row>
    <row r="524">
      <c r="B524" s="70" t="str">
        <f>IFERROR(__xludf.DUMMYFUNCTION("IFERROR(IF(COUNTIF(IMPORTRANGE(""1RTcwEJsI_0aJRebhNwO_H_AoKl9r46k7hWYbtciIyM4"",""Form Responses 1!B:B""),A524)&gt;0,10,),0)"),"")</f>
        <v/>
      </c>
      <c r="C524" s="70" t="str">
        <f>IFERROR(__xludf.DUMMYFUNCTION("IFERROR(VLOOKUP(A524,IMPORTRANGE(""11i8IUhq_U6RRKRV3CBWIKqYed_fMvFgNUHTq1YDJfp8"",""Form Responses 1!B:C""),2,FALSE),)"),"")</f>
        <v/>
      </c>
      <c r="D524" s="70" t="str">
        <f>IFERROR(__xludf.DUMMYFUNCTION("IFERROR(VLOOKUP(A524,IMPORTRANGE(""1StiHxuxrFhYdrq5WLR2JMORicW0TbnJf3J-oTHeMRtM"",""Form Responses 1!B:C""),2,FALSE),)"),"")</f>
        <v/>
      </c>
      <c r="E524" s="70" t="str">
        <f>IFERROR(__xludf.DUMMYFUNCTION("IFERROR(VLOOKUP(A524,IMPORTRANGE(""1QaxxyUjrDq2kgz300C1Bq1tacFk6e-xX218cSXCQUK0"",""Form Responses 1!B:C""),2,FALSE),)"),"")</f>
        <v/>
      </c>
      <c r="F524" s="70" t="str">
        <f>IFERROR(__xludf.DUMMYFUNCTION("IFERROR(VLOOKUP(A524,IMPORTRANGE(""1fn2ECph_y8Uz78DhjLaiXcwgt6kh3oe-0Le36Uw0noE"",""Form Responses 1!B:C""),2,FALSE),)"),"")</f>
        <v/>
      </c>
      <c r="G524" s="70"/>
      <c r="H524" s="70"/>
      <c r="I524" s="70"/>
      <c r="J524" s="70"/>
      <c r="K524" s="70"/>
      <c r="L524" s="70"/>
      <c r="M524" s="70"/>
      <c r="N524" s="70"/>
      <c r="O524" s="70"/>
      <c r="P524" s="70"/>
      <c r="Q524" s="70" t="str">
        <f>IFERROR(__xludf.DUMMYFUNCTION("IFERROR(IF(COUNTIF(IMPORTRANGE(""1WjiLR_MTMxI_IZUKuvPO4Sg2rTSIqBzP3edakSRXbOA"",""Form Responses 1!B:B""),F524)&gt;0,10,),0)"),"")</f>
        <v/>
      </c>
      <c r="R524" s="70" t="str">
        <f>IFERROR(__xludf.DUMMYFUNCTION("IFERROR(VLOOKUP(F524,IMPORTRANGE(""1Ixzbal5tEbtWhozsFEppQzOYE6ZSrkNXHg_HW5k3Wt4"",""Form Responses 1!B:C""),2,FALSE),)"),"")</f>
        <v/>
      </c>
      <c r="S524" s="70" t="str">
        <f>IFERROR(__xludf.DUMMYFUNCTION("IFERROR(VLOOKUP(F524,IMPORTRANGE(""1zxjtEKGvVIJPIDqZdnxENwVpPXYa88EihzyI44hcQUo"",""Form Responses 1!B:C""),2,FALSE),)"),"")</f>
        <v/>
      </c>
      <c r="T524" s="70" t="str">
        <f>IFERROR(__xludf.DUMMYFUNCTION("IFERROR(VLOOKUP(F524,IMPORTRANGE(""1H3cO01obd5zFULYqaT5NAqecZBFFIHeDFn4CeQLZF3w"",""Form Responses 1!B:C""),2,FALSE),)"),"")</f>
        <v/>
      </c>
      <c r="U524" s="70" t="str">
        <f>IFERROR(__xludf.DUMMYFUNCTION("IFERROR(IF(COUNTIF(IMPORTRANGE(""1IG9qoa6PeLdDDFzKpW39lxXshN0-M8Z25a_R1EpsYyg"",""Form Responses 1!B:B""),F524)&gt;0,10,),0)"),"")</f>
        <v/>
      </c>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row>
    <row r="525">
      <c r="B525" s="70" t="str">
        <f>IFERROR(__xludf.DUMMYFUNCTION("IFERROR(IF(COUNTIF(IMPORTRANGE(""1RTcwEJsI_0aJRebhNwO_H_AoKl9r46k7hWYbtciIyM4"",""Form Responses 1!B:B""),A525)&gt;0,10,),0)"),"")</f>
        <v/>
      </c>
      <c r="C525" s="70" t="str">
        <f>IFERROR(__xludf.DUMMYFUNCTION("IFERROR(VLOOKUP(A525,IMPORTRANGE(""11i8IUhq_U6RRKRV3CBWIKqYed_fMvFgNUHTq1YDJfp8"",""Form Responses 1!B:C""),2,FALSE),)"),"")</f>
        <v/>
      </c>
      <c r="D525" s="70" t="str">
        <f>IFERROR(__xludf.DUMMYFUNCTION("IFERROR(VLOOKUP(A525,IMPORTRANGE(""1StiHxuxrFhYdrq5WLR2JMORicW0TbnJf3J-oTHeMRtM"",""Form Responses 1!B:C""),2,FALSE),)"),"")</f>
        <v/>
      </c>
      <c r="E525" s="70" t="str">
        <f>IFERROR(__xludf.DUMMYFUNCTION("IFERROR(VLOOKUP(A525,IMPORTRANGE(""1QaxxyUjrDq2kgz300C1Bq1tacFk6e-xX218cSXCQUK0"",""Form Responses 1!B:C""),2,FALSE),)"),"")</f>
        <v/>
      </c>
      <c r="F525" s="70" t="str">
        <f>IFERROR(__xludf.DUMMYFUNCTION("IFERROR(VLOOKUP(A525,IMPORTRANGE(""1fn2ECph_y8Uz78DhjLaiXcwgt6kh3oe-0Le36Uw0noE"",""Form Responses 1!B:C""),2,FALSE),)"),"")</f>
        <v/>
      </c>
      <c r="G525" s="70"/>
      <c r="H525" s="70"/>
      <c r="I525" s="70"/>
      <c r="J525" s="70"/>
      <c r="K525" s="70"/>
      <c r="L525" s="70"/>
      <c r="M525" s="70"/>
      <c r="N525" s="70"/>
      <c r="O525" s="70"/>
      <c r="P525" s="70"/>
      <c r="Q525" s="70" t="str">
        <f>IFERROR(__xludf.DUMMYFUNCTION("IFERROR(IF(COUNTIF(IMPORTRANGE(""1WjiLR_MTMxI_IZUKuvPO4Sg2rTSIqBzP3edakSRXbOA"",""Form Responses 1!B:B""),F525)&gt;0,10,),0)"),"")</f>
        <v/>
      </c>
      <c r="R525" s="70" t="str">
        <f>IFERROR(__xludf.DUMMYFUNCTION("IFERROR(VLOOKUP(F525,IMPORTRANGE(""1Ixzbal5tEbtWhozsFEppQzOYE6ZSrkNXHg_HW5k3Wt4"",""Form Responses 1!B:C""),2,FALSE),)"),"")</f>
        <v/>
      </c>
      <c r="S525" s="70" t="str">
        <f>IFERROR(__xludf.DUMMYFUNCTION("IFERROR(VLOOKUP(F525,IMPORTRANGE(""1zxjtEKGvVIJPIDqZdnxENwVpPXYa88EihzyI44hcQUo"",""Form Responses 1!B:C""),2,FALSE),)"),"")</f>
        <v/>
      </c>
      <c r="T525" s="70" t="str">
        <f>IFERROR(__xludf.DUMMYFUNCTION("IFERROR(VLOOKUP(F525,IMPORTRANGE(""1H3cO01obd5zFULYqaT5NAqecZBFFIHeDFn4CeQLZF3w"",""Form Responses 1!B:C""),2,FALSE),)"),"")</f>
        <v/>
      </c>
      <c r="U525" s="70" t="str">
        <f>IFERROR(__xludf.DUMMYFUNCTION("IFERROR(IF(COUNTIF(IMPORTRANGE(""1IG9qoa6PeLdDDFzKpW39lxXshN0-M8Z25a_R1EpsYyg"",""Form Responses 1!B:B""),F525)&gt;0,10,),0)"),"")</f>
        <v/>
      </c>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row>
    <row r="526">
      <c r="B526" s="70" t="str">
        <f>IFERROR(__xludf.DUMMYFUNCTION("IFERROR(IF(COUNTIF(IMPORTRANGE(""1RTcwEJsI_0aJRebhNwO_H_AoKl9r46k7hWYbtciIyM4"",""Form Responses 1!B:B""),A526)&gt;0,10,),0)"),"")</f>
        <v/>
      </c>
      <c r="C526" s="70" t="str">
        <f>IFERROR(__xludf.DUMMYFUNCTION("IFERROR(VLOOKUP(A526,IMPORTRANGE(""11i8IUhq_U6RRKRV3CBWIKqYed_fMvFgNUHTq1YDJfp8"",""Form Responses 1!B:C""),2,FALSE),)"),"")</f>
        <v/>
      </c>
      <c r="D526" s="70" t="str">
        <f>IFERROR(__xludf.DUMMYFUNCTION("IFERROR(VLOOKUP(A526,IMPORTRANGE(""1StiHxuxrFhYdrq5WLR2JMORicW0TbnJf3J-oTHeMRtM"",""Form Responses 1!B:C""),2,FALSE),)"),"")</f>
        <v/>
      </c>
      <c r="E526" s="70" t="str">
        <f>IFERROR(__xludf.DUMMYFUNCTION("IFERROR(VLOOKUP(A526,IMPORTRANGE(""1QaxxyUjrDq2kgz300C1Bq1tacFk6e-xX218cSXCQUK0"",""Form Responses 1!B:C""),2,FALSE),)"),"")</f>
        <v/>
      </c>
      <c r="F526" s="70" t="str">
        <f>IFERROR(__xludf.DUMMYFUNCTION("IFERROR(VLOOKUP(A526,IMPORTRANGE(""1fn2ECph_y8Uz78DhjLaiXcwgt6kh3oe-0Le36Uw0noE"",""Form Responses 1!B:C""),2,FALSE),)"),"")</f>
        <v/>
      </c>
      <c r="G526" s="70"/>
      <c r="H526" s="70"/>
      <c r="I526" s="70"/>
      <c r="J526" s="70"/>
      <c r="K526" s="70"/>
      <c r="L526" s="70"/>
      <c r="M526" s="70"/>
      <c r="N526" s="70"/>
      <c r="O526" s="70"/>
      <c r="P526" s="70"/>
      <c r="Q526" s="70" t="str">
        <f>IFERROR(__xludf.DUMMYFUNCTION("IFERROR(IF(COUNTIF(IMPORTRANGE(""1WjiLR_MTMxI_IZUKuvPO4Sg2rTSIqBzP3edakSRXbOA"",""Form Responses 1!B:B""),F526)&gt;0,10,),0)"),"")</f>
        <v/>
      </c>
      <c r="R526" s="70" t="str">
        <f>IFERROR(__xludf.DUMMYFUNCTION("IFERROR(VLOOKUP(F526,IMPORTRANGE(""1Ixzbal5tEbtWhozsFEppQzOYE6ZSrkNXHg_HW5k3Wt4"",""Form Responses 1!B:C""),2,FALSE),)"),"")</f>
        <v/>
      </c>
      <c r="S526" s="70" t="str">
        <f>IFERROR(__xludf.DUMMYFUNCTION("IFERROR(VLOOKUP(F526,IMPORTRANGE(""1zxjtEKGvVIJPIDqZdnxENwVpPXYa88EihzyI44hcQUo"",""Form Responses 1!B:C""),2,FALSE),)"),"")</f>
        <v/>
      </c>
      <c r="T526" s="70" t="str">
        <f>IFERROR(__xludf.DUMMYFUNCTION("IFERROR(VLOOKUP(F526,IMPORTRANGE(""1H3cO01obd5zFULYqaT5NAqecZBFFIHeDFn4CeQLZF3w"",""Form Responses 1!B:C""),2,FALSE),)"),"")</f>
        <v/>
      </c>
      <c r="U526" s="70" t="str">
        <f>IFERROR(__xludf.DUMMYFUNCTION("IFERROR(IF(COUNTIF(IMPORTRANGE(""1IG9qoa6PeLdDDFzKpW39lxXshN0-M8Z25a_R1EpsYyg"",""Form Responses 1!B:B""),F526)&gt;0,10,),0)"),"")</f>
        <v/>
      </c>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row>
    <row r="527">
      <c r="B527" s="70" t="str">
        <f>IFERROR(__xludf.DUMMYFUNCTION("IFERROR(IF(COUNTIF(IMPORTRANGE(""1RTcwEJsI_0aJRebhNwO_H_AoKl9r46k7hWYbtciIyM4"",""Form Responses 1!B:B""),A527)&gt;0,10,),0)"),"")</f>
        <v/>
      </c>
      <c r="C527" s="70" t="str">
        <f>IFERROR(__xludf.DUMMYFUNCTION("IFERROR(VLOOKUP(A527,IMPORTRANGE(""11i8IUhq_U6RRKRV3CBWIKqYed_fMvFgNUHTq1YDJfp8"",""Form Responses 1!B:C""),2,FALSE),)"),"")</f>
        <v/>
      </c>
      <c r="D527" s="70" t="str">
        <f>IFERROR(__xludf.DUMMYFUNCTION("IFERROR(VLOOKUP(A527,IMPORTRANGE(""1StiHxuxrFhYdrq5WLR2JMORicW0TbnJf3J-oTHeMRtM"",""Form Responses 1!B:C""),2,FALSE),)"),"")</f>
        <v/>
      </c>
      <c r="E527" s="70" t="str">
        <f>IFERROR(__xludf.DUMMYFUNCTION("IFERROR(VLOOKUP(A527,IMPORTRANGE(""1QaxxyUjrDq2kgz300C1Bq1tacFk6e-xX218cSXCQUK0"",""Form Responses 1!B:C""),2,FALSE),)"),"")</f>
        <v/>
      </c>
      <c r="F527" s="70" t="str">
        <f>IFERROR(__xludf.DUMMYFUNCTION("IFERROR(VLOOKUP(A527,IMPORTRANGE(""1fn2ECph_y8Uz78DhjLaiXcwgt6kh3oe-0Le36Uw0noE"",""Form Responses 1!B:C""),2,FALSE),)"),"")</f>
        <v/>
      </c>
      <c r="G527" s="70"/>
      <c r="H527" s="70"/>
      <c r="I527" s="70"/>
      <c r="J527" s="70"/>
      <c r="K527" s="70"/>
      <c r="L527" s="70"/>
      <c r="M527" s="70"/>
      <c r="N527" s="70"/>
      <c r="O527" s="70"/>
      <c r="P527" s="70"/>
      <c r="Q527" s="70" t="str">
        <f>IFERROR(__xludf.DUMMYFUNCTION("IFERROR(IF(COUNTIF(IMPORTRANGE(""1WjiLR_MTMxI_IZUKuvPO4Sg2rTSIqBzP3edakSRXbOA"",""Form Responses 1!B:B""),F527)&gt;0,10,),0)"),"")</f>
        <v/>
      </c>
      <c r="R527" s="70" t="str">
        <f>IFERROR(__xludf.DUMMYFUNCTION("IFERROR(VLOOKUP(F527,IMPORTRANGE(""1Ixzbal5tEbtWhozsFEppQzOYE6ZSrkNXHg_HW5k3Wt4"",""Form Responses 1!B:C""),2,FALSE),)"),"")</f>
        <v/>
      </c>
      <c r="S527" s="70" t="str">
        <f>IFERROR(__xludf.DUMMYFUNCTION("IFERROR(VLOOKUP(F527,IMPORTRANGE(""1zxjtEKGvVIJPIDqZdnxENwVpPXYa88EihzyI44hcQUo"",""Form Responses 1!B:C""),2,FALSE),)"),"")</f>
        <v/>
      </c>
      <c r="T527" s="70" t="str">
        <f>IFERROR(__xludf.DUMMYFUNCTION("IFERROR(VLOOKUP(F527,IMPORTRANGE(""1H3cO01obd5zFULYqaT5NAqecZBFFIHeDFn4CeQLZF3w"",""Form Responses 1!B:C""),2,FALSE),)"),"")</f>
        <v/>
      </c>
      <c r="U527" s="70" t="str">
        <f>IFERROR(__xludf.DUMMYFUNCTION("IFERROR(IF(COUNTIF(IMPORTRANGE(""1IG9qoa6PeLdDDFzKpW39lxXshN0-M8Z25a_R1EpsYyg"",""Form Responses 1!B:B""),F527)&gt;0,10,),0)"),"")</f>
        <v/>
      </c>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row>
    <row r="528">
      <c r="B528" s="70" t="str">
        <f>IFERROR(__xludf.DUMMYFUNCTION("IFERROR(IF(COUNTIF(IMPORTRANGE(""1RTcwEJsI_0aJRebhNwO_H_AoKl9r46k7hWYbtciIyM4"",""Form Responses 1!B:B""),A528)&gt;0,10,),0)"),"")</f>
        <v/>
      </c>
      <c r="C528" s="70" t="str">
        <f>IFERROR(__xludf.DUMMYFUNCTION("IFERROR(VLOOKUP(A528,IMPORTRANGE(""11i8IUhq_U6RRKRV3CBWIKqYed_fMvFgNUHTq1YDJfp8"",""Form Responses 1!B:C""),2,FALSE),)"),"")</f>
        <v/>
      </c>
      <c r="D528" s="70" t="str">
        <f>IFERROR(__xludf.DUMMYFUNCTION("IFERROR(VLOOKUP(A528,IMPORTRANGE(""1StiHxuxrFhYdrq5WLR2JMORicW0TbnJf3J-oTHeMRtM"",""Form Responses 1!B:C""),2,FALSE),)"),"")</f>
        <v/>
      </c>
      <c r="E528" s="70" t="str">
        <f>IFERROR(__xludf.DUMMYFUNCTION("IFERROR(VLOOKUP(A528,IMPORTRANGE(""1QaxxyUjrDq2kgz300C1Bq1tacFk6e-xX218cSXCQUK0"",""Form Responses 1!B:C""),2,FALSE),)"),"")</f>
        <v/>
      </c>
      <c r="F528" s="70" t="str">
        <f>IFERROR(__xludf.DUMMYFUNCTION("IFERROR(VLOOKUP(A528,IMPORTRANGE(""1fn2ECph_y8Uz78DhjLaiXcwgt6kh3oe-0Le36Uw0noE"",""Form Responses 1!B:C""),2,FALSE),)"),"")</f>
        <v/>
      </c>
      <c r="G528" s="70"/>
      <c r="H528" s="70"/>
      <c r="I528" s="70"/>
      <c r="J528" s="70"/>
      <c r="K528" s="70"/>
      <c r="L528" s="70"/>
      <c r="M528" s="70"/>
      <c r="N528" s="70"/>
      <c r="O528" s="70"/>
      <c r="P528" s="70"/>
      <c r="Q528" s="70" t="str">
        <f>IFERROR(__xludf.DUMMYFUNCTION("IFERROR(IF(COUNTIF(IMPORTRANGE(""1WjiLR_MTMxI_IZUKuvPO4Sg2rTSIqBzP3edakSRXbOA"",""Form Responses 1!B:B""),F528)&gt;0,10,),0)"),"")</f>
        <v/>
      </c>
      <c r="R528" s="70" t="str">
        <f>IFERROR(__xludf.DUMMYFUNCTION("IFERROR(VLOOKUP(F528,IMPORTRANGE(""1Ixzbal5tEbtWhozsFEppQzOYE6ZSrkNXHg_HW5k3Wt4"",""Form Responses 1!B:C""),2,FALSE),)"),"")</f>
        <v/>
      </c>
      <c r="S528" s="70" t="str">
        <f>IFERROR(__xludf.DUMMYFUNCTION("IFERROR(VLOOKUP(F528,IMPORTRANGE(""1zxjtEKGvVIJPIDqZdnxENwVpPXYa88EihzyI44hcQUo"",""Form Responses 1!B:C""),2,FALSE),)"),"")</f>
        <v/>
      </c>
      <c r="T528" s="70" t="str">
        <f>IFERROR(__xludf.DUMMYFUNCTION("IFERROR(VLOOKUP(F528,IMPORTRANGE(""1H3cO01obd5zFULYqaT5NAqecZBFFIHeDFn4CeQLZF3w"",""Form Responses 1!B:C""),2,FALSE),)"),"")</f>
        <v/>
      </c>
      <c r="U528" s="70" t="str">
        <f>IFERROR(__xludf.DUMMYFUNCTION("IFERROR(IF(COUNTIF(IMPORTRANGE(""1IG9qoa6PeLdDDFzKpW39lxXshN0-M8Z25a_R1EpsYyg"",""Form Responses 1!B:B""),F528)&gt;0,10,),0)"),"")</f>
        <v/>
      </c>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row>
    <row r="529">
      <c r="B529" s="70" t="str">
        <f>IFERROR(__xludf.DUMMYFUNCTION("IFERROR(IF(COUNTIF(IMPORTRANGE(""1RTcwEJsI_0aJRebhNwO_H_AoKl9r46k7hWYbtciIyM4"",""Form Responses 1!B:B""),A529)&gt;0,10,),0)"),"")</f>
        <v/>
      </c>
      <c r="C529" s="70" t="str">
        <f>IFERROR(__xludf.DUMMYFUNCTION("IFERROR(VLOOKUP(A529,IMPORTRANGE(""11i8IUhq_U6RRKRV3CBWIKqYed_fMvFgNUHTq1YDJfp8"",""Form Responses 1!B:C""),2,FALSE),)"),"")</f>
        <v/>
      </c>
      <c r="D529" s="70" t="str">
        <f>IFERROR(__xludf.DUMMYFUNCTION("IFERROR(VLOOKUP(A529,IMPORTRANGE(""1StiHxuxrFhYdrq5WLR2JMORicW0TbnJf3J-oTHeMRtM"",""Form Responses 1!B:C""),2,FALSE),)"),"")</f>
        <v/>
      </c>
      <c r="E529" s="70" t="str">
        <f>IFERROR(__xludf.DUMMYFUNCTION("IFERROR(VLOOKUP(A529,IMPORTRANGE(""1QaxxyUjrDq2kgz300C1Bq1tacFk6e-xX218cSXCQUK0"",""Form Responses 1!B:C""),2,FALSE),)"),"")</f>
        <v/>
      </c>
      <c r="F529" s="70" t="str">
        <f>IFERROR(__xludf.DUMMYFUNCTION("IFERROR(VLOOKUP(A529,IMPORTRANGE(""1fn2ECph_y8Uz78DhjLaiXcwgt6kh3oe-0Le36Uw0noE"",""Form Responses 1!B:C""),2,FALSE),)"),"")</f>
        <v/>
      </c>
      <c r="G529" s="70"/>
      <c r="H529" s="70"/>
      <c r="I529" s="70"/>
      <c r="J529" s="70"/>
      <c r="K529" s="70"/>
      <c r="L529" s="70"/>
      <c r="M529" s="70"/>
      <c r="N529" s="70"/>
      <c r="O529" s="70"/>
      <c r="P529" s="70"/>
      <c r="Q529" s="70" t="str">
        <f>IFERROR(__xludf.DUMMYFUNCTION("IFERROR(IF(COUNTIF(IMPORTRANGE(""1WjiLR_MTMxI_IZUKuvPO4Sg2rTSIqBzP3edakSRXbOA"",""Form Responses 1!B:B""),F529)&gt;0,10,),0)"),"")</f>
        <v/>
      </c>
      <c r="R529" s="70" t="str">
        <f>IFERROR(__xludf.DUMMYFUNCTION("IFERROR(VLOOKUP(F529,IMPORTRANGE(""1Ixzbal5tEbtWhozsFEppQzOYE6ZSrkNXHg_HW5k3Wt4"",""Form Responses 1!B:C""),2,FALSE),)"),"")</f>
        <v/>
      </c>
      <c r="S529" s="70" t="str">
        <f>IFERROR(__xludf.DUMMYFUNCTION("IFERROR(VLOOKUP(F529,IMPORTRANGE(""1zxjtEKGvVIJPIDqZdnxENwVpPXYa88EihzyI44hcQUo"",""Form Responses 1!B:C""),2,FALSE),)"),"")</f>
        <v/>
      </c>
      <c r="T529" s="70" t="str">
        <f>IFERROR(__xludf.DUMMYFUNCTION("IFERROR(VLOOKUP(F529,IMPORTRANGE(""1H3cO01obd5zFULYqaT5NAqecZBFFIHeDFn4CeQLZF3w"",""Form Responses 1!B:C""),2,FALSE),)"),"")</f>
        <v/>
      </c>
      <c r="U529" s="70" t="str">
        <f>IFERROR(__xludf.DUMMYFUNCTION("IFERROR(IF(COUNTIF(IMPORTRANGE(""1IG9qoa6PeLdDDFzKpW39lxXshN0-M8Z25a_R1EpsYyg"",""Form Responses 1!B:B""),F529)&gt;0,10,),0)"),"")</f>
        <v/>
      </c>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row>
    <row r="530">
      <c r="B530" s="70" t="str">
        <f>IFERROR(__xludf.DUMMYFUNCTION("IFERROR(IF(COUNTIF(IMPORTRANGE(""1RTcwEJsI_0aJRebhNwO_H_AoKl9r46k7hWYbtciIyM4"",""Form Responses 1!B:B""),A530)&gt;0,10,),0)"),"")</f>
        <v/>
      </c>
      <c r="C530" s="70" t="str">
        <f>IFERROR(__xludf.DUMMYFUNCTION("IFERROR(VLOOKUP(A530,IMPORTRANGE(""11i8IUhq_U6RRKRV3CBWIKqYed_fMvFgNUHTq1YDJfp8"",""Form Responses 1!B:C""),2,FALSE),)"),"")</f>
        <v/>
      </c>
      <c r="D530" s="70" t="str">
        <f>IFERROR(__xludf.DUMMYFUNCTION("IFERROR(VLOOKUP(A530,IMPORTRANGE(""1StiHxuxrFhYdrq5WLR2JMORicW0TbnJf3J-oTHeMRtM"",""Form Responses 1!B:C""),2,FALSE),)"),"")</f>
        <v/>
      </c>
      <c r="E530" s="70" t="str">
        <f>IFERROR(__xludf.DUMMYFUNCTION("IFERROR(VLOOKUP(A530,IMPORTRANGE(""1QaxxyUjrDq2kgz300C1Bq1tacFk6e-xX218cSXCQUK0"",""Form Responses 1!B:C""),2,FALSE),)"),"")</f>
        <v/>
      </c>
      <c r="F530" s="70" t="str">
        <f>IFERROR(__xludf.DUMMYFUNCTION("IFERROR(VLOOKUP(A530,IMPORTRANGE(""1fn2ECph_y8Uz78DhjLaiXcwgt6kh3oe-0Le36Uw0noE"",""Form Responses 1!B:C""),2,FALSE),)"),"")</f>
        <v/>
      </c>
      <c r="G530" s="70"/>
      <c r="H530" s="70"/>
      <c r="I530" s="70"/>
      <c r="J530" s="70"/>
      <c r="K530" s="70"/>
      <c r="L530" s="70"/>
      <c r="M530" s="70"/>
      <c r="N530" s="70"/>
      <c r="O530" s="70"/>
      <c r="P530" s="70"/>
      <c r="Q530" s="70" t="str">
        <f>IFERROR(__xludf.DUMMYFUNCTION("IFERROR(IF(COUNTIF(IMPORTRANGE(""1WjiLR_MTMxI_IZUKuvPO4Sg2rTSIqBzP3edakSRXbOA"",""Form Responses 1!B:B""),F530)&gt;0,10,),0)"),"")</f>
        <v/>
      </c>
      <c r="R530" s="70" t="str">
        <f>IFERROR(__xludf.DUMMYFUNCTION("IFERROR(VLOOKUP(F530,IMPORTRANGE(""1Ixzbal5tEbtWhozsFEppQzOYE6ZSrkNXHg_HW5k3Wt4"",""Form Responses 1!B:C""),2,FALSE),)"),"")</f>
        <v/>
      </c>
      <c r="S530" s="70" t="str">
        <f>IFERROR(__xludf.DUMMYFUNCTION("IFERROR(VLOOKUP(F530,IMPORTRANGE(""1zxjtEKGvVIJPIDqZdnxENwVpPXYa88EihzyI44hcQUo"",""Form Responses 1!B:C""),2,FALSE),)"),"")</f>
        <v/>
      </c>
      <c r="T530" s="70" t="str">
        <f>IFERROR(__xludf.DUMMYFUNCTION("IFERROR(VLOOKUP(F530,IMPORTRANGE(""1H3cO01obd5zFULYqaT5NAqecZBFFIHeDFn4CeQLZF3w"",""Form Responses 1!B:C""),2,FALSE),)"),"")</f>
        <v/>
      </c>
      <c r="U530" s="70" t="str">
        <f>IFERROR(__xludf.DUMMYFUNCTION("IFERROR(IF(COUNTIF(IMPORTRANGE(""1IG9qoa6PeLdDDFzKpW39lxXshN0-M8Z25a_R1EpsYyg"",""Form Responses 1!B:B""),F530)&gt;0,10,),0)"),"")</f>
        <v/>
      </c>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row>
    <row r="531">
      <c r="B531" s="70" t="str">
        <f>IFERROR(__xludf.DUMMYFUNCTION("IFERROR(IF(COUNTIF(IMPORTRANGE(""1RTcwEJsI_0aJRebhNwO_H_AoKl9r46k7hWYbtciIyM4"",""Form Responses 1!B:B""),A531)&gt;0,10,),0)"),"")</f>
        <v/>
      </c>
      <c r="C531" s="70" t="str">
        <f>IFERROR(__xludf.DUMMYFUNCTION("IFERROR(VLOOKUP(A531,IMPORTRANGE(""11i8IUhq_U6RRKRV3CBWIKqYed_fMvFgNUHTq1YDJfp8"",""Form Responses 1!B:C""),2,FALSE),)"),"")</f>
        <v/>
      </c>
      <c r="D531" s="70" t="str">
        <f>IFERROR(__xludf.DUMMYFUNCTION("IFERROR(VLOOKUP(A531,IMPORTRANGE(""1StiHxuxrFhYdrq5WLR2JMORicW0TbnJf3J-oTHeMRtM"",""Form Responses 1!B:C""),2,FALSE),)"),"")</f>
        <v/>
      </c>
      <c r="E531" s="70" t="str">
        <f>IFERROR(__xludf.DUMMYFUNCTION("IFERROR(VLOOKUP(A531,IMPORTRANGE(""1QaxxyUjrDq2kgz300C1Bq1tacFk6e-xX218cSXCQUK0"",""Form Responses 1!B:C""),2,FALSE),)"),"")</f>
        <v/>
      </c>
      <c r="F531" s="70" t="str">
        <f>IFERROR(__xludf.DUMMYFUNCTION("IFERROR(VLOOKUP(A531,IMPORTRANGE(""1fn2ECph_y8Uz78DhjLaiXcwgt6kh3oe-0Le36Uw0noE"",""Form Responses 1!B:C""),2,FALSE),)"),"")</f>
        <v/>
      </c>
      <c r="G531" s="70"/>
      <c r="H531" s="70"/>
      <c r="I531" s="70"/>
      <c r="J531" s="70"/>
      <c r="K531" s="70"/>
      <c r="L531" s="70"/>
      <c r="M531" s="70"/>
      <c r="N531" s="70"/>
      <c r="O531" s="70"/>
      <c r="P531" s="70"/>
      <c r="Q531" s="70" t="str">
        <f>IFERROR(__xludf.DUMMYFUNCTION("IFERROR(IF(COUNTIF(IMPORTRANGE(""1WjiLR_MTMxI_IZUKuvPO4Sg2rTSIqBzP3edakSRXbOA"",""Form Responses 1!B:B""),F531)&gt;0,10,),0)"),"")</f>
        <v/>
      </c>
      <c r="R531" s="70" t="str">
        <f>IFERROR(__xludf.DUMMYFUNCTION("IFERROR(VLOOKUP(F531,IMPORTRANGE(""1Ixzbal5tEbtWhozsFEppQzOYE6ZSrkNXHg_HW5k3Wt4"",""Form Responses 1!B:C""),2,FALSE),)"),"")</f>
        <v/>
      </c>
      <c r="S531" s="70" t="str">
        <f>IFERROR(__xludf.DUMMYFUNCTION("IFERROR(VLOOKUP(F531,IMPORTRANGE(""1zxjtEKGvVIJPIDqZdnxENwVpPXYa88EihzyI44hcQUo"",""Form Responses 1!B:C""),2,FALSE),)"),"")</f>
        <v/>
      </c>
      <c r="T531" s="70" t="str">
        <f>IFERROR(__xludf.DUMMYFUNCTION("IFERROR(VLOOKUP(F531,IMPORTRANGE(""1H3cO01obd5zFULYqaT5NAqecZBFFIHeDFn4CeQLZF3w"",""Form Responses 1!B:C""),2,FALSE),)"),"")</f>
        <v/>
      </c>
      <c r="U531" s="70" t="str">
        <f>IFERROR(__xludf.DUMMYFUNCTION("IFERROR(IF(COUNTIF(IMPORTRANGE(""1IG9qoa6PeLdDDFzKpW39lxXshN0-M8Z25a_R1EpsYyg"",""Form Responses 1!B:B""),F531)&gt;0,10,),0)"),"")</f>
        <v/>
      </c>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row>
    <row r="532">
      <c r="B532" s="70" t="str">
        <f>IFERROR(__xludf.DUMMYFUNCTION("IFERROR(IF(COUNTIF(IMPORTRANGE(""1RTcwEJsI_0aJRebhNwO_H_AoKl9r46k7hWYbtciIyM4"",""Form Responses 1!B:B""),A532)&gt;0,10,),0)"),"")</f>
        <v/>
      </c>
      <c r="C532" s="70" t="str">
        <f>IFERROR(__xludf.DUMMYFUNCTION("IFERROR(VLOOKUP(A532,IMPORTRANGE(""11i8IUhq_U6RRKRV3CBWIKqYed_fMvFgNUHTq1YDJfp8"",""Form Responses 1!B:C""),2,FALSE),)"),"")</f>
        <v/>
      </c>
      <c r="D532" s="70" t="str">
        <f>IFERROR(__xludf.DUMMYFUNCTION("IFERROR(VLOOKUP(A532,IMPORTRANGE(""1StiHxuxrFhYdrq5WLR2JMORicW0TbnJf3J-oTHeMRtM"",""Form Responses 1!B:C""),2,FALSE),)"),"")</f>
        <v/>
      </c>
      <c r="E532" s="70" t="str">
        <f>IFERROR(__xludf.DUMMYFUNCTION("IFERROR(VLOOKUP(A532,IMPORTRANGE(""1QaxxyUjrDq2kgz300C1Bq1tacFk6e-xX218cSXCQUK0"",""Form Responses 1!B:C""),2,FALSE),)"),"")</f>
        <v/>
      </c>
      <c r="F532" s="70" t="str">
        <f>IFERROR(__xludf.DUMMYFUNCTION("IFERROR(VLOOKUP(A532,IMPORTRANGE(""1fn2ECph_y8Uz78DhjLaiXcwgt6kh3oe-0Le36Uw0noE"",""Form Responses 1!B:C""),2,FALSE),)"),"")</f>
        <v/>
      </c>
      <c r="G532" s="70"/>
      <c r="H532" s="70"/>
      <c r="I532" s="70"/>
      <c r="J532" s="70"/>
      <c r="K532" s="70"/>
      <c r="L532" s="70"/>
      <c r="M532" s="70"/>
      <c r="N532" s="70"/>
      <c r="O532" s="70"/>
      <c r="P532" s="70"/>
      <c r="Q532" s="70" t="str">
        <f>IFERROR(__xludf.DUMMYFUNCTION("IFERROR(IF(COUNTIF(IMPORTRANGE(""1WjiLR_MTMxI_IZUKuvPO4Sg2rTSIqBzP3edakSRXbOA"",""Form Responses 1!B:B""),F532)&gt;0,10,),0)"),"")</f>
        <v/>
      </c>
      <c r="R532" s="70" t="str">
        <f>IFERROR(__xludf.DUMMYFUNCTION("IFERROR(VLOOKUP(F532,IMPORTRANGE(""1Ixzbal5tEbtWhozsFEppQzOYE6ZSrkNXHg_HW5k3Wt4"",""Form Responses 1!B:C""),2,FALSE),)"),"")</f>
        <v/>
      </c>
      <c r="S532" s="70" t="str">
        <f>IFERROR(__xludf.DUMMYFUNCTION("IFERROR(VLOOKUP(F532,IMPORTRANGE(""1zxjtEKGvVIJPIDqZdnxENwVpPXYa88EihzyI44hcQUo"",""Form Responses 1!B:C""),2,FALSE),)"),"")</f>
        <v/>
      </c>
      <c r="T532" s="70" t="str">
        <f>IFERROR(__xludf.DUMMYFUNCTION("IFERROR(VLOOKUP(F532,IMPORTRANGE(""1H3cO01obd5zFULYqaT5NAqecZBFFIHeDFn4CeQLZF3w"",""Form Responses 1!B:C""),2,FALSE),)"),"")</f>
        <v/>
      </c>
      <c r="U532" s="70" t="str">
        <f>IFERROR(__xludf.DUMMYFUNCTION("IFERROR(IF(COUNTIF(IMPORTRANGE(""1IG9qoa6PeLdDDFzKpW39lxXshN0-M8Z25a_R1EpsYyg"",""Form Responses 1!B:B""),F532)&gt;0,10,),0)"),"")</f>
        <v/>
      </c>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row>
    <row r="533">
      <c r="B533" s="70" t="str">
        <f>IFERROR(__xludf.DUMMYFUNCTION("IFERROR(IF(COUNTIF(IMPORTRANGE(""1RTcwEJsI_0aJRebhNwO_H_AoKl9r46k7hWYbtciIyM4"",""Form Responses 1!B:B""),A533)&gt;0,10,),0)"),"")</f>
        <v/>
      </c>
      <c r="C533" s="70" t="str">
        <f>IFERROR(__xludf.DUMMYFUNCTION("IFERROR(VLOOKUP(A533,IMPORTRANGE(""11i8IUhq_U6RRKRV3CBWIKqYed_fMvFgNUHTq1YDJfp8"",""Form Responses 1!B:C""),2,FALSE),)"),"")</f>
        <v/>
      </c>
      <c r="D533" s="70" t="str">
        <f>IFERROR(__xludf.DUMMYFUNCTION("IFERROR(VLOOKUP(A533,IMPORTRANGE(""1StiHxuxrFhYdrq5WLR2JMORicW0TbnJf3J-oTHeMRtM"",""Form Responses 1!B:C""),2,FALSE),)"),"")</f>
        <v/>
      </c>
      <c r="E533" s="70" t="str">
        <f>IFERROR(__xludf.DUMMYFUNCTION("IFERROR(VLOOKUP(A533,IMPORTRANGE(""1QaxxyUjrDq2kgz300C1Bq1tacFk6e-xX218cSXCQUK0"",""Form Responses 1!B:C""),2,FALSE),)"),"")</f>
        <v/>
      </c>
      <c r="F533" s="70" t="str">
        <f>IFERROR(__xludf.DUMMYFUNCTION("IFERROR(VLOOKUP(A533,IMPORTRANGE(""1fn2ECph_y8Uz78DhjLaiXcwgt6kh3oe-0Le36Uw0noE"",""Form Responses 1!B:C""),2,FALSE),)"),"")</f>
        <v/>
      </c>
      <c r="G533" s="70"/>
      <c r="H533" s="70"/>
      <c r="I533" s="70"/>
      <c r="J533" s="70"/>
      <c r="K533" s="70"/>
      <c r="L533" s="70"/>
      <c r="M533" s="70"/>
      <c r="N533" s="70"/>
      <c r="O533" s="70"/>
      <c r="P533" s="70"/>
      <c r="Q533" s="70" t="str">
        <f>IFERROR(__xludf.DUMMYFUNCTION("IFERROR(IF(COUNTIF(IMPORTRANGE(""1WjiLR_MTMxI_IZUKuvPO4Sg2rTSIqBzP3edakSRXbOA"",""Form Responses 1!B:B""),F533)&gt;0,10,),0)"),"")</f>
        <v/>
      </c>
      <c r="R533" s="70" t="str">
        <f>IFERROR(__xludf.DUMMYFUNCTION("IFERROR(VLOOKUP(F533,IMPORTRANGE(""1Ixzbal5tEbtWhozsFEppQzOYE6ZSrkNXHg_HW5k3Wt4"",""Form Responses 1!B:C""),2,FALSE),)"),"")</f>
        <v/>
      </c>
      <c r="S533" s="70" t="str">
        <f>IFERROR(__xludf.DUMMYFUNCTION("IFERROR(VLOOKUP(F533,IMPORTRANGE(""1zxjtEKGvVIJPIDqZdnxENwVpPXYa88EihzyI44hcQUo"",""Form Responses 1!B:C""),2,FALSE),)"),"")</f>
        <v/>
      </c>
      <c r="T533" s="70" t="str">
        <f>IFERROR(__xludf.DUMMYFUNCTION("IFERROR(VLOOKUP(F533,IMPORTRANGE(""1H3cO01obd5zFULYqaT5NAqecZBFFIHeDFn4CeQLZF3w"",""Form Responses 1!B:C""),2,FALSE),)"),"")</f>
        <v/>
      </c>
      <c r="U533" s="70" t="str">
        <f>IFERROR(__xludf.DUMMYFUNCTION("IFERROR(IF(COUNTIF(IMPORTRANGE(""1IG9qoa6PeLdDDFzKpW39lxXshN0-M8Z25a_R1EpsYyg"",""Form Responses 1!B:B""),F533)&gt;0,10,),0)"),"")</f>
        <v/>
      </c>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row>
    <row r="534">
      <c r="B534" s="70" t="str">
        <f>IFERROR(__xludf.DUMMYFUNCTION("IFERROR(IF(COUNTIF(IMPORTRANGE(""1RTcwEJsI_0aJRebhNwO_H_AoKl9r46k7hWYbtciIyM4"",""Form Responses 1!B:B""),A534)&gt;0,10,),0)"),"")</f>
        <v/>
      </c>
      <c r="C534" s="70" t="str">
        <f>IFERROR(__xludf.DUMMYFUNCTION("IFERROR(VLOOKUP(A534,IMPORTRANGE(""11i8IUhq_U6RRKRV3CBWIKqYed_fMvFgNUHTq1YDJfp8"",""Form Responses 1!B:C""),2,FALSE),)"),"")</f>
        <v/>
      </c>
      <c r="D534" s="70" t="str">
        <f>IFERROR(__xludf.DUMMYFUNCTION("IFERROR(VLOOKUP(A534,IMPORTRANGE(""1StiHxuxrFhYdrq5WLR2JMORicW0TbnJf3J-oTHeMRtM"",""Form Responses 1!B:C""),2,FALSE),)"),"")</f>
        <v/>
      </c>
      <c r="E534" s="70" t="str">
        <f>IFERROR(__xludf.DUMMYFUNCTION("IFERROR(VLOOKUP(A534,IMPORTRANGE(""1QaxxyUjrDq2kgz300C1Bq1tacFk6e-xX218cSXCQUK0"",""Form Responses 1!B:C""),2,FALSE),)"),"")</f>
        <v/>
      </c>
      <c r="F534" s="70" t="str">
        <f>IFERROR(__xludf.DUMMYFUNCTION("IFERROR(VLOOKUP(A534,IMPORTRANGE(""1fn2ECph_y8Uz78DhjLaiXcwgt6kh3oe-0Le36Uw0noE"",""Form Responses 1!B:C""),2,FALSE),)"),"")</f>
        <v/>
      </c>
      <c r="G534" s="70"/>
      <c r="H534" s="70"/>
      <c r="I534" s="70"/>
      <c r="J534" s="70"/>
      <c r="K534" s="70"/>
      <c r="L534" s="70"/>
      <c r="M534" s="70"/>
      <c r="N534" s="70"/>
      <c r="O534" s="70"/>
      <c r="P534" s="70"/>
      <c r="Q534" s="70" t="str">
        <f>IFERROR(__xludf.DUMMYFUNCTION("IFERROR(IF(COUNTIF(IMPORTRANGE(""1WjiLR_MTMxI_IZUKuvPO4Sg2rTSIqBzP3edakSRXbOA"",""Form Responses 1!B:B""),F534)&gt;0,10,),0)"),"")</f>
        <v/>
      </c>
      <c r="R534" s="70" t="str">
        <f>IFERROR(__xludf.DUMMYFUNCTION("IFERROR(VLOOKUP(F534,IMPORTRANGE(""1Ixzbal5tEbtWhozsFEppQzOYE6ZSrkNXHg_HW5k3Wt4"",""Form Responses 1!B:C""),2,FALSE),)"),"")</f>
        <v/>
      </c>
      <c r="S534" s="70" t="str">
        <f>IFERROR(__xludf.DUMMYFUNCTION("IFERROR(VLOOKUP(F534,IMPORTRANGE(""1zxjtEKGvVIJPIDqZdnxENwVpPXYa88EihzyI44hcQUo"",""Form Responses 1!B:C""),2,FALSE),)"),"")</f>
        <v/>
      </c>
      <c r="T534" s="70" t="str">
        <f>IFERROR(__xludf.DUMMYFUNCTION("IFERROR(VLOOKUP(F534,IMPORTRANGE(""1H3cO01obd5zFULYqaT5NAqecZBFFIHeDFn4CeQLZF3w"",""Form Responses 1!B:C""),2,FALSE),)"),"")</f>
        <v/>
      </c>
      <c r="U534" s="70" t="str">
        <f>IFERROR(__xludf.DUMMYFUNCTION("IFERROR(IF(COUNTIF(IMPORTRANGE(""1IG9qoa6PeLdDDFzKpW39lxXshN0-M8Z25a_R1EpsYyg"",""Form Responses 1!B:B""),F534)&gt;0,10,),0)"),"")</f>
        <v/>
      </c>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row>
    <row r="535">
      <c r="B535" s="70" t="str">
        <f>IFERROR(__xludf.DUMMYFUNCTION("IFERROR(IF(COUNTIF(IMPORTRANGE(""1RTcwEJsI_0aJRebhNwO_H_AoKl9r46k7hWYbtciIyM4"",""Form Responses 1!B:B""),A535)&gt;0,10,),0)"),"")</f>
        <v/>
      </c>
      <c r="C535" s="70" t="str">
        <f>IFERROR(__xludf.DUMMYFUNCTION("IFERROR(VLOOKUP(A535,IMPORTRANGE(""11i8IUhq_U6RRKRV3CBWIKqYed_fMvFgNUHTq1YDJfp8"",""Form Responses 1!B:C""),2,FALSE),)"),"")</f>
        <v/>
      </c>
      <c r="D535" s="70" t="str">
        <f>IFERROR(__xludf.DUMMYFUNCTION("IFERROR(VLOOKUP(A535,IMPORTRANGE(""1StiHxuxrFhYdrq5WLR2JMORicW0TbnJf3J-oTHeMRtM"",""Form Responses 1!B:C""),2,FALSE),)"),"")</f>
        <v/>
      </c>
      <c r="E535" s="70" t="str">
        <f>IFERROR(__xludf.DUMMYFUNCTION("IFERROR(VLOOKUP(A535,IMPORTRANGE(""1QaxxyUjrDq2kgz300C1Bq1tacFk6e-xX218cSXCQUK0"",""Form Responses 1!B:C""),2,FALSE),)"),"")</f>
        <v/>
      </c>
      <c r="F535" s="70" t="str">
        <f>IFERROR(__xludf.DUMMYFUNCTION("IFERROR(VLOOKUP(A535,IMPORTRANGE(""1fn2ECph_y8Uz78DhjLaiXcwgt6kh3oe-0Le36Uw0noE"",""Form Responses 1!B:C""),2,FALSE),)"),"")</f>
        <v/>
      </c>
      <c r="G535" s="70"/>
      <c r="H535" s="70"/>
      <c r="I535" s="70"/>
      <c r="J535" s="70"/>
      <c r="K535" s="70"/>
      <c r="L535" s="70"/>
      <c r="M535" s="70"/>
      <c r="N535" s="70"/>
      <c r="O535" s="70"/>
      <c r="P535" s="70"/>
      <c r="Q535" s="70" t="str">
        <f>IFERROR(__xludf.DUMMYFUNCTION("IFERROR(IF(COUNTIF(IMPORTRANGE(""1WjiLR_MTMxI_IZUKuvPO4Sg2rTSIqBzP3edakSRXbOA"",""Form Responses 1!B:B""),F535)&gt;0,10,),0)"),"")</f>
        <v/>
      </c>
      <c r="R535" s="70" t="str">
        <f>IFERROR(__xludf.DUMMYFUNCTION("IFERROR(VLOOKUP(F535,IMPORTRANGE(""1Ixzbal5tEbtWhozsFEppQzOYE6ZSrkNXHg_HW5k3Wt4"",""Form Responses 1!B:C""),2,FALSE),)"),"")</f>
        <v/>
      </c>
      <c r="S535" s="70" t="str">
        <f>IFERROR(__xludf.DUMMYFUNCTION("IFERROR(VLOOKUP(F535,IMPORTRANGE(""1zxjtEKGvVIJPIDqZdnxENwVpPXYa88EihzyI44hcQUo"",""Form Responses 1!B:C""),2,FALSE),)"),"")</f>
        <v/>
      </c>
      <c r="T535" s="70" t="str">
        <f>IFERROR(__xludf.DUMMYFUNCTION("IFERROR(VLOOKUP(F535,IMPORTRANGE(""1H3cO01obd5zFULYqaT5NAqecZBFFIHeDFn4CeQLZF3w"",""Form Responses 1!B:C""),2,FALSE),)"),"")</f>
        <v/>
      </c>
      <c r="U535" s="70" t="str">
        <f>IFERROR(__xludf.DUMMYFUNCTION("IFERROR(IF(COUNTIF(IMPORTRANGE(""1IG9qoa6PeLdDDFzKpW39lxXshN0-M8Z25a_R1EpsYyg"",""Form Responses 1!B:B""),F535)&gt;0,10,),0)"),"")</f>
        <v/>
      </c>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row>
    <row r="536">
      <c r="B536" s="70" t="str">
        <f>IFERROR(__xludf.DUMMYFUNCTION("IFERROR(IF(COUNTIF(IMPORTRANGE(""1RTcwEJsI_0aJRebhNwO_H_AoKl9r46k7hWYbtciIyM4"",""Form Responses 1!B:B""),A536)&gt;0,10,),0)"),"")</f>
        <v/>
      </c>
      <c r="C536" s="70" t="str">
        <f>IFERROR(__xludf.DUMMYFUNCTION("IFERROR(VLOOKUP(A536,IMPORTRANGE(""11i8IUhq_U6RRKRV3CBWIKqYed_fMvFgNUHTq1YDJfp8"",""Form Responses 1!B:C""),2,FALSE),)"),"")</f>
        <v/>
      </c>
      <c r="D536" s="70" t="str">
        <f>IFERROR(__xludf.DUMMYFUNCTION("IFERROR(VLOOKUP(A536,IMPORTRANGE(""1StiHxuxrFhYdrq5WLR2JMORicW0TbnJf3J-oTHeMRtM"",""Form Responses 1!B:C""),2,FALSE),)"),"")</f>
        <v/>
      </c>
      <c r="E536" s="70" t="str">
        <f>IFERROR(__xludf.DUMMYFUNCTION("IFERROR(VLOOKUP(A536,IMPORTRANGE(""1QaxxyUjrDq2kgz300C1Bq1tacFk6e-xX218cSXCQUK0"",""Form Responses 1!B:C""),2,FALSE),)"),"")</f>
        <v/>
      </c>
      <c r="F536" s="70" t="str">
        <f>IFERROR(__xludf.DUMMYFUNCTION("IFERROR(VLOOKUP(A536,IMPORTRANGE(""1fn2ECph_y8Uz78DhjLaiXcwgt6kh3oe-0Le36Uw0noE"",""Form Responses 1!B:C""),2,FALSE),)"),"")</f>
        <v/>
      </c>
      <c r="G536" s="70"/>
      <c r="H536" s="70"/>
      <c r="I536" s="70"/>
      <c r="J536" s="70"/>
      <c r="K536" s="70"/>
      <c r="L536" s="70"/>
      <c r="M536" s="70"/>
      <c r="N536" s="70"/>
      <c r="O536" s="70"/>
      <c r="P536" s="70"/>
      <c r="Q536" s="70" t="str">
        <f>IFERROR(__xludf.DUMMYFUNCTION("IFERROR(IF(COUNTIF(IMPORTRANGE(""1WjiLR_MTMxI_IZUKuvPO4Sg2rTSIqBzP3edakSRXbOA"",""Form Responses 1!B:B""),F536)&gt;0,10,),0)"),"")</f>
        <v/>
      </c>
      <c r="R536" s="70" t="str">
        <f>IFERROR(__xludf.DUMMYFUNCTION("IFERROR(VLOOKUP(F536,IMPORTRANGE(""1Ixzbal5tEbtWhozsFEppQzOYE6ZSrkNXHg_HW5k3Wt4"",""Form Responses 1!B:C""),2,FALSE),)"),"")</f>
        <v/>
      </c>
      <c r="S536" s="70" t="str">
        <f>IFERROR(__xludf.DUMMYFUNCTION("IFERROR(VLOOKUP(F536,IMPORTRANGE(""1zxjtEKGvVIJPIDqZdnxENwVpPXYa88EihzyI44hcQUo"",""Form Responses 1!B:C""),2,FALSE),)"),"")</f>
        <v/>
      </c>
      <c r="T536" s="70" t="str">
        <f>IFERROR(__xludf.DUMMYFUNCTION("IFERROR(VLOOKUP(F536,IMPORTRANGE(""1H3cO01obd5zFULYqaT5NAqecZBFFIHeDFn4CeQLZF3w"",""Form Responses 1!B:C""),2,FALSE),)"),"")</f>
        <v/>
      </c>
      <c r="U536" s="70" t="str">
        <f>IFERROR(__xludf.DUMMYFUNCTION("IFERROR(IF(COUNTIF(IMPORTRANGE(""1IG9qoa6PeLdDDFzKpW39lxXshN0-M8Z25a_R1EpsYyg"",""Form Responses 1!B:B""),F536)&gt;0,10,),0)"),"")</f>
        <v/>
      </c>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row>
    <row r="537">
      <c r="B537" s="70" t="str">
        <f>IFERROR(__xludf.DUMMYFUNCTION("IFERROR(IF(COUNTIF(IMPORTRANGE(""1RTcwEJsI_0aJRebhNwO_H_AoKl9r46k7hWYbtciIyM4"",""Form Responses 1!B:B""),A537)&gt;0,10,),0)"),"")</f>
        <v/>
      </c>
      <c r="C537" s="70" t="str">
        <f>IFERROR(__xludf.DUMMYFUNCTION("IFERROR(VLOOKUP(A537,IMPORTRANGE(""11i8IUhq_U6RRKRV3CBWIKqYed_fMvFgNUHTq1YDJfp8"",""Form Responses 1!B:C""),2,FALSE),)"),"")</f>
        <v/>
      </c>
      <c r="D537" s="70" t="str">
        <f>IFERROR(__xludf.DUMMYFUNCTION("IFERROR(VLOOKUP(A537,IMPORTRANGE(""1StiHxuxrFhYdrq5WLR2JMORicW0TbnJf3J-oTHeMRtM"",""Form Responses 1!B:C""),2,FALSE),)"),"")</f>
        <v/>
      </c>
      <c r="E537" s="70" t="str">
        <f>IFERROR(__xludf.DUMMYFUNCTION("IFERROR(VLOOKUP(A537,IMPORTRANGE(""1QaxxyUjrDq2kgz300C1Bq1tacFk6e-xX218cSXCQUK0"",""Form Responses 1!B:C""),2,FALSE),)"),"")</f>
        <v/>
      </c>
      <c r="F537" s="70" t="str">
        <f>IFERROR(__xludf.DUMMYFUNCTION("IFERROR(VLOOKUP(A537,IMPORTRANGE(""1fn2ECph_y8Uz78DhjLaiXcwgt6kh3oe-0Le36Uw0noE"",""Form Responses 1!B:C""),2,FALSE),)"),"")</f>
        <v/>
      </c>
      <c r="G537" s="70"/>
      <c r="H537" s="70"/>
      <c r="I537" s="70"/>
      <c r="J537" s="70"/>
      <c r="K537" s="70"/>
      <c r="L537" s="70"/>
      <c r="M537" s="70"/>
      <c r="N537" s="70"/>
      <c r="O537" s="70"/>
      <c r="P537" s="70"/>
      <c r="Q537" s="70" t="str">
        <f>IFERROR(__xludf.DUMMYFUNCTION("IFERROR(IF(COUNTIF(IMPORTRANGE(""1WjiLR_MTMxI_IZUKuvPO4Sg2rTSIqBzP3edakSRXbOA"",""Form Responses 1!B:B""),F537)&gt;0,10,),0)"),"")</f>
        <v/>
      </c>
      <c r="R537" s="70" t="str">
        <f>IFERROR(__xludf.DUMMYFUNCTION("IFERROR(VLOOKUP(F537,IMPORTRANGE(""1Ixzbal5tEbtWhozsFEppQzOYE6ZSrkNXHg_HW5k3Wt4"",""Form Responses 1!B:C""),2,FALSE),)"),"")</f>
        <v/>
      </c>
      <c r="S537" s="70" t="str">
        <f>IFERROR(__xludf.DUMMYFUNCTION("IFERROR(VLOOKUP(F537,IMPORTRANGE(""1zxjtEKGvVIJPIDqZdnxENwVpPXYa88EihzyI44hcQUo"",""Form Responses 1!B:C""),2,FALSE),)"),"")</f>
        <v/>
      </c>
      <c r="T537" s="70" t="str">
        <f>IFERROR(__xludf.DUMMYFUNCTION("IFERROR(VLOOKUP(F537,IMPORTRANGE(""1H3cO01obd5zFULYqaT5NAqecZBFFIHeDFn4CeQLZF3w"",""Form Responses 1!B:C""),2,FALSE),)"),"")</f>
        <v/>
      </c>
      <c r="U537" s="70" t="str">
        <f>IFERROR(__xludf.DUMMYFUNCTION("IFERROR(IF(COUNTIF(IMPORTRANGE(""1IG9qoa6PeLdDDFzKpW39lxXshN0-M8Z25a_R1EpsYyg"",""Form Responses 1!B:B""),F537)&gt;0,10,),0)"),"")</f>
        <v/>
      </c>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row>
    <row r="538">
      <c r="B538" s="70" t="str">
        <f>IFERROR(__xludf.DUMMYFUNCTION("IFERROR(IF(COUNTIF(IMPORTRANGE(""1RTcwEJsI_0aJRebhNwO_H_AoKl9r46k7hWYbtciIyM4"",""Form Responses 1!B:B""),A538)&gt;0,10,),0)"),"")</f>
        <v/>
      </c>
      <c r="C538" s="70" t="str">
        <f>IFERROR(__xludf.DUMMYFUNCTION("IFERROR(VLOOKUP(A538,IMPORTRANGE(""11i8IUhq_U6RRKRV3CBWIKqYed_fMvFgNUHTq1YDJfp8"",""Form Responses 1!B:C""),2,FALSE),)"),"")</f>
        <v/>
      </c>
      <c r="D538" s="70" t="str">
        <f>IFERROR(__xludf.DUMMYFUNCTION("IFERROR(VLOOKUP(A538,IMPORTRANGE(""1StiHxuxrFhYdrq5WLR2JMORicW0TbnJf3J-oTHeMRtM"",""Form Responses 1!B:C""),2,FALSE),)"),"")</f>
        <v/>
      </c>
      <c r="E538" s="70" t="str">
        <f>IFERROR(__xludf.DUMMYFUNCTION("IFERROR(VLOOKUP(A538,IMPORTRANGE(""1QaxxyUjrDq2kgz300C1Bq1tacFk6e-xX218cSXCQUK0"",""Form Responses 1!B:C""),2,FALSE),)"),"")</f>
        <v/>
      </c>
      <c r="F538" s="70" t="str">
        <f>IFERROR(__xludf.DUMMYFUNCTION("IFERROR(VLOOKUP(A538,IMPORTRANGE(""1fn2ECph_y8Uz78DhjLaiXcwgt6kh3oe-0Le36Uw0noE"",""Form Responses 1!B:C""),2,FALSE),)"),"")</f>
        <v/>
      </c>
      <c r="G538" s="70"/>
      <c r="H538" s="70"/>
      <c r="I538" s="70"/>
      <c r="J538" s="70"/>
      <c r="K538" s="70"/>
      <c r="L538" s="70"/>
      <c r="M538" s="70"/>
      <c r="N538" s="70"/>
      <c r="O538" s="70"/>
      <c r="P538" s="70"/>
      <c r="Q538" s="70" t="str">
        <f>IFERROR(__xludf.DUMMYFUNCTION("IFERROR(IF(COUNTIF(IMPORTRANGE(""1WjiLR_MTMxI_IZUKuvPO4Sg2rTSIqBzP3edakSRXbOA"",""Form Responses 1!B:B""),F538)&gt;0,10,),0)"),"")</f>
        <v/>
      </c>
      <c r="R538" s="70" t="str">
        <f>IFERROR(__xludf.DUMMYFUNCTION("IFERROR(VLOOKUP(F538,IMPORTRANGE(""1Ixzbal5tEbtWhozsFEppQzOYE6ZSrkNXHg_HW5k3Wt4"",""Form Responses 1!B:C""),2,FALSE),)"),"")</f>
        <v/>
      </c>
      <c r="S538" s="70" t="str">
        <f>IFERROR(__xludf.DUMMYFUNCTION("IFERROR(VLOOKUP(F538,IMPORTRANGE(""1zxjtEKGvVIJPIDqZdnxENwVpPXYa88EihzyI44hcQUo"",""Form Responses 1!B:C""),2,FALSE),)"),"")</f>
        <v/>
      </c>
      <c r="T538" s="70" t="str">
        <f>IFERROR(__xludf.DUMMYFUNCTION("IFERROR(VLOOKUP(F538,IMPORTRANGE(""1H3cO01obd5zFULYqaT5NAqecZBFFIHeDFn4CeQLZF3w"",""Form Responses 1!B:C""),2,FALSE),)"),"")</f>
        <v/>
      </c>
      <c r="U538" s="70" t="str">
        <f>IFERROR(__xludf.DUMMYFUNCTION("IFERROR(IF(COUNTIF(IMPORTRANGE(""1IG9qoa6PeLdDDFzKpW39lxXshN0-M8Z25a_R1EpsYyg"",""Form Responses 1!B:B""),F538)&gt;0,10,),0)"),"")</f>
        <v/>
      </c>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row>
    <row r="539">
      <c r="B539" s="70" t="str">
        <f>IFERROR(__xludf.DUMMYFUNCTION("IFERROR(IF(COUNTIF(IMPORTRANGE(""1RTcwEJsI_0aJRebhNwO_H_AoKl9r46k7hWYbtciIyM4"",""Form Responses 1!B:B""),A539)&gt;0,10,),0)"),"")</f>
        <v/>
      </c>
      <c r="C539" s="70" t="str">
        <f>IFERROR(__xludf.DUMMYFUNCTION("IFERROR(VLOOKUP(A539,IMPORTRANGE(""11i8IUhq_U6RRKRV3CBWIKqYed_fMvFgNUHTq1YDJfp8"",""Form Responses 1!B:C""),2,FALSE),)"),"")</f>
        <v/>
      </c>
      <c r="D539" s="70" t="str">
        <f>IFERROR(__xludf.DUMMYFUNCTION("IFERROR(VLOOKUP(A539,IMPORTRANGE(""1StiHxuxrFhYdrq5WLR2JMORicW0TbnJf3J-oTHeMRtM"",""Form Responses 1!B:C""),2,FALSE),)"),"")</f>
        <v/>
      </c>
      <c r="E539" s="70" t="str">
        <f>IFERROR(__xludf.DUMMYFUNCTION("IFERROR(VLOOKUP(A539,IMPORTRANGE(""1QaxxyUjrDq2kgz300C1Bq1tacFk6e-xX218cSXCQUK0"",""Form Responses 1!B:C""),2,FALSE),)"),"")</f>
        <v/>
      </c>
      <c r="F539" s="70" t="str">
        <f>IFERROR(__xludf.DUMMYFUNCTION("IFERROR(VLOOKUP(A539,IMPORTRANGE(""1fn2ECph_y8Uz78DhjLaiXcwgt6kh3oe-0Le36Uw0noE"",""Form Responses 1!B:C""),2,FALSE),)"),"")</f>
        <v/>
      </c>
      <c r="G539" s="70"/>
      <c r="H539" s="70"/>
      <c r="I539" s="70"/>
      <c r="J539" s="70"/>
      <c r="K539" s="70"/>
      <c r="L539" s="70"/>
      <c r="M539" s="70"/>
      <c r="N539" s="70"/>
      <c r="O539" s="70"/>
      <c r="P539" s="70"/>
      <c r="Q539" s="70" t="str">
        <f>IFERROR(__xludf.DUMMYFUNCTION("IFERROR(IF(COUNTIF(IMPORTRANGE(""1WjiLR_MTMxI_IZUKuvPO4Sg2rTSIqBzP3edakSRXbOA"",""Form Responses 1!B:B""),F539)&gt;0,10,),0)"),"")</f>
        <v/>
      </c>
      <c r="R539" s="70" t="str">
        <f>IFERROR(__xludf.DUMMYFUNCTION("IFERROR(VLOOKUP(F539,IMPORTRANGE(""1Ixzbal5tEbtWhozsFEppQzOYE6ZSrkNXHg_HW5k3Wt4"",""Form Responses 1!B:C""),2,FALSE),)"),"")</f>
        <v/>
      </c>
      <c r="S539" s="70" t="str">
        <f>IFERROR(__xludf.DUMMYFUNCTION("IFERROR(VLOOKUP(F539,IMPORTRANGE(""1zxjtEKGvVIJPIDqZdnxENwVpPXYa88EihzyI44hcQUo"",""Form Responses 1!B:C""),2,FALSE),)"),"")</f>
        <v/>
      </c>
      <c r="T539" s="70" t="str">
        <f>IFERROR(__xludf.DUMMYFUNCTION("IFERROR(VLOOKUP(F539,IMPORTRANGE(""1H3cO01obd5zFULYqaT5NAqecZBFFIHeDFn4CeQLZF3w"",""Form Responses 1!B:C""),2,FALSE),)"),"")</f>
        <v/>
      </c>
      <c r="U539" s="70" t="str">
        <f>IFERROR(__xludf.DUMMYFUNCTION("IFERROR(IF(COUNTIF(IMPORTRANGE(""1IG9qoa6PeLdDDFzKpW39lxXshN0-M8Z25a_R1EpsYyg"",""Form Responses 1!B:B""),F539)&gt;0,10,),0)"),"")</f>
        <v/>
      </c>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row>
    <row r="540">
      <c r="B540" s="70" t="str">
        <f>IFERROR(__xludf.DUMMYFUNCTION("IFERROR(IF(COUNTIF(IMPORTRANGE(""1RTcwEJsI_0aJRebhNwO_H_AoKl9r46k7hWYbtciIyM4"",""Form Responses 1!B:B""),A540)&gt;0,10,),0)"),"")</f>
        <v/>
      </c>
      <c r="C540" s="70" t="str">
        <f>IFERROR(__xludf.DUMMYFUNCTION("IFERROR(VLOOKUP(A540,IMPORTRANGE(""11i8IUhq_U6RRKRV3CBWIKqYed_fMvFgNUHTq1YDJfp8"",""Form Responses 1!B:C""),2,FALSE),)"),"")</f>
        <v/>
      </c>
      <c r="D540" s="70" t="str">
        <f>IFERROR(__xludf.DUMMYFUNCTION("IFERROR(VLOOKUP(A540,IMPORTRANGE(""1StiHxuxrFhYdrq5WLR2JMORicW0TbnJf3J-oTHeMRtM"",""Form Responses 1!B:C""),2,FALSE),)"),"")</f>
        <v/>
      </c>
      <c r="E540" s="70" t="str">
        <f>IFERROR(__xludf.DUMMYFUNCTION("IFERROR(VLOOKUP(A540,IMPORTRANGE(""1QaxxyUjrDq2kgz300C1Bq1tacFk6e-xX218cSXCQUK0"",""Form Responses 1!B:C""),2,FALSE),)"),"")</f>
        <v/>
      </c>
      <c r="F540" s="70" t="str">
        <f>IFERROR(__xludf.DUMMYFUNCTION("IFERROR(VLOOKUP(A540,IMPORTRANGE(""1fn2ECph_y8Uz78DhjLaiXcwgt6kh3oe-0Le36Uw0noE"",""Form Responses 1!B:C""),2,FALSE),)"),"")</f>
        <v/>
      </c>
      <c r="G540" s="70"/>
      <c r="H540" s="70"/>
      <c r="I540" s="70"/>
      <c r="J540" s="70"/>
      <c r="K540" s="70"/>
      <c r="L540" s="70"/>
      <c r="M540" s="70"/>
      <c r="N540" s="70"/>
      <c r="O540" s="70"/>
      <c r="P540" s="70"/>
      <c r="Q540" s="70" t="str">
        <f>IFERROR(__xludf.DUMMYFUNCTION("IFERROR(IF(COUNTIF(IMPORTRANGE(""1WjiLR_MTMxI_IZUKuvPO4Sg2rTSIqBzP3edakSRXbOA"",""Form Responses 1!B:B""),F540)&gt;0,10,),0)"),"")</f>
        <v/>
      </c>
      <c r="R540" s="70" t="str">
        <f>IFERROR(__xludf.DUMMYFUNCTION("IFERROR(VLOOKUP(F540,IMPORTRANGE(""1Ixzbal5tEbtWhozsFEppQzOYE6ZSrkNXHg_HW5k3Wt4"",""Form Responses 1!B:C""),2,FALSE),)"),"")</f>
        <v/>
      </c>
      <c r="S540" s="70" t="str">
        <f>IFERROR(__xludf.DUMMYFUNCTION("IFERROR(VLOOKUP(F540,IMPORTRANGE(""1zxjtEKGvVIJPIDqZdnxENwVpPXYa88EihzyI44hcQUo"",""Form Responses 1!B:C""),2,FALSE),)"),"")</f>
        <v/>
      </c>
      <c r="T540" s="70" t="str">
        <f>IFERROR(__xludf.DUMMYFUNCTION("IFERROR(VLOOKUP(F540,IMPORTRANGE(""1H3cO01obd5zFULYqaT5NAqecZBFFIHeDFn4CeQLZF3w"",""Form Responses 1!B:C""),2,FALSE),)"),"")</f>
        <v/>
      </c>
      <c r="U540" s="70" t="str">
        <f>IFERROR(__xludf.DUMMYFUNCTION("IFERROR(IF(COUNTIF(IMPORTRANGE(""1IG9qoa6PeLdDDFzKpW39lxXshN0-M8Z25a_R1EpsYyg"",""Form Responses 1!B:B""),F540)&gt;0,10,),0)"),"")</f>
        <v/>
      </c>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row>
    <row r="541">
      <c r="B541" s="70" t="str">
        <f>IFERROR(__xludf.DUMMYFUNCTION("IFERROR(IF(COUNTIF(IMPORTRANGE(""1RTcwEJsI_0aJRebhNwO_H_AoKl9r46k7hWYbtciIyM4"",""Form Responses 1!B:B""),A541)&gt;0,10,),0)"),"")</f>
        <v/>
      </c>
      <c r="C541" s="70" t="str">
        <f>IFERROR(__xludf.DUMMYFUNCTION("IFERROR(VLOOKUP(A541,IMPORTRANGE(""11i8IUhq_U6RRKRV3CBWIKqYed_fMvFgNUHTq1YDJfp8"",""Form Responses 1!B:C""),2,FALSE),)"),"")</f>
        <v/>
      </c>
      <c r="D541" s="70" t="str">
        <f>IFERROR(__xludf.DUMMYFUNCTION("IFERROR(VLOOKUP(A541,IMPORTRANGE(""1StiHxuxrFhYdrq5WLR2JMORicW0TbnJf3J-oTHeMRtM"",""Form Responses 1!B:C""),2,FALSE),)"),"")</f>
        <v/>
      </c>
      <c r="E541" s="70" t="str">
        <f>IFERROR(__xludf.DUMMYFUNCTION("IFERROR(VLOOKUP(A541,IMPORTRANGE(""1QaxxyUjrDq2kgz300C1Bq1tacFk6e-xX218cSXCQUK0"",""Form Responses 1!B:C""),2,FALSE),)"),"")</f>
        <v/>
      </c>
      <c r="F541" s="70" t="str">
        <f>IFERROR(__xludf.DUMMYFUNCTION("IFERROR(VLOOKUP(A541,IMPORTRANGE(""1fn2ECph_y8Uz78DhjLaiXcwgt6kh3oe-0Le36Uw0noE"",""Form Responses 1!B:C""),2,FALSE),)"),"")</f>
        <v/>
      </c>
      <c r="G541" s="70"/>
      <c r="H541" s="70"/>
      <c r="I541" s="70"/>
      <c r="J541" s="70"/>
      <c r="K541" s="70"/>
      <c r="L541" s="70"/>
      <c r="M541" s="70"/>
      <c r="N541" s="70"/>
      <c r="O541" s="70"/>
      <c r="P541" s="70"/>
      <c r="Q541" s="70" t="str">
        <f>IFERROR(__xludf.DUMMYFUNCTION("IFERROR(IF(COUNTIF(IMPORTRANGE(""1WjiLR_MTMxI_IZUKuvPO4Sg2rTSIqBzP3edakSRXbOA"",""Form Responses 1!B:B""),F541)&gt;0,10,),0)"),"")</f>
        <v/>
      </c>
      <c r="R541" s="70" t="str">
        <f>IFERROR(__xludf.DUMMYFUNCTION("IFERROR(VLOOKUP(F541,IMPORTRANGE(""1Ixzbal5tEbtWhozsFEppQzOYE6ZSrkNXHg_HW5k3Wt4"",""Form Responses 1!B:C""),2,FALSE),)"),"")</f>
        <v/>
      </c>
      <c r="S541" s="70" t="str">
        <f>IFERROR(__xludf.DUMMYFUNCTION("IFERROR(VLOOKUP(F541,IMPORTRANGE(""1zxjtEKGvVIJPIDqZdnxENwVpPXYa88EihzyI44hcQUo"",""Form Responses 1!B:C""),2,FALSE),)"),"")</f>
        <v/>
      </c>
      <c r="T541" s="70" t="str">
        <f>IFERROR(__xludf.DUMMYFUNCTION("IFERROR(VLOOKUP(F541,IMPORTRANGE(""1H3cO01obd5zFULYqaT5NAqecZBFFIHeDFn4CeQLZF3w"",""Form Responses 1!B:C""),2,FALSE),)"),"")</f>
        <v/>
      </c>
      <c r="U541" s="70" t="str">
        <f>IFERROR(__xludf.DUMMYFUNCTION("IFERROR(IF(COUNTIF(IMPORTRANGE(""1IG9qoa6PeLdDDFzKpW39lxXshN0-M8Z25a_R1EpsYyg"",""Form Responses 1!B:B""),F541)&gt;0,10,),0)"),"")</f>
        <v/>
      </c>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row>
    <row r="542">
      <c r="B542" s="70" t="str">
        <f>IFERROR(__xludf.DUMMYFUNCTION("IFERROR(IF(COUNTIF(IMPORTRANGE(""1RTcwEJsI_0aJRebhNwO_H_AoKl9r46k7hWYbtciIyM4"",""Form Responses 1!B:B""),A542)&gt;0,10,),0)"),"")</f>
        <v/>
      </c>
      <c r="C542" s="70" t="str">
        <f>IFERROR(__xludf.DUMMYFUNCTION("IFERROR(VLOOKUP(A542,IMPORTRANGE(""11i8IUhq_U6RRKRV3CBWIKqYed_fMvFgNUHTq1YDJfp8"",""Form Responses 1!B:C""),2,FALSE),)"),"")</f>
        <v/>
      </c>
      <c r="D542" s="70" t="str">
        <f>IFERROR(__xludf.DUMMYFUNCTION("IFERROR(VLOOKUP(A542,IMPORTRANGE(""1StiHxuxrFhYdrq5WLR2JMORicW0TbnJf3J-oTHeMRtM"",""Form Responses 1!B:C""),2,FALSE),)"),"")</f>
        <v/>
      </c>
      <c r="E542" s="70" t="str">
        <f>IFERROR(__xludf.DUMMYFUNCTION("IFERROR(VLOOKUP(A542,IMPORTRANGE(""1QaxxyUjrDq2kgz300C1Bq1tacFk6e-xX218cSXCQUK0"",""Form Responses 1!B:C""),2,FALSE),)"),"")</f>
        <v/>
      </c>
      <c r="F542" s="70" t="str">
        <f>IFERROR(__xludf.DUMMYFUNCTION("IFERROR(VLOOKUP(A542,IMPORTRANGE(""1fn2ECph_y8Uz78DhjLaiXcwgt6kh3oe-0Le36Uw0noE"",""Form Responses 1!B:C""),2,FALSE),)"),"")</f>
        <v/>
      </c>
      <c r="G542" s="70"/>
      <c r="H542" s="70"/>
      <c r="I542" s="70"/>
      <c r="J542" s="70"/>
      <c r="K542" s="70"/>
      <c r="L542" s="70"/>
      <c r="M542" s="70"/>
      <c r="N542" s="70"/>
      <c r="O542" s="70"/>
      <c r="P542" s="70"/>
      <c r="Q542" s="70" t="str">
        <f>IFERROR(__xludf.DUMMYFUNCTION("IFERROR(IF(COUNTIF(IMPORTRANGE(""1WjiLR_MTMxI_IZUKuvPO4Sg2rTSIqBzP3edakSRXbOA"",""Form Responses 1!B:B""),F542)&gt;0,10,),0)"),"")</f>
        <v/>
      </c>
      <c r="R542" s="70" t="str">
        <f>IFERROR(__xludf.DUMMYFUNCTION("IFERROR(VLOOKUP(F542,IMPORTRANGE(""1Ixzbal5tEbtWhozsFEppQzOYE6ZSrkNXHg_HW5k3Wt4"",""Form Responses 1!B:C""),2,FALSE),)"),"")</f>
        <v/>
      </c>
      <c r="S542" s="70" t="str">
        <f>IFERROR(__xludf.DUMMYFUNCTION("IFERROR(VLOOKUP(F542,IMPORTRANGE(""1zxjtEKGvVIJPIDqZdnxENwVpPXYa88EihzyI44hcQUo"",""Form Responses 1!B:C""),2,FALSE),)"),"")</f>
        <v/>
      </c>
      <c r="T542" s="70" t="str">
        <f>IFERROR(__xludf.DUMMYFUNCTION("IFERROR(VLOOKUP(F542,IMPORTRANGE(""1H3cO01obd5zFULYqaT5NAqecZBFFIHeDFn4CeQLZF3w"",""Form Responses 1!B:C""),2,FALSE),)"),"")</f>
        <v/>
      </c>
      <c r="U542" s="70" t="str">
        <f>IFERROR(__xludf.DUMMYFUNCTION("IFERROR(IF(COUNTIF(IMPORTRANGE(""1IG9qoa6PeLdDDFzKpW39lxXshN0-M8Z25a_R1EpsYyg"",""Form Responses 1!B:B""),F542)&gt;0,10,),0)"),"")</f>
        <v/>
      </c>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row>
    <row r="543">
      <c r="B543" s="70" t="str">
        <f>IFERROR(__xludf.DUMMYFUNCTION("IFERROR(IF(COUNTIF(IMPORTRANGE(""1RTcwEJsI_0aJRebhNwO_H_AoKl9r46k7hWYbtciIyM4"",""Form Responses 1!B:B""),A543)&gt;0,10,),0)"),"")</f>
        <v/>
      </c>
      <c r="C543" s="70" t="str">
        <f>IFERROR(__xludf.DUMMYFUNCTION("IFERROR(VLOOKUP(A543,IMPORTRANGE(""11i8IUhq_U6RRKRV3CBWIKqYed_fMvFgNUHTq1YDJfp8"",""Form Responses 1!B:C""),2,FALSE),)"),"")</f>
        <v/>
      </c>
      <c r="D543" s="70" t="str">
        <f>IFERROR(__xludf.DUMMYFUNCTION("IFERROR(VLOOKUP(A543,IMPORTRANGE(""1StiHxuxrFhYdrq5WLR2JMORicW0TbnJf3J-oTHeMRtM"",""Form Responses 1!B:C""),2,FALSE),)"),"")</f>
        <v/>
      </c>
      <c r="E543" s="70" t="str">
        <f>IFERROR(__xludf.DUMMYFUNCTION("IFERROR(VLOOKUP(A543,IMPORTRANGE(""1QaxxyUjrDq2kgz300C1Bq1tacFk6e-xX218cSXCQUK0"",""Form Responses 1!B:C""),2,FALSE),)"),"")</f>
        <v/>
      </c>
      <c r="F543" s="70" t="str">
        <f>IFERROR(__xludf.DUMMYFUNCTION("IFERROR(VLOOKUP(A543,IMPORTRANGE(""1fn2ECph_y8Uz78DhjLaiXcwgt6kh3oe-0Le36Uw0noE"",""Form Responses 1!B:C""),2,FALSE),)"),"")</f>
        <v/>
      </c>
      <c r="G543" s="70"/>
      <c r="H543" s="70"/>
      <c r="I543" s="70"/>
      <c r="J543" s="70"/>
      <c r="K543" s="70"/>
      <c r="L543" s="70"/>
      <c r="M543" s="70"/>
      <c r="N543" s="70"/>
      <c r="O543" s="70"/>
      <c r="P543" s="70"/>
      <c r="Q543" s="70" t="str">
        <f>IFERROR(__xludf.DUMMYFUNCTION("IFERROR(IF(COUNTIF(IMPORTRANGE(""1WjiLR_MTMxI_IZUKuvPO4Sg2rTSIqBzP3edakSRXbOA"",""Form Responses 1!B:B""),F543)&gt;0,10,),0)"),"")</f>
        <v/>
      </c>
      <c r="R543" s="70" t="str">
        <f>IFERROR(__xludf.DUMMYFUNCTION("IFERROR(VLOOKUP(F543,IMPORTRANGE(""1Ixzbal5tEbtWhozsFEppQzOYE6ZSrkNXHg_HW5k3Wt4"",""Form Responses 1!B:C""),2,FALSE),)"),"")</f>
        <v/>
      </c>
      <c r="S543" s="70" t="str">
        <f>IFERROR(__xludf.DUMMYFUNCTION("IFERROR(VLOOKUP(F543,IMPORTRANGE(""1zxjtEKGvVIJPIDqZdnxENwVpPXYa88EihzyI44hcQUo"",""Form Responses 1!B:C""),2,FALSE),)"),"")</f>
        <v/>
      </c>
      <c r="T543" s="70" t="str">
        <f>IFERROR(__xludf.DUMMYFUNCTION("IFERROR(VLOOKUP(F543,IMPORTRANGE(""1H3cO01obd5zFULYqaT5NAqecZBFFIHeDFn4CeQLZF3w"",""Form Responses 1!B:C""),2,FALSE),)"),"")</f>
        <v/>
      </c>
      <c r="U543" s="70" t="str">
        <f>IFERROR(__xludf.DUMMYFUNCTION("IFERROR(IF(COUNTIF(IMPORTRANGE(""1IG9qoa6PeLdDDFzKpW39lxXshN0-M8Z25a_R1EpsYyg"",""Form Responses 1!B:B""),F543)&gt;0,10,),0)"),"")</f>
        <v/>
      </c>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row>
    <row r="544">
      <c r="B544" s="70" t="str">
        <f>IFERROR(__xludf.DUMMYFUNCTION("IFERROR(IF(COUNTIF(IMPORTRANGE(""1RTcwEJsI_0aJRebhNwO_H_AoKl9r46k7hWYbtciIyM4"",""Form Responses 1!B:B""),A544)&gt;0,10,),0)"),"")</f>
        <v/>
      </c>
      <c r="C544" s="70" t="str">
        <f>IFERROR(__xludf.DUMMYFUNCTION("IFERROR(VLOOKUP(A544,IMPORTRANGE(""11i8IUhq_U6RRKRV3CBWIKqYed_fMvFgNUHTq1YDJfp8"",""Form Responses 1!B:C""),2,FALSE),)"),"")</f>
        <v/>
      </c>
      <c r="D544" s="70" t="str">
        <f>IFERROR(__xludf.DUMMYFUNCTION("IFERROR(VLOOKUP(A544,IMPORTRANGE(""1StiHxuxrFhYdrq5WLR2JMORicW0TbnJf3J-oTHeMRtM"",""Form Responses 1!B:C""),2,FALSE),)"),"")</f>
        <v/>
      </c>
      <c r="E544" s="70" t="str">
        <f>IFERROR(__xludf.DUMMYFUNCTION("IFERROR(VLOOKUP(A544,IMPORTRANGE(""1QaxxyUjrDq2kgz300C1Bq1tacFk6e-xX218cSXCQUK0"",""Form Responses 1!B:C""),2,FALSE),)"),"")</f>
        <v/>
      </c>
      <c r="F544" s="70" t="str">
        <f>IFERROR(__xludf.DUMMYFUNCTION("IFERROR(VLOOKUP(A544,IMPORTRANGE(""1fn2ECph_y8Uz78DhjLaiXcwgt6kh3oe-0Le36Uw0noE"",""Form Responses 1!B:C""),2,FALSE),)"),"")</f>
        <v/>
      </c>
      <c r="G544" s="70"/>
      <c r="H544" s="70"/>
      <c r="I544" s="70"/>
      <c r="J544" s="70"/>
      <c r="K544" s="70"/>
      <c r="L544" s="70"/>
      <c r="M544" s="70"/>
      <c r="N544" s="70"/>
      <c r="O544" s="70"/>
      <c r="P544" s="70"/>
      <c r="Q544" s="70" t="str">
        <f>IFERROR(__xludf.DUMMYFUNCTION("IFERROR(IF(COUNTIF(IMPORTRANGE(""1WjiLR_MTMxI_IZUKuvPO4Sg2rTSIqBzP3edakSRXbOA"",""Form Responses 1!B:B""),F544)&gt;0,10,),0)"),"")</f>
        <v/>
      </c>
      <c r="R544" s="70" t="str">
        <f>IFERROR(__xludf.DUMMYFUNCTION("IFERROR(VLOOKUP(F544,IMPORTRANGE(""1Ixzbal5tEbtWhozsFEppQzOYE6ZSrkNXHg_HW5k3Wt4"",""Form Responses 1!B:C""),2,FALSE),)"),"")</f>
        <v/>
      </c>
      <c r="S544" s="70" t="str">
        <f>IFERROR(__xludf.DUMMYFUNCTION("IFERROR(VLOOKUP(F544,IMPORTRANGE(""1zxjtEKGvVIJPIDqZdnxENwVpPXYa88EihzyI44hcQUo"",""Form Responses 1!B:C""),2,FALSE),)"),"")</f>
        <v/>
      </c>
      <c r="T544" s="70" t="str">
        <f>IFERROR(__xludf.DUMMYFUNCTION("IFERROR(VLOOKUP(F544,IMPORTRANGE(""1H3cO01obd5zFULYqaT5NAqecZBFFIHeDFn4CeQLZF3w"",""Form Responses 1!B:C""),2,FALSE),)"),"")</f>
        <v/>
      </c>
      <c r="U544" s="70" t="str">
        <f>IFERROR(__xludf.DUMMYFUNCTION("IFERROR(IF(COUNTIF(IMPORTRANGE(""1IG9qoa6PeLdDDFzKpW39lxXshN0-M8Z25a_R1EpsYyg"",""Form Responses 1!B:B""),F544)&gt;0,10,),0)"),"")</f>
        <v/>
      </c>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row>
    <row r="545">
      <c r="B545" s="70" t="str">
        <f>IFERROR(__xludf.DUMMYFUNCTION("IFERROR(IF(COUNTIF(IMPORTRANGE(""1RTcwEJsI_0aJRebhNwO_H_AoKl9r46k7hWYbtciIyM4"",""Form Responses 1!B:B""),A545)&gt;0,10,),0)"),"")</f>
        <v/>
      </c>
      <c r="C545" s="70" t="str">
        <f>IFERROR(__xludf.DUMMYFUNCTION("IFERROR(VLOOKUP(A545,IMPORTRANGE(""11i8IUhq_U6RRKRV3CBWIKqYed_fMvFgNUHTq1YDJfp8"",""Form Responses 1!B:C""),2,FALSE),)"),"")</f>
        <v/>
      </c>
      <c r="D545" s="70" t="str">
        <f>IFERROR(__xludf.DUMMYFUNCTION("IFERROR(VLOOKUP(A545,IMPORTRANGE(""1StiHxuxrFhYdrq5WLR2JMORicW0TbnJf3J-oTHeMRtM"",""Form Responses 1!B:C""),2,FALSE),)"),"")</f>
        <v/>
      </c>
      <c r="E545" s="70" t="str">
        <f>IFERROR(__xludf.DUMMYFUNCTION("IFERROR(VLOOKUP(A545,IMPORTRANGE(""1QaxxyUjrDq2kgz300C1Bq1tacFk6e-xX218cSXCQUK0"",""Form Responses 1!B:C""),2,FALSE),)"),"")</f>
        <v/>
      </c>
      <c r="F545" s="70" t="str">
        <f>IFERROR(__xludf.DUMMYFUNCTION("IFERROR(VLOOKUP(A545,IMPORTRANGE(""1fn2ECph_y8Uz78DhjLaiXcwgt6kh3oe-0Le36Uw0noE"",""Form Responses 1!B:C""),2,FALSE),)"),"")</f>
        <v/>
      </c>
      <c r="G545" s="70"/>
      <c r="H545" s="70"/>
      <c r="I545" s="70"/>
      <c r="J545" s="70"/>
      <c r="K545" s="70"/>
      <c r="L545" s="70"/>
      <c r="M545" s="70"/>
      <c r="N545" s="70"/>
      <c r="O545" s="70"/>
      <c r="P545" s="70"/>
      <c r="Q545" s="70" t="str">
        <f>IFERROR(__xludf.DUMMYFUNCTION("IFERROR(IF(COUNTIF(IMPORTRANGE(""1WjiLR_MTMxI_IZUKuvPO4Sg2rTSIqBzP3edakSRXbOA"",""Form Responses 1!B:B""),F545)&gt;0,10,),0)"),"")</f>
        <v/>
      </c>
      <c r="R545" s="70" t="str">
        <f>IFERROR(__xludf.DUMMYFUNCTION("IFERROR(VLOOKUP(F545,IMPORTRANGE(""1Ixzbal5tEbtWhozsFEppQzOYE6ZSrkNXHg_HW5k3Wt4"",""Form Responses 1!B:C""),2,FALSE),)"),"")</f>
        <v/>
      </c>
      <c r="S545" s="70" t="str">
        <f>IFERROR(__xludf.DUMMYFUNCTION("IFERROR(VLOOKUP(F545,IMPORTRANGE(""1zxjtEKGvVIJPIDqZdnxENwVpPXYa88EihzyI44hcQUo"",""Form Responses 1!B:C""),2,FALSE),)"),"")</f>
        <v/>
      </c>
      <c r="T545" s="70" t="str">
        <f>IFERROR(__xludf.DUMMYFUNCTION("IFERROR(VLOOKUP(F545,IMPORTRANGE(""1H3cO01obd5zFULYqaT5NAqecZBFFIHeDFn4CeQLZF3w"",""Form Responses 1!B:C""),2,FALSE),)"),"")</f>
        <v/>
      </c>
      <c r="U545" s="70" t="str">
        <f>IFERROR(__xludf.DUMMYFUNCTION("IFERROR(IF(COUNTIF(IMPORTRANGE(""1IG9qoa6PeLdDDFzKpW39lxXshN0-M8Z25a_R1EpsYyg"",""Form Responses 1!B:B""),F545)&gt;0,10,),0)"),"")</f>
        <v/>
      </c>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row>
    <row r="546">
      <c r="B546" s="70" t="str">
        <f>IFERROR(__xludf.DUMMYFUNCTION("IFERROR(IF(COUNTIF(IMPORTRANGE(""1RTcwEJsI_0aJRebhNwO_H_AoKl9r46k7hWYbtciIyM4"",""Form Responses 1!B:B""),A546)&gt;0,10,),0)"),"")</f>
        <v/>
      </c>
      <c r="C546" s="70" t="str">
        <f>IFERROR(__xludf.DUMMYFUNCTION("IFERROR(VLOOKUP(A546,IMPORTRANGE(""11i8IUhq_U6RRKRV3CBWIKqYed_fMvFgNUHTq1YDJfp8"",""Form Responses 1!B:C""),2,FALSE),)"),"")</f>
        <v/>
      </c>
      <c r="D546" s="70" t="str">
        <f>IFERROR(__xludf.DUMMYFUNCTION("IFERROR(VLOOKUP(A546,IMPORTRANGE(""1StiHxuxrFhYdrq5WLR2JMORicW0TbnJf3J-oTHeMRtM"",""Form Responses 1!B:C""),2,FALSE),)"),"")</f>
        <v/>
      </c>
      <c r="E546" s="70" t="str">
        <f>IFERROR(__xludf.DUMMYFUNCTION("IFERROR(VLOOKUP(A546,IMPORTRANGE(""1QaxxyUjrDq2kgz300C1Bq1tacFk6e-xX218cSXCQUK0"",""Form Responses 1!B:C""),2,FALSE),)"),"")</f>
        <v/>
      </c>
      <c r="F546" s="70" t="str">
        <f>IFERROR(__xludf.DUMMYFUNCTION("IFERROR(VLOOKUP(A546,IMPORTRANGE(""1fn2ECph_y8Uz78DhjLaiXcwgt6kh3oe-0Le36Uw0noE"",""Form Responses 1!B:C""),2,FALSE),)"),"")</f>
        <v/>
      </c>
      <c r="G546" s="70"/>
      <c r="H546" s="70"/>
      <c r="I546" s="70"/>
      <c r="J546" s="70"/>
      <c r="K546" s="70"/>
      <c r="L546" s="70"/>
      <c r="M546" s="70"/>
      <c r="N546" s="70"/>
      <c r="O546" s="70"/>
      <c r="P546" s="70"/>
      <c r="Q546" s="70" t="str">
        <f>IFERROR(__xludf.DUMMYFUNCTION("IFERROR(IF(COUNTIF(IMPORTRANGE(""1WjiLR_MTMxI_IZUKuvPO4Sg2rTSIqBzP3edakSRXbOA"",""Form Responses 1!B:B""),F546)&gt;0,10,),0)"),"")</f>
        <v/>
      </c>
      <c r="R546" s="70" t="str">
        <f>IFERROR(__xludf.DUMMYFUNCTION("IFERROR(VLOOKUP(F546,IMPORTRANGE(""1Ixzbal5tEbtWhozsFEppQzOYE6ZSrkNXHg_HW5k3Wt4"",""Form Responses 1!B:C""),2,FALSE),)"),"")</f>
        <v/>
      </c>
      <c r="S546" s="70" t="str">
        <f>IFERROR(__xludf.DUMMYFUNCTION("IFERROR(VLOOKUP(F546,IMPORTRANGE(""1zxjtEKGvVIJPIDqZdnxENwVpPXYa88EihzyI44hcQUo"",""Form Responses 1!B:C""),2,FALSE),)"),"")</f>
        <v/>
      </c>
      <c r="T546" s="70" t="str">
        <f>IFERROR(__xludf.DUMMYFUNCTION("IFERROR(VLOOKUP(F546,IMPORTRANGE(""1H3cO01obd5zFULYqaT5NAqecZBFFIHeDFn4CeQLZF3w"",""Form Responses 1!B:C""),2,FALSE),)"),"")</f>
        <v/>
      </c>
      <c r="U546" s="70" t="str">
        <f>IFERROR(__xludf.DUMMYFUNCTION("IFERROR(IF(COUNTIF(IMPORTRANGE(""1IG9qoa6PeLdDDFzKpW39lxXshN0-M8Z25a_R1EpsYyg"",""Form Responses 1!B:B""),F546)&gt;0,10,),0)"),"")</f>
        <v/>
      </c>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row>
    <row r="547">
      <c r="B547" s="70" t="str">
        <f>IFERROR(__xludf.DUMMYFUNCTION("IFERROR(IF(COUNTIF(IMPORTRANGE(""1RTcwEJsI_0aJRebhNwO_H_AoKl9r46k7hWYbtciIyM4"",""Form Responses 1!B:B""),A547)&gt;0,10,),0)"),"")</f>
        <v/>
      </c>
      <c r="C547" s="70" t="str">
        <f>IFERROR(__xludf.DUMMYFUNCTION("IFERROR(VLOOKUP(A547,IMPORTRANGE(""11i8IUhq_U6RRKRV3CBWIKqYed_fMvFgNUHTq1YDJfp8"",""Form Responses 1!B:C""),2,FALSE),)"),"")</f>
        <v/>
      </c>
      <c r="D547" s="70" t="str">
        <f>IFERROR(__xludf.DUMMYFUNCTION("IFERROR(VLOOKUP(A547,IMPORTRANGE(""1StiHxuxrFhYdrq5WLR2JMORicW0TbnJf3J-oTHeMRtM"",""Form Responses 1!B:C""),2,FALSE),)"),"")</f>
        <v/>
      </c>
      <c r="E547" s="70" t="str">
        <f>IFERROR(__xludf.DUMMYFUNCTION("IFERROR(VLOOKUP(A547,IMPORTRANGE(""1QaxxyUjrDq2kgz300C1Bq1tacFk6e-xX218cSXCQUK0"",""Form Responses 1!B:C""),2,FALSE),)"),"")</f>
        <v/>
      </c>
      <c r="F547" s="70" t="str">
        <f>IFERROR(__xludf.DUMMYFUNCTION("IFERROR(VLOOKUP(A547,IMPORTRANGE(""1fn2ECph_y8Uz78DhjLaiXcwgt6kh3oe-0Le36Uw0noE"",""Form Responses 1!B:C""),2,FALSE),)"),"")</f>
        <v/>
      </c>
      <c r="G547" s="70"/>
      <c r="H547" s="70"/>
      <c r="I547" s="70"/>
      <c r="J547" s="70"/>
      <c r="K547" s="70"/>
      <c r="L547" s="70"/>
      <c r="M547" s="70"/>
      <c r="N547" s="70"/>
      <c r="O547" s="70"/>
      <c r="P547" s="70"/>
      <c r="Q547" s="70" t="str">
        <f>IFERROR(__xludf.DUMMYFUNCTION("IFERROR(IF(COUNTIF(IMPORTRANGE(""1WjiLR_MTMxI_IZUKuvPO4Sg2rTSIqBzP3edakSRXbOA"",""Form Responses 1!B:B""),F547)&gt;0,10,),0)"),"")</f>
        <v/>
      </c>
      <c r="R547" s="70" t="str">
        <f>IFERROR(__xludf.DUMMYFUNCTION("IFERROR(VLOOKUP(F547,IMPORTRANGE(""1Ixzbal5tEbtWhozsFEppQzOYE6ZSrkNXHg_HW5k3Wt4"",""Form Responses 1!B:C""),2,FALSE),)"),"")</f>
        <v/>
      </c>
      <c r="S547" s="70" t="str">
        <f>IFERROR(__xludf.DUMMYFUNCTION("IFERROR(VLOOKUP(F547,IMPORTRANGE(""1zxjtEKGvVIJPIDqZdnxENwVpPXYa88EihzyI44hcQUo"",""Form Responses 1!B:C""),2,FALSE),)"),"")</f>
        <v/>
      </c>
      <c r="T547" s="70" t="str">
        <f>IFERROR(__xludf.DUMMYFUNCTION("IFERROR(VLOOKUP(F547,IMPORTRANGE(""1H3cO01obd5zFULYqaT5NAqecZBFFIHeDFn4CeQLZF3w"",""Form Responses 1!B:C""),2,FALSE),)"),"")</f>
        <v/>
      </c>
      <c r="U547" s="70" t="str">
        <f>IFERROR(__xludf.DUMMYFUNCTION("IFERROR(IF(COUNTIF(IMPORTRANGE(""1IG9qoa6PeLdDDFzKpW39lxXshN0-M8Z25a_R1EpsYyg"",""Form Responses 1!B:B""),F547)&gt;0,10,),0)"),"")</f>
        <v/>
      </c>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row>
    <row r="548">
      <c r="B548" s="70" t="str">
        <f>IFERROR(__xludf.DUMMYFUNCTION("IFERROR(IF(COUNTIF(IMPORTRANGE(""1RTcwEJsI_0aJRebhNwO_H_AoKl9r46k7hWYbtciIyM4"",""Form Responses 1!B:B""),A548)&gt;0,10,),0)"),"")</f>
        <v/>
      </c>
      <c r="C548" s="70" t="str">
        <f>IFERROR(__xludf.DUMMYFUNCTION("IFERROR(VLOOKUP(A548,IMPORTRANGE(""11i8IUhq_U6RRKRV3CBWIKqYed_fMvFgNUHTq1YDJfp8"",""Form Responses 1!B:C""),2,FALSE),)"),"")</f>
        <v/>
      </c>
      <c r="D548" s="70" t="str">
        <f>IFERROR(__xludf.DUMMYFUNCTION("IFERROR(VLOOKUP(A548,IMPORTRANGE(""1StiHxuxrFhYdrq5WLR2JMORicW0TbnJf3J-oTHeMRtM"",""Form Responses 1!B:C""),2,FALSE),)"),"")</f>
        <v/>
      </c>
      <c r="E548" s="70" t="str">
        <f>IFERROR(__xludf.DUMMYFUNCTION("IFERROR(VLOOKUP(A548,IMPORTRANGE(""1QaxxyUjrDq2kgz300C1Bq1tacFk6e-xX218cSXCQUK0"",""Form Responses 1!B:C""),2,FALSE),)"),"")</f>
        <v/>
      </c>
      <c r="F548" s="70" t="str">
        <f>IFERROR(__xludf.DUMMYFUNCTION("IFERROR(VLOOKUP(A548,IMPORTRANGE(""1fn2ECph_y8Uz78DhjLaiXcwgt6kh3oe-0Le36Uw0noE"",""Form Responses 1!B:C""),2,FALSE),)"),"")</f>
        <v/>
      </c>
      <c r="G548" s="70"/>
      <c r="H548" s="70"/>
      <c r="I548" s="70"/>
      <c r="J548" s="70"/>
      <c r="K548" s="70"/>
      <c r="L548" s="70"/>
      <c r="M548" s="70"/>
      <c r="N548" s="70"/>
      <c r="O548" s="70"/>
      <c r="P548" s="70"/>
      <c r="Q548" s="70" t="str">
        <f>IFERROR(__xludf.DUMMYFUNCTION("IFERROR(IF(COUNTIF(IMPORTRANGE(""1WjiLR_MTMxI_IZUKuvPO4Sg2rTSIqBzP3edakSRXbOA"",""Form Responses 1!B:B""),F548)&gt;0,10,),0)"),"")</f>
        <v/>
      </c>
      <c r="R548" s="70" t="str">
        <f>IFERROR(__xludf.DUMMYFUNCTION("IFERROR(VLOOKUP(F548,IMPORTRANGE(""1Ixzbal5tEbtWhozsFEppQzOYE6ZSrkNXHg_HW5k3Wt4"",""Form Responses 1!B:C""),2,FALSE),)"),"")</f>
        <v/>
      </c>
      <c r="S548" s="70" t="str">
        <f>IFERROR(__xludf.DUMMYFUNCTION("IFERROR(VLOOKUP(F548,IMPORTRANGE(""1zxjtEKGvVIJPIDqZdnxENwVpPXYa88EihzyI44hcQUo"",""Form Responses 1!B:C""),2,FALSE),)"),"")</f>
        <v/>
      </c>
      <c r="T548" s="70" t="str">
        <f>IFERROR(__xludf.DUMMYFUNCTION("IFERROR(VLOOKUP(F548,IMPORTRANGE(""1H3cO01obd5zFULYqaT5NAqecZBFFIHeDFn4CeQLZF3w"",""Form Responses 1!B:C""),2,FALSE),)"),"")</f>
        <v/>
      </c>
      <c r="U548" s="70" t="str">
        <f>IFERROR(__xludf.DUMMYFUNCTION("IFERROR(IF(COUNTIF(IMPORTRANGE(""1IG9qoa6PeLdDDFzKpW39lxXshN0-M8Z25a_R1EpsYyg"",""Form Responses 1!B:B""),F548)&gt;0,10,),0)"),"")</f>
        <v/>
      </c>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row>
    <row r="549">
      <c r="B549" s="70" t="str">
        <f>IFERROR(__xludf.DUMMYFUNCTION("IFERROR(IF(COUNTIF(IMPORTRANGE(""1RTcwEJsI_0aJRebhNwO_H_AoKl9r46k7hWYbtciIyM4"",""Form Responses 1!B:B""),A549)&gt;0,10,),0)"),"")</f>
        <v/>
      </c>
      <c r="C549" s="70" t="str">
        <f>IFERROR(__xludf.DUMMYFUNCTION("IFERROR(VLOOKUP(A549,IMPORTRANGE(""11i8IUhq_U6RRKRV3CBWIKqYed_fMvFgNUHTq1YDJfp8"",""Form Responses 1!B:C""),2,FALSE),)"),"")</f>
        <v/>
      </c>
      <c r="D549" s="70" t="str">
        <f>IFERROR(__xludf.DUMMYFUNCTION("IFERROR(VLOOKUP(A549,IMPORTRANGE(""1StiHxuxrFhYdrq5WLR2JMORicW0TbnJf3J-oTHeMRtM"",""Form Responses 1!B:C""),2,FALSE),)"),"")</f>
        <v/>
      </c>
      <c r="E549" s="70" t="str">
        <f>IFERROR(__xludf.DUMMYFUNCTION("IFERROR(VLOOKUP(A549,IMPORTRANGE(""1QaxxyUjrDq2kgz300C1Bq1tacFk6e-xX218cSXCQUK0"",""Form Responses 1!B:C""),2,FALSE),)"),"")</f>
        <v/>
      </c>
      <c r="F549" s="70" t="str">
        <f>IFERROR(__xludf.DUMMYFUNCTION("IFERROR(VLOOKUP(A549,IMPORTRANGE(""1fn2ECph_y8Uz78DhjLaiXcwgt6kh3oe-0Le36Uw0noE"",""Form Responses 1!B:C""),2,FALSE),)"),"")</f>
        <v/>
      </c>
      <c r="G549" s="70"/>
      <c r="H549" s="70"/>
      <c r="I549" s="70"/>
      <c r="J549" s="70"/>
      <c r="K549" s="70"/>
      <c r="L549" s="70"/>
      <c r="M549" s="70"/>
      <c r="N549" s="70"/>
      <c r="O549" s="70"/>
      <c r="P549" s="70"/>
      <c r="Q549" s="70" t="str">
        <f>IFERROR(__xludf.DUMMYFUNCTION("IFERROR(IF(COUNTIF(IMPORTRANGE(""1WjiLR_MTMxI_IZUKuvPO4Sg2rTSIqBzP3edakSRXbOA"",""Form Responses 1!B:B""),F549)&gt;0,10,),0)"),"")</f>
        <v/>
      </c>
      <c r="R549" s="70" t="str">
        <f>IFERROR(__xludf.DUMMYFUNCTION("IFERROR(VLOOKUP(F549,IMPORTRANGE(""1Ixzbal5tEbtWhozsFEppQzOYE6ZSrkNXHg_HW5k3Wt4"",""Form Responses 1!B:C""),2,FALSE),)"),"")</f>
        <v/>
      </c>
      <c r="S549" s="70" t="str">
        <f>IFERROR(__xludf.DUMMYFUNCTION("IFERROR(VLOOKUP(F549,IMPORTRANGE(""1zxjtEKGvVIJPIDqZdnxENwVpPXYa88EihzyI44hcQUo"",""Form Responses 1!B:C""),2,FALSE),)"),"")</f>
        <v/>
      </c>
      <c r="T549" s="70" t="str">
        <f>IFERROR(__xludf.DUMMYFUNCTION("IFERROR(VLOOKUP(F549,IMPORTRANGE(""1H3cO01obd5zFULYqaT5NAqecZBFFIHeDFn4CeQLZF3w"",""Form Responses 1!B:C""),2,FALSE),)"),"")</f>
        <v/>
      </c>
      <c r="U549" s="70" t="str">
        <f>IFERROR(__xludf.DUMMYFUNCTION("IFERROR(IF(COUNTIF(IMPORTRANGE(""1IG9qoa6PeLdDDFzKpW39lxXshN0-M8Z25a_R1EpsYyg"",""Form Responses 1!B:B""),F549)&gt;0,10,),0)"),"")</f>
        <v/>
      </c>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row>
    <row r="550">
      <c r="B550" s="70" t="str">
        <f>IFERROR(__xludf.DUMMYFUNCTION("IFERROR(IF(COUNTIF(IMPORTRANGE(""1RTcwEJsI_0aJRebhNwO_H_AoKl9r46k7hWYbtciIyM4"",""Form Responses 1!B:B""),A550)&gt;0,10,),0)"),"")</f>
        <v/>
      </c>
      <c r="C550" s="70" t="str">
        <f>IFERROR(__xludf.DUMMYFUNCTION("IFERROR(VLOOKUP(A550,IMPORTRANGE(""11i8IUhq_U6RRKRV3CBWIKqYed_fMvFgNUHTq1YDJfp8"",""Form Responses 1!B:C""),2,FALSE),)"),"")</f>
        <v/>
      </c>
      <c r="D550" s="70" t="str">
        <f>IFERROR(__xludf.DUMMYFUNCTION("IFERROR(VLOOKUP(A550,IMPORTRANGE(""1StiHxuxrFhYdrq5WLR2JMORicW0TbnJf3J-oTHeMRtM"",""Form Responses 1!B:C""),2,FALSE),)"),"")</f>
        <v/>
      </c>
      <c r="E550" s="70" t="str">
        <f>IFERROR(__xludf.DUMMYFUNCTION("IFERROR(VLOOKUP(A550,IMPORTRANGE(""1QaxxyUjrDq2kgz300C1Bq1tacFk6e-xX218cSXCQUK0"",""Form Responses 1!B:C""),2,FALSE),)"),"")</f>
        <v/>
      </c>
      <c r="F550" s="70" t="str">
        <f>IFERROR(__xludf.DUMMYFUNCTION("IFERROR(VLOOKUP(A550,IMPORTRANGE(""1fn2ECph_y8Uz78DhjLaiXcwgt6kh3oe-0Le36Uw0noE"",""Form Responses 1!B:C""),2,FALSE),)"),"")</f>
        <v/>
      </c>
      <c r="G550" s="70"/>
      <c r="H550" s="70"/>
      <c r="I550" s="70"/>
      <c r="J550" s="70"/>
      <c r="K550" s="70"/>
      <c r="L550" s="70"/>
      <c r="M550" s="70"/>
      <c r="N550" s="70"/>
      <c r="O550" s="70"/>
      <c r="P550" s="70"/>
      <c r="Q550" s="70" t="str">
        <f>IFERROR(__xludf.DUMMYFUNCTION("IFERROR(IF(COUNTIF(IMPORTRANGE(""1WjiLR_MTMxI_IZUKuvPO4Sg2rTSIqBzP3edakSRXbOA"",""Form Responses 1!B:B""),F550)&gt;0,10,),0)"),"")</f>
        <v/>
      </c>
      <c r="R550" s="70" t="str">
        <f>IFERROR(__xludf.DUMMYFUNCTION("IFERROR(VLOOKUP(F550,IMPORTRANGE(""1Ixzbal5tEbtWhozsFEppQzOYE6ZSrkNXHg_HW5k3Wt4"",""Form Responses 1!B:C""),2,FALSE),)"),"")</f>
        <v/>
      </c>
      <c r="S550" s="70" t="str">
        <f>IFERROR(__xludf.DUMMYFUNCTION("IFERROR(VLOOKUP(F550,IMPORTRANGE(""1zxjtEKGvVIJPIDqZdnxENwVpPXYa88EihzyI44hcQUo"",""Form Responses 1!B:C""),2,FALSE),)"),"")</f>
        <v/>
      </c>
      <c r="T550" s="70" t="str">
        <f>IFERROR(__xludf.DUMMYFUNCTION("IFERROR(VLOOKUP(F550,IMPORTRANGE(""1H3cO01obd5zFULYqaT5NAqecZBFFIHeDFn4CeQLZF3w"",""Form Responses 1!B:C""),2,FALSE),)"),"")</f>
        <v/>
      </c>
      <c r="U550" s="70" t="str">
        <f>IFERROR(__xludf.DUMMYFUNCTION("IFERROR(IF(COUNTIF(IMPORTRANGE(""1IG9qoa6PeLdDDFzKpW39lxXshN0-M8Z25a_R1EpsYyg"",""Form Responses 1!B:B""),F550)&gt;0,10,),0)"),"")</f>
        <v/>
      </c>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row>
    <row r="551">
      <c r="B551" s="70" t="str">
        <f>IFERROR(__xludf.DUMMYFUNCTION("IFERROR(IF(COUNTIF(IMPORTRANGE(""1RTcwEJsI_0aJRebhNwO_H_AoKl9r46k7hWYbtciIyM4"",""Form Responses 1!B:B""),A551)&gt;0,10,),0)"),"")</f>
        <v/>
      </c>
      <c r="C551" s="70" t="str">
        <f>IFERROR(__xludf.DUMMYFUNCTION("IFERROR(VLOOKUP(A551,IMPORTRANGE(""11i8IUhq_U6RRKRV3CBWIKqYed_fMvFgNUHTq1YDJfp8"",""Form Responses 1!B:C""),2,FALSE),)"),"")</f>
        <v/>
      </c>
      <c r="D551" s="70" t="str">
        <f>IFERROR(__xludf.DUMMYFUNCTION("IFERROR(VLOOKUP(A551,IMPORTRANGE(""1StiHxuxrFhYdrq5WLR2JMORicW0TbnJf3J-oTHeMRtM"",""Form Responses 1!B:C""),2,FALSE),)"),"")</f>
        <v/>
      </c>
      <c r="E551" s="70" t="str">
        <f>IFERROR(__xludf.DUMMYFUNCTION("IFERROR(VLOOKUP(A551,IMPORTRANGE(""1QaxxyUjrDq2kgz300C1Bq1tacFk6e-xX218cSXCQUK0"",""Form Responses 1!B:C""),2,FALSE),)"),"")</f>
        <v/>
      </c>
      <c r="F551" s="70" t="str">
        <f>IFERROR(__xludf.DUMMYFUNCTION("IFERROR(VLOOKUP(A551,IMPORTRANGE(""1fn2ECph_y8Uz78DhjLaiXcwgt6kh3oe-0Le36Uw0noE"",""Form Responses 1!B:C""),2,FALSE),)"),"")</f>
        <v/>
      </c>
      <c r="G551" s="70"/>
      <c r="H551" s="70"/>
      <c r="I551" s="70"/>
      <c r="J551" s="70"/>
      <c r="K551" s="70"/>
      <c r="L551" s="70"/>
      <c r="M551" s="70"/>
      <c r="N551" s="70"/>
      <c r="O551" s="70"/>
      <c r="P551" s="70"/>
      <c r="Q551" s="70" t="str">
        <f>IFERROR(__xludf.DUMMYFUNCTION("IFERROR(IF(COUNTIF(IMPORTRANGE(""1WjiLR_MTMxI_IZUKuvPO4Sg2rTSIqBzP3edakSRXbOA"",""Form Responses 1!B:B""),F551)&gt;0,10,),0)"),"")</f>
        <v/>
      </c>
      <c r="R551" s="70" t="str">
        <f>IFERROR(__xludf.DUMMYFUNCTION("IFERROR(VLOOKUP(F551,IMPORTRANGE(""1Ixzbal5tEbtWhozsFEppQzOYE6ZSrkNXHg_HW5k3Wt4"",""Form Responses 1!B:C""),2,FALSE),)"),"")</f>
        <v/>
      </c>
      <c r="S551" s="70" t="str">
        <f>IFERROR(__xludf.DUMMYFUNCTION("IFERROR(VLOOKUP(F551,IMPORTRANGE(""1zxjtEKGvVIJPIDqZdnxENwVpPXYa88EihzyI44hcQUo"",""Form Responses 1!B:C""),2,FALSE),)"),"")</f>
        <v/>
      </c>
      <c r="T551" s="70" t="str">
        <f>IFERROR(__xludf.DUMMYFUNCTION("IFERROR(VLOOKUP(F551,IMPORTRANGE(""1H3cO01obd5zFULYqaT5NAqecZBFFIHeDFn4CeQLZF3w"",""Form Responses 1!B:C""),2,FALSE),)"),"")</f>
        <v/>
      </c>
      <c r="U551" s="70" t="str">
        <f>IFERROR(__xludf.DUMMYFUNCTION("IFERROR(IF(COUNTIF(IMPORTRANGE(""1IG9qoa6PeLdDDFzKpW39lxXshN0-M8Z25a_R1EpsYyg"",""Form Responses 1!B:B""),F551)&gt;0,10,),0)"),"")</f>
        <v/>
      </c>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row>
    <row r="552">
      <c r="B552" s="70" t="str">
        <f>IFERROR(__xludf.DUMMYFUNCTION("IFERROR(IF(COUNTIF(IMPORTRANGE(""1RTcwEJsI_0aJRebhNwO_H_AoKl9r46k7hWYbtciIyM4"",""Form Responses 1!B:B""),A552)&gt;0,10,),0)"),"")</f>
        <v/>
      </c>
      <c r="C552" s="70" t="str">
        <f>IFERROR(__xludf.DUMMYFUNCTION("IFERROR(VLOOKUP(A552,IMPORTRANGE(""11i8IUhq_U6RRKRV3CBWIKqYed_fMvFgNUHTq1YDJfp8"",""Form Responses 1!B:C""),2,FALSE),)"),"")</f>
        <v/>
      </c>
      <c r="D552" s="70" t="str">
        <f>IFERROR(__xludf.DUMMYFUNCTION("IFERROR(VLOOKUP(A552,IMPORTRANGE(""1StiHxuxrFhYdrq5WLR2JMORicW0TbnJf3J-oTHeMRtM"",""Form Responses 1!B:C""),2,FALSE),)"),"")</f>
        <v/>
      </c>
      <c r="E552" s="70" t="str">
        <f>IFERROR(__xludf.DUMMYFUNCTION("IFERROR(VLOOKUP(A552,IMPORTRANGE(""1QaxxyUjrDq2kgz300C1Bq1tacFk6e-xX218cSXCQUK0"",""Form Responses 1!B:C""),2,FALSE),)"),"")</f>
        <v/>
      </c>
      <c r="F552" s="70" t="str">
        <f>IFERROR(__xludf.DUMMYFUNCTION("IFERROR(VLOOKUP(A552,IMPORTRANGE(""1fn2ECph_y8Uz78DhjLaiXcwgt6kh3oe-0Le36Uw0noE"",""Form Responses 1!B:C""),2,FALSE),)"),"")</f>
        <v/>
      </c>
      <c r="G552" s="70"/>
      <c r="H552" s="70"/>
      <c r="I552" s="70"/>
      <c r="J552" s="70"/>
      <c r="K552" s="70"/>
      <c r="L552" s="70"/>
      <c r="M552" s="70"/>
      <c r="N552" s="70"/>
      <c r="O552" s="70"/>
      <c r="P552" s="70"/>
      <c r="Q552" s="70" t="str">
        <f>IFERROR(__xludf.DUMMYFUNCTION("IFERROR(IF(COUNTIF(IMPORTRANGE(""1WjiLR_MTMxI_IZUKuvPO4Sg2rTSIqBzP3edakSRXbOA"",""Form Responses 1!B:B""),F552)&gt;0,10,),0)"),"")</f>
        <v/>
      </c>
      <c r="R552" s="70" t="str">
        <f>IFERROR(__xludf.DUMMYFUNCTION("IFERROR(VLOOKUP(F552,IMPORTRANGE(""1Ixzbal5tEbtWhozsFEppQzOYE6ZSrkNXHg_HW5k3Wt4"",""Form Responses 1!B:C""),2,FALSE),)"),"")</f>
        <v/>
      </c>
      <c r="S552" s="70" t="str">
        <f>IFERROR(__xludf.DUMMYFUNCTION("IFERROR(VLOOKUP(F552,IMPORTRANGE(""1zxjtEKGvVIJPIDqZdnxENwVpPXYa88EihzyI44hcQUo"",""Form Responses 1!B:C""),2,FALSE),)"),"")</f>
        <v/>
      </c>
      <c r="T552" s="70" t="str">
        <f>IFERROR(__xludf.DUMMYFUNCTION("IFERROR(VLOOKUP(F552,IMPORTRANGE(""1H3cO01obd5zFULYqaT5NAqecZBFFIHeDFn4CeQLZF3w"",""Form Responses 1!B:C""),2,FALSE),)"),"")</f>
        <v/>
      </c>
      <c r="U552" s="70" t="str">
        <f>IFERROR(__xludf.DUMMYFUNCTION("IFERROR(IF(COUNTIF(IMPORTRANGE(""1IG9qoa6PeLdDDFzKpW39lxXshN0-M8Z25a_R1EpsYyg"",""Form Responses 1!B:B""),F552)&gt;0,10,),0)"),"")</f>
        <v/>
      </c>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row>
    <row r="553">
      <c r="B553" s="70" t="str">
        <f>IFERROR(__xludf.DUMMYFUNCTION("IFERROR(IF(COUNTIF(IMPORTRANGE(""1RTcwEJsI_0aJRebhNwO_H_AoKl9r46k7hWYbtciIyM4"",""Form Responses 1!B:B""),A553)&gt;0,10,),0)"),"")</f>
        <v/>
      </c>
      <c r="C553" s="70" t="str">
        <f>IFERROR(__xludf.DUMMYFUNCTION("IFERROR(VLOOKUP(A553,IMPORTRANGE(""11i8IUhq_U6RRKRV3CBWIKqYed_fMvFgNUHTq1YDJfp8"",""Form Responses 1!B:C""),2,FALSE),)"),"")</f>
        <v/>
      </c>
      <c r="D553" s="70" t="str">
        <f>IFERROR(__xludf.DUMMYFUNCTION("IFERROR(VLOOKUP(A553,IMPORTRANGE(""1StiHxuxrFhYdrq5WLR2JMORicW0TbnJf3J-oTHeMRtM"",""Form Responses 1!B:C""),2,FALSE),)"),"")</f>
        <v/>
      </c>
      <c r="E553" s="70" t="str">
        <f>IFERROR(__xludf.DUMMYFUNCTION("IFERROR(VLOOKUP(A553,IMPORTRANGE(""1QaxxyUjrDq2kgz300C1Bq1tacFk6e-xX218cSXCQUK0"",""Form Responses 1!B:C""),2,FALSE),)"),"")</f>
        <v/>
      </c>
      <c r="F553" s="70" t="str">
        <f>IFERROR(__xludf.DUMMYFUNCTION("IFERROR(VLOOKUP(A553,IMPORTRANGE(""1fn2ECph_y8Uz78DhjLaiXcwgt6kh3oe-0Le36Uw0noE"",""Form Responses 1!B:C""),2,FALSE),)"),"")</f>
        <v/>
      </c>
      <c r="G553" s="70"/>
      <c r="H553" s="70"/>
      <c r="I553" s="70"/>
      <c r="J553" s="70"/>
      <c r="K553" s="70"/>
      <c r="L553" s="70"/>
      <c r="M553" s="70"/>
      <c r="N553" s="70"/>
      <c r="O553" s="70"/>
      <c r="P553" s="70"/>
      <c r="Q553" s="70" t="str">
        <f>IFERROR(__xludf.DUMMYFUNCTION("IFERROR(IF(COUNTIF(IMPORTRANGE(""1WjiLR_MTMxI_IZUKuvPO4Sg2rTSIqBzP3edakSRXbOA"",""Form Responses 1!B:B""),F553)&gt;0,10,),0)"),"")</f>
        <v/>
      </c>
      <c r="R553" s="70" t="str">
        <f>IFERROR(__xludf.DUMMYFUNCTION("IFERROR(VLOOKUP(F553,IMPORTRANGE(""1Ixzbal5tEbtWhozsFEppQzOYE6ZSrkNXHg_HW5k3Wt4"",""Form Responses 1!B:C""),2,FALSE),)"),"")</f>
        <v/>
      </c>
      <c r="S553" s="70" t="str">
        <f>IFERROR(__xludf.DUMMYFUNCTION("IFERROR(VLOOKUP(F553,IMPORTRANGE(""1zxjtEKGvVIJPIDqZdnxENwVpPXYa88EihzyI44hcQUo"",""Form Responses 1!B:C""),2,FALSE),)"),"")</f>
        <v/>
      </c>
      <c r="T553" s="70" t="str">
        <f>IFERROR(__xludf.DUMMYFUNCTION("IFERROR(VLOOKUP(F553,IMPORTRANGE(""1H3cO01obd5zFULYqaT5NAqecZBFFIHeDFn4CeQLZF3w"",""Form Responses 1!B:C""),2,FALSE),)"),"")</f>
        <v/>
      </c>
      <c r="U553" s="70" t="str">
        <f>IFERROR(__xludf.DUMMYFUNCTION("IFERROR(IF(COUNTIF(IMPORTRANGE(""1IG9qoa6PeLdDDFzKpW39lxXshN0-M8Z25a_R1EpsYyg"",""Form Responses 1!B:B""),F553)&gt;0,10,),0)"),"")</f>
        <v/>
      </c>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row>
    <row r="554">
      <c r="B554" s="70" t="str">
        <f>IFERROR(__xludf.DUMMYFUNCTION("IFERROR(IF(COUNTIF(IMPORTRANGE(""1RTcwEJsI_0aJRebhNwO_H_AoKl9r46k7hWYbtciIyM4"",""Form Responses 1!B:B""),A554)&gt;0,10,),0)"),"")</f>
        <v/>
      </c>
      <c r="C554" s="70" t="str">
        <f>IFERROR(__xludf.DUMMYFUNCTION("IFERROR(VLOOKUP(A554,IMPORTRANGE(""11i8IUhq_U6RRKRV3CBWIKqYed_fMvFgNUHTq1YDJfp8"",""Form Responses 1!B:C""),2,FALSE),)"),"")</f>
        <v/>
      </c>
      <c r="D554" s="70" t="str">
        <f>IFERROR(__xludf.DUMMYFUNCTION("IFERROR(VLOOKUP(A554,IMPORTRANGE(""1StiHxuxrFhYdrq5WLR2JMORicW0TbnJf3J-oTHeMRtM"",""Form Responses 1!B:C""),2,FALSE),)"),"")</f>
        <v/>
      </c>
      <c r="E554" s="70" t="str">
        <f>IFERROR(__xludf.DUMMYFUNCTION("IFERROR(VLOOKUP(A554,IMPORTRANGE(""1QaxxyUjrDq2kgz300C1Bq1tacFk6e-xX218cSXCQUK0"",""Form Responses 1!B:C""),2,FALSE),)"),"")</f>
        <v/>
      </c>
      <c r="F554" s="70" t="str">
        <f>IFERROR(__xludf.DUMMYFUNCTION("IFERROR(VLOOKUP(A554,IMPORTRANGE(""1fn2ECph_y8Uz78DhjLaiXcwgt6kh3oe-0Le36Uw0noE"",""Form Responses 1!B:C""),2,FALSE),)"),"")</f>
        <v/>
      </c>
      <c r="G554" s="70"/>
      <c r="H554" s="70"/>
      <c r="I554" s="70"/>
      <c r="J554" s="70"/>
      <c r="K554" s="70"/>
      <c r="L554" s="70"/>
      <c r="M554" s="70"/>
      <c r="N554" s="70"/>
      <c r="O554" s="70"/>
      <c r="P554" s="70"/>
      <c r="Q554" s="70" t="str">
        <f>IFERROR(__xludf.DUMMYFUNCTION("IFERROR(IF(COUNTIF(IMPORTRANGE(""1WjiLR_MTMxI_IZUKuvPO4Sg2rTSIqBzP3edakSRXbOA"",""Form Responses 1!B:B""),F554)&gt;0,10,),0)"),"")</f>
        <v/>
      </c>
      <c r="R554" s="70" t="str">
        <f>IFERROR(__xludf.DUMMYFUNCTION("IFERROR(VLOOKUP(F554,IMPORTRANGE(""1Ixzbal5tEbtWhozsFEppQzOYE6ZSrkNXHg_HW5k3Wt4"",""Form Responses 1!B:C""),2,FALSE),)"),"")</f>
        <v/>
      </c>
      <c r="S554" s="70" t="str">
        <f>IFERROR(__xludf.DUMMYFUNCTION("IFERROR(VLOOKUP(F554,IMPORTRANGE(""1zxjtEKGvVIJPIDqZdnxENwVpPXYa88EihzyI44hcQUo"",""Form Responses 1!B:C""),2,FALSE),)"),"")</f>
        <v/>
      </c>
      <c r="T554" s="70" t="str">
        <f>IFERROR(__xludf.DUMMYFUNCTION("IFERROR(VLOOKUP(F554,IMPORTRANGE(""1H3cO01obd5zFULYqaT5NAqecZBFFIHeDFn4CeQLZF3w"",""Form Responses 1!B:C""),2,FALSE),)"),"")</f>
        <v/>
      </c>
      <c r="U554" s="70" t="str">
        <f>IFERROR(__xludf.DUMMYFUNCTION("IFERROR(IF(COUNTIF(IMPORTRANGE(""1IG9qoa6PeLdDDFzKpW39lxXshN0-M8Z25a_R1EpsYyg"",""Form Responses 1!B:B""),F554)&gt;0,10,),0)"),"")</f>
        <v/>
      </c>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row>
    <row r="555">
      <c r="B555" s="70" t="str">
        <f>IFERROR(__xludf.DUMMYFUNCTION("IFERROR(IF(COUNTIF(IMPORTRANGE(""1RTcwEJsI_0aJRebhNwO_H_AoKl9r46k7hWYbtciIyM4"",""Form Responses 1!B:B""),A555)&gt;0,10,),0)"),"")</f>
        <v/>
      </c>
      <c r="C555" s="70" t="str">
        <f>IFERROR(__xludf.DUMMYFUNCTION("IFERROR(VLOOKUP(A555,IMPORTRANGE(""11i8IUhq_U6RRKRV3CBWIKqYed_fMvFgNUHTq1YDJfp8"",""Form Responses 1!B:C""),2,FALSE),)"),"")</f>
        <v/>
      </c>
      <c r="D555" s="70" t="str">
        <f>IFERROR(__xludf.DUMMYFUNCTION("IFERROR(VLOOKUP(A555,IMPORTRANGE(""1StiHxuxrFhYdrq5WLR2JMORicW0TbnJf3J-oTHeMRtM"",""Form Responses 1!B:C""),2,FALSE),)"),"")</f>
        <v/>
      </c>
      <c r="E555" s="70" t="str">
        <f>IFERROR(__xludf.DUMMYFUNCTION("IFERROR(VLOOKUP(A555,IMPORTRANGE(""1QaxxyUjrDq2kgz300C1Bq1tacFk6e-xX218cSXCQUK0"",""Form Responses 1!B:C""),2,FALSE),)"),"")</f>
        <v/>
      </c>
      <c r="F555" s="70" t="str">
        <f>IFERROR(__xludf.DUMMYFUNCTION("IFERROR(VLOOKUP(A555,IMPORTRANGE(""1fn2ECph_y8Uz78DhjLaiXcwgt6kh3oe-0Le36Uw0noE"",""Form Responses 1!B:C""),2,FALSE),)"),"")</f>
        <v/>
      </c>
      <c r="G555" s="70"/>
      <c r="H555" s="70"/>
      <c r="I555" s="70"/>
      <c r="J555" s="70"/>
      <c r="K555" s="70"/>
      <c r="L555" s="70"/>
      <c r="M555" s="70"/>
      <c r="N555" s="70"/>
      <c r="O555" s="70"/>
      <c r="P555" s="70"/>
      <c r="Q555" s="70" t="str">
        <f>IFERROR(__xludf.DUMMYFUNCTION("IFERROR(IF(COUNTIF(IMPORTRANGE(""1WjiLR_MTMxI_IZUKuvPO4Sg2rTSIqBzP3edakSRXbOA"",""Form Responses 1!B:B""),F555)&gt;0,10,),0)"),"")</f>
        <v/>
      </c>
      <c r="R555" s="70" t="str">
        <f>IFERROR(__xludf.DUMMYFUNCTION("IFERROR(VLOOKUP(F555,IMPORTRANGE(""1Ixzbal5tEbtWhozsFEppQzOYE6ZSrkNXHg_HW5k3Wt4"",""Form Responses 1!B:C""),2,FALSE),)"),"")</f>
        <v/>
      </c>
      <c r="S555" s="70" t="str">
        <f>IFERROR(__xludf.DUMMYFUNCTION("IFERROR(VLOOKUP(F555,IMPORTRANGE(""1zxjtEKGvVIJPIDqZdnxENwVpPXYa88EihzyI44hcQUo"",""Form Responses 1!B:C""),2,FALSE),)"),"")</f>
        <v/>
      </c>
      <c r="T555" s="70" t="str">
        <f>IFERROR(__xludf.DUMMYFUNCTION("IFERROR(VLOOKUP(F555,IMPORTRANGE(""1H3cO01obd5zFULYqaT5NAqecZBFFIHeDFn4CeQLZF3w"",""Form Responses 1!B:C""),2,FALSE),)"),"")</f>
        <v/>
      </c>
      <c r="U555" s="70" t="str">
        <f>IFERROR(__xludf.DUMMYFUNCTION("IFERROR(IF(COUNTIF(IMPORTRANGE(""1IG9qoa6PeLdDDFzKpW39lxXshN0-M8Z25a_R1EpsYyg"",""Form Responses 1!B:B""),F555)&gt;0,10,),0)"),"")</f>
        <v/>
      </c>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row>
    <row r="556">
      <c r="B556" s="70" t="str">
        <f>IFERROR(__xludf.DUMMYFUNCTION("IFERROR(IF(COUNTIF(IMPORTRANGE(""1RTcwEJsI_0aJRebhNwO_H_AoKl9r46k7hWYbtciIyM4"",""Form Responses 1!B:B""),A556)&gt;0,10,),0)"),"")</f>
        <v/>
      </c>
      <c r="C556" s="70" t="str">
        <f>IFERROR(__xludf.DUMMYFUNCTION("IFERROR(VLOOKUP(A556,IMPORTRANGE(""11i8IUhq_U6RRKRV3CBWIKqYed_fMvFgNUHTq1YDJfp8"",""Form Responses 1!B:C""),2,FALSE),)"),"")</f>
        <v/>
      </c>
      <c r="D556" s="70" t="str">
        <f>IFERROR(__xludf.DUMMYFUNCTION("IFERROR(VLOOKUP(A556,IMPORTRANGE(""1StiHxuxrFhYdrq5WLR2JMORicW0TbnJf3J-oTHeMRtM"",""Form Responses 1!B:C""),2,FALSE),)"),"")</f>
        <v/>
      </c>
      <c r="E556" s="70" t="str">
        <f>IFERROR(__xludf.DUMMYFUNCTION("IFERROR(VLOOKUP(A556,IMPORTRANGE(""1QaxxyUjrDq2kgz300C1Bq1tacFk6e-xX218cSXCQUK0"",""Form Responses 1!B:C""),2,FALSE),)"),"")</f>
        <v/>
      </c>
      <c r="F556" s="70" t="str">
        <f>IFERROR(__xludf.DUMMYFUNCTION("IFERROR(VLOOKUP(A556,IMPORTRANGE(""1fn2ECph_y8Uz78DhjLaiXcwgt6kh3oe-0Le36Uw0noE"",""Form Responses 1!B:C""),2,FALSE),)"),"")</f>
        <v/>
      </c>
      <c r="G556" s="70"/>
      <c r="H556" s="70"/>
      <c r="I556" s="70"/>
      <c r="J556" s="70"/>
      <c r="K556" s="70"/>
      <c r="L556" s="70"/>
      <c r="M556" s="70"/>
      <c r="N556" s="70"/>
      <c r="O556" s="70"/>
      <c r="P556" s="70"/>
      <c r="Q556" s="70" t="str">
        <f>IFERROR(__xludf.DUMMYFUNCTION("IFERROR(IF(COUNTIF(IMPORTRANGE(""1WjiLR_MTMxI_IZUKuvPO4Sg2rTSIqBzP3edakSRXbOA"",""Form Responses 1!B:B""),F556)&gt;0,10,),0)"),"")</f>
        <v/>
      </c>
      <c r="R556" s="70" t="str">
        <f>IFERROR(__xludf.DUMMYFUNCTION("IFERROR(VLOOKUP(F556,IMPORTRANGE(""1Ixzbal5tEbtWhozsFEppQzOYE6ZSrkNXHg_HW5k3Wt4"",""Form Responses 1!B:C""),2,FALSE),)"),"")</f>
        <v/>
      </c>
      <c r="S556" s="70" t="str">
        <f>IFERROR(__xludf.DUMMYFUNCTION("IFERROR(VLOOKUP(F556,IMPORTRANGE(""1zxjtEKGvVIJPIDqZdnxENwVpPXYa88EihzyI44hcQUo"",""Form Responses 1!B:C""),2,FALSE),)"),"")</f>
        <v/>
      </c>
      <c r="T556" s="70" t="str">
        <f>IFERROR(__xludf.DUMMYFUNCTION("IFERROR(VLOOKUP(F556,IMPORTRANGE(""1H3cO01obd5zFULYqaT5NAqecZBFFIHeDFn4CeQLZF3w"",""Form Responses 1!B:C""),2,FALSE),)"),"")</f>
        <v/>
      </c>
      <c r="U556" s="70" t="str">
        <f>IFERROR(__xludf.DUMMYFUNCTION("IFERROR(IF(COUNTIF(IMPORTRANGE(""1IG9qoa6PeLdDDFzKpW39lxXshN0-M8Z25a_R1EpsYyg"",""Form Responses 1!B:B""),F556)&gt;0,10,),0)"),"")</f>
        <v/>
      </c>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row>
    <row r="557">
      <c r="B557" s="70" t="str">
        <f>IFERROR(__xludf.DUMMYFUNCTION("IFERROR(IF(COUNTIF(IMPORTRANGE(""1RTcwEJsI_0aJRebhNwO_H_AoKl9r46k7hWYbtciIyM4"",""Form Responses 1!B:B""),A557)&gt;0,10,),0)"),"")</f>
        <v/>
      </c>
      <c r="C557" s="70" t="str">
        <f>IFERROR(__xludf.DUMMYFUNCTION("IFERROR(VLOOKUP(A557,IMPORTRANGE(""11i8IUhq_U6RRKRV3CBWIKqYed_fMvFgNUHTq1YDJfp8"",""Form Responses 1!B:C""),2,FALSE),)"),"")</f>
        <v/>
      </c>
      <c r="D557" s="70" t="str">
        <f>IFERROR(__xludf.DUMMYFUNCTION("IFERROR(VLOOKUP(A557,IMPORTRANGE(""1StiHxuxrFhYdrq5WLR2JMORicW0TbnJf3J-oTHeMRtM"",""Form Responses 1!B:C""),2,FALSE),)"),"")</f>
        <v/>
      </c>
      <c r="E557" s="70" t="str">
        <f>IFERROR(__xludf.DUMMYFUNCTION("IFERROR(VLOOKUP(A557,IMPORTRANGE(""1QaxxyUjrDq2kgz300C1Bq1tacFk6e-xX218cSXCQUK0"",""Form Responses 1!B:C""),2,FALSE),)"),"")</f>
        <v/>
      </c>
      <c r="F557" s="70" t="str">
        <f>IFERROR(__xludf.DUMMYFUNCTION("IFERROR(VLOOKUP(A557,IMPORTRANGE(""1fn2ECph_y8Uz78DhjLaiXcwgt6kh3oe-0Le36Uw0noE"",""Form Responses 1!B:C""),2,FALSE),)"),"")</f>
        <v/>
      </c>
      <c r="G557" s="70"/>
      <c r="H557" s="70"/>
      <c r="I557" s="70"/>
      <c r="J557" s="70"/>
      <c r="K557" s="70"/>
      <c r="L557" s="70"/>
      <c r="M557" s="70"/>
      <c r="N557" s="70"/>
      <c r="O557" s="70"/>
      <c r="P557" s="70"/>
      <c r="Q557" s="70" t="str">
        <f>IFERROR(__xludf.DUMMYFUNCTION("IFERROR(IF(COUNTIF(IMPORTRANGE(""1WjiLR_MTMxI_IZUKuvPO4Sg2rTSIqBzP3edakSRXbOA"",""Form Responses 1!B:B""),F557)&gt;0,10,),0)"),"")</f>
        <v/>
      </c>
      <c r="R557" s="70" t="str">
        <f>IFERROR(__xludf.DUMMYFUNCTION("IFERROR(VLOOKUP(F557,IMPORTRANGE(""1Ixzbal5tEbtWhozsFEppQzOYE6ZSrkNXHg_HW5k3Wt4"",""Form Responses 1!B:C""),2,FALSE),)"),"")</f>
        <v/>
      </c>
      <c r="S557" s="70" t="str">
        <f>IFERROR(__xludf.DUMMYFUNCTION("IFERROR(VLOOKUP(F557,IMPORTRANGE(""1zxjtEKGvVIJPIDqZdnxENwVpPXYa88EihzyI44hcQUo"",""Form Responses 1!B:C""),2,FALSE),)"),"")</f>
        <v/>
      </c>
      <c r="T557" s="70" t="str">
        <f>IFERROR(__xludf.DUMMYFUNCTION("IFERROR(VLOOKUP(F557,IMPORTRANGE(""1H3cO01obd5zFULYqaT5NAqecZBFFIHeDFn4CeQLZF3w"",""Form Responses 1!B:C""),2,FALSE),)"),"")</f>
        <v/>
      </c>
      <c r="U557" s="70" t="str">
        <f>IFERROR(__xludf.DUMMYFUNCTION("IFERROR(IF(COUNTIF(IMPORTRANGE(""1IG9qoa6PeLdDDFzKpW39lxXshN0-M8Z25a_R1EpsYyg"",""Form Responses 1!B:B""),F557)&gt;0,10,),0)"),"")</f>
        <v/>
      </c>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row>
    <row r="558">
      <c r="B558" s="70" t="str">
        <f>IFERROR(__xludf.DUMMYFUNCTION("IFERROR(IF(COUNTIF(IMPORTRANGE(""1RTcwEJsI_0aJRebhNwO_H_AoKl9r46k7hWYbtciIyM4"",""Form Responses 1!B:B""),A558)&gt;0,10,),0)"),"")</f>
        <v/>
      </c>
      <c r="C558" s="70" t="str">
        <f>IFERROR(__xludf.DUMMYFUNCTION("IFERROR(VLOOKUP(A558,IMPORTRANGE(""11i8IUhq_U6RRKRV3CBWIKqYed_fMvFgNUHTq1YDJfp8"",""Form Responses 1!B:C""),2,FALSE),)"),"")</f>
        <v/>
      </c>
      <c r="D558" s="70" t="str">
        <f>IFERROR(__xludf.DUMMYFUNCTION("IFERROR(VLOOKUP(A558,IMPORTRANGE(""1StiHxuxrFhYdrq5WLR2JMORicW0TbnJf3J-oTHeMRtM"",""Form Responses 1!B:C""),2,FALSE),)"),"")</f>
        <v/>
      </c>
      <c r="E558" s="70" t="str">
        <f>IFERROR(__xludf.DUMMYFUNCTION("IFERROR(VLOOKUP(A558,IMPORTRANGE(""1QaxxyUjrDq2kgz300C1Bq1tacFk6e-xX218cSXCQUK0"",""Form Responses 1!B:C""),2,FALSE),)"),"")</f>
        <v/>
      </c>
      <c r="F558" s="70" t="str">
        <f>IFERROR(__xludf.DUMMYFUNCTION("IFERROR(VLOOKUP(A558,IMPORTRANGE(""1fn2ECph_y8Uz78DhjLaiXcwgt6kh3oe-0Le36Uw0noE"",""Form Responses 1!B:C""),2,FALSE),)"),"")</f>
        <v/>
      </c>
      <c r="G558" s="70"/>
      <c r="H558" s="70"/>
      <c r="I558" s="70"/>
      <c r="J558" s="70"/>
      <c r="K558" s="70"/>
      <c r="L558" s="70"/>
      <c r="M558" s="70"/>
      <c r="N558" s="70"/>
      <c r="O558" s="70"/>
      <c r="P558" s="70"/>
      <c r="Q558" s="70" t="str">
        <f>IFERROR(__xludf.DUMMYFUNCTION("IFERROR(IF(COUNTIF(IMPORTRANGE(""1WjiLR_MTMxI_IZUKuvPO4Sg2rTSIqBzP3edakSRXbOA"",""Form Responses 1!B:B""),F558)&gt;0,10,),0)"),"")</f>
        <v/>
      </c>
      <c r="R558" s="70" t="str">
        <f>IFERROR(__xludf.DUMMYFUNCTION("IFERROR(VLOOKUP(F558,IMPORTRANGE(""1Ixzbal5tEbtWhozsFEppQzOYE6ZSrkNXHg_HW5k3Wt4"",""Form Responses 1!B:C""),2,FALSE),)"),"")</f>
        <v/>
      </c>
      <c r="S558" s="70" t="str">
        <f>IFERROR(__xludf.DUMMYFUNCTION("IFERROR(VLOOKUP(F558,IMPORTRANGE(""1zxjtEKGvVIJPIDqZdnxENwVpPXYa88EihzyI44hcQUo"",""Form Responses 1!B:C""),2,FALSE),)"),"")</f>
        <v/>
      </c>
      <c r="T558" s="70" t="str">
        <f>IFERROR(__xludf.DUMMYFUNCTION("IFERROR(VLOOKUP(F558,IMPORTRANGE(""1H3cO01obd5zFULYqaT5NAqecZBFFIHeDFn4CeQLZF3w"",""Form Responses 1!B:C""),2,FALSE),)"),"")</f>
        <v/>
      </c>
      <c r="U558" s="70" t="str">
        <f>IFERROR(__xludf.DUMMYFUNCTION("IFERROR(IF(COUNTIF(IMPORTRANGE(""1IG9qoa6PeLdDDFzKpW39lxXshN0-M8Z25a_R1EpsYyg"",""Form Responses 1!B:B""),F558)&gt;0,10,),0)"),"")</f>
        <v/>
      </c>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row>
    <row r="559">
      <c r="B559" s="70" t="str">
        <f>IFERROR(__xludf.DUMMYFUNCTION("IFERROR(IF(COUNTIF(IMPORTRANGE(""1RTcwEJsI_0aJRebhNwO_H_AoKl9r46k7hWYbtciIyM4"",""Form Responses 1!B:B""),A559)&gt;0,10,),0)"),"")</f>
        <v/>
      </c>
      <c r="C559" s="70" t="str">
        <f>IFERROR(__xludf.DUMMYFUNCTION("IFERROR(VLOOKUP(A559,IMPORTRANGE(""11i8IUhq_U6RRKRV3CBWIKqYed_fMvFgNUHTq1YDJfp8"",""Form Responses 1!B:C""),2,FALSE),)"),"")</f>
        <v/>
      </c>
      <c r="D559" s="70" t="str">
        <f>IFERROR(__xludf.DUMMYFUNCTION("IFERROR(VLOOKUP(A559,IMPORTRANGE(""1StiHxuxrFhYdrq5WLR2JMORicW0TbnJf3J-oTHeMRtM"",""Form Responses 1!B:C""),2,FALSE),)"),"")</f>
        <v/>
      </c>
      <c r="E559" s="70" t="str">
        <f>IFERROR(__xludf.DUMMYFUNCTION("IFERROR(VLOOKUP(A559,IMPORTRANGE(""1QaxxyUjrDq2kgz300C1Bq1tacFk6e-xX218cSXCQUK0"",""Form Responses 1!B:C""),2,FALSE),)"),"")</f>
        <v/>
      </c>
      <c r="F559" s="70" t="str">
        <f>IFERROR(__xludf.DUMMYFUNCTION("IFERROR(VLOOKUP(A559,IMPORTRANGE(""1fn2ECph_y8Uz78DhjLaiXcwgt6kh3oe-0Le36Uw0noE"",""Form Responses 1!B:C""),2,FALSE),)"),"")</f>
        <v/>
      </c>
      <c r="G559" s="70"/>
      <c r="H559" s="70"/>
      <c r="I559" s="70"/>
      <c r="J559" s="70"/>
      <c r="K559" s="70"/>
      <c r="L559" s="70"/>
      <c r="M559" s="70"/>
      <c r="N559" s="70"/>
      <c r="O559" s="70"/>
      <c r="P559" s="70"/>
      <c r="Q559" s="70" t="str">
        <f>IFERROR(__xludf.DUMMYFUNCTION("IFERROR(IF(COUNTIF(IMPORTRANGE(""1WjiLR_MTMxI_IZUKuvPO4Sg2rTSIqBzP3edakSRXbOA"",""Form Responses 1!B:B""),F559)&gt;0,10,),0)"),"")</f>
        <v/>
      </c>
      <c r="R559" s="70" t="str">
        <f>IFERROR(__xludf.DUMMYFUNCTION("IFERROR(VLOOKUP(F559,IMPORTRANGE(""1Ixzbal5tEbtWhozsFEppQzOYE6ZSrkNXHg_HW5k3Wt4"",""Form Responses 1!B:C""),2,FALSE),)"),"")</f>
        <v/>
      </c>
      <c r="S559" s="70" t="str">
        <f>IFERROR(__xludf.DUMMYFUNCTION("IFERROR(VLOOKUP(F559,IMPORTRANGE(""1zxjtEKGvVIJPIDqZdnxENwVpPXYa88EihzyI44hcQUo"",""Form Responses 1!B:C""),2,FALSE),)"),"")</f>
        <v/>
      </c>
      <c r="T559" s="70" t="str">
        <f>IFERROR(__xludf.DUMMYFUNCTION("IFERROR(VLOOKUP(F559,IMPORTRANGE(""1H3cO01obd5zFULYqaT5NAqecZBFFIHeDFn4CeQLZF3w"",""Form Responses 1!B:C""),2,FALSE),)"),"")</f>
        <v/>
      </c>
      <c r="U559" s="70" t="str">
        <f>IFERROR(__xludf.DUMMYFUNCTION("IFERROR(IF(COUNTIF(IMPORTRANGE(""1IG9qoa6PeLdDDFzKpW39lxXshN0-M8Z25a_R1EpsYyg"",""Form Responses 1!B:B""),F559)&gt;0,10,),0)"),"")</f>
        <v/>
      </c>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row>
    <row r="560">
      <c r="B560" s="70" t="str">
        <f>IFERROR(__xludf.DUMMYFUNCTION("IFERROR(IF(COUNTIF(IMPORTRANGE(""1RTcwEJsI_0aJRebhNwO_H_AoKl9r46k7hWYbtciIyM4"",""Form Responses 1!B:B""),A560)&gt;0,10,),0)"),"")</f>
        <v/>
      </c>
      <c r="C560" s="70" t="str">
        <f>IFERROR(__xludf.DUMMYFUNCTION("IFERROR(VLOOKUP(A560,IMPORTRANGE(""11i8IUhq_U6RRKRV3CBWIKqYed_fMvFgNUHTq1YDJfp8"",""Form Responses 1!B:C""),2,FALSE),)"),"")</f>
        <v/>
      </c>
      <c r="D560" s="70" t="str">
        <f>IFERROR(__xludf.DUMMYFUNCTION("IFERROR(VLOOKUP(A560,IMPORTRANGE(""1StiHxuxrFhYdrq5WLR2JMORicW0TbnJf3J-oTHeMRtM"",""Form Responses 1!B:C""),2,FALSE),)"),"")</f>
        <v/>
      </c>
      <c r="E560" s="70" t="str">
        <f>IFERROR(__xludf.DUMMYFUNCTION("IFERROR(VLOOKUP(A560,IMPORTRANGE(""1QaxxyUjrDq2kgz300C1Bq1tacFk6e-xX218cSXCQUK0"",""Form Responses 1!B:C""),2,FALSE),)"),"")</f>
        <v/>
      </c>
      <c r="F560" s="70" t="str">
        <f>IFERROR(__xludf.DUMMYFUNCTION("IFERROR(VLOOKUP(A560,IMPORTRANGE(""1fn2ECph_y8Uz78DhjLaiXcwgt6kh3oe-0Le36Uw0noE"",""Form Responses 1!B:C""),2,FALSE),)"),"")</f>
        <v/>
      </c>
      <c r="G560" s="70"/>
      <c r="H560" s="70"/>
      <c r="I560" s="70"/>
      <c r="J560" s="70"/>
      <c r="K560" s="70"/>
      <c r="L560" s="70"/>
      <c r="M560" s="70"/>
      <c r="N560" s="70"/>
      <c r="O560" s="70"/>
      <c r="P560" s="70"/>
      <c r="Q560" s="70" t="str">
        <f>IFERROR(__xludf.DUMMYFUNCTION("IFERROR(IF(COUNTIF(IMPORTRANGE(""1WjiLR_MTMxI_IZUKuvPO4Sg2rTSIqBzP3edakSRXbOA"",""Form Responses 1!B:B""),F560)&gt;0,10,),0)"),"")</f>
        <v/>
      </c>
      <c r="R560" s="70" t="str">
        <f>IFERROR(__xludf.DUMMYFUNCTION("IFERROR(VLOOKUP(F560,IMPORTRANGE(""1Ixzbal5tEbtWhozsFEppQzOYE6ZSrkNXHg_HW5k3Wt4"",""Form Responses 1!B:C""),2,FALSE),)"),"")</f>
        <v/>
      </c>
      <c r="S560" s="70" t="str">
        <f>IFERROR(__xludf.DUMMYFUNCTION("IFERROR(VLOOKUP(F560,IMPORTRANGE(""1zxjtEKGvVIJPIDqZdnxENwVpPXYa88EihzyI44hcQUo"",""Form Responses 1!B:C""),2,FALSE),)"),"")</f>
        <v/>
      </c>
      <c r="T560" s="70" t="str">
        <f>IFERROR(__xludf.DUMMYFUNCTION("IFERROR(VLOOKUP(F560,IMPORTRANGE(""1H3cO01obd5zFULYqaT5NAqecZBFFIHeDFn4CeQLZF3w"",""Form Responses 1!B:C""),2,FALSE),)"),"")</f>
        <v/>
      </c>
      <c r="U560" s="70" t="str">
        <f>IFERROR(__xludf.DUMMYFUNCTION("IFERROR(IF(COUNTIF(IMPORTRANGE(""1IG9qoa6PeLdDDFzKpW39lxXshN0-M8Z25a_R1EpsYyg"",""Form Responses 1!B:B""),F560)&gt;0,10,),0)"),"")</f>
        <v/>
      </c>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row>
    <row r="561">
      <c r="B561" s="70" t="str">
        <f>IFERROR(__xludf.DUMMYFUNCTION("IFERROR(IF(COUNTIF(IMPORTRANGE(""1RTcwEJsI_0aJRebhNwO_H_AoKl9r46k7hWYbtciIyM4"",""Form Responses 1!B:B""),A561)&gt;0,10,),0)"),"")</f>
        <v/>
      </c>
      <c r="C561" s="70" t="str">
        <f>IFERROR(__xludf.DUMMYFUNCTION("IFERROR(VLOOKUP(A561,IMPORTRANGE(""11i8IUhq_U6RRKRV3CBWIKqYed_fMvFgNUHTq1YDJfp8"",""Form Responses 1!B:C""),2,FALSE),)"),"")</f>
        <v/>
      </c>
      <c r="D561" s="70" t="str">
        <f>IFERROR(__xludf.DUMMYFUNCTION("IFERROR(VLOOKUP(A561,IMPORTRANGE(""1StiHxuxrFhYdrq5WLR2JMORicW0TbnJf3J-oTHeMRtM"",""Form Responses 1!B:C""),2,FALSE),)"),"")</f>
        <v/>
      </c>
      <c r="E561" s="70" t="str">
        <f>IFERROR(__xludf.DUMMYFUNCTION("IFERROR(VLOOKUP(A561,IMPORTRANGE(""1QaxxyUjrDq2kgz300C1Bq1tacFk6e-xX218cSXCQUK0"",""Form Responses 1!B:C""),2,FALSE),)"),"")</f>
        <v/>
      </c>
      <c r="F561" s="70" t="str">
        <f>IFERROR(__xludf.DUMMYFUNCTION("IFERROR(VLOOKUP(A561,IMPORTRANGE(""1fn2ECph_y8Uz78DhjLaiXcwgt6kh3oe-0Le36Uw0noE"",""Form Responses 1!B:C""),2,FALSE),)"),"")</f>
        <v/>
      </c>
      <c r="G561" s="70"/>
      <c r="H561" s="70"/>
      <c r="I561" s="70"/>
      <c r="J561" s="70"/>
      <c r="K561" s="70"/>
      <c r="L561" s="70"/>
      <c r="M561" s="70"/>
      <c r="N561" s="70"/>
      <c r="O561" s="70"/>
      <c r="P561" s="70"/>
      <c r="Q561" s="70" t="str">
        <f>IFERROR(__xludf.DUMMYFUNCTION("IFERROR(IF(COUNTIF(IMPORTRANGE(""1WjiLR_MTMxI_IZUKuvPO4Sg2rTSIqBzP3edakSRXbOA"",""Form Responses 1!B:B""),F561)&gt;0,10,),0)"),"")</f>
        <v/>
      </c>
      <c r="R561" s="70" t="str">
        <f>IFERROR(__xludf.DUMMYFUNCTION("IFERROR(VLOOKUP(F561,IMPORTRANGE(""1Ixzbal5tEbtWhozsFEppQzOYE6ZSrkNXHg_HW5k3Wt4"",""Form Responses 1!B:C""),2,FALSE),)"),"")</f>
        <v/>
      </c>
      <c r="S561" s="70" t="str">
        <f>IFERROR(__xludf.DUMMYFUNCTION("IFERROR(VLOOKUP(F561,IMPORTRANGE(""1zxjtEKGvVIJPIDqZdnxENwVpPXYa88EihzyI44hcQUo"",""Form Responses 1!B:C""),2,FALSE),)"),"")</f>
        <v/>
      </c>
      <c r="T561" s="70" t="str">
        <f>IFERROR(__xludf.DUMMYFUNCTION("IFERROR(VLOOKUP(F561,IMPORTRANGE(""1H3cO01obd5zFULYqaT5NAqecZBFFIHeDFn4CeQLZF3w"",""Form Responses 1!B:C""),2,FALSE),)"),"")</f>
        <v/>
      </c>
      <c r="U561" s="70" t="str">
        <f>IFERROR(__xludf.DUMMYFUNCTION("IFERROR(IF(COUNTIF(IMPORTRANGE(""1IG9qoa6PeLdDDFzKpW39lxXshN0-M8Z25a_R1EpsYyg"",""Form Responses 1!B:B""),F561)&gt;0,10,),0)"),"")</f>
        <v/>
      </c>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row>
    <row r="562">
      <c r="B562" s="70" t="str">
        <f>IFERROR(__xludf.DUMMYFUNCTION("IFERROR(IF(COUNTIF(IMPORTRANGE(""1RTcwEJsI_0aJRebhNwO_H_AoKl9r46k7hWYbtciIyM4"",""Form Responses 1!B:B""),A562)&gt;0,10,),0)"),"")</f>
        <v/>
      </c>
      <c r="C562" s="70" t="str">
        <f>IFERROR(__xludf.DUMMYFUNCTION("IFERROR(VLOOKUP(A562,IMPORTRANGE(""11i8IUhq_U6RRKRV3CBWIKqYed_fMvFgNUHTq1YDJfp8"",""Form Responses 1!B:C""),2,FALSE),)"),"")</f>
        <v/>
      </c>
      <c r="D562" s="70" t="str">
        <f>IFERROR(__xludf.DUMMYFUNCTION("IFERROR(VLOOKUP(A562,IMPORTRANGE(""1StiHxuxrFhYdrq5WLR2JMORicW0TbnJf3J-oTHeMRtM"",""Form Responses 1!B:C""),2,FALSE),)"),"")</f>
        <v/>
      </c>
      <c r="E562" s="70" t="str">
        <f>IFERROR(__xludf.DUMMYFUNCTION("IFERROR(VLOOKUP(A562,IMPORTRANGE(""1QaxxyUjrDq2kgz300C1Bq1tacFk6e-xX218cSXCQUK0"",""Form Responses 1!B:C""),2,FALSE),)"),"")</f>
        <v/>
      </c>
      <c r="F562" s="70" t="str">
        <f>IFERROR(__xludf.DUMMYFUNCTION("IFERROR(VLOOKUP(A562,IMPORTRANGE(""1fn2ECph_y8Uz78DhjLaiXcwgt6kh3oe-0Le36Uw0noE"",""Form Responses 1!B:C""),2,FALSE),)"),"")</f>
        <v/>
      </c>
      <c r="G562" s="70"/>
      <c r="H562" s="70"/>
      <c r="I562" s="70"/>
      <c r="J562" s="70"/>
      <c r="K562" s="70"/>
      <c r="L562" s="70"/>
      <c r="M562" s="70"/>
      <c r="N562" s="70"/>
      <c r="O562" s="70"/>
      <c r="P562" s="70"/>
      <c r="Q562" s="70" t="str">
        <f>IFERROR(__xludf.DUMMYFUNCTION("IFERROR(IF(COUNTIF(IMPORTRANGE(""1WjiLR_MTMxI_IZUKuvPO4Sg2rTSIqBzP3edakSRXbOA"",""Form Responses 1!B:B""),F562)&gt;0,10,),0)"),"")</f>
        <v/>
      </c>
      <c r="R562" s="70" t="str">
        <f>IFERROR(__xludf.DUMMYFUNCTION("IFERROR(VLOOKUP(F562,IMPORTRANGE(""1Ixzbal5tEbtWhozsFEppQzOYE6ZSrkNXHg_HW5k3Wt4"",""Form Responses 1!B:C""),2,FALSE),)"),"")</f>
        <v/>
      </c>
      <c r="S562" s="70" t="str">
        <f>IFERROR(__xludf.DUMMYFUNCTION("IFERROR(VLOOKUP(F562,IMPORTRANGE(""1zxjtEKGvVIJPIDqZdnxENwVpPXYa88EihzyI44hcQUo"",""Form Responses 1!B:C""),2,FALSE),)"),"")</f>
        <v/>
      </c>
      <c r="T562" s="70" t="str">
        <f>IFERROR(__xludf.DUMMYFUNCTION("IFERROR(VLOOKUP(F562,IMPORTRANGE(""1H3cO01obd5zFULYqaT5NAqecZBFFIHeDFn4CeQLZF3w"",""Form Responses 1!B:C""),2,FALSE),)"),"")</f>
        <v/>
      </c>
      <c r="U562" s="70" t="str">
        <f>IFERROR(__xludf.DUMMYFUNCTION("IFERROR(IF(COUNTIF(IMPORTRANGE(""1IG9qoa6PeLdDDFzKpW39lxXshN0-M8Z25a_R1EpsYyg"",""Form Responses 1!B:B""),F562)&gt;0,10,),0)"),"")</f>
        <v/>
      </c>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row>
    <row r="563">
      <c r="B563" s="70" t="str">
        <f>IFERROR(__xludf.DUMMYFUNCTION("IFERROR(IF(COUNTIF(IMPORTRANGE(""1RTcwEJsI_0aJRebhNwO_H_AoKl9r46k7hWYbtciIyM4"",""Form Responses 1!B:B""),A563)&gt;0,10,),0)"),"")</f>
        <v/>
      </c>
      <c r="C563" s="70" t="str">
        <f>IFERROR(__xludf.DUMMYFUNCTION("IFERROR(VLOOKUP(A563,IMPORTRANGE(""11i8IUhq_U6RRKRV3CBWIKqYed_fMvFgNUHTq1YDJfp8"",""Form Responses 1!B:C""),2,FALSE),)"),"")</f>
        <v/>
      </c>
      <c r="D563" s="70" t="str">
        <f>IFERROR(__xludf.DUMMYFUNCTION("IFERROR(VLOOKUP(A563,IMPORTRANGE(""1StiHxuxrFhYdrq5WLR2JMORicW0TbnJf3J-oTHeMRtM"",""Form Responses 1!B:C""),2,FALSE),)"),"")</f>
        <v/>
      </c>
      <c r="E563" s="70" t="str">
        <f>IFERROR(__xludf.DUMMYFUNCTION("IFERROR(VLOOKUP(A563,IMPORTRANGE(""1QaxxyUjrDq2kgz300C1Bq1tacFk6e-xX218cSXCQUK0"",""Form Responses 1!B:C""),2,FALSE),)"),"")</f>
        <v/>
      </c>
      <c r="F563" s="70" t="str">
        <f>IFERROR(__xludf.DUMMYFUNCTION("IFERROR(VLOOKUP(A563,IMPORTRANGE(""1fn2ECph_y8Uz78DhjLaiXcwgt6kh3oe-0Le36Uw0noE"",""Form Responses 1!B:C""),2,FALSE),)"),"")</f>
        <v/>
      </c>
      <c r="G563" s="70"/>
      <c r="H563" s="70"/>
      <c r="I563" s="70"/>
      <c r="J563" s="70"/>
      <c r="K563" s="70"/>
      <c r="L563" s="70"/>
      <c r="M563" s="70"/>
      <c r="N563" s="70"/>
      <c r="O563" s="70"/>
      <c r="P563" s="70"/>
      <c r="Q563" s="70" t="str">
        <f>IFERROR(__xludf.DUMMYFUNCTION("IFERROR(IF(COUNTIF(IMPORTRANGE(""1WjiLR_MTMxI_IZUKuvPO4Sg2rTSIqBzP3edakSRXbOA"",""Form Responses 1!B:B""),F563)&gt;0,10,),0)"),"")</f>
        <v/>
      </c>
      <c r="R563" s="70" t="str">
        <f>IFERROR(__xludf.DUMMYFUNCTION("IFERROR(VLOOKUP(F563,IMPORTRANGE(""1Ixzbal5tEbtWhozsFEppQzOYE6ZSrkNXHg_HW5k3Wt4"",""Form Responses 1!B:C""),2,FALSE),)"),"")</f>
        <v/>
      </c>
      <c r="S563" s="70" t="str">
        <f>IFERROR(__xludf.DUMMYFUNCTION("IFERROR(VLOOKUP(F563,IMPORTRANGE(""1zxjtEKGvVIJPIDqZdnxENwVpPXYa88EihzyI44hcQUo"",""Form Responses 1!B:C""),2,FALSE),)"),"")</f>
        <v/>
      </c>
      <c r="T563" s="70" t="str">
        <f>IFERROR(__xludf.DUMMYFUNCTION("IFERROR(VLOOKUP(F563,IMPORTRANGE(""1H3cO01obd5zFULYqaT5NAqecZBFFIHeDFn4CeQLZF3w"",""Form Responses 1!B:C""),2,FALSE),)"),"")</f>
        <v/>
      </c>
      <c r="U563" s="70" t="str">
        <f>IFERROR(__xludf.DUMMYFUNCTION("IFERROR(IF(COUNTIF(IMPORTRANGE(""1IG9qoa6PeLdDDFzKpW39lxXshN0-M8Z25a_R1EpsYyg"",""Form Responses 1!B:B""),F563)&gt;0,10,),0)"),"")</f>
        <v/>
      </c>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row>
    <row r="564">
      <c r="B564" s="70" t="str">
        <f>IFERROR(__xludf.DUMMYFUNCTION("IFERROR(IF(COUNTIF(IMPORTRANGE(""1RTcwEJsI_0aJRebhNwO_H_AoKl9r46k7hWYbtciIyM4"",""Form Responses 1!B:B""),A564)&gt;0,10,),0)"),"")</f>
        <v/>
      </c>
      <c r="C564" s="70" t="str">
        <f>IFERROR(__xludf.DUMMYFUNCTION("IFERROR(VLOOKUP(A564,IMPORTRANGE(""11i8IUhq_U6RRKRV3CBWIKqYed_fMvFgNUHTq1YDJfp8"",""Form Responses 1!B:C""),2,FALSE),)"),"")</f>
        <v/>
      </c>
      <c r="D564" s="70" t="str">
        <f>IFERROR(__xludf.DUMMYFUNCTION("IFERROR(VLOOKUP(A564,IMPORTRANGE(""1StiHxuxrFhYdrq5WLR2JMORicW0TbnJf3J-oTHeMRtM"",""Form Responses 1!B:C""),2,FALSE),)"),"")</f>
        <v/>
      </c>
      <c r="E564" s="70" t="str">
        <f>IFERROR(__xludf.DUMMYFUNCTION("IFERROR(VLOOKUP(A564,IMPORTRANGE(""1QaxxyUjrDq2kgz300C1Bq1tacFk6e-xX218cSXCQUK0"",""Form Responses 1!B:C""),2,FALSE),)"),"")</f>
        <v/>
      </c>
      <c r="F564" s="70" t="str">
        <f>IFERROR(__xludf.DUMMYFUNCTION("IFERROR(VLOOKUP(A564,IMPORTRANGE(""1fn2ECph_y8Uz78DhjLaiXcwgt6kh3oe-0Le36Uw0noE"",""Form Responses 1!B:C""),2,FALSE),)"),"")</f>
        <v/>
      </c>
      <c r="G564" s="70"/>
      <c r="H564" s="70"/>
      <c r="I564" s="70"/>
      <c r="J564" s="70"/>
      <c r="K564" s="70"/>
      <c r="L564" s="70"/>
      <c r="M564" s="70"/>
      <c r="N564" s="70"/>
      <c r="O564" s="70"/>
      <c r="P564" s="70"/>
      <c r="Q564" s="70" t="str">
        <f>IFERROR(__xludf.DUMMYFUNCTION("IFERROR(IF(COUNTIF(IMPORTRANGE(""1WjiLR_MTMxI_IZUKuvPO4Sg2rTSIqBzP3edakSRXbOA"",""Form Responses 1!B:B""),F564)&gt;0,10,),0)"),"")</f>
        <v/>
      </c>
      <c r="R564" s="70" t="str">
        <f>IFERROR(__xludf.DUMMYFUNCTION("IFERROR(VLOOKUP(F564,IMPORTRANGE(""1Ixzbal5tEbtWhozsFEppQzOYE6ZSrkNXHg_HW5k3Wt4"",""Form Responses 1!B:C""),2,FALSE),)"),"")</f>
        <v/>
      </c>
      <c r="S564" s="70" t="str">
        <f>IFERROR(__xludf.DUMMYFUNCTION("IFERROR(VLOOKUP(F564,IMPORTRANGE(""1zxjtEKGvVIJPIDqZdnxENwVpPXYa88EihzyI44hcQUo"",""Form Responses 1!B:C""),2,FALSE),)"),"")</f>
        <v/>
      </c>
      <c r="T564" s="70" t="str">
        <f>IFERROR(__xludf.DUMMYFUNCTION("IFERROR(VLOOKUP(F564,IMPORTRANGE(""1H3cO01obd5zFULYqaT5NAqecZBFFIHeDFn4CeQLZF3w"",""Form Responses 1!B:C""),2,FALSE),)"),"")</f>
        <v/>
      </c>
      <c r="U564" s="70" t="str">
        <f>IFERROR(__xludf.DUMMYFUNCTION("IFERROR(IF(COUNTIF(IMPORTRANGE(""1IG9qoa6PeLdDDFzKpW39lxXshN0-M8Z25a_R1EpsYyg"",""Form Responses 1!B:B""),F564)&gt;0,10,),0)"),"")</f>
        <v/>
      </c>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row>
    <row r="565">
      <c r="B565" s="70" t="str">
        <f>IFERROR(__xludf.DUMMYFUNCTION("IFERROR(IF(COUNTIF(IMPORTRANGE(""1RTcwEJsI_0aJRebhNwO_H_AoKl9r46k7hWYbtciIyM4"",""Form Responses 1!B:B""),A565)&gt;0,10,),0)"),"")</f>
        <v/>
      </c>
      <c r="C565" s="70" t="str">
        <f>IFERROR(__xludf.DUMMYFUNCTION("IFERROR(VLOOKUP(A565,IMPORTRANGE(""11i8IUhq_U6RRKRV3CBWIKqYed_fMvFgNUHTq1YDJfp8"",""Form Responses 1!B:C""),2,FALSE),)"),"")</f>
        <v/>
      </c>
      <c r="D565" s="70" t="str">
        <f>IFERROR(__xludf.DUMMYFUNCTION("IFERROR(VLOOKUP(A565,IMPORTRANGE(""1StiHxuxrFhYdrq5WLR2JMORicW0TbnJf3J-oTHeMRtM"",""Form Responses 1!B:C""),2,FALSE),)"),"")</f>
        <v/>
      </c>
      <c r="E565" s="70" t="str">
        <f>IFERROR(__xludf.DUMMYFUNCTION("IFERROR(VLOOKUP(A565,IMPORTRANGE(""1QaxxyUjrDq2kgz300C1Bq1tacFk6e-xX218cSXCQUK0"",""Form Responses 1!B:C""),2,FALSE),)"),"")</f>
        <v/>
      </c>
      <c r="F565" s="70" t="str">
        <f>IFERROR(__xludf.DUMMYFUNCTION("IFERROR(VLOOKUP(A565,IMPORTRANGE(""1fn2ECph_y8Uz78DhjLaiXcwgt6kh3oe-0Le36Uw0noE"",""Form Responses 1!B:C""),2,FALSE),)"),"")</f>
        <v/>
      </c>
      <c r="G565" s="70"/>
      <c r="H565" s="70"/>
      <c r="I565" s="70"/>
      <c r="J565" s="70"/>
      <c r="K565" s="70"/>
      <c r="L565" s="70"/>
      <c r="M565" s="70"/>
      <c r="N565" s="70"/>
      <c r="O565" s="70"/>
      <c r="P565" s="70"/>
      <c r="Q565" s="70" t="str">
        <f>IFERROR(__xludf.DUMMYFUNCTION("IFERROR(IF(COUNTIF(IMPORTRANGE(""1WjiLR_MTMxI_IZUKuvPO4Sg2rTSIqBzP3edakSRXbOA"",""Form Responses 1!B:B""),F565)&gt;0,10,),0)"),"")</f>
        <v/>
      </c>
      <c r="R565" s="70" t="str">
        <f>IFERROR(__xludf.DUMMYFUNCTION("IFERROR(VLOOKUP(F565,IMPORTRANGE(""1Ixzbal5tEbtWhozsFEppQzOYE6ZSrkNXHg_HW5k3Wt4"",""Form Responses 1!B:C""),2,FALSE),)"),"")</f>
        <v/>
      </c>
      <c r="S565" s="70" t="str">
        <f>IFERROR(__xludf.DUMMYFUNCTION("IFERROR(VLOOKUP(F565,IMPORTRANGE(""1zxjtEKGvVIJPIDqZdnxENwVpPXYa88EihzyI44hcQUo"",""Form Responses 1!B:C""),2,FALSE),)"),"")</f>
        <v/>
      </c>
      <c r="T565" s="70" t="str">
        <f>IFERROR(__xludf.DUMMYFUNCTION("IFERROR(VLOOKUP(F565,IMPORTRANGE(""1H3cO01obd5zFULYqaT5NAqecZBFFIHeDFn4CeQLZF3w"",""Form Responses 1!B:C""),2,FALSE),)"),"")</f>
        <v/>
      </c>
      <c r="U565" s="70" t="str">
        <f>IFERROR(__xludf.DUMMYFUNCTION("IFERROR(IF(COUNTIF(IMPORTRANGE(""1IG9qoa6PeLdDDFzKpW39lxXshN0-M8Z25a_R1EpsYyg"",""Form Responses 1!B:B""),F565)&gt;0,10,),0)"),"")</f>
        <v/>
      </c>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row>
    <row r="566">
      <c r="B566" s="70" t="str">
        <f>IFERROR(__xludf.DUMMYFUNCTION("IFERROR(IF(COUNTIF(IMPORTRANGE(""1RTcwEJsI_0aJRebhNwO_H_AoKl9r46k7hWYbtciIyM4"",""Form Responses 1!B:B""),A566)&gt;0,10,),0)"),"")</f>
        <v/>
      </c>
      <c r="C566" s="70" t="str">
        <f>IFERROR(__xludf.DUMMYFUNCTION("IFERROR(VLOOKUP(A566,IMPORTRANGE(""11i8IUhq_U6RRKRV3CBWIKqYed_fMvFgNUHTq1YDJfp8"",""Form Responses 1!B:C""),2,FALSE),)"),"")</f>
        <v/>
      </c>
      <c r="D566" s="70" t="str">
        <f>IFERROR(__xludf.DUMMYFUNCTION("IFERROR(VLOOKUP(A566,IMPORTRANGE(""1StiHxuxrFhYdrq5WLR2JMORicW0TbnJf3J-oTHeMRtM"",""Form Responses 1!B:C""),2,FALSE),)"),"")</f>
        <v/>
      </c>
      <c r="E566" s="70" t="str">
        <f>IFERROR(__xludf.DUMMYFUNCTION("IFERROR(VLOOKUP(A566,IMPORTRANGE(""1QaxxyUjrDq2kgz300C1Bq1tacFk6e-xX218cSXCQUK0"",""Form Responses 1!B:C""),2,FALSE),)"),"")</f>
        <v/>
      </c>
      <c r="F566" s="70" t="str">
        <f>IFERROR(__xludf.DUMMYFUNCTION("IFERROR(VLOOKUP(A566,IMPORTRANGE(""1fn2ECph_y8Uz78DhjLaiXcwgt6kh3oe-0Le36Uw0noE"",""Form Responses 1!B:C""),2,FALSE),)"),"")</f>
        <v/>
      </c>
      <c r="G566" s="70"/>
      <c r="H566" s="70"/>
      <c r="I566" s="70"/>
      <c r="J566" s="70"/>
      <c r="K566" s="70"/>
      <c r="L566" s="70"/>
      <c r="M566" s="70"/>
      <c r="N566" s="70"/>
      <c r="O566" s="70"/>
      <c r="P566" s="70"/>
      <c r="Q566" s="70" t="str">
        <f>IFERROR(__xludf.DUMMYFUNCTION("IFERROR(IF(COUNTIF(IMPORTRANGE(""1WjiLR_MTMxI_IZUKuvPO4Sg2rTSIqBzP3edakSRXbOA"",""Form Responses 1!B:B""),F566)&gt;0,10,),0)"),"")</f>
        <v/>
      </c>
      <c r="R566" s="70" t="str">
        <f>IFERROR(__xludf.DUMMYFUNCTION("IFERROR(VLOOKUP(F566,IMPORTRANGE(""1Ixzbal5tEbtWhozsFEppQzOYE6ZSrkNXHg_HW5k3Wt4"",""Form Responses 1!B:C""),2,FALSE),)"),"")</f>
        <v/>
      </c>
      <c r="S566" s="70" t="str">
        <f>IFERROR(__xludf.DUMMYFUNCTION("IFERROR(VLOOKUP(F566,IMPORTRANGE(""1zxjtEKGvVIJPIDqZdnxENwVpPXYa88EihzyI44hcQUo"",""Form Responses 1!B:C""),2,FALSE),)"),"")</f>
        <v/>
      </c>
      <c r="T566" s="70" t="str">
        <f>IFERROR(__xludf.DUMMYFUNCTION("IFERROR(VLOOKUP(F566,IMPORTRANGE(""1H3cO01obd5zFULYqaT5NAqecZBFFIHeDFn4CeQLZF3w"",""Form Responses 1!B:C""),2,FALSE),)"),"")</f>
        <v/>
      </c>
      <c r="U566" s="70" t="str">
        <f>IFERROR(__xludf.DUMMYFUNCTION("IFERROR(IF(COUNTIF(IMPORTRANGE(""1IG9qoa6PeLdDDFzKpW39lxXshN0-M8Z25a_R1EpsYyg"",""Form Responses 1!B:B""),F566)&gt;0,10,),0)"),"")</f>
        <v/>
      </c>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row>
    <row r="567">
      <c r="B567" s="70" t="str">
        <f>IFERROR(__xludf.DUMMYFUNCTION("IFERROR(IF(COUNTIF(IMPORTRANGE(""1RTcwEJsI_0aJRebhNwO_H_AoKl9r46k7hWYbtciIyM4"",""Form Responses 1!B:B""),A567)&gt;0,10,),0)"),"")</f>
        <v/>
      </c>
      <c r="C567" s="70" t="str">
        <f>IFERROR(__xludf.DUMMYFUNCTION("IFERROR(VLOOKUP(A567,IMPORTRANGE(""11i8IUhq_U6RRKRV3CBWIKqYed_fMvFgNUHTq1YDJfp8"",""Form Responses 1!B:C""),2,FALSE),)"),"")</f>
        <v/>
      </c>
      <c r="D567" s="70" t="str">
        <f>IFERROR(__xludf.DUMMYFUNCTION("IFERROR(VLOOKUP(A567,IMPORTRANGE(""1StiHxuxrFhYdrq5WLR2JMORicW0TbnJf3J-oTHeMRtM"",""Form Responses 1!B:C""),2,FALSE),)"),"")</f>
        <v/>
      </c>
      <c r="E567" s="70" t="str">
        <f>IFERROR(__xludf.DUMMYFUNCTION("IFERROR(VLOOKUP(A567,IMPORTRANGE(""1QaxxyUjrDq2kgz300C1Bq1tacFk6e-xX218cSXCQUK0"",""Form Responses 1!B:C""),2,FALSE),)"),"")</f>
        <v/>
      </c>
      <c r="F567" s="70" t="str">
        <f>IFERROR(__xludf.DUMMYFUNCTION("IFERROR(VLOOKUP(A567,IMPORTRANGE(""1fn2ECph_y8Uz78DhjLaiXcwgt6kh3oe-0Le36Uw0noE"",""Form Responses 1!B:C""),2,FALSE),)"),"")</f>
        <v/>
      </c>
      <c r="G567" s="70"/>
      <c r="H567" s="70"/>
      <c r="I567" s="70"/>
      <c r="J567" s="70"/>
      <c r="K567" s="70"/>
      <c r="L567" s="70"/>
      <c r="M567" s="70"/>
      <c r="N567" s="70"/>
      <c r="O567" s="70"/>
      <c r="P567" s="70"/>
      <c r="Q567" s="70" t="str">
        <f>IFERROR(__xludf.DUMMYFUNCTION("IFERROR(IF(COUNTIF(IMPORTRANGE(""1WjiLR_MTMxI_IZUKuvPO4Sg2rTSIqBzP3edakSRXbOA"",""Form Responses 1!B:B""),F567)&gt;0,10,),0)"),"")</f>
        <v/>
      </c>
      <c r="R567" s="70" t="str">
        <f>IFERROR(__xludf.DUMMYFUNCTION("IFERROR(VLOOKUP(F567,IMPORTRANGE(""1Ixzbal5tEbtWhozsFEppQzOYE6ZSrkNXHg_HW5k3Wt4"",""Form Responses 1!B:C""),2,FALSE),)"),"")</f>
        <v/>
      </c>
      <c r="S567" s="70" t="str">
        <f>IFERROR(__xludf.DUMMYFUNCTION("IFERROR(VLOOKUP(F567,IMPORTRANGE(""1zxjtEKGvVIJPIDqZdnxENwVpPXYa88EihzyI44hcQUo"",""Form Responses 1!B:C""),2,FALSE),)"),"")</f>
        <v/>
      </c>
      <c r="T567" s="70" t="str">
        <f>IFERROR(__xludf.DUMMYFUNCTION("IFERROR(VLOOKUP(F567,IMPORTRANGE(""1H3cO01obd5zFULYqaT5NAqecZBFFIHeDFn4CeQLZF3w"",""Form Responses 1!B:C""),2,FALSE),)"),"")</f>
        <v/>
      </c>
      <c r="U567" s="70" t="str">
        <f>IFERROR(__xludf.DUMMYFUNCTION("IFERROR(IF(COUNTIF(IMPORTRANGE(""1IG9qoa6PeLdDDFzKpW39lxXshN0-M8Z25a_R1EpsYyg"",""Form Responses 1!B:B""),F567)&gt;0,10,),0)"),"")</f>
        <v/>
      </c>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row>
    <row r="568">
      <c r="B568" s="70" t="str">
        <f>IFERROR(__xludf.DUMMYFUNCTION("IFERROR(IF(COUNTIF(IMPORTRANGE(""1RTcwEJsI_0aJRebhNwO_H_AoKl9r46k7hWYbtciIyM4"",""Form Responses 1!B:B""),A568)&gt;0,10,),0)"),"")</f>
        <v/>
      </c>
      <c r="C568" s="70" t="str">
        <f>IFERROR(__xludf.DUMMYFUNCTION("IFERROR(VLOOKUP(A568,IMPORTRANGE(""11i8IUhq_U6RRKRV3CBWIKqYed_fMvFgNUHTq1YDJfp8"",""Form Responses 1!B:C""),2,FALSE),)"),"")</f>
        <v/>
      </c>
      <c r="D568" s="70" t="str">
        <f>IFERROR(__xludf.DUMMYFUNCTION("IFERROR(VLOOKUP(A568,IMPORTRANGE(""1StiHxuxrFhYdrq5WLR2JMORicW0TbnJf3J-oTHeMRtM"",""Form Responses 1!B:C""),2,FALSE),)"),"")</f>
        <v/>
      </c>
      <c r="E568" s="70" t="str">
        <f>IFERROR(__xludf.DUMMYFUNCTION("IFERROR(VLOOKUP(A568,IMPORTRANGE(""1QaxxyUjrDq2kgz300C1Bq1tacFk6e-xX218cSXCQUK0"",""Form Responses 1!B:C""),2,FALSE),)"),"")</f>
        <v/>
      </c>
      <c r="F568" s="70" t="str">
        <f>IFERROR(__xludf.DUMMYFUNCTION("IFERROR(VLOOKUP(A568,IMPORTRANGE(""1fn2ECph_y8Uz78DhjLaiXcwgt6kh3oe-0Le36Uw0noE"",""Form Responses 1!B:C""),2,FALSE),)"),"")</f>
        <v/>
      </c>
      <c r="G568" s="70"/>
      <c r="H568" s="70"/>
      <c r="I568" s="70"/>
      <c r="J568" s="70"/>
      <c r="K568" s="70"/>
      <c r="L568" s="70"/>
      <c r="M568" s="70"/>
      <c r="N568" s="70"/>
      <c r="O568" s="70"/>
      <c r="P568" s="70"/>
      <c r="Q568" s="70" t="str">
        <f>IFERROR(__xludf.DUMMYFUNCTION("IFERROR(IF(COUNTIF(IMPORTRANGE(""1WjiLR_MTMxI_IZUKuvPO4Sg2rTSIqBzP3edakSRXbOA"",""Form Responses 1!B:B""),F568)&gt;0,10,),0)"),"")</f>
        <v/>
      </c>
      <c r="R568" s="70" t="str">
        <f>IFERROR(__xludf.DUMMYFUNCTION("IFERROR(VLOOKUP(F568,IMPORTRANGE(""1Ixzbal5tEbtWhozsFEppQzOYE6ZSrkNXHg_HW5k3Wt4"",""Form Responses 1!B:C""),2,FALSE),)"),"")</f>
        <v/>
      </c>
      <c r="S568" s="70" t="str">
        <f>IFERROR(__xludf.DUMMYFUNCTION("IFERROR(VLOOKUP(F568,IMPORTRANGE(""1zxjtEKGvVIJPIDqZdnxENwVpPXYa88EihzyI44hcQUo"",""Form Responses 1!B:C""),2,FALSE),)"),"")</f>
        <v/>
      </c>
      <c r="T568" s="70" t="str">
        <f>IFERROR(__xludf.DUMMYFUNCTION("IFERROR(VLOOKUP(F568,IMPORTRANGE(""1H3cO01obd5zFULYqaT5NAqecZBFFIHeDFn4CeQLZF3w"",""Form Responses 1!B:C""),2,FALSE),)"),"")</f>
        <v/>
      </c>
      <c r="U568" s="70" t="str">
        <f>IFERROR(__xludf.DUMMYFUNCTION("IFERROR(IF(COUNTIF(IMPORTRANGE(""1IG9qoa6PeLdDDFzKpW39lxXshN0-M8Z25a_R1EpsYyg"",""Form Responses 1!B:B""),F568)&gt;0,10,),0)"),"")</f>
        <v/>
      </c>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row>
    <row r="569">
      <c r="B569" s="70" t="str">
        <f>IFERROR(__xludf.DUMMYFUNCTION("IFERROR(IF(COUNTIF(IMPORTRANGE(""1RTcwEJsI_0aJRebhNwO_H_AoKl9r46k7hWYbtciIyM4"",""Form Responses 1!B:B""),A569)&gt;0,10,),0)"),"")</f>
        <v/>
      </c>
      <c r="C569" s="70" t="str">
        <f>IFERROR(__xludf.DUMMYFUNCTION("IFERROR(VLOOKUP(A569,IMPORTRANGE(""11i8IUhq_U6RRKRV3CBWIKqYed_fMvFgNUHTq1YDJfp8"",""Form Responses 1!B:C""),2,FALSE),)"),"")</f>
        <v/>
      </c>
      <c r="D569" s="70" t="str">
        <f>IFERROR(__xludf.DUMMYFUNCTION("IFERROR(VLOOKUP(A569,IMPORTRANGE(""1StiHxuxrFhYdrq5WLR2JMORicW0TbnJf3J-oTHeMRtM"",""Form Responses 1!B:C""),2,FALSE),)"),"")</f>
        <v/>
      </c>
      <c r="E569" s="70" t="str">
        <f>IFERROR(__xludf.DUMMYFUNCTION("IFERROR(VLOOKUP(A569,IMPORTRANGE(""1QaxxyUjrDq2kgz300C1Bq1tacFk6e-xX218cSXCQUK0"",""Form Responses 1!B:C""),2,FALSE),)"),"")</f>
        <v/>
      </c>
      <c r="F569" s="70" t="str">
        <f>IFERROR(__xludf.DUMMYFUNCTION("IFERROR(VLOOKUP(A569,IMPORTRANGE(""1fn2ECph_y8Uz78DhjLaiXcwgt6kh3oe-0Le36Uw0noE"",""Form Responses 1!B:C""),2,FALSE),)"),"")</f>
        <v/>
      </c>
      <c r="G569" s="70"/>
      <c r="H569" s="70"/>
      <c r="I569" s="70"/>
      <c r="J569" s="70"/>
      <c r="K569" s="70"/>
      <c r="L569" s="70"/>
      <c r="M569" s="70"/>
      <c r="N569" s="70"/>
      <c r="O569" s="70"/>
      <c r="P569" s="70"/>
      <c r="Q569" s="70" t="str">
        <f>IFERROR(__xludf.DUMMYFUNCTION("IFERROR(IF(COUNTIF(IMPORTRANGE(""1WjiLR_MTMxI_IZUKuvPO4Sg2rTSIqBzP3edakSRXbOA"",""Form Responses 1!B:B""),F569)&gt;0,10,),0)"),"")</f>
        <v/>
      </c>
      <c r="R569" s="70" t="str">
        <f>IFERROR(__xludf.DUMMYFUNCTION("IFERROR(VLOOKUP(F569,IMPORTRANGE(""1Ixzbal5tEbtWhozsFEppQzOYE6ZSrkNXHg_HW5k3Wt4"",""Form Responses 1!B:C""),2,FALSE),)"),"")</f>
        <v/>
      </c>
      <c r="S569" s="70" t="str">
        <f>IFERROR(__xludf.DUMMYFUNCTION("IFERROR(VLOOKUP(F569,IMPORTRANGE(""1zxjtEKGvVIJPIDqZdnxENwVpPXYa88EihzyI44hcQUo"",""Form Responses 1!B:C""),2,FALSE),)"),"")</f>
        <v/>
      </c>
      <c r="T569" s="70" t="str">
        <f>IFERROR(__xludf.DUMMYFUNCTION("IFERROR(VLOOKUP(F569,IMPORTRANGE(""1H3cO01obd5zFULYqaT5NAqecZBFFIHeDFn4CeQLZF3w"",""Form Responses 1!B:C""),2,FALSE),)"),"")</f>
        <v/>
      </c>
      <c r="U569" s="70" t="str">
        <f>IFERROR(__xludf.DUMMYFUNCTION("IFERROR(IF(COUNTIF(IMPORTRANGE(""1IG9qoa6PeLdDDFzKpW39lxXshN0-M8Z25a_R1EpsYyg"",""Form Responses 1!B:B""),F569)&gt;0,10,),0)"),"")</f>
        <v/>
      </c>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row>
    <row r="570">
      <c r="B570" s="70" t="str">
        <f>IFERROR(__xludf.DUMMYFUNCTION("IFERROR(IF(COUNTIF(IMPORTRANGE(""1RTcwEJsI_0aJRebhNwO_H_AoKl9r46k7hWYbtciIyM4"",""Form Responses 1!B:B""),A570)&gt;0,10,),0)"),"")</f>
        <v/>
      </c>
      <c r="C570" s="70" t="str">
        <f>IFERROR(__xludf.DUMMYFUNCTION("IFERROR(VLOOKUP(A570,IMPORTRANGE(""11i8IUhq_U6RRKRV3CBWIKqYed_fMvFgNUHTq1YDJfp8"",""Form Responses 1!B:C""),2,FALSE),)"),"")</f>
        <v/>
      </c>
      <c r="D570" s="70" t="str">
        <f>IFERROR(__xludf.DUMMYFUNCTION("IFERROR(VLOOKUP(A570,IMPORTRANGE(""1StiHxuxrFhYdrq5WLR2JMORicW0TbnJf3J-oTHeMRtM"",""Form Responses 1!B:C""),2,FALSE),)"),"")</f>
        <v/>
      </c>
      <c r="E570" s="70" t="str">
        <f>IFERROR(__xludf.DUMMYFUNCTION("IFERROR(VLOOKUP(A570,IMPORTRANGE(""1QaxxyUjrDq2kgz300C1Bq1tacFk6e-xX218cSXCQUK0"",""Form Responses 1!B:C""),2,FALSE),)"),"")</f>
        <v/>
      </c>
      <c r="F570" s="70" t="str">
        <f>IFERROR(__xludf.DUMMYFUNCTION("IFERROR(VLOOKUP(A570,IMPORTRANGE(""1fn2ECph_y8Uz78DhjLaiXcwgt6kh3oe-0Le36Uw0noE"",""Form Responses 1!B:C""),2,FALSE),)"),"")</f>
        <v/>
      </c>
      <c r="G570" s="70"/>
      <c r="H570" s="70"/>
      <c r="I570" s="70"/>
      <c r="J570" s="70"/>
      <c r="K570" s="70"/>
      <c r="L570" s="70"/>
      <c r="M570" s="70"/>
      <c r="N570" s="70"/>
      <c r="O570" s="70"/>
      <c r="P570" s="70"/>
      <c r="Q570" s="70" t="str">
        <f>IFERROR(__xludf.DUMMYFUNCTION("IFERROR(IF(COUNTIF(IMPORTRANGE(""1WjiLR_MTMxI_IZUKuvPO4Sg2rTSIqBzP3edakSRXbOA"",""Form Responses 1!B:B""),F570)&gt;0,10,),0)"),"")</f>
        <v/>
      </c>
      <c r="R570" s="70" t="str">
        <f>IFERROR(__xludf.DUMMYFUNCTION("IFERROR(VLOOKUP(F570,IMPORTRANGE(""1Ixzbal5tEbtWhozsFEppQzOYE6ZSrkNXHg_HW5k3Wt4"",""Form Responses 1!B:C""),2,FALSE),)"),"")</f>
        <v/>
      </c>
      <c r="S570" s="70" t="str">
        <f>IFERROR(__xludf.DUMMYFUNCTION("IFERROR(VLOOKUP(F570,IMPORTRANGE(""1zxjtEKGvVIJPIDqZdnxENwVpPXYa88EihzyI44hcQUo"",""Form Responses 1!B:C""),2,FALSE),)"),"")</f>
        <v/>
      </c>
      <c r="T570" s="70" t="str">
        <f>IFERROR(__xludf.DUMMYFUNCTION("IFERROR(VLOOKUP(F570,IMPORTRANGE(""1H3cO01obd5zFULYqaT5NAqecZBFFIHeDFn4CeQLZF3w"",""Form Responses 1!B:C""),2,FALSE),)"),"")</f>
        <v/>
      </c>
      <c r="U570" s="70" t="str">
        <f>IFERROR(__xludf.DUMMYFUNCTION("IFERROR(IF(COUNTIF(IMPORTRANGE(""1IG9qoa6PeLdDDFzKpW39lxXshN0-M8Z25a_R1EpsYyg"",""Form Responses 1!B:B""),F570)&gt;0,10,),0)"),"")</f>
        <v/>
      </c>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c r="AU570" s="70"/>
    </row>
    <row r="571">
      <c r="B571" s="70" t="str">
        <f>IFERROR(__xludf.DUMMYFUNCTION("IFERROR(IF(COUNTIF(IMPORTRANGE(""1RTcwEJsI_0aJRebhNwO_H_AoKl9r46k7hWYbtciIyM4"",""Form Responses 1!B:B""),A571)&gt;0,10,),0)"),"")</f>
        <v/>
      </c>
      <c r="C571" s="70" t="str">
        <f>IFERROR(__xludf.DUMMYFUNCTION("IFERROR(VLOOKUP(A571,IMPORTRANGE(""11i8IUhq_U6RRKRV3CBWIKqYed_fMvFgNUHTq1YDJfp8"",""Form Responses 1!B:C""),2,FALSE),)"),"")</f>
        <v/>
      </c>
      <c r="D571" s="70" t="str">
        <f>IFERROR(__xludf.DUMMYFUNCTION("IFERROR(VLOOKUP(A571,IMPORTRANGE(""1StiHxuxrFhYdrq5WLR2JMORicW0TbnJf3J-oTHeMRtM"",""Form Responses 1!B:C""),2,FALSE),)"),"")</f>
        <v/>
      </c>
      <c r="E571" s="70" t="str">
        <f>IFERROR(__xludf.DUMMYFUNCTION("IFERROR(VLOOKUP(A571,IMPORTRANGE(""1QaxxyUjrDq2kgz300C1Bq1tacFk6e-xX218cSXCQUK0"",""Form Responses 1!B:C""),2,FALSE),)"),"")</f>
        <v/>
      </c>
      <c r="F571" s="70" t="str">
        <f>IFERROR(__xludf.DUMMYFUNCTION("IFERROR(VLOOKUP(A571,IMPORTRANGE(""1fn2ECph_y8Uz78DhjLaiXcwgt6kh3oe-0Le36Uw0noE"",""Form Responses 1!B:C""),2,FALSE),)"),"")</f>
        <v/>
      </c>
      <c r="G571" s="70"/>
      <c r="H571" s="70"/>
      <c r="I571" s="70"/>
      <c r="J571" s="70"/>
      <c r="K571" s="70"/>
      <c r="L571" s="70"/>
      <c r="M571" s="70"/>
      <c r="N571" s="70"/>
      <c r="O571" s="70"/>
      <c r="P571" s="70"/>
      <c r="Q571" s="70" t="str">
        <f>IFERROR(__xludf.DUMMYFUNCTION("IFERROR(IF(COUNTIF(IMPORTRANGE(""1WjiLR_MTMxI_IZUKuvPO4Sg2rTSIqBzP3edakSRXbOA"",""Form Responses 1!B:B""),F571)&gt;0,10,),0)"),"")</f>
        <v/>
      </c>
      <c r="R571" s="70" t="str">
        <f>IFERROR(__xludf.DUMMYFUNCTION("IFERROR(VLOOKUP(F571,IMPORTRANGE(""1Ixzbal5tEbtWhozsFEppQzOYE6ZSrkNXHg_HW5k3Wt4"",""Form Responses 1!B:C""),2,FALSE),)"),"")</f>
        <v/>
      </c>
      <c r="S571" s="70" t="str">
        <f>IFERROR(__xludf.DUMMYFUNCTION("IFERROR(VLOOKUP(F571,IMPORTRANGE(""1zxjtEKGvVIJPIDqZdnxENwVpPXYa88EihzyI44hcQUo"",""Form Responses 1!B:C""),2,FALSE),)"),"")</f>
        <v/>
      </c>
      <c r="T571" s="70" t="str">
        <f>IFERROR(__xludf.DUMMYFUNCTION("IFERROR(VLOOKUP(F571,IMPORTRANGE(""1H3cO01obd5zFULYqaT5NAqecZBFFIHeDFn4CeQLZF3w"",""Form Responses 1!B:C""),2,FALSE),)"),"")</f>
        <v/>
      </c>
      <c r="U571" s="70" t="str">
        <f>IFERROR(__xludf.DUMMYFUNCTION("IFERROR(IF(COUNTIF(IMPORTRANGE(""1IG9qoa6PeLdDDFzKpW39lxXshN0-M8Z25a_R1EpsYyg"",""Form Responses 1!B:B""),F571)&gt;0,10,),0)"),"")</f>
        <v/>
      </c>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c r="AU571" s="70"/>
    </row>
    <row r="572">
      <c r="B572" s="70" t="str">
        <f>IFERROR(__xludf.DUMMYFUNCTION("IFERROR(IF(COUNTIF(IMPORTRANGE(""1RTcwEJsI_0aJRebhNwO_H_AoKl9r46k7hWYbtciIyM4"",""Form Responses 1!B:B""),A572)&gt;0,10,),0)"),"")</f>
        <v/>
      </c>
      <c r="C572" s="70" t="str">
        <f>IFERROR(__xludf.DUMMYFUNCTION("IFERROR(VLOOKUP(A572,IMPORTRANGE(""11i8IUhq_U6RRKRV3CBWIKqYed_fMvFgNUHTq1YDJfp8"",""Form Responses 1!B:C""),2,FALSE),)"),"")</f>
        <v/>
      </c>
      <c r="D572" s="70" t="str">
        <f>IFERROR(__xludf.DUMMYFUNCTION("IFERROR(VLOOKUP(A572,IMPORTRANGE(""1StiHxuxrFhYdrq5WLR2JMORicW0TbnJf3J-oTHeMRtM"",""Form Responses 1!B:C""),2,FALSE),)"),"")</f>
        <v/>
      </c>
      <c r="E572" s="70" t="str">
        <f>IFERROR(__xludf.DUMMYFUNCTION("IFERROR(VLOOKUP(A572,IMPORTRANGE(""1QaxxyUjrDq2kgz300C1Bq1tacFk6e-xX218cSXCQUK0"",""Form Responses 1!B:C""),2,FALSE),)"),"")</f>
        <v/>
      </c>
      <c r="F572" s="70" t="str">
        <f>IFERROR(__xludf.DUMMYFUNCTION("IFERROR(VLOOKUP(A572,IMPORTRANGE(""1fn2ECph_y8Uz78DhjLaiXcwgt6kh3oe-0Le36Uw0noE"",""Form Responses 1!B:C""),2,FALSE),)"),"")</f>
        <v/>
      </c>
      <c r="G572" s="70"/>
      <c r="H572" s="70"/>
      <c r="I572" s="70"/>
      <c r="J572" s="70"/>
      <c r="K572" s="70"/>
      <c r="L572" s="70"/>
      <c r="M572" s="70"/>
      <c r="N572" s="70"/>
      <c r="O572" s="70"/>
      <c r="P572" s="70"/>
      <c r="Q572" s="70" t="str">
        <f>IFERROR(__xludf.DUMMYFUNCTION("IFERROR(IF(COUNTIF(IMPORTRANGE(""1WjiLR_MTMxI_IZUKuvPO4Sg2rTSIqBzP3edakSRXbOA"",""Form Responses 1!B:B""),F572)&gt;0,10,),0)"),"")</f>
        <v/>
      </c>
      <c r="R572" s="70" t="str">
        <f>IFERROR(__xludf.DUMMYFUNCTION("IFERROR(VLOOKUP(F572,IMPORTRANGE(""1Ixzbal5tEbtWhozsFEppQzOYE6ZSrkNXHg_HW5k3Wt4"",""Form Responses 1!B:C""),2,FALSE),)"),"")</f>
        <v/>
      </c>
      <c r="S572" s="70" t="str">
        <f>IFERROR(__xludf.DUMMYFUNCTION("IFERROR(VLOOKUP(F572,IMPORTRANGE(""1zxjtEKGvVIJPIDqZdnxENwVpPXYa88EihzyI44hcQUo"",""Form Responses 1!B:C""),2,FALSE),)"),"")</f>
        <v/>
      </c>
      <c r="T572" s="70" t="str">
        <f>IFERROR(__xludf.DUMMYFUNCTION("IFERROR(VLOOKUP(F572,IMPORTRANGE(""1H3cO01obd5zFULYqaT5NAqecZBFFIHeDFn4CeQLZF3w"",""Form Responses 1!B:C""),2,FALSE),)"),"")</f>
        <v/>
      </c>
      <c r="U572" s="70" t="str">
        <f>IFERROR(__xludf.DUMMYFUNCTION("IFERROR(IF(COUNTIF(IMPORTRANGE(""1IG9qoa6PeLdDDFzKpW39lxXshN0-M8Z25a_R1EpsYyg"",""Form Responses 1!B:B""),F572)&gt;0,10,),0)"),"")</f>
        <v/>
      </c>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c r="AU572" s="70"/>
    </row>
    <row r="573">
      <c r="B573" s="70" t="str">
        <f>IFERROR(__xludf.DUMMYFUNCTION("IFERROR(IF(COUNTIF(IMPORTRANGE(""1RTcwEJsI_0aJRebhNwO_H_AoKl9r46k7hWYbtciIyM4"",""Form Responses 1!B:B""),A573)&gt;0,10,),0)"),"")</f>
        <v/>
      </c>
      <c r="C573" s="70" t="str">
        <f>IFERROR(__xludf.DUMMYFUNCTION("IFERROR(VLOOKUP(A573,IMPORTRANGE(""11i8IUhq_U6RRKRV3CBWIKqYed_fMvFgNUHTq1YDJfp8"",""Form Responses 1!B:C""),2,FALSE),)"),"")</f>
        <v/>
      </c>
      <c r="D573" s="70" t="str">
        <f>IFERROR(__xludf.DUMMYFUNCTION("IFERROR(VLOOKUP(A573,IMPORTRANGE(""1StiHxuxrFhYdrq5WLR2JMORicW0TbnJf3J-oTHeMRtM"",""Form Responses 1!B:C""),2,FALSE),)"),"")</f>
        <v/>
      </c>
      <c r="E573" s="70" t="str">
        <f>IFERROR(__xludf.DUMMYFUNCTION("IFERROR(VLOOKUP(A573,IMPORTRANGE(""1QaxxyUjrDq2kgz300C1Bq1tacFk6e-xX218cSXCQUK0"",""Form Responses 1!B:C""),2,FALSE),)"),"")</f>
        <v/>
      </c>
      <c r="F573" s="70" t="str">
        <f>IFERROR(__xludf.DUMMYFUNCTION("IFERROR(VLOOKUP(A573,IMPORTRANGE(""1fn2ECph_y8Uz78DhjLaiXcwgt6kh3oe-0Le36Uw0noE"",""Form Responses 1!B:C""),2,FALSE),)"),"")</f>
        <v/>
      </c>
      <c r="G573" s="70"/>
      <c r="H573" s="70"/>
      <c r="I573" s="70"/>
      <c r="J573" s="70"/>
      <c r="K573" s="70"/>
      <c r="L573" s="70"/>
      <c r="M573" s="70"/>
      <c r="N573" s="70"/>
      <c r="O573" s="70"/>
      <c r="P573" s="70"/>
      <c r="Q573" s="70" t="str">
        <f>IFERROR(__xludf.DUMMYFUNCTION("IFERROR(IF(COUNTIF(IMPORTRANGE(""1WjiLR_MTMxI_IZUKuvPO4Sg2rTSIqBzP3edakSRXbOA"",""Form Responses 1!B:B""),F573)&gt;0,10,),0)"),"")</f>
        <v/>
      </c>
      <c r="R573" s="70" t="str">
        <f>IFERROR(__xludf.DUMMYFUNCTION("IFERROR(VLOOKUP(F573,IMPORTRANGE(""1Ixzbal5tEbtWhozsFEppQzOYE6ZSrkNXHg_HW5k3Wt4"",""Form Responses 1!B:C""),2,FALSE),)"),"")</f>
        <v/>
      </c>
      <c r="S573" s="70" t="str">
        <f>IFERROR(__xludf.DUMMYFUNCTION("IFERROR(VLOOKUP(F573,IMPORTRANGE(""1zxjtEKGvVIJPIDqZdnxENwVpPXYa88EihzyI44hcQUo"",""Form Responses 1!B:C""),2,FALSE),)"),"")</f>
        <v/>
      </c>
      <c r="T573" s="70" t="str">
        <f>IFERROR(__xludf.DUMMYFUNCTION("IFERROR(VLOOKUP(F573,IMPORTRANGE(""1H3cO01obd5zFULYqaT5NAqecZBFFIHeDFn4CeQLZF3w"",""Form Responses 1!B:C""),2,FALSE),)"),"")</f>
        <v/>
      </c>
      <c r="U573" s="70" t="str">
        <f>IFERROR(__xludf.DUMMYFUNCTION("IFERROR(IF(COUNTIF(IMPORTRANGE(""1IG9qoa6PeLdDDFzKpW39lxXshN0-M8Z25a_R1EpsYyg"",""Form Responses 1!B:B""),F573)&gt;0,10,),0)"),"")</f>
        <v/>
      </c>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c r="AU573" s="70"/>
    </row>
    <row r="574">
      <c r="B574" s="70" t="str">
        <f>IFERROR(__xludf.DUMMYFUNCTION("IFERROR(IF(COUNTIF(IMPORTRANGE(""1RTcwEJsI_0aJRebhNwO_H_AoKl9r46k7hWYbtciIyM4"",""Form Responses 1!B:B""),A574)&gt;0,10,),0)"),"")</f>
        <v/>
      </c>
      <c r="C574" s="70" t="str">
        <f>IFERROR(__xludf.DUMMYFUNCTION("IFERROR(VLOOKUP(A574,IMPORTRANGE(""11i8IUhq_U6RRKRV3CBWIKqYed_fMvFgNUHTq1YDJfp8"",""Form Responses 1!B:C""),2,FALSE),)"),"")</f>
        <v/>
      </c>
      <c r="D574" s="70" t="str">
        <f>IFERROR(__xludf.DUMMYFUNCTION("IFERROR(VLOOKUP(A574,IMPORTRANGE(""1StiHxuxrFhYdrq5WLR2JMORicW0TbnJf3J-oTHeMRtM"",""Form Responses 1!B:C""),2,FALSE),)"),"")</f>
        <v/>
      </c>
      <c r="E574" s="70" t="str">
        <f>IFERROR(__xludf.DUMMYFUNCTION("IFERROR(VLOOKUP(A574,IMPORTRANGE(""1QaxxyUjrDq2kgz300C1Bq1tacFk6e-xX218cSXCQUK0"",""Form Responses 1!B:C""),2,FALSE),)"),"")</f>
        <v/>
      </c>
      <c r="F574" s="70" t="str">
        <f>IFERROR(__xludf.DUMMYFUNCTION("IFERROR(VLOOKUP(A574,IMPORTRANGE(""1fn2ECph_y8Uz78DhjLaiXcwgt6kh3oe-0Le36Uw0noE"",""Form Responses 1!B:C""),2,FALSE),)"),"")</f>
        <v/>
      </c>
      <c r="G574" s="70"/>
      <c r="H574" s="70"/>
      <c r="I574" s="70"/>
      <c r="J574" s="70"/>
      <c r="K574" s="70"/>
      <c r="L574" s="70"/>
      <c r="M574" s="70"/>
      <c r="N574" s="70"/>
      <c r="O574" s="70"/>
      <c r="P574" s="70"/>
      <c r="Q574" s="70" t="str">
        <f>IFERROR(__xludf.DUMMYFUNCTION("IFERROR(IF(COUNTIF(IMPORTRANGE(""1WjiLR_MTMxI_IZUKuvPO4Sg2rTSIqBzP3edakSRXbOA"",""Form Responses 1!B:B""),F574)&gt;0,10,),0)"),"")</f>
        <v/>
      </c>
      <c r="R574" s="70" t="str">
        <f>IFERROR(__xludf.DUMMYFUNCTION("IFERROR(VLOOKUP(F574,IMPORTRANGE(""1Ixzbal5tEbtWhozsFEppQzOYE6ZSrkNXHg_HW5k3Wt4"",""Form Responses 1!B:C""),2,FALSE),)"),"")</f>
        <v/>
      </c>
      <c r="S574" s="70" t="str">
        <f>IFERROR(__xludf.DUMMYFUNCTION("IFERROR(VLOOKUP(F574,IMPORTRANGE(""1zxjtEKGvVIJPIDqZdnxENwVpPXYa88EihzyI44hcQUo"",""Form Responses 1!B:C""),2,FALSE),)"),"")</f>
        <v/>
      </c>
      <c r="T574" s="70" t="str">
        <f>IFERROR(__xludf.DUMMYFUNCTION("IFERROR(VLOOKUP(F574,IMPORTRANGE(""1H3cO01obd5zFULYqaT5NAqecZBFFIHeDFn4CeQLZF3w"",""Form Responses 1!B:C""),2,FALSE),)"),"")</f>
        <v/>
      </c>
      <c r="U574" s="70" t="str">
        <f>IFERROR(__xludf.DUMMYFUNCTION("IFERROR(IF(COUNTIF(IMPORTRANGE(""1IG9qoa6PeLdDDFzKpW39lxXshN0-M8Z25a_R1EpsYyg"",""Form Responses 1!B:B""),F574)&gt;0,10,),0)"),"")</f>
        <v/>
      </c>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row>
    <row r="575">
      <c r="B575" s="70" t="str">
        <f>IFERROR(__xludf.DUMMYFUNCTION("IFERROR(IF(COUNTIF(IMPORTRANGE(""1RTcwEJsI_0aJRebhNwO_H_AoKl9r46k7hWYbtciIyM4"",""Form Responses 1!B:B""),A575)&gt;0,10,),0)"),"")</f>
        <v/>
      </c>
      <c r="C575" s="70" t="str">
        <f>IFERROR(__xludf.DUMMYFUNCTION("IFERROR(VLOOKUP(A575,IMPORTRANGE(""11i8IUhq_U6RRKRV3CBWIKqYed_fMvFgNUHTq1YDJfp8"",""Form Responses 1!B:C""),2,FALSE),)"),"")</f>
        <v/>
      </c>
      <c r="D575" s="70" t="str">
        <f>IFERROR(__xludf.DUMMYFUNCTION("IFERROR(VLOOKUP(A575,IMPORTRANGE(""1StiHxuxrFhYdrq5WLR2JMORicW0TbnJf3J-oTHeMRtM"",""Form Responses 1!B:C""),2,FALSE),)"),"")</f>
        <v/>
      </c>
      <c r="E575" s="70" t="str">
        <f>IFERROR(__xludf.DUMMYFUNCTION("IFERROR(VLOOKUP(A575,IMPORTRANGE(""1QaxxyUjrDq2kgz300C1Bq1tacFk6e-xX218cSXCQUK0"",""Form Responses 1!B:C""),2,FALSE),)"),"")</f>
        <v/>
      </c>
      <c r="F575" s="70" t="str">
        <f>IFERROR(__xludf.DUMMYFUNCTION("IFERROR(VLOOKUP(A575,IMPORTRANGE(""1fn2ECph_y8Uz78DhjLaiXcwgt6kh3oe-0Le36Uw0noE"",""Form Responses 1!B:C""),2,FALSE),)"),"")</f>
        <v/>
      </c>
      <c r="G575" s="70"/>
      <c r="H575" s="70"/>
      <c r="I575" s="70"/>
      <c r="J575" s="70"/>
      <c r="K575" s="70"/>
      <c r="L575" s="70"/>
      <c r="M575" s="70"/>
      <c r="N575" s="70"/>
      <c r="O575" s="70"/>
      <c r="P575" s="70"/>
      <c r="Q575" s="70" t="str">
        <f>IFERROR(__xludf.DUMMYFUNCTION("IFERROR(IF(COUNTIF(IMPORTRANGE(""1WjiLR_MTMxI_IZUKuvPO4Sg2rTSIqBzP3edakSRXbOA"",""Form Responses 1!B:B""),F575)&gt;0,10,),0)"),"")</f>
        <v/>
      </c>
      <c r="R575" s="70" t="str">
        <f>IFERROR(__xludf.DUMMYFUNCTION("IFERROR(VLOOKUP(F575,IMPORTRANGE(""1Ixzbal5tEbtWhozsFEppQzOYE6ZSrkNXHg_HW5k3Wt4"",""Form Responses 1!B:C""),2,FALSE),)"),"")</f>
        <v/>
      </c>
      <c r="S575" s="70" t="str">
        <f>IFERROR(__xludf.DUMMYFUNCTION("IFERROR(VLOOKUP(F575,IMPORTRANGE(""1zxjtEKGvVIJPIDqZdnxENwVpPXYa88EihzyI44hcQUo"",""Form Responses 1!B:C""),2,FALSE),)"),"")</f>
        <v/>
      </c>
      <c r="T575" s="70" t="str">
        <f>IFERROR(__xludf.DUMMYFUNCTION("IFERROR(VLOOKUP(F575,IMPORTRANGE(""1H3cO01obd5zFULYqaT5NAqecZBFFIHeDFn4CeQLZF3w"",""Form Responses 1!B:C""),2,FALSE),)"),"")</f>
        <v/>
      </c>
      <c r="U575" s="70" t="str">
        <f>IFERROR(__xludf.DUMMYFUNCTION("IFERROR(IF(COUNTIF(IMPORTRANGE(""1IG9qoa6PeLdDDFzKpW39lxXshN0-M8Z25a_R1EpsYyg"",""Form Responses 1!B:B""),F575)&gt;0,10,),0)"),"")</f>
        <v/>
      </c>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row>
    <row r="576">
      <c r="B576" s="70" t="str">
        <f>IFERROR(__xludf.DUMMYFUNCTION("IFERROR(IF(COUNTIF(IMPORTRANGE(""1RTcwEJsI_0aJRebhNwO_H_AoKl9r46k7hWYbtciIyM4"",""Form Responses 1!B:B""),A576)&gt;0,10,),0)"),"")</f>
        <v/>
      </c>
      <c r="C576" s="70" t="str">
        <f>IFERROR(__xludf.DUMMYFUNCTION("IFERROR(VLOOKUP(A576,IMPORTRANGE(""11i8IUhq_U6RRKRV3CBWIKqYed_fMvFgNUHTq1YDJfp8"",""Form Responses 1!B:C""),2,FALSE),)"),"")</f>
        <v/>
      </c>
      <c r="D576" s="70" t="str">
        <f>IFERROR(__xludf.DUMMYFUNCTION("IFERROR(VLOOKUP(A576,IMPORTRANGE(""1StiHxuxrFhYdrq5WLR2JMORicW0TbnJf3J-oTHeMRtM"",""Form Responses 1!B:C""),2,FALSE),)"),"")</f>
        <v/>
      </c>
      <c r="E576" s="70" t="str">
        <f>IFERROR(__xludf.DUMMYFUNCTION("IFERROR(VLOOKUP(A576,IMPORTRANGE(""1QaxxyUjrDq2kgz300C1Bq1tacFk6e-xX218cSXCQUK0"",""Form Responses 1!B:C""),2,FALSE),)"),"")</f>
        <v/>
      </c>
      <c r="F576" s="70" t="str">
        <f>IFERROR(__xludf.DUMMYFUNCTION("IFERROR(VLOOKUP(A576,IMPORTRANGE(""1fn2ECph_y8Uz78DhjLaiXcwgt6kh3oe-0Le36Uw0noE"",""Form Responses 1!B:C""),2,FALSE),)"),"")</f>
        <v/>
      </c>
      <c r="G576" s="70"/>
      <c r="H576" s="70"/>
      <c r="I576" s="70"/>
      <c r="J576" s="70"/>
      <c r="K576" s="70"/>
      <c r="L576" s="70"/>
      <c r="M576" s="70"/>
      <c r="N576" s="70"/>
      <c r="O576" s="70"/>
      <c r="P576" s="70"/>
      <c r="Q576" s="70" t="str">
        <f>IFERROR(__xludf.DUMMYFUNCTION("IFERROR(IF(COUNTIF(IMPORTRANGE(""1WjiLR_MTMxI_IZUKuvPO4Sg2rTSIqBzP3edakSRXbOA"",""Form Responses 1!B:B""),F576)&gt;0,10,),0)"),"")</f>
        <v/>
      </c>
      <c r="R576" s="70" t="str">
        <f>IFERROR(__xludf.DUMMYFUNCTION("IFERROR(VLOOKUP(F576,IMPORTRANGE(""1Ixzbal5tEbtWhozsFEppQzOYE6ZSrkNXHg_HW5k3Wt4"",""Form Responses 1!B:C""),2,FALSE),)"),"")</f>
        <v/>
      </c>
      <c r="S576" s="70" t="str">
        <f>IFERROR(__xludf.DUMMYFUNCTION("IFERROR(VLOOKUP(F576,IMPORTRANGE(""1zxjtEKGvVIJPIDqZdnxENwVpPXYa88EihzyI44hcQUo"",""Form Responses 1!B:C""),2,FALSE),)"),"")</f>
        <v/>
      </c>
      <c r="T576" s="70" t="str">
        <f>IFERROR(__xludf.DUMMYFUNCTION("IFERROR(VLOOKUP(F576,IMPORTRANGE(""1H3cO01obd5zFULYqaT5NAqecZBFFIHeDFn4CeQLZF3w"",""Form Responses 1!B:C""),2,FALSE),)"),"")</f>
        <v/>
      </c>
      <c r="U576" s="70" t="str">
        <f>IFERROR(__xludf.DUMMYFUNCTION("IFERROR(IF(COUNTIF(IMPORTRANGE(""1IG9qoa6PeLdDDFzKpW39lxXshN0-M8Z25a_R1EpsYyg"",""Form Responses 1!B:B""),F576)&gt;0,10,),0)"),"")</f>
        <v/>
      </c>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row>
    <row r="577">
      <c r="B577" s="70" t="str">
        <f>IFERROR(__xludf.DUMMYFUNCTION("IFERROR(IF(COUNTIF(IMPORTRANGE(""1RTcwEJsI_0aJRebhNwO_H_AoKl9r46k7hWYbtciIyM4"",""Form Responses 1!B:B""),A577)&gt;0,10,),0)"),"")</f>
        <v/>
      </c>
      <c r="C577" s="70" t="str">
        <f>IFERROR(__xludf.DUMMYFUNCTION("IFERROR(VLOOKUP(A577,IMPORTRANGE(""11i8IUhq_U6RRKRV3CBWIKqYed_fMvFgNUHTq1YDJfp8"",""Form Responses 1!B:C""),2,FALSE),)"),"")</f>
        <v/>
      </c>
      <c r="D577" s="70" t="str">
        <f>IFERROR(__xludf.DUMMYFUNCTION("IFERROR(VLOOKUP(A577,IMPORTRANGE(""1StiHxuxrFhYdrq5WLR2JMORicW0TbnJf3J-oTHeMRtM"",""Form Responses 1!B:C""),2,FALSE),)"),"")</f>
        <v/>
      </c>
      <c r="E577" s="70" t="str">
        <f>IFERROR(__xludf.DUMMYFUNCTION("IFERROR(VLOOKUP(A577,IMPORTRANGE(""1QaxxyUjrDq2kgz300C1Bq1tacFk6e-xX218cSXCQUK0"",""Form Responses 1!B:C""),2,FALSE),)"),"")</f>
        <v/>
      </c>
      <c r="F577" s="70" t="str">
        <f>IFERROR(__xludf.DUMMYFUNCTION("IFERROR(VLOOKUP(A577,IMPORTRANGE(""1fn2ECph_y8Uz78DhjLaiXcwgt6kh3oe-0Le36Uw0noE"",""Form Responses 1!B:C""),2,FALSE),)"),"")</f>
        <v/>
      </c>
      <c r="G577" s="70"/>
      <c r="H577" s="70"/>
      <c r="I577" s="70"/>
      <c r="J577" s="70"/>
      <c r="K577" s="70"/>
      <c r="L577" s="70"/>
      <c r="M577" s="70"/>
      <c r="N577" s="70"/>
      <c r="O577" s="70"/>
      <c r="P577" s="70"/>
      <c r="Q577" s="70" t="str">
        <f>IFERROR(__xludf.DUMMYFUNCTION("IFERROR(IF(COUNTIF(IMPORTRANGE(""1WjiLR_MTMxI_IZUKuvPO4Sg2rTSIqBzP3edakSRXbOA"",""Form Responses 1!B:B""),F577)&gt;0,10,),0)"),"")</f>
        <v/>
      </c>
      <c r="R577" s="70" t="str">
        <f>IFERROR(__xludf.DUMMYFUNCTION("IFERROR(VLOOKUP(F577,IMPORTRANGE(""1Ixzbal5tEbtWhozsFEppQzOYE6ZSrkNXHg_HW5k3Wt4"",""Form Responses 1!B:C""),2,FALSE),)"),"")</f>
        <v/>
      </c>
      <c r="S577" s="70" t="str">
        <f>IFERROR(__xludf.DUMMYFUNCTION("IFERROR(VLOOKUP(F577,IMPORTRANGE(""1zxjtEKGvVIJPIDqZdnxENwVpPXYa88EihzyI44hcQUo"",""Form Responses 1!B:C""),2,FALSE),)"),"")</f>
        <v/>
      </c>
      <c r="T577" s="70" t="str">
        <f>IFERROR(__xludf.DUMMYFUNCTION("IFERROR(VLOOKUP(F577,IMPORTRANGE(""1H3cO01obd5zFULYqaT5NAqecZBFFIHeDFn4CeQLZF3w"",""Form Responses 1!B:C""),2,FALSE),)"),"")</f>
        <v/>
      </c>
      <c r="U577" s="70" t="str">
        <f>IFERROR(__xludf.DUMMYFUNCTION("IFERROR(IF(COUNTIF(IMPORTRANGE(""1IG9qoa6PeLdDDFzKpW39lxXshN0-M8Z25a_R1EpsYyg"",""Form Responses 1!B:B""),F577)&gt;0,10,),0)"),"")</f>
        <v/>
      </c>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row>
    <row r="578">
      <c r="B578" s="70" t="str">
        <f>IFERROR(__xludf.DUMMYFUNCTION("IFERROR(IF(COUNTIF(IMPORTRANGE(""1RTcwEJsI_0aJRebhNwO_H_AoKl9r46k7hWYbtciIyM4"",""Form Responses 1!B:B""),A578)&gt;0,10,),0)"),"")</f>
        <v/>
      </c>
      <c r="C578" s="70" t="str">
        <f>IFERROR(__xludf.DUMMYFUNCTION("IFERROR(VLOOKUP(A578,IMPORTRANGE(""11i8IUhq_U6RRKRV3CBWIKqYed_fMvFgNUHTq1YDJfp8"",""Form Responses 1!B:C""),2,FALSE),)"),"")</f>
        <v/>
      </c>
      <c r="D578" s="70" t="str">
        <f>IFERROR(__xludf.DUMMYFUNCTION("IFERROR(VLOOKUP(A578,IMPORTRANGE(""1StiHxuxrFhYdrq5WLR2JMORicW0TbnJf3J-oTHeMRtM"",""Form Responses 1!B:C""),2,FALSE),)"),"")</f>
        <v/>
      </c>
      <c r="E578" s="70" t="str">
        <f>IFERROR(__xludf.DUMMYFUNCTION("IFERROR(VLOOKUP(A578,IMPORTRANGE(""1QaxxyUjrDq2kgz300C1Bq1tacFk6e-xX218cSXCQUK0"",""Form Responses 1!B:C""),2,FALSE),)"),"")</f>
        <v/>
      </c>
      <c r="F578" s="70" t="str">
        <f>IFERROR(__xludf.DUMMYFUNCTION("IFERROR(VLOOKUP(A578,IMPORTRANGE(""1fn2ECph_y8Uz78DhjLaiXcwgt6kh3oe-0Le36Uw0noE"",""Form Responses 1!B:C""),2,FALSE),)"),"")</f>
        <v/>
      </c>
      <c r="G578" s="70"/>
      <c r="H578" s="70"/>
      <c r="I578" s="70"/>
      <c r="J578" s="70"/>
      <c r="K578" s="70"/>
      <c r="L578" s="70"/>
      <c r="M578" s="70"/>
      <c r="N578" s="70"/>
      <c r="O578" s="70"/>
      <c r="P578" s="70"/>
      <c r="Q578" s="70" t="str">
        <f>IFERROR(__xludf.DUMMYFUNCTION("IFERROR(IF(COUNTIF(IMPORTRANGE(""1WjiLR_MTMxI_IZUKuvPO4Sg2rTSIqBzP3edakSRXbOA"",""Form Responses 1!B:B""),F578)&gt;0,10,),0)"),"")</f>
        <v/>
      </c>
      <c r="R578" s="70" t="str">
        <f>IFERROR(__xludf.DUMMYFUNCTION("IFERROR(VLOOKUP(F578,IMPORTRANGE(""1Ixzbal5tEbtWhozsFEppQzOYE6ZSrkNXHg_HW5k3Wt4"",""Form Responses 1!B:C""),2,FALSE),)"),"")</f>
        <v/>
      </c>
      <c r="S578" s="70" t="str">
        <f>IFERROR(__xludf.DUMMYFUNCTION("IFERROR(VLOOKUP(F578,IMPORTRANGE(""1zxjtEKGvVIJPIDqZdnxENwVpPXYa88EihzyI44hcQUo"",""Form Responses 1!B:C""),2,FALSE),)"),"")</f>
        <v/>
      </c>
      <c r="T578" s="70" t="str">
        <f>IFERROR(__xludf.DUMMYFUNCTION("IFERROR(VLOOKUP(F578,IMPORTRANGE(""1H3cO01obd5zFULYqaT5NAqecZBFFIHeDFn4CeQLZF3w"",""Form Responses 1!B:C""),2,FALSE),)"),"")</f>
        <v/>
      </c>
      <c r="U578" s="70" t="str">
        <f>IFERROR(__xludf.DUMMYFUNCTION("IFERROR(IF(COUNTIF(IMPORTRANGE(""1IG9qoa6PeLdDDFzKpW39lxXshN0-M8Z25a_R1EpsYyg"",""Form Responses 1!B:B""),F578)&gt;0,10,),0)"),"")</f>
        <v/>
      </c>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row>
    <row r="579">
      <c r="B579" s="70" t="str">
        <f>IFERROR(__xludf.DUMMYFUNCTION("IFERROR(IF(COUNTIF(IMPORTRANGE(""1RTcwEJsI_0aJRebhNwO_H_AoKl9r46k7hWYbtciIyM4"",""Form Responses 1!B:B""),A579)&gt;0,10,),0)"),"")</f>
        <v/>
      </c>
      <c r="C579" s="70" t="str">
        <f>IFERROR(__xludf.DUMMYFUNCTION("IFERROR(VLOOKUP(A579,IMPORTRANGE(""11i8IUhq_U6RRKRV3CBWIKqYed_fMvFgNUHTq1YDJfp8"",""Form Responses 1!B:C""),2,FALSE),)"),"")</f>
        <v/>
      </c>
      <c r="D579" s="70" t="str">
        <f>IFERROR(__xludf.DUMMYFUNCTION("IFERROR(VLOOKUP(A579,IMPORTRANGE(""1StiHxuxrFhYdrq5WLR2JMORicW0TbnJf3J-oTHeMRtM"",""Form Responses 1!B:C""),2,FALSE),)"),"")</f>
        <v/>
      </c>
      <c r="E579" s="70" t="str">
        <f>IFERROR(__xludf.DUMMYFUNCTION("IFERROR(VLOOKUP(A579,IMPORTRANGE(""1QaxxyUjrDq2kgz300C1Bq1tacFk6e-xX218cSXCQUK0"",""Form Responses 1!B:C""),2,FALSE),)"),"")</f>
        <v/>
      </c>
      <c r="F579" s="70" t="str">
        <f>IFERROR(__xludf.DUMMYFUNCTION("IFERROR(VLOOKUP(A579,IMPORTRANGE(""1fn2ECph_y8Uz78DhjLaiXcwgt6kh3oe-0Le36Uw0noE"",""Form Responses 1!B:C""),2,FALSE),)"),"")</f>
        <v/>
      </c>
      <c r="G579" s="70"/>
      <c r="H579" s="70"/>
      <c r="I579" s="70"/>
      <c r="J579" s="70"/>
      <c r="K579" s="70"/>
      <c r="L579" s="70"/>
      <c r="M579" s="70"/>
      <c r="N579" s="70"/>
      <c r="O579" s="70"/>
      <c r="P579" s="70"/>
      <c r="Q579" s="70" t="str">
        <f>IFERROR(__xludf.DUMMYFUNCTION("IFERROR(IF(COUNTIF(IMPORTRANGE(""1WjiLR_MTMxI_IZUKuvPO4Sg2rTSIqBzP3edakSRXbOA"",""Form Responses 1!B:B""),F579)&gt;0,10,),0)"),"")</f>
        <v/>
      </c>
      <c r="R579" s="70" t="str">
        <f>IFERROR(__xludf.DUMMYFUNCTION("IFERROR(VLOOKUP(F579,IMPORTRANGE(""1Ixzbal5tEbtWhozsFEppQzOYE6ZSrkNXHg_HW5k3Wt4"",""Form Responses 1!B:C""),2,FALSE),)"),"")</f>
        <v/>
      </c>
      <c r="S579" s="70" t="str">
        <f>IFERROR(__xludf.DUMMYFUNCTION("IFERROR(VLOOKUP(F579,IMPORTRANGE(""1zxjtEKGvVIJPIDqZdnxENwVpPXYa88EihzyI44hcQUo"",""Form Responses 1!B:C""),2,FALSE),)"),"")</f>
        <v/>
      </c>
      <c r="T579" s="70" t="str">
        <f>IFERROR(__xludf.DUMMYFUNCTION("IFERROR(VLOOKUP(F579,IMPORTRANGE(""1H3cO01obd5zFULYqaT5NAqecZBFFIHeDFn4CeQLZF3w"",""Form Responses 1!B:C""),2,FALSE),)"),"")</f>
        <v/>
      </c>
      <c r="U579" s="70" t="str">
        <f>IFERROR(__xludf.DUMMYFUNCTION("IFERROR(IF(COUNTIF(IMPORTRANGE(""1IG9qoa6PeLdDDFzKpW39lxXshN0-M8Z25a_R1EpsYyg"",""Form Responses 1!B:B""),F579)&gt;0,10,),0)"),"")</f>
        <v/>
      </c>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row>
    <row r="580">
      <c r="B580" s="70" t="str">
        <f>IFERROR(__xludf.DUMMYFUNCTION("IFERROR(IF(COUNTIF(IMPORTRANGE(""1RTcwEJsI_0aJRebhNwO_H_AoKl9r46k7hWYbtciIyM4"",""Form Responses 1!B:B""),A580)&gt;0,10,),0)"),"")</f>
        <v/>
      </c>
      <c r="C580" s="70" t="str">
        <f>IFERROR(__xludf.DUMMYFUNCTION("IFERROR(VLOOKUP(A580,IMPORTRANGE(""11i8IUhq_U6RRKRV3CBWIKqYed_fMvFgNUHTq1YDJfp8"",""Form Responses 1!B:C""),2,FALSE),)"),"")</f>
        <v/>
      </c>
      <c r="D580" s="70" t="str">
        <f>IFERROR(__xludf.DUMMYFUNCTION("IFERROR(VLOOKUP(A580,IMPORTRANGE(""1StiHxuxrFhYdrq5WLR2JMORicW0TbnJf3J-oTHeMRtM"",""Form Responses 1!B:C""),2,FALSE),)"),"")</f>
        <v/>
      </c>
      <c r="E580" s="70" t="str">
        <f>IFERROR(__xludf.DUMMYFUNCTION("IFERROR(VLOOKUP(A580,IMPORTRANGE(""1QaxxyUjrDq2kgz300C1Bq1tacFk6e-xX218cSXCQUK0"",""Form Responses 1!B:C""),2,FALSE),)"),"")</f>
        <v/>
      </c>
      <c r="F580" s="70" t="str">
        <f>IFERROR(__xludf.DUMMYFUNCTION("IFERROR(VLOOKUP(A580,IMPORTRANGE(""1fn2ECph_y8Uz78DhjLaiXcwgt6kh3oe-0Le36Uw0noE"",""Form Responses 1!B:C""),2,FALSE),)"),"")</f>
        <v/>
      </c>
      <c r="G580" s="70"/>
      <c r="H580" s="70"/>
      <c r="I580" s="70"/>
      <c r="J580" s="70"/>
      <c r="K580" s="70"/>
      <c r="L580" s="70"/>
      <c r="M580" s="70"/>
      <c r="N580" s="70"/>
      <c r="O580" s="70"/>
      <c r="P580" s="70"/>
      <c r="Q580" s="70" t="str">
        <f>IFERROR(__xludf.DUMMYFUNCTION("IFERROR(IF(COUNTIF(IMPORTRANGE(""1WjiLR_MTMxI_IZUKuvPO4Sg2rTSIqBzP3edakSRXbOA"",""Form Responses 1!B:B""),F580)&gt;0,10,),0)"),"")</f>
        <v/>
      </c>
      <c r="R580" s="70" t="str">
        <f>IFERROR(__xludf.DUMMYFUNCTION("IFERROR(VLOOKUP(F580,IMPORTRANGE(""1Ixzbal5tEbtWhozsFEppQzOYE6ZSrkNXHg_HW5k3Wt4"",""Form Responses 1!B:C""),2,FALSE),)"),"")</f>
        <v/>
      </c>
      <c r="S580" s="70" t="str">
        <f>IFERROR(__xludf.DUMMYFUNCTION("IFERROR(VLOOKUP(F580,IMPORTRANGE(""1zxjtEKGvVIJPIDqZdnxENwVpPXYa88EihzyI44hcQUo"",""Form Responses 1!B:C""),2,FALSE),)"),"")</f>
        <v/>
      </c>
      <c r="T580" s="70" t="str">
        <f>IFERROR(__xludf.DUMMYFUNCTION("IFERROR(VLOOKUP(F580,IMPORTRANGE(""1H3cO01obd5zFULYqaT5NAqecZBFFIHeDFn4CeQLZF3w"",""Form Responses 1!B:C""),2,FALSE),)"),"")</f>
        <v/>
      </c>
      <c r="U580" s="70" t="str">
        <f>IFERROR(__xludf.DUMMYFUNCTION("IFERROR(IF(COUNTIF(IMPORTRANGE(""1IG9qoa6PeLdDDFzKpW39lxXshN0-M8Z25a_R1EpsYyg"",""Form Responses 1!B:B""),F580)&gt;0,10,),0)"),"")</f>
        <v/>
      </c>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row>
    <row r="581">
      <c r="B581" s="70" t="str">
        <f>IFERROR(__xludf.DUMMYFUNCTION("IFERROR(IF(COUNTIF(IMPORTRANGE(""1RTcwEJsI_0aJRebhNwO_H_AoKl9r46k7hWYbtciIyM4"",""Form Responses 1!B:B""),A581)&gt;0,10,),0)"),"")</f>
        <v/>
      </c>
      <c r="C581" s="70" t="str">
        <f>IFERROR(__xludf.DUMMYFUNCTION("IFERROR(VLOOKUP(A581,IMPORTRANGE(""11i8IUhq_U6RRKRV3CBWIKqYed_fMvFgNUHTq1YDJfp8"",""Form Responses 1!B:C""),2,FALSE),)"),"")</f>
        <v/>
      </c>
      <c r="D581" s="70" t="str">
        <f>IFERROR(__xludf.DUMMYFUNCTION("IFERROR(VLOOKUP(A581,IMPORTRANGE(""1StiHxuxrFhYdrq5WLR2JMORicW0TbnJf3J-oTHeMRtM"",""Form Responses 1!B:C""),2,FALSE),)"),"")</f>
        <v/>
      </c>
      <c r="E581" s="70" t="str">
        <f>IFERROR(__xludf.DUMMYFUNCTION("IFERROR(VLOOKUP(A581,IMPORTRANGE(""1QaxxyUjrDq2kgz300C1Bq1tacFk6e-xX218cSXCQUK0"",""Form Responses 1!B:C""),2,FALSE),)"),"")</f>
        <v/>
      </c>
      <c r="F581" s="70" t="str">
        <f>IFERROR(__xludf.DUMMYFUNCTION("IFERROR(VLOOKUP(A581,IMPORTRANGE(""1fn2ECph_y8Uz78DhjLaiXcwgt6kh3oe-0Le36Uw0noE"",""Form Responses 1!B:C""),2,FALSE),)"),"")</f>
        <v/>
      </c>
      <c r="G581" s="70"/>
      <c r="H581" s="70"/>
      <c r="I581" s="70"/>
      <c r="J581" s="70"/>
      <c r="K581" s="70"/>
      <c r="L581" s="70"/>
      <c r="M581" s="70"/>
      <c r="N581" s="70"/>
      <c r="O581" s="70"/>
      <c r="P581" s="70"/>
      <c r="Q581" s="70" t="str">
        <f>IFERROR(__xludf.DUMMYFUNCTION("IFERROR(IF(COUNTIF(IMPORTRANGE(""1WjiLR_MTMxI_IZUKuvPO4Sg2rTSIqBzP3edakSRXbOA"",""Form Responses 1!B:B""),F581)&gt;0,10,),0)"),"")</f>
        <v/>
      </c>
      <c r="R581" s="70" t="str">
        <f>IFERROR(__xludf.DUMMYFUNCTION("IFERROR(VLOOKUP(F581,IMPORTRANGE(""1Ixzbal5tEbtWhozsFEppQzOYE6ZSrkNXHg_HW5k3Wt4"",""Form Responses 1!B:C""),2,FALSE),)"),"")</f>
        <v/>
      </c>
      <c r="S581" s="70" t="str">
        <f>IFERROR(__xludf.DUMMYFUNCTION("IFERROR(VLOOKUP(F581,IMPORTRANGE(""1zxjtEKGvVIJPIDqZdnxENwVpPXYa88EihzyI44hcQUo"",""Form Responses 1!B:C""),2,FALSE),)"),"")</f>
        <v/>
      </c>
      <c r="T581" s="70" t="str">
        <f>IFERROR(__xludf.DUMMYFUNCTION("IFERROR(VLOOKUP(F581,IMPORTRANGE(""1H3cO01obd5zFULYqaT5NAqecZBFFIHeDFn4CeQLZF3w"",""Form Responses 1!B:C""),2,FALSE),)"),"")</f>
        <v/>
      </c>
      <c r="U581" s="70" t="str">
        <f>IFERROR(__xludf.DUMMYFUNCTION("IFERROR(IF(COUNTIF(IMPORTRANGE(""1IG9qoa6PeLdDDFzKpW39lxXshN0-M8Z25a_R1EpsYyg"",""Form Responses 1!B:B""),F581)&gt;0,10,),0)"),"")</f>
        <v/>
      </c>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row>
    <row r="582">
      <c r="B582" s="70" t="str">
        <f>IFERROR(__xludf.DUMMYFUNCTION("IFERROR(IF(COUNTIF(IMPORTRANGE(""1RTcwEJsI_0aJRebhNwO_H_AoKl9r46k7hWYbtciIyM4"",""Form Responses 1!B:B""),A582)&gt;0,10,),0)"),"")</f>
        <v/>
      </c>
      <c r="C582" s="70" t="str">
        <f>IFERROR(__xludf.DUMMYFUNCTION("IFERROR(VLOOKUP(A582,IMPORTRANGE(""11i8IUhq_U6RRKRV3CBWIKqYed_fMvFgNUHTq1YDJfp8"",""Form Responses 1!B:C""),2,FALSE),)"),"")</f>
        <v/>
      </c>
      <c r="D582" s="70" t="str">
        <f>IFERROR(__xludf.DUMMYFUNCTION("IFERROR(VLOOKUP(A582,IMPORTRANGE(""1StiHxuxrFhYdrq5WLR2JMORicW0TbnJf3J-oTHeMRtM"",""Form Responses 1!B:C""),2,FALSE),)"),"")</f>
        <v/>
      </c>
      <c r="E582" s="70" t="str">
        <f>IFERROR(__xludf.DUMMYFUNCTION("IFERROR(VLOOKUP(A582,IMPORTRANGE(""1QaxxyUjrDq2kgz300C1Bq1tacFk6e-xX218cSXCQUK0"",""Form Responses 1!B:C""),2,FALSE),)"),"")</f>
        <v/>
      </c>
      <c r="F582" s="70" t="str">
        <f>IFERROR(__xludf.DUMMYFUNCTION("IFERROR(VLOOKUP(A582,IMPORTRANGE(""1fn2ECph_y8Uz78DhjLaiXcwgt6kh3oe-0Le36Uw0noE"",""Form Responses 1!B:C""),2,FALSE),)"),"")</f>
        <v/>
      </c>
      <c r="G582" s="70"/>
      <c r="H582" s="70"/>
      <c r="I582" s="70"/>
      <c r="J582" s="70"/>
      <c r="K582" s="70"/>
      <c r="L582" s="70"/>
      <c r="M582" s="70"/>
      <c r="N582" s="70"/>
      <c r="O582" s="70"/>
      <c r="P582" s="70"/>
      <c r="Q582" s="70" t="str">
        <f>IFERROR(__xludf.DUMMYFUNCTION("IFERROR(IF(COUNTIF(IMPORTRANGE(""1WjiLR_MTMxI_IZUKuvPO4Sg2rTSIqBzP3edakSRXbOA"",""Form Responses 1!B:B""),F582)&gt;0,10,),0)"),"")</f>
        <v/>
      </c>
      <c r="R582" s="70" t="str">
        <f>IFERROR(__xludf.DUMMYFUNCTION("IFERROR(VLOOKUP(F582,IMPORTRANGE(""1Ixzbal5tEbtWhozsFEppQzOYE6ZSrkNXHg_HW5k3Wt4"",""Form Responses 1!B:C""),2,FALSE),)"),"")</f>
        <v/>
      </c>
      <c r="S582" s="70" t="str">
        <f>IFERROR(__xludf.DUMMYFUNCTION("IFERROR(VLOOKUP(F582,IMPORTRANGE(""1zxjtEKGvVIJPIDqZdnxENwVpPXYa88EihzyI44hcQUo"",""Form Responses 1!B:C""),2,FALSE),)"),"")</f>
        <v/>
      </c>
      <c r="T582" s="70" t="str">
        <f>IFERROR(__xludf.DUMMYFUNCTION("IFERROR(VLOOKUP(F582,IMPORTRANGE(""1H3cO01obd5zFULYqaT5NAqecZBFFIHeDFn4CeQLZF3w"",""Form Responses 1!B:C""),2,FALSE),)"),"")</f>
        <v/>
      </c>
      <c r="U582" s="70" t="str">
        <f>IFERROR(__xludf.DUMMYFUNCTION("IFERROR(IF(COUNTIF(IMPORTRANGE(""1IG9qoa6PeLdDDFzKpW39lxXshN0-M8Z25a_R1EpsYyg"",""Form Responses 1!B:B""),F582)&gt;0,10,),0)"),"")</f>
        <v/>
      </c>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row>
    <row r="583">
      <c r="B583" s="70" t="str">
        <f>IFERROR(__xludf.DUMMYFUNCTION("IFERROR(IF(COUNTIF(IMPORTRANGE(""1RTcwEJsI_0aJRebhNwO_H_AoKl9r46k7hWYbtciIyM4"",""Form Responses 1!B:B""),A583)&gt;0,10,),0)"),"")</f>
        <v/>
      </c>
      <c r="C583" s="70" t="str">
        <f>IFERROR(__xludf.DUMMYFUNCTION("IFERROR(VLOOKUP(A583,IMPORTRANGE(""11i8IUhq_U6RRKRV3CBWIKqYed_fMvFgNUHTq1YDJfp8"",""Form Responses 1!B:C""),2,FALSE),)"),"")</f>
        <v/>
      </c>
      <c r="D583" s="70" t="str">
        <f>IFERROR(__xludf.DUMMYFUNCTION("IFERROR(VLOOKUP(A583,IMPORTRANGE(""1StiHxuxrFhYdrq5WLR2JMORicW0TbnJf3J-oTHeMRtM"",""Form Responses 1!B:C""),2,FALSE),)"),"")</f>
        <v/>
      </c>
      <c r="E583" s="70" t="str">
        <f>IFERROR(__xludf.DUMMYFUNCTION("IFERROR(VLOOKUP(A583,IMPORTRANGE(""1QaxxyUjrDq2kgz300C1Bq1tacFk6e-xX218cSXCQUK0"",""Form Responses 1!B:C""),2,FALSE),)"),"")</f>
        <v/>
      </c>
      <c r="F583" s="70" t="str">
        <f>IFERROR(__xludf.DUMMYFUNCTION("IFERROR(VLOOKUP(A583,IMPORTRANGE(""1fn2ECph_y8Uz78DhjLaiXcwgt6kh3oe-0Le36Uw0noE"",""Form Responses 1!B:C""),2,FALSE),)"),"")</f>
        <v/>
      </c>
      <c r="G583" s="70"/>
      <c r="H583" s="70"/>
      <c r="I583" s="70"/>
      <c r="J583" s="70"/>
      <c r="K583" s="70"/>
      <c r="L583" s="70"/>
      <c r="M583" s="70"/>
      <c r="N583" s="70"/>
      <c r="O583" s="70"/>
      <c r="P583" s="70"/>
      <c r="Q583" s="70" t="str">
        <f>IFERROR(__xludf.DUMMYFUNCTION("IFERROR(IF(COUNTIF(IMPORTRANGE(""1WjiLR_MTMxI_IZUKuvPO4Sg2rTSIqBzP3edakSRXbOA"",""Form Responses 1!B:B""),F583)&gt;0,10,),0)"),"")</f>
        <v/>
      </c>
      <c r="R583" s="70" t="str">
        <f>IFERROR(__xludf.DUMMYFUNCTION("IFERROR(VLOOKUP(F583,IMPORTRANGE(""1Ixzbal5tEbtWhozsFEppQzOYE6ZSrkNXHg_HW5k3Wt4"",""Form Responses 1!B:C""),2,FALSE),)"),"")</f>
        <v/>
      </c>
      <c r="S583" s="70" t="str">
        <f>IFERROR(__xludf.DUMMYFUNCTION("IFERROR(VLOOKUP(F583,IMPORTRANGE(""1zxjtEKGvVIJPIDqZdnxENwVpPXYa88EihzyI44hcQUo"",""Form Responses 1!B:C""),2,FALSE),)"),"")</f>
        <v/>
      </c>
      <c r="T583" s="70" t="str">
        <f>IFERROR(__xludf.DUMMYFUNCTION("IFERROR(VLOOKUP(F583,IMPORTRANGE(""1H3cO01obd5zFULYqaT5NAqecZBFFIHeDFn4CeQLZF3w"",""Form Responses 1!B:C""),2,FALSE),)"),"")</f>
        <v/>
      </c>
      <c r="U583" s="70" t="str">
        <f>IFERROR(__xludf.DUMMYFUNCTION("IFERROR(IF(COUNTIF(IMPORTRANGE(""1IG9qoa6PeLdDDFzKpW39lxXshN0-M8Z25a_R1EpsYyg"",""Form Responses 1!B:B""),F583)&gt;0,10,),0)"),"")</f>
        <v/>
      </c>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row>
    <row r="584">
      <c r="B584" s="70" t="str">
        <f>IFERROR(__xludf.DUMMYFUNCTION("IFERROR(IF(COUNTIF(IMPORTRANGE(""1RTcwEJsI_0aJRebhNwO_H_AoKl9r46k7hWYbtciIyM4"",""Form Responses 1!B:B""),A584)&gt;0,10,),0)"),"")</f>
        <v/>
      </c>
      <c r="C584" s="70" t="str">
        <f>IFERROR(__xludf.DUMMYFUNCTION("IFERROR(VLOOKUP(A584,IMPORTRANGE(""11i8IUhq_U6RRKRV3CBWIKqYed_fMvFgNUHTq1YDJfp8"",""Form Responses 1!B:C""),2,FALSE),)"),"")</f>
        <v/>
      </c>
      <c r="D584" s="70" t="str">
        <f>IFERROR(__xludf.DUMMYFUNCTION("IFERROR(VLOOKUP(A584,IMPORTRANGE(""1StiHxuxrFhYdrq5WLR2JMORicW0TbnJf3J-oTHeMRtM"",""Form Responses 1!B:C""),2,FALSE),)"),"")</f>
        <v/>
      </c>
      <c r="E584" s="70" t="str">
        <f>IFERROR(__xludf.DUMMYFUNCTION("IFERROR(VLOOKUP(A584,IMPORTRANGE(""1QaxxyUjrDq2kgz300C1Bq1tacFk6e-xX218cSXCQUK0"",""Form Responses 1!B:C""),2,FALSE),)"),"")</f>
        <v/>
      </c>
      <c r="F584" s="70" t="str">
        <f>IFERROR(__xludf.DUMMYFUNCTION("IFERROR(VLOOKUP(A584,IMPORTRANGE(""1fn2ECph_y8Uz78DhjLaiXcwgt6kh3oe-0Le36Uw0noE"",""Form Responses 1!B:C""),2,FALSE),)"),"")</f>
        <v/>
      </c>
      <c r="G584" s="70"/>
      <c r="H584" s="70"/>
      <c r="I584" s="70"/>
      <c r="J584" s="70"/>
      <c r="K584" s="70"/>
      <c r="L584" s="70"/>
      <c r="M584" s="70"/>
      <c r="N584" s="70"/>
      <c r="O584" s="70"/>
      <c r="P584" s="70"/>
      <c r="Q584" s="70" t="str">
        <f>IFERROR(__xludf.DUMMYFUNCTION("IFERROR(IF(COUNTIF(IMPORTRANGE(""1WjiLR_MTMxI_IZUKuvPO4Sg2rTSIqBzP3edakSRXbOA"",""Form Responses 1!B:B""),F584)&gt;0,10,),0)"),"")</f>
        <v/>
      </c>
      <c r="R584" s="70" t="str">
        <f>IFERROR(__xludf.DUMMYFUNCTION("IFERROR(VLOOKUP(F584,IMPORTRANGE(""1Ixzbal5tEbtWhozsFEppQzOYE6ZSrkNXHg_HW5k3Wt4"",""Form Responses 1!B:C""),2,FALSE),)"),"")</f>
        <v/>
      </c>
      <c r="S584" s="70" t="str">
        <f>IFERROR(__xludf.DUMMYFUNCTION("IFERROR(VLOOKUP(F584,IMPORTRANGE(""1zxjtEKGvVIJPIDqZdnxENwVpPXYa88EihzyI44hcQUo"",""Form Responses 1!B:C""),2,FALSE),)"),"")</f>
        <v/>
      </c>
      <c r="T584" s="70" t="str">
        <f>IFERROR(__xludf.DUMMYFUNCTION("IFERROR(VLOOKUP(F584,IMPORTRANGE(""1H3cO01obd5zFULYqaT5NAqecZBFFIHeDFn4CeQLZF3w"",""Form Responses 1!B:C""),2,FALSE),)"),"")</f>
        <v/>
      </c>
      <c r="U584" s="70" t="str">
        <f>IFERROR(__xludf.DUMMYFUNCTION("IFERROR(IF(COUNTIF(IMPORTRANGE(""1IG9qoa6PeLdDDFzKpW39lxXshN0-M8Z25a_R1EpsYyg"",""Form Responses 1!B:B""),F584)&gt;0,10,),0)"),"")</f>
        <v/>
      </c>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row>
    <row r="585">
      <c r="B585" s="70" t="str">
        <f>IFERROR(__xludf.DUMMYFUNCTION("IFERROR(IF(COUNTIF(IMPORTRANGE(""1RTcwEJsI_0aJRebhNwO_H_AoKl9r46k7hWYbtciIyM4"",""Form Responses 1!B:B""),A585)&gt;0,10,),0)"),"")</f>
        <v/>
      </c>
      <c r="C585" s="70" t="str">
        <f>IFERROR(__xludf.DUMMYFUNCTION("IFERROR(VLOOKUP(A585,IMPORTRANGE(""11i8IUhq_U6RRKRV3CBWIKqYed_fMvFgNUHTq1YDJfp8"",""Form Responses 1!B:C""),2,FALSE),)"),"")</f>
        <v/>
      </c>
      <c r="D585" s="70" t="str">
        <f>IFERROR(__xludf.DUMMYFUNCTION("IFERROR(VLOOKUP(A585,IMPORTRANGE(""1StiHxuxrFhYdrq5WLR2JMORicW0TbnJf3J-oTHeMRtM"",""Form Responses 1!B:C""),2,FALSE),)"),"")</f>
        <v/>
      </c>
      <c r="E585" s="70" t="str">
        <f>IFERROR(__xludf.DUMMYFUNCTION("IFERROR(VLOOKUP(A585,IMPORTRANGE(""1QaxxyUjrDq2kgz300C1Bq1tacFk6e-xX218cSXCQUK0"",""Form Responses 1!B:C""),2,FALSE),)"),"")</f>
        <v/>
      </c>
      <c r="F585" s="70" t="str">
        <f>IFERROR(__xludf.DUMMYFUNCTION("IFERROR(VLOOKUP(A585,IMPORTRANGE(""1fn2ECph_y8Uz78DhjLaiXcwgt6kh3oe-0Le36Uw0noE"",""Form Responses 1!B:C""),2,FALSE),)"),"")</f>
        <v/>
      </c>
      <c r="G585" s="70"/>
      <c r="H585" s="70"/>
      <c r="I585" s="70"/>
      <c r="J585" s="70"/>
      <c r="K585" s="70"/>
      <c r="L585" s="70"/>
      <c r="M585" s="70"/>
      <c r="N585" s="70"/>
      <c r="O585" s="70"/>
      <c r="P585" s="70"/>
      <c r="Q585" s="70" t="str">
        <f>IFERROR(__xludf.DUMMYFUNCTION("IFERROR(IF(COUNTIF(IMPORTRANGE(""1WjiLR_MTMxI_IZUKuvPO4Sg2rTSIqBzP3edakSRXbOA"",""Form Responses 1!B:B""),F585)&gt;0,10,),0)"),"")</f>
        <v/>
      </c>
      <c r="R585" s="70" t="str">
        <f>IFERROR(__xludf.DUMMYFUNCTION("IFERROR(VLOOKUP(F585,IMPORTRANGE(""1Ixzbal5tEbtWhozsFEppQzOYE6ZSrkNXHg_HW5k3Wt4"",""Form Responses 1!B:C""),2,FALSE),)"),"")</f>
        <v/>
      </c>
      <c r="S585" s="70" t="str">
        <f>IFERROR(__xludf.DUMMYFUNCTION("IFERROR(VLOOKUP(F585,IMPORTRANGE(""1zxjtEKGvVIJPIDqZdnxENwVpPXYa88EihzyI44hcQUo"",""Form Responses 1!B:C""),2,FALSE),)"),"")</f>
        <v/>
      </c>
      <c r="T585" s="70" t="str">
        <f>IFERROR(__xludf.DUMMYFUNCTION("IFERROR(VLOOKUP(F585,IMPORTRANGE(""1H3cO01obd5zFULYqaT5NAqecZBFFIHeDFn4CeQLZF3w"",""Form Responses 1!B:C""),2,FALSE),)"),"")</f>
        <v/>
      </c>
      <c r="U585" s="70" t="str">
        <f>IFERROR(__xludf.DUMMYFUNCTION("IFERROR(IF(COUNTIF(IMPORTRANGE(""1IG9qoa6PeLdDDFzKpW39lxXshN0-M8Z25a_R1EpsYyg"",""Form Responses 1!B:B""),F585)&gt;0,10,),0)"),"")</f>
        <v/>
      </c>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row>
    <row r="586">
      <c r="B586" s="70" t="str">
        <f>IFERROR(__xludf.DUMMYFUNCTION("IFERROR(IF(COUNTIF(IMPORTRANGE(""1RTcwEJsI_0aJRebhNwO_H_AoKl9r46k7hWYbtciIyM4"",""Form Responses 1!B:B""),A586)&gt;0,10,),0)"),"")</f>
        <v/>
      </c>
      <c r="C586" s="70" t="str">
        <f>IFERROR(__xludf.DUMMYFUNCTION("IFERROR(VLOOKUP(A586,IMPORTRANGE(""11i8IUhq_U6RRKRV3CBWIKqYed_fMvFgNUHTq1YDJfp8"",""Form Responses 1!B:C""),2,FALSE),)"),"")</f>
        <v/>
      </c>
      <c r="D586" s="70" t="str">
        <f>IFERROR(__xludf.DUMMYFUNCTION("IFERROR(VLOOKUP(A586,IMPORTRANGE(""1StiHxuxrFhYdrq5WLR2JMORicW0TbnJf3J-oTHeMRtM"",""Form Responses 1!B:C""),2,FALSE),)"),"")</f>
        <v/>
      </c>
      <c r="E586" s="70" t="str">
        <f>IFERROR(__xludf.DUMMYFUNCTION("IFERROR(VLOOKUP(A586,IMPORTRANGE(""1QaxxyUjrDq2kgz300C1Bq1tacFk6e-xX218cSXCQUK0"",""Form Responses 1!B:C""),2,FALSE),)"),"")</f>
        <v/>
      </c>
      <c r="F586" s="70" t="str">
        <f>IFERROR(__xludf.DUMMYFUNCTION("IFERROR(VLOOKUP(A586,IMPORTRANGE(""1fn2ECph_y8Uz78DhjLaiXcwgt6kh3oe-0Le36Uw0noE"",""Form Responses 1!B:C""),2,FALSE),)"),"")</f>
        <v/>
      </c>
      <c r="G586" s="70"/>
      <c r="H586" s="70"/>
      <c r="I586" s="70"/>
      <c r="J586" s="70"/>
      <c r="K586" s="70"/>
      <c r="L586" s="70"/>
      <c r="M586" s="70"/>
      <c r="N586" s="70"/>
      <c r="O586" s="70"/>
      <c r="P586" s="70"/>
      <c r="Q586" s="70" t="str">
        <f>IFERROR(__xludf.DUMMYFUNCTION("IFERROR(IF(COUNTIF(IMPORTRANGE(""1WjiLR_MTMxI_IZUKuvPO4Sg2rTSIqBzP3edakSRXbOA"",""Form Responses 1!B:B""),F586)&gt;0,10,),0)"),"")</f>
        <v/>
      </c>
      <c r="R586" s="70" t="str">
        <f>IFERROR(__xludf.DUMMYFUNCTION("IFERROR(VLOOKUP(F586,IMPORTRANGE(""1Ixzbal5tEbtWhozsFEppQzOYE6ZSrkNXHg_HW5k3Wt4"",""Form Responses 1!B:C""),2,FALSE),)"),"")</f>
        <v/>
      </c>
      <c r="S586" s="70" t="str">
        <f>IFERROR(__xludf.DUMMYFUNCTION("IFERROR(VLOOKUP(F586,IMPORTRANGE(""1zxjtEKGvVIJPIDqZdnxENwVpPXYa88EihzyI44hcQUo"",""Form Responses 1!B:C""),2,FALSE),)"),"")</f>
        <v/>
      </c>
      <c r="T586" s="70" t="str">
        <f>IFERROR(__xludf.DUMMYFUNCTION("IFERROR(VLOOKUP(F586,IMPORTRANGE(""1H3cO01obd5zFULYqaT5NAqecZBFFIHeDFn4CeQLZF3w"",""Form Responses 1!B:C""),2,FALSE),)"),"")</f>
        <v/>
      </c>
      <c r="U586" s="70" t="str">
        <f>IFERROR(__xludf.DUMMYFUNCTION("IFERROR(IF(COUNTIF(IMPORTRANGE(""1IG9qoa6PeLdDDFzKpW39lxXshN0-M8Z25a_R1EpsYyg"",""Form Responses 1!B:B""),F586)&gt;0,10,),0)"),"")</f>
        <v/>
      </c>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row>
    <row r="587">
      <c r="B587" s="70" t="str">
        <f>IFERROR(__xludf.DUMMYFUNCTION("IFERROR(IF(COUNTIF(IMPORTRANGE(""1RTcwEJsI_0aJRebhNwO_H_AoKl9r46k7hWYbtciIyM4"",""Form Responses 1!B:B""),A587)&gt;0,10,),0)"),"")</f>
        <v/>
      </c>
      <c r="C587" s="70" t="str">
        <f>IFERROR(__xludf.DUMMYFUNCTION("IFERROR(VLOOKUP(A587,IMPORTRANGE(""11i8IUhq_U6RRKRV3CBWIKqYed_fMvFgNUHTq1YDJfp8"",""Form Responses 1!B:C""),2,FALSE),)"),"")</f>
        <v/>
      </c>
      <c r="D587" s="70" t="str">
        <f>IFERROR(__xludf.DUMMYFUNCTION("IFERROR(VLOOKUP(A587,IMPORTRANGE(""1StiHxuxrFhYdrq5WLR2JMORicW0TbnJf3J-oTHeMRtM"",""Form Responses 1!B:C""),2,FALSE),)"),"")</f>
        <v/>
      </c>
      <c r="E587" s="70" t="str">
        <f>IFERROR(__xludf.DUMMYFUNCTION("IFERROR(VLOOKUP(A587,IMPORTRANGE(""1QaxxyUjrDq2kgz300C1Bq1tacFk6e-xX218cSXCQUK0"",""Form Responses 1!B:C""),2,FALSE),)"),"")</f>
        <v/>
      </c>
      <c r="F587" s="70" t="str">
        <f>IFERROR(__xludf.DUMMYFUNCTION("IFERROR(VLOOKUP(A587,IMPORTRANGE(""1fn2ECph_y8Uz78DhjLaiXcwgt6kh3oe-0Le36Uw0noE"",""Form Responses 1!B:C""),2,FALSE),)"),"")</f>
        <v/>
      </c>
      <c r="G587" s="70"/>
      <c r="H587" s="70"/>
      <c r="I587" s="70"/>
      <c r="J587" s="70"/>
      <c r="K587" s="70"/>
      <c r="L587" s="70"/>
      <c r="M587" s="70"/>
      <c r="N587" s="70"/>
      <c r="O587" s="70"/>
      <c r="P587" s="70"/>
      <c r="Q587" s="70" t="str">
        <f>IFERROR(__xludf.DUMMYFUNCTION("IFERROR(IF(COUNTIF(IMPORTRANGE(""1WjiLR_MTMxI_IZUKuvPO4Sg2rTSIqBzP3edakSRXbOA"",""Form Responses 1!B:B""),F587)&gt;0,10,),0)"),"")</f>
        <v/>
      </c>
      <c r="R587" s="70" t="str">
        <f>IFERROR(__xludf.DUMMYFUNCTION("IFERROR(VLOOKUP(F587,IMPORTRANGE(""1Ixzbal5tEbtWhozsFEppQzOYE6ZSrkNXHg_HW5k3Wt4"",""Form Responses 1!B:C""),2,FALSE),)"),"")</f>
        <v/>
      </c>
      <c r="S587" s="70" t="str">
        <f>IFERROR(__xludf.DUMMYFUNCTION("IFERROR(VLOOKUP(F587,IMPORTRANGE(""1zxjtEKGvVIJPIDqZdnxENwVpPXYa88EihzyI44hcQUo"",""Form Responses 1!B:C""),2,FALSE),)"),"")</f>
        <v/>
      </c>
      <c r="T587" s="70" t="str">
        <f>IFERROR(__xludf.DUMMYFUNCTION("IFERROR(VLOOKUP(F587,IMPORTRANGE(""1H3cO01obd5zFULYqaT5NAqecZBFFIHeDFn4CeQLZF3w"",""Form Responses 1!B:C""),2,FALSE),)"),"")</f>
        <v/>
      </c>
      <c r="U587" s="70" t="str">
        <f>IFERROR(__xludf.DUMMYFUNCTION("IFERROR(IF(COUNTIF(IMPORTRANGE(""1IG9qoa6PeLdDDFzKpW39lxXshN0-M8Z25a_R1EpsYyg"",""Form Responses 1!B:B""),F587)&gt;0,10,),0)"),"")</f>
        <v/>
      </c>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row>
    <row r="588">
      <c r="B588" s="70" t="str">
        <f>IFERROR(__xludf.DUMMYFUNCTION("IFERROR(IF(COUNTIF(IMPORTRANGE(""1RTcwEJsI_0aJRebhNwO_H_AoKl9r46k7hWYbtciIyM4"",""Form Responses 1!B:B""),A588)&gt;0,10,),0)"),"")</f>
        <v/>
      </c>
      <c r="C588" s="70" t="str">
        <f>IFERROR(__xludf.DUMMYFUNCTION("IFERROR(VLOOKUP(A588,IMPORTRANGE(""11i8IUhq_U6RRKRV3CBWIKqYed_fMvFgNUHTq1YDJfp8"",""Form Responses 1!B:C""),2,FALSE),)"),"")</f>
        <v/>
      </c>
      <c r="D588" s="70" t="str">
        <f>IFERROR(__xludf.DUMMYFUNCTION("IFERROR(VLOOKUP(A588,IMPORTRANGE(""1StiHxuxrFhYdrq5WLR2JMORicW0TbnJf3J-oTHeMRtM"",""Form Responses 1!B:C""),2,FALSE),)"),"")</f>
        <v/>
      </c>
      <c r="E588" s="70" t="str">
        <f>IFERROR(__xludf.DUMMYFUNCTION("IFERROR(VLOOKUP(A588,IMPORTRANGE(""1QaxxyUjrDq2kgz300C1Bq1tacFk6e-xX218cSXCQUK0"",""Form Responses 1!B:C""),2,FALSE),)"),"")</f>
        <v/>
      </c>
      <c r="F588" s="70" t="str">
        <f>IFERROR(__xludf.DUMMYFUNCTION("IFERROR(VLOOKUP(A588,IMPORTRANGE(""1fn2ECph_y8Uz78DhjLaiXcwgt6kh3oe-0Le36Uw0noE"",""Form Responses 1!B:C""),2,FALSE),)"),"")</f>
        <v/>
      </c>
      <c r="G588" s="70"/>
      <c r="H588" s="70"/>
      <c r="I588" s="70"/>
      <c r="J588" s="70"/>
      <c r="K588" s="70"/>
      <c r="L588" s="70"/>
      <c r="M588" s="70"/>
      <c r="N588" s="70"/>
      <c r="O588" s="70"/>
      <c r="P588" s="70"/>
      <c r="Q588" s="70" t="str">
        <f>IFERROR(__xludf.DUMMYFUNCTION("IFERROR(IF(COUNTIF(IMPORTRANGE(""1WjiLR_MTMxI_IZUKuvPO4Sg2rTSIqBzP3edakSRXbOA"",""Form Responses 1!B:B""),F588)&gt;0,10,),0)"),"")</f>
        <v/>
      </c>
      <c r="R588" s="70" t="str">
        <f>IFERROR(__xludf.DUMMYFUNCTION("IFERROR(VLOOKUP(F588,IMPORTRANGE(""1Ixzbal5tEbtWhozsFEppQzOYE6ZSrkNXHg_HW5k3Wt4"",""Form Responses 1!B:C""),2,FALSE),)"),"")</f>
        <v/>
      </c>
      <c r="S588" s="70" t="str">
        <f>IFERROR(__xludf.DUMMYFUNCTION("IFERROR(VLOOKUP(F588,IMPORTRANGE(""1zxjtEKGvVIJPIDqZdnxENwVpPXYa88EihzyI44hcQUo"",""Form Responses 1!B:C""),2,FALSE),)"),"")</f>
        <v/>
      </c>
      <c r="T588" s="70" t="str">
        <f>IFERROR(__xludf.DUMMYFUNCTION("IFERROR(VLOOKUP(F588,IMPORTRANGE(""1H3cO01obd5zFULYqaT5NAqecZBFFIHeDFn4CeQLZF3w"",""Form Responses 1!B:C""),2,FALSE),)"),"")</f>
        <v/>
      </c>
      <c r="U588" s="70" t="str">
        <f>IFERROR(__xludf.DUMMYFUNCTION("IFERROR(IF(COUNTIF(IMPORTRANGE(""1IG9qoa6PeLdDDFzKpW39lxXshN0-M8Z25a_R1EpsYyg"",""Form Responses 1!B:B""),F588)&gt;0,10,),0)"),"")</f>
        <v/>
      </c>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row>
    <row r="589">
      <c r="B589" s="70" t="str">
        <f>IFERROR(__xludf.DUMMYFUNCTION("IFERROR(IF(COUNTIF(IMPORTRANGE(""1RTcwEJsI_0aJRebhNwO_H_AoKl9r46k7hWYbtciIyM4"",""Form Responses 1!B:B""),A589)&gt;0,10,),0)"),"")</f>
        <v/>
      </c>
      <c r="C589" s="70" t="str">
        <f>IFERROR(__xludf.DUMMYFUNCTION("IFERROR(VLOOKUP(A589,IMPORTRANGE(""11i8IUhq_U6RRKRV3CBWIKqYed_fMvFgNUHTq1YDJfp8"",""Form Responses 1!B:C""),2,FALSE),)"),"")</f>
        <v/>
      </c>
      <c r="D589" s="70" t="str">
        <f>IFERROR(__xludf.DUMMYFUNCTION("IFERROR(VLOOKUP(A589,IMPORTRANGE(""1StiHxuxrFhYdrq5WLR2JMORicW0TbnJf3J-oTHeMRtM"",""Form Responses 1!B:C""),2,FALSE),)"),"")</f>
        <v/>
      </c>
      <c r="E589" s="70" t="str">
        <f>IFERROR(__xludf.DUMMYFUNCTION("IFERROR(VLOOKUP(A589,IMPORTRANGE(""1QaxxyUjrDq2kgz300C1Bq1tacFk6e-xX218cSXCQUK0"",""Form Responses 1!B:C""),2,FALSE),)"),"")</f>
        <v/>
      </c>
      <c r="F589" s="70" t="str">
        <f>IFERROR(__xludf.DUMMYFUNCTION("IFERROR(VLOOKUP(A589,IMPORTRANGE(""1fn2ECph_y8Uz78DhjLaiXcwgt6kh3oe-0Le36Uw0noE"",""Form Responses 1!B:C""),2,FALSE),)"),"")</f>
        <v/>
      </c>
      <c r="G589" s="70"/>
      <c r="H589" s="70"/>
      <c r="I589" s="70"/>
      <c r="J589" s="70"/>
      <c r="K589" s="70"/>
      <c r="L589" s="70"/>
      <c r="M589" s="70"/>
      <c r="N589" s="70"/>
      <c r="O589" s="70"/>
      <c r="P589" s="70"/>
      <c r="Q589" s="70" t="str">
        <f>IFERROR(__xludf.DUMMYFUNCTION("IFERROR(IF(COUNTIF(IMPORTRANGE(""1WjiLR_MTMxI_IZUKuvPO4Sg2rTSIqBzP3edakSRXbOA"",""Form Responses 1!B:B""),F589)&gt;0,10,),0)"),"")</f>
        <v/>
      </c>
      <c r="R589" s="70" t="str">
        <f>IFERROR(__xludf.DUMMYFUNCTION("IFERROR(VLOOKUP(F589,IMPORTRANGE(""1Ixzbal5tEbtWhozsFEppQzOYE6ZSrkNXHg_HW5k3Wt4"",""Form Responses 1!B:C""),2,FALSE),)"),"")</f>
        <v/>
      </c>
      <c r="S589" s="70" t="str">
        <f>IFERROR(__xludf.DUMMYFUNCTION("IFERROR(VLOOKUP(F589,IMPORTRANGE(""1zxjtEKGvVIJPIDqZdnxENwVpPXYa88EihzyI44hcQUo"",""Form Responses 1!B:C""),2,FALSE),)"),"")</f>
        <v/>
      </c>
      <c r="T589" s="70" t="str">
        <f>IFERROR(__xludf.DUMMYFUNCTION("IFERROR(VLOOKUP(F589,IMPORTRANGE(""1H3cO01obd5zFULYqaT5NAqecZBFFIHeDFn4CeQLZF3w"",""Form Responses 1!B:C""),2,FALSE),)"),"")</f>
        <v/>
      </c>
      <c r="U589" s="70" t="str">
        <f>IFERROR(__xludf.DUMMYFUNCTION("IFERROR(IF(COUNTIF(IMPORTRANGE(""1IG9qoa6PeLdDDFzKpW39lxXshN0-M8Z25a_R1EpsYyg"",""Form Responses 1!B:B""),F589)&gt;0,10,),0)"),"")</f>
        <v/>
      </c>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row>
    <row r="590">
      <c r="B590" s="70" t="str">
        <f>IFERROR(__xludf.DUMMYFUNCTION("IFERROR(IF(COUNTIF(IMPORTRANGE(""1RTcwEJsI_0aJRebhNwO_H_AoKl9r46k7hWYbtciIyM4"",""Form Responses 1!B:B""),A590)&gt;0,10,),0)"),"")</f>
        <v/>
      </c>
      <c r="C590" s="70" t="str">
        <f>IFERROR(__xludf.DUMMYFUNCTION("IFERROR(VLOOKUP(A590,IMPORTRANGE(""11i8IUhq_U6RRKRV3CBWIKqYed_fMvFgNUHTq1YDJfp8"",""Form Responses 1!B:C""),2,FALSE),)"),"")</f>
        <v/>
      </c>
      <c r="D590" s="70" t="str">
        <f>IFERROR(__xludf.DUMMYFUNCTION("IFERROR(VLOOKUP(A590,IMPORTRANGE(""1StiHxuxrFhYdrq5WLR2JMORicW0TbnJf3J-oTHeMRtM"",""Form Responses 1!B:C""),2,FALSE),)"),"")</f>
        <v/>
      </c>
      <c r="E590" s="70" t="str">
        <f>IFERROR(__xludf.DUMMYFUNCTION("IFERROR(VLOOKUP(A590,IMPORTRANGE(""1QaxxyUjrDq2kgz300C1Bq1tacFk6e-xX218cSXCQUK0"",""Form Responses 1!B:C""),2,FALSE),)"),"")</f>
        <v/>
      </c>
      <c r="F590" s="70" t="str">
        <f>IFERROR(__xludf.DUMMYFUNCTION("IFERROR(VLOOKUP(A590,IMPORTRANGE(""1fn2ECph_y8Uz78DhjLaiXcwgt6kh3oe-0Le36Uw0noE"",""Form Responses 1!B:C""),2,FALSE),)"),"")</f>
        <v/>
      </c>
      <c r="G590" s="70"/>
      <c r="H590" s="70"/>
      <c r="I590" s="70"/>
      <c r="J590" s="70"/>
      <c r="K590" s="70"/>
      <c r="L590" s="70"/>
      <c r="M590" s="70"/>
      <c r="N590" s="70"/>
      <c r="O590" s="70"/>
      <c r="P590" s="70"/>
      <c r="Q590" s="70" t="str">
        <f>IFERROR(__xludf.DUMMYFUNCTION("IFERROR(IF(COUNTIF(IMPORTRANGE(""1WjiLR_MTMxI_IZUKuvPO4Sg2rTSIqBzP3edakSRXbOA"",""Form Responses 1!B:B""),F590)&gt;0,10,),0)"),"")</f>
        <v/>
      </c>
      <c r="R590" s="70" t="str">
        <f>IFERROR(__xludf.DUMMYFUNCTION("IFERROR(VLOOKUP(F590,IMPORTRANGE(""1Ixzbal5tEbtWhozsFEppQzOYE6ZSrkNXHg_HW5k3Wt4"",""Form Responses 1!B:C""),2,FALSE),)"),"")</f>
        <v/>
      </c>
      <c r="S590" s="70" t="str">
        <f>IFERROR(__xludf.DUMMYFUNCTION("IFERROR(VLOOKUP(F590,IMPORTRANGE(""1zxjtEKGvVIJPIDqZdnxENwVpPXYa88EihzyI44hcQUo"",""Form Responses 1!B:C""),2,FALSE),)"),"")</f>
        <v/>
      </c>
      <c r="T590" s="70" t="str">
        <f>IFERROR(__xludf.DUMMYFUNCTION("IFERROR(VLOOKUP(F590,IMPORTRANGE(""1H3cO01obd5zFULYqaT5NAqecZBFFIHeDFn4CeQLZF3w"",""Form Responses 1!B:C""),2,FALSE),)"),"")</f>
        <v/>
      </c>
      <c r="U590" s="70" t="str">
        <f>IFERROR(__xludf.DUMMYFUNCTION("IFERROR(IF(COUNTIF(IMPORTRANGE(""1IG9qoa6PeLdDDFzKpW39lxXshN0-M8Z25a_R1EpsYyg"",""Form Responses 1!B:B""),F590)&gt;0,10,),0)"),"")</f>
        <v/>
      </c>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row>
    <row r="591">
      <c r="B591" s="70" t="str">
        <f>IFERROR(__xludf.DUMMYFUNCTION("IFERROR(IF(COUNTIF(IMPORTRANGE(""1RTcwEJsI_0aJRebhNwO_H_AoKl9r46k7hWYbtciIyM4"",""Form Responses 1!B:B""),A591)&gt;0,10,),0)"),"")</f>
        <v/>
      </c>
      <c r="C591" s="70" t="str">
        <f>IFERROR(__xludf.DUMMYFUNCTION("IFERROR(VLOOKUP(A591,IMPORTRANGE(""11i8IUhq_U6RRKRV3CBWIKqYed_fMvFgNUHTq1YDJfp8"",""Form Responses 1!B:C""),2,FALSE),)"),"")</f>
        <v/>
      </c>
      <c r="D591" s="70" t="str">
        <f>IFERROR(__xludf.DUMMYFUNCTION("IFERROR(VLOOKUP(A591,IMPORTRANGE(""1StiHxuxrFhYdrq5WLR2JMORicW0TbnJf3J-oTHeMRtM"",""Form Responses 1!B:C""),2,FALSE),)"),"")</f>
        <v/>
      </c>
      <c r="E591" s="70" t="str">
        <f>IFERROR(__xludf.DUMMYFUNCTION("IFERROR(VLOOKUP(A591,IMPORTRANGE(""1QaxxyUjrDq2kgz300C1Bq1tacFk6e-xX218cSXCQUK0"",""Form Responses 1!B:C""),2,FALSE),)"),"")</f>
        <v/>
      </c>
      <c r="F591" s="70" t="str">
        <f>IFERROR(__xludf.DUMMYFUNCTION("IFERROR(VLOOKUP(A591,IMPORTRANGE(""1fn2ECph_y8Uz78DhjLaiXcwgt6kh3oe-0Le36Uw0noE"",""Form Responses 1!B:C""),2,FALSE),)"),"")</f>
        <v/>
      </c>
      <c r="G591" s="70"/>
      <c r="H591" s="70"/>
      <c r="I591" s="70"/>
      <c r="J591" s="70"/>
      <c r="K591" s="70"/>
      <c r="L591" s="70"/>
      <c r="M591" s="70"/>
      <c r="N591" s="70"/>
      <c r="O591" s="70"/>
      <c r="P591" s="70"/>
      <c r="Q591" s="70" t="str">
        <f>IFERROR(__xludf.DUMMYFUNCTION("IFERROR(IF(COUNTIF(IMPORTRANGE(""1WjiLR_MTMxI_IZUKuvPO4Sg2rTSIqBzP3edakSRXbOA"",""Form Responses 1!B:B""),F591)&gt;0,10,),0)"),"")</f>
        <v/>
      </c>
      <c r="R591" s="70" t="str">
        <f>IFERROR(__xludf.DUMMYFUNCTION("IFERROR(VLOOKUP(F591,IMPORTRANGE(""1Ixzbal5tEbtWhozsFEppQzOYE6ZSrkNXHg_HW5k3Wt4"",""Form Responses 1!B:C""),2,FALSE),)"),"")</f>
        <v/>
      </c>
      <c r="S591" s="70" t="str">
        <f>IFERROR(__xludf.DUMMYFUNCTION("IFERROR(VLOOKUP(F591,IMPORTRANGE(""1zxjtEKGvVIJPIDqZdnxENwVpPXYa88EihzyI44hcQUo"",""Form Responses 1!B:C""),2,FALSE),)"),"")</f>
        <v/>
      </c>
      <c r="T591" s="70" t="str">
        <f>IFERROR(__xludf.DUMMYFUNCTION("IFERROR(VLOOKUP(F591,IMPORTRANGE(""1H3cO01obd5zFULYqaT5NAqecZBFFIHeDFn4CeQLZF3w"",""Form Responses 1!B:C""),2,FALSE),)"),"")</f>
        <v/>
      </c>
      <c r="U591" s="70" t="str">
        <f>IFERROR(__xludf.DUMMYFUNCTION("IFERROR(IF(COUNTIF(IMPORTRANGE(""1IG9qoa6PeLdDDFzKpW39lxXshN0-M8Z25a_R1EpsYyg"",""Form Responses 1!B:B""),F591)&gt;0,10,),0)"),"")</f>
        <v/>
      </c>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row>
    <row r="592">
      <c r="B592" s="70" t="str">
        <f>IFERROR(__xludf.DUMMYFUNCTION("IFERROR(IF(COUNTIF(IMPORTRANGE(""1RTcwEJsI_0aJRebhNwO_H_AoKl9r46k7hWYbtciIyM4"",""Form Responses 1!B:B""),A592)&gt;0,10,),0)"),"")</f>
        <v/>
      </c>
      <c r="C592" s="70" t="str">
        <f>IFERROR(__xludf.DUMMYFUNCTION("IFERROR(VLOOKUP(A592,IMPORTRANGE(""11i8IUhq_U6RRKRV3CBWIKqYed_fMvFgNUHTq1YDJfp8"",""Form Responses 1!B:C""),2,FALSE),)"),"")</f>
        <v/>
      </c>
      <c r="D592" s="70" t="str">
        <f>IFERROR(__xludf.DUMMYFUNCTION("IFERROR(VLOOKUP(A592,IMPORTRANGE(""1StiHxuxrFhYdrq5WLR2JMORicW0TbnJf3J-oTHeMRtM"",""Form Responses 1!B:C""),2,FALSE),)"),"")</f>
        <v/>
      </c>
      <c r="E592" s="70" t="str">
        <f>IFERROR(__xludf.DUMMYFUNCTION("IFERROR(VLOOKUP(A592,IMPORTRANGE(""1QaxxyUjrDq2kgz300C1Bq1tacFk6e-xX218cSXCQUK0"",""Form Responses 1!B:C""),2,FALSE),)"),"")</f>
        <v/>
      </c>
      <c r="F592" s="70" t="str">
        <f>IFERROR(__xludf.DUMMYFUNCTION("IFERROR(VLOOKUP(A592,IMPORTRANGE(""1fn2ECph_y8Uz78DhjLaiXcwgt6kh3oe-0Le36Uw0noE"",""Form Responses 1!B:C""),2,FALSE),)"),"")</f>
        <v/>
      </c>
      <c r="G592" s="70"/>
      <c r="H592" s="70"/>
      <c r="I592" s="70"/>
      <c r="J592" s="70"/>
      <c r="K592" s="70"/>
      <c r="L592" s="70"/>
      <c r="M592" s="70"/>
      <c r="N592" s="70"/>
      <c r="O592" s="70"/>
      <c r="P592" s="70"/>
      <c r="Q592" s="70" t="str">
        <f>IFERROR(__xludf.DUMMYFUNCTION("IFERROR(IF(COUNTIF(IMPORTRANGE(""1WjiLR_MTMxI_IZUKuvPO4Sg2rTSIqBzP3edakSRXbOA"",""Form Responses 1!B:B""),F592)&gt;0,10,),0)"),"")</f>
        <v/>
      </c>
      <c r="R592" s="70" t="str">
        <f>IFERROR(__xludf.DUMMYFUNCTION("IFERROR(VLOOKUP(F592,IMPORTRANGE(""1Ixzbal5tEbtWhozsFEppQzOYE6ZSrkNXHg_HW5k3Wt4"",""Form Responses 1!B:C""),2,FALSE),)"),"")</f>
        <v/>
      </c>
      <c r="S592" s="70" t="str">
        <f>IFERROR(__xludf.DUMMYFUNCTION("IFERROR(VLOOKUP(F592,IMPORTRANGE(""1zxjtEKGvVIJPIDqZdnxENwVpPXYa88EihzyI44hcQUo"",""Form Responses 1!B:C""),2,FALSE),)"),"")</f>
        <v/>
      </c>
      <c r="T592" s="70" t="str">
        <f>IFERROR(__xludf.DUMMYFUNCTION("IFERROR(VLOOKUP(F592,IMPORTRANGE(""1H3cO01obd5zFULYqaT5NAqecZBFFIHeDFn4CeQLZF3w"",""Form Responses 1!B:C""),2,FALSE),)"),"")</f>
        <v/>
      </c>
      <c r="U592" s="70" t="str">
        <f>IFERROR(__xludf.DUMMYFUNCTION("IFERROR(IF(COUNTIF(IMPORTRANGE(""1IG9qoa6PeLdDDFzKpW39lxXshN0-M8Z25a_R1EpsYyg"",""Form Responses 1!B:B""),F592)&gt;0,10,),0)"),"")</f>
        <v/>
      </c>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row>
    <row r="593">
      <c r="B593" s="70" t="str">
        <f>IFERROR(__xludf.DUMMYFUNCTION("IFERROR(IF(COUNTIF(IMPORTRANGE(""1RTcwEJsI_0aJRebhNwO_H_AoKl9r46k7hWYbtciIyM4"",""Form Responses 1!B:B""),A593)&gt;0,10,),0)"),"")</f>
        <v/>
      </c>
      <c r="C593" s="70" t="str">
        <f>IFERROR(__xludf.DUMMYFUNCTION("IFERROR(VLOOKUP(A593,IMPORTRANGE(""11i8IUhq_U6RRKRV3CBWIKqYed_fMvFgNUHTq1YDJfp8"",""Form Responses 1!B:C""),2,FALSE),)"),"")</f>
        <v/>
      </c>
      <c r="D593" s="70" t="str">
        <f>IFERROR(__xludf.DUMMYFUNCTION("IFERROR(VLOOKUP(A593,IMPORTRANGE(""1StiHxuxrFhYdrq5WLR2JMORicW0TbnJf3J-oTHeMRtM"",""Form Responses 1!B:C""),2,FALSE),)"),"")</f>
        <v/>
      </c>
      <c r="E593" s="70" t="str">
        <f>IFERROR(__xludf.DUMMYFUNCTION("IFERROR(VLOOKUP(A593,IMPORTRANGE(""1QaxxyUjrDq2kgz300C1Bq1tacFk6e-xX218cSXCQUK0"",""Form Responses 1!B:C""),2,FALSE),)"),"")</f>
        <v/>
      </c>
      <c r="F593" s="70" t="str">
        <f>IFERROR(__xludf.DUMMYFUNCTION("IFERROR(VLOOKUP(A593,IMPORTRANGE(""1fn2ECph_y8Uz78DhjLaiXcwgt6kh3oe-0Le36Uw0noE"",""Form Responses 1!B:C""),2,FALSE),)"),"")</f>
        <v/>
      </c>
      <c r="G593" s="70"/>
      <c r="H593" s="70"/>
      <c r="I593" s="70"/>
      <c r="J593" s="70"/>
      <c r="K593" s="70"/>
      <c r="L593" s="70"/>
      <c r="M593" s="70"/>
      <c r="N593" s="70"/>
      <c r="O593" s="70"/>
      <c r="P593" s="70"/>
      <c r="Q593" s="70" t="str">
        <f>IFERROR(__xludf.DUMMYFUNCTION("IFERROR(IF(COUNTIF(IMPORTRANGE(""1WjiLR_MTMxI_IZUKuvPO4Sg2rTSIqBzP3edakSRXbOA"",""Form Responses 1!B:B""),F593)&gt;0,10,),0)"),"")</f>
        <v/>
      </c>
      <c r="R593" s="70" t="str">
        <f>IFERROR(__xludf.DUMMYFUNCTION("IFERROR(VLOOKUP(F593,IMPORTRANGE(""1Ixzbal5tEbtWhozsFEppQzOYE6ZSrkNXHg_HW5k3Wt4"",""Form Responses 1!B:C""),2,FALSE),)"),"")</f>
        <v/>
      </c>
      <c r="S593" s="70" t="str">
        <f>IFERROR(__xludf.DUMMYFUNCTION("IFERROR(VLOOKUP(F593,IMPORTRANGE(""1zxjtEKGvVIJPIDqZdnxENwVpPXYa88EihzyI44hcQUo"",""Form Responses 1!B:C""),2,FALSE),)"),"")</f>
        <v/>
      </c>
      <c r="T593" s="70" t="str">
        <f>IFERROR(__xludf.DUMMYFUNCTION("IFERROR(VLOOKUP(F593,IMPORTRANGE(""1H3cO01obd5zFULYqaT5NAqecZBFFIHeDFn4CeQLZF3w"",""Form Responses 1!B:C""),2,FALSE),)"),"")</f>
        <v/>
      </c>
      <c r="U593" s="70" t="str">
        <f>IFERROR(__xludf.DUMMYFUNCTION("IFERROR(IF(COUNTIF(IMPORTRANGE(""1IG9qoa6PeLdDDFzKpW39lxXshN0-M8Z25a_R1EpsYyg"",""Form Responses 1!B:B""),F593)&gt;0,10,),0)"),"")</f>
        <v/>
      </c>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row>
    <row r="594">
      <c r="B594" s="70" t="str">
        <f>IFERROR(__xludf.DUMMYFUNCTION("IFERROR(IF(COUNTIF(IMPORTRANGE(""1RTcwEJsI_0aJRebhNwO_H_AoKl9r46k7hWYbtciIyM4"",""Form Responses 1!B:B""),A594)&gt;0,10,),0)"),"")</f>
        <v/>
      </c>
      <c r="C594" s="70" t="str">
        <f>IFERROR(__xludf.DUMMYFUNCTION("IFERROR(VLOOKUP(A594,IMPORTRANGE(""11i8IUhq_U6RRKRV3CBWIKqYed_fMvFgNUHTq1YDJfp8"",""Form Responses 1!B:C""),2,FALSE),)"),"")</f>
        <v/>
      </c>
      <c r="D594" s="70" t="str">
        <f>IFERROR(__xludf.DUMMYFUNCTION("IFERROR(VLOOKUP(A594,IMPORTRANGE(""1StiHxuxrFhYdrq5WLR2JMORicW0TbnJf3J-oTHeMRtM"",""Form Responses 1!B:C""),2,FALSE),)"),"")</f>
        <v/>
      </c>
      <c r="E594" s="70" t="str">
        <f>IFERROR(__xludf.DUMMYFUNCTION("IFERROR(VLOOKUP(A594,IMPORTRANGE(""1QaxxyUjrDq2kgz300C1Bq1tacFk6e-xX218cSXCQUK0"",""Form Responses 1!B:C""),2,FALSE),)"),"")</f>
        <v/>
      </c>
      <c r="F594" s="70" t="str">
        <f>IFERROR(__xludf.DUMMYFUNCTION("IFERROR(VLOOKUP(A594,IMPORTRANGE(""1fn2ECph_y8Uz78DhjLaiXcwgt6kh3oe-0Le36Uw0noE"",""Form Responses 1!B:C""),2,FALSE),)"),"")</f>
        <v/>
      </c>
      <c r="G594" s="70"/>
      <c r="H594" s="70"/>
      <c r="I594" s="70"/>
      <c r="J594" s="70"/>
      <c r="K594" s="70"/>
      <c r="L594" s="70"/>
      <c r="M594" s="70"/>
      <c r="N594" s="70"/>
      <c r="O594" s="70"/>
      <c r="P594" s="70"/>
      <c r="Q594" s="70" t="str">
        <f>IFERROR(__xludf.DUMMYFUNCTION("IFERROR(IF(COUNTIF(IMPORTRANGE(""1WjiLR_MTMxI_IZUKuvPO4Sg2rTSIqBzP3edakSRXbOA"",""Form Responses 1!B:B""),F594)&gt;0,10,),0)"),"")</f>
        <v/>
      </c>
      <c r="R594" s="70" t="str">
        <f>IFERROR(__xludf.DUMMYFUNCTION("IFERROR(VLOOKUP(F594,IMPORTRANGE(""1Ixzbal5tEbtWhozsFEppQzOYE6ZSrkNXHg_HW5k3Wt4"",""Form Responses 1!B:C""),2,FALSE),)"),"")</f>
        <v/>
      </c>
      <c r="S594" s="70" t="str">
        <f>IFERROR(__xludf.DUMMYFUNCTION("IFERROR(VLOOKUP(F594,IMPORTRANGE(""1zxjtEKGvVIJPIDqZdnxENwVpPXYa88EihzyI44hcQUo"",""Form Responses 1!B:C""),2,FALSE),)"),"")</f>
        <v/>
      </c>
      <c r="T594" s="70" t="str">
        <f>IFERROR(__xludf.DUMMYFUNCTION("IFERROR(VLOOKUP(F594,IMPORTRANGE(""1H3cO01obd5zFULYqaT5NAqecZBFFIHeDFn4CeQLZF3w"",""Form Responses 1!B:C""),2,FALSE),)"),"")</f>
        <v/>
      </c>
      <c r="U594" s="70" t="str">
        <f>IFERROR(__xludf.DUMMYFUNCTION("IFERROR(IF(COUNTIF(IMPORTRANGE(""1IG9qoa6PeLdDDFzKpW39lxXshN0-M8Z25a_R1EpsYyg"",""Form Responses 1!B:B""),F594)&gt;0,10,),0)"),"")</f>
        <v/>
      </c>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row>
    <row r="595">
      <c r="B595" s="70" t="str">
        <f>IFERROR(__xludf.DUMMYFUNCTION("IFERROR(IF(COUNTIF(IMPORTRANGE(""1RTcwEJsI_0aJRebhNwO_H_AoKl9r46k7hWYbtciIyM4"",""Form Responses 1!B:B""),A595)&gt;0,10,),0)"),"")</f>
        <v/>
      </c>
      <c r="C595" s="70" t="str">
        <f>IFERROR(__xludf.DUMMYFUNCTION("IFERROR(VLOOKUP(A595,IMPORTRANGE(""11i8IUhq_U6RRKRV3CBWIKqYed_fMvFgNUHTq1YDJfp8"",""Form Responses 1!B:C""),2,FALSE),)"),"")</f>
        <v/>
      </c>
      <c r="D595" s="70" t="str">
        <f>IFERROR(__xludf.DUMMYFUNCTION("IFERROR(VLOOKUP(A595,IMPORTRANGE(""1StiHxuxrFhYdrq5WLR2JMORicW0TbnJf3J-oTHeMRtM"",""Form Responses 1!B:C""),2,FALSE),)"),"")</f>
        <v/>
      </c>
      <c r="E595" s="70" t="str">
        <f>IFERROR(__xludf.DUMMYFUNCTION("IFERROR(VLOOKUP(A595,IMPORTRANGE(""1QaxxyUjrDq2kgz300C1Bq1tacFk6e-xX218cSXCQUK0"",""Form Responses 1!B:C""),2,FALSE),)"),"")</f>
        <v/>
      </c>
      <c r="F595" s="70" t="str">
        <f>IFERROR(__xludf.DUMMYFUNCTION("IFERROR(VLOOKUP(A595,IMPORTRANGE(""1fn2ECph_y8Uz78DhjLaiXcwgt6kh3oe-0Le36Uw0noE"",""Form Responses 1!B:C""),2,FALSE),)"),"")</f>
        <v/>
      </c>
      <c r="G595" s="70"/>
      <c r="H595" s="70"/>
      <c r="I595" s="70"/>
      <c r="J595" s="70"/>
      <c r="K595" s="70"/>
      <c r="L595" s="70"/>
      <c r="M595" s="70"/>
      <c r="N595" s="70"/>
      <c r="O595" s="70"/>
      <c r="P595" s="70"/>
      <c r="Q595" s="70" t="str">
        <f>IFERROR(__xludf.DUMMYFUNCTION("IFERROR(IF(COUNTIF(IMPORTRANGE(""1WjiLR_MTMxI_IZUKuvPO4Sg2rTSIqBzP3edakSRXbOA"",""Form Responses 1!B:B""),F595)&gt;0,10,),0)"),"")</f>
        <v/>
      </c>
      <c r="R595" s="70" t="str">
        <f>IFERROR(__xludf.DUMMYFUNCTION("IFERROR(VLOOKUP(F595,IMPORTRANGE(""1Ixzbal5tEbtWhozsFEppQzOYE6ZSrkNXHg_HW5k3Wt4"",""Form Responses 1!B:C""),2,FALSE),)"),"")</f>
        <v/>
      </c>
      <c r="S595" s="70" t="str">
        <f>IFERROR(__xludf.DUMMYFUNCTION("IFERROR(VLOOKUP(F595,IMPORTRANGE(""1zxjtEKGvVIJPIDqZdnxENwVpPXYa88EihzyI44hcQUo"",""Form Responses 1!B:C""),2,FALSE),)"),"")</f>
        <v/>
      </c>
      <c r="T595" s="70" t="str">
        <f>IFERROR(__xludf.DUMMYFUNCTION("IFERROR(VLOOKUP(F595,IMPORTRANGE(""1H3cO01obd5zFULYqaT5NAqecZBFFIHeDFn4CeQLZF3w"",""Form Responses 1!B:C""),2,FALSE),)"),"")</f>
        <v/>
      </c>
      <c r="U595" s="70" t="str">
        <f>IFERROR(__xludf.DUMMYFUNCTION("IFERROR(IF(COUNTIF(IMPORTRANGE(""1IG9qoa6PeLdDDFzKpW39lxXshN0-M8Z25a_R1EpsYyg"",""Form Responses 1!B:B""),F595)&gt;0,10,),0)"),"")</f>
        <v/>
      </c>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row>
    <row r="596">
      <c r="B596" s="70" t="str">
        <f>IFERROR(__xludf.DUMMYFUNCTION("IFERROR(IF(COUNTIF(IMPORTRANGE(""1RTcwEJsI_0aJRebhNwO_H_AoKl9r46k7hWYbtciIyM4"",""Form Responses 1!B:B""),A596)&gt;0,10,),0)"),"")</f>
        <v/>
      </c>
      <c r="C596" s="70" t="str">
        <f>IFERROR(__xludf.DUMMYFUNCTION("IFERROR(VLOOKUP(A596,IMPORTRANGE(""11i8IUhq_U6RRKRV3CBWIKqYed_fMvFgNUHTq1YDJfp8"",""Form Responses 1!B:C""),2,FALSE),)"),"")</f>
        <v/>
      </c>
      <c r="D596" s="70" t="str">
        <f>IFERROR(__xludf.DUMMYFUNCTION("IFERROR(VLOOKUP(A596,IMPORTRANGE(""1StiHxuxrFhYdrq5WLR2JMORicW0TbnJf3J-oTHeMRtM"",""Form Responses 1!B:C""),2,FALSE),)"),"")</f>
        <v/>
      </c>
      <c r="E596" s="70" t="str">
        <f>IFERROR(__xludf.DUMMYFUNCTION("IFERROR(VLOOKUP(A596,IMPORTRANGE(""1QaxxyUjrDq2kgz300C1Bq1tacFk6e-xX218cSXCQUK0"",""Form Responses 1!B:C""),2,FALSE),)"),"")</f>
        <v/>
      </c>
      <c r="F596" s="70" t="str">
        <f>IFERROR(__xludf.DUMMYFUNCTION("IFERROR(VLOOKUP(A596,IMPORTRANGE(""1fn2ECph_y8Uz78DhjLaiXcwgt6kh3oe-0Le36Uw0noE"",""Form Responses 1!B:C""),2,FALSE),)"),"")</f>
        <v/>
      </c>
      <c r="G596" s="70"/>
      <c r="H596" s="70"/>
      <c r="I596" s="70"/>
      <c r="J596" s="70"/>
      <c r="K596" s="70"/>
      <c r="L596" s="70"/>
      <c r="M596" s="70"/>
      <c r="N596" s="70"/>
      <c r="O596" s="70"/>
      <c r="P596" s="70"/>
      <c r="Q596" s="70" t="str">
        <f>IFERROR(__xludf.DUMMYFUNCTION("IFERROR(IF(COUNTIF(IMPORTRANGE(""1WjiLR_MTMxI_IZUKuvPO4Sg2rTSIqBzP3edakSRXbOA"",""Form Responses 1!B:B""),F596)&gt;0,10,),0)"),"")</f>
        <v/>
      </c>
      <c r="R596" s="70" t="str">
        <f>IFERROR(__xludf.DUMMYFUNCTION("IFERROR(VLOOKUP(F596,IMPORTRANGE(""1Ixzbal5tEbtWhozsFEppQzOYE6ZSrkNXHg_HW5k3Wt4"",""Form Responses 1!B:C""),2,FALSE),)"),"")</f>
        <v/>
      </c>
      <c r="S596" s="70" t="str">
        <f>IFERROR(__xludf.DUMMYFUNCTION("IFERROR(VLOOKUP(F596,IMPORTRANGE(""1zxjtEKGvVIJPIDqZdnxENwVpPXYa88EihzyI44hcQUo"",""Form Responses 1!B:C""),2,FALSE),)"),"")</f>
        <v/>
      </c>
      <c r="T596" s="70" t="str">
        <f>IFERROR(__xludf.DUMMYFUNCTION("IFERROR(VLOOKUP(F596,IMPORTRANGE(""1H3cO01obd5zFULYqaT5NAqecZBFFIHeDFn4CeQLZF3w"",""Form Responses 1!B:C""),2,FALSE),)"),"")</f>
        <v/>
      </c>
      <c r="U596" s="70" t="str">
        <f>IFERROR(__xludf.DUMMYFUNCTION("IFERROR(IF(COUNTIF(IMPORTRANGE(""1IG9qoa6PeLdDDFzKpW39lxXshN0-M8Z25a_R1EpsYyg"",""Form Responses 1!B:B""),F596)&gt;0,10,),0)"),"")</f>
        <v/>
      </c>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row>
    <row r="597">
      <c r="B597" s="70" t="str">
        <f>IFERROR(__xludf.DUMMYFUNCTION("IFERROR(IF(COUNTIF(IMPORTRANGE(""1RTcwEJsI_0aJRebhNwO_H_AoKl9r46k7hWYbtciIyM4"",""Form Responses 1!B:B""),A597)&gt;0,10,),0)"),"")</f>
        <v/>
      </c>
      <c r="C597" s="70" t="str">
        <f>IFERROR(__xludf.DUMMYFUNCTION("IFERROR(VLOOKUP(A597,IMPORTRANGE(""11i8IUhq_U6RRKRV3CBWIKqYed_fMvFgNUHTq1YDJfp8"",""Form Responses 1!B:C""),2,FALSE),)"),"")</f>
        <v/>
      </c>
      <c r="D597" s="70" t="str">
        <f>IFERROR(__xludf.DUMMYFUNCTION("IFERROR(VLOOKUP(A597,IMPORTRANGE(""1StiHxuxrFhYdrq5WLR2JMORicW0TbnJf3J-oTHeMRtM"",""Form Responses 1!B:C""),2,FALSE),)"),"")</f>
        <v/>
      </c>
      <c r="E597" s="70" t="str">
        <f>IFERROR(__xludf.DUMMYFUNCTION("IFERROR(VLOOKUP(A597,IMPORTRANGE(""1QaxxyUjrDq2kgz300C1Bq1tacFk6e-xX218cSXCQUK0"",""Form Responses 1!B:C""),2,FALSE),)"),"")</f>
        <v/>
      </c>
      <c r="F597" s="70" t="str">
        <f>IFERROR(__xludf.DUMMYFUNCTION("IFERROR(VLOOKUP(A597,IMPORTRANGE(""1fn2ECph_y8Uz78DhjLaiXcwgt6kh3oe-0Le36Uw0noE"",""Form Responses 1!B:C""),2,FALSE),)"),"")</f>
        <v/>
      </c>
      <c r="G597" s="70"/>
      <c r="H597" s="70"/>
      <c r="I597" s="70"/>
      <c r="J597" s="70"/>
      <c r="K597" s="70"/>
      <c r="L597" s="70"/>
      <c r="M597" s="70"/>
      <c r="N597" s="70"/>
      <c r="O597" s="70"/>
      <c r="P597" s="70"/>
      <c r="Q597" s="70" t="str">
        <f>IFERROR(__xludf.DUMMYFUNCTION("IFERROR(IF(COUNTIF(IMPORTRANGE(""1WjiLR_MTMxI_IZUKuvPO4Sg2rTSIqBzP3edakSRXbOA"",""Form Responses 1!B:B""),F597)&gt;0,10,),0)"),"")</f>
        <v/>
      </c>
      <c r="R597" s="70" t="str">
        <f>IFERROR(__xludf.DUMMYFUNCTION("IFERROR(VLOOKUP(F597,IMPORTRANGE(""1Ixzbal5tEbtWhozsFEppQzOYE6ZSrkNXHg_HW5k3Wt4"",""Form Responses 1!B:C""),2,FALSE),)"),"")</f>
        <v/>
      </c>
      <c r="S597" s="70" t="str">
        <f>IFERROR(__xludf.DUMMYFUNCTION("IFERROR(VLOOKUP(F597,IMPORTRANGE(""1zxjtEKGvVIJPIDqZdnxENwVpPXYa88EihzyI44hcQUo"",""Form Responses 1!B:C""),2,FALSE),)"),"")</f>
        <v/>
      </c>
      <c r="T597" s="70" t="str">
        <f>IFERROR(__xludf.DUMMYFUNCTION("IFERROR(VLOOKUP(F597,IMPORTRANGE(""1H3cO01obd5zFULYqaT5NAqecZBFFIHeDFn4CeQLZF3w"",""Form Responses 1!B:C""),2,FALSE),)"),"")</f>
        <v/>
      </c>
      <c r="U597" s="70" t="str">
        <f>IFERROR(__xludf.DUMMYFUNCTION("IFERROR(IF(COUNTIF(IMPORTRANGE(""1IG9qoa6PeLdDDFzKpW39lxXshN0-M8Z25a_R1EpsYyg"",""Form Responses 1!B:B""),F597)&gt;0,10,),0)"),"")</f>
        <v/>
      </c>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row>
    <row r="598">
      <c r="B598" s="70" t="str">
        <f>IFERROR(__xludf.DUMMYFUNCTION("IFERROR(IF(COUNTIF(IMPORTRANGE(""1RTcwEJsI_0aJRebhNwO_H_AoKl9r46k7hWYbtciIyM4"",""Form Responses 1!B:B""),A598)&gt;0,10,),0)"),"")</f>
        <v/>
      </c>
      <c r="C598" s="70" t="str">
        <f>IFERROR(__xludf.DUMMYFUNCTION("IFERROR(VLOOKUP(A598,IMPORTRANGE(""11i8IUhq_U6RRKRV3CBWIKqYed_fMvFgNUHTq1YDJfp8"",""Form Responses 1!B:C""),2,FALSE),)"),"")</f>
        <v/>
      </c>
      <c r="D598" s="70" t="str">
        <f>IFERROR(__xludf.DUMMYFUNCTION("IFERROR(VLOOKUP(A598,IMPORTRANGE(""1StiHxuxrFhYdrq5WLR2JMORicW0TbnJf3J-oTHeMRtM"",""Form Responses 1!B:C""),2,FALSE),)"),"")</f>
        <v/>
      </c>
      <c r="E598" s="70" t="str">
        <f>IFERROR(__xludf.DUMMYFUNCTION("IFERROR(VLOOKUP(A598,IMPORTRANGE(""1QaxxyUjrDq2kgz300C1Bq1tacFk6e-xX218cSXCQUK0"",""Form Responses 1!B:C""),2,FALSE),)"),"")</f>
        <v/>
      </c>
      <c r="F598" s="70" t="str">
        <f>IFERROR(__xludf.DUMMYFUNCTION("IFERROR(VLOOKUP(A598,IMPORTRANGE(""1fn2ECph_y8Uz78DhjLaiXcwgt6kh3oe-0Le36Uw0noE"",""Form Responses 1!B:C""),2,FALSE),)"),"")</f>
        <v/>
      </c>
      <c r="G598" s="70"/>
      <c r="H598" s="70"/>
      <c r="I598" s="70"/>
      <c r="J598" s="70"/>
      <c r="K598" s="70"/>
      <c r="L598" s="70"/>
      <c r="M598" s="70"/>
      <c r="N598" s="70"/>
      <c r="O598" s="70"/>
      <c r="P598" s="70"/>
      <c r="Q598" s="70" t="str">
        <f>IFERROR(__xludf.DUMMYFUNCTION("IFERROR(IF(COUNTIF(IMPORTRANGE(""1WjiLR_MTMxI_IZUKuvPO4Sg2rTSIqBzP3edakSRXbOA"",""Form Responses 1!B:B""),F598)&gt;0,10,),0)"),"")</f>
        <v/>
      </c>
      <c r="R598" s="70" t="str">
        <f>IFERROR(__xludf.DUMMYFUNCTION("IFERROR(VLOOKUP(F598,IMPORTRANGE(""1Ixzbal5tEbtWhozsFEppQzOYE6ZSrkNXHg_HW5k3Wt4"",""Form Responses 1!B:C""),2,FALSE),)"),"")</f>
        <v/>
      </c>
      <c r="S598" s="70" t="str">
        <f>IFERROR(__xludf.DUMMYFUNCTION("IFERROR(VLOOKUP(F598,IMPORTRANGE(""1zxjtEKGvVIJPIDqZdnxENwVpPXYa88EihzyI44hcQUo"",""Form Responses 1!B:C""),2,FALSE),)"),"")</f>
        <v/>
      </c>
      <c r="T598" s="70" t="str">
        <f>IFERROR(__xludf.DUMMYFUNCTION("IFERROR(VLOOKUP(F598,IMPORTRANGE(""1H3cO01obd5zFULYqaT5NAqecZBFFIHeDFn4CeQLZF3w"",""Form Responses 1!B:C""),2,FALSE),)"),"")</f>
        <v/>
      </c>
      <c r="U598" s="70" t="str">
        <f>IFERROR(__xludf.DUMMYFUNCTION("IFERROR(IF(COUNTIF(IMPORTRANGE(""1IG9qoa6PeLdDDFzKpW39lxXshN0-M8Z25a_R1EpsYyg"",""Form Responses 1!B:B""),F598)&gt;0,10,),0)"),"")</f>
        <v/>
      </c>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row>
    <row r="599">
      <c r="B599" s="70" t="str">
        <f>IFERROR(__xludf.DUMMYFUNCTION("IFERROR(IF(COUNTIF(IMPORTRANGE(""1RTcwEJsI_0aJRebhNwO_H_AoKl9r46k7hWYbtciIyM4"",""Form Responses 1!B:B""),A599)&gt;0,10,),0)"),"")</f>
        <v/>
      </c>
      <c r="C599" s="70" t="str">
        <f>IFERROR(__xludf.DUMMYFUNCTION("IFERROR(VLOOKUP(A599,IMPORTRANGE(""11i8IUhq_U6RRKRV3CBWIKqYed_fMvFgNUHTq1YDJfp8"",""Form Responses 1!B:C""),2,FALSE),)"),"")</f>
        <v/>
      </c>
      <c r="D599" s="70" t="str">
        <f>IFERROR(__xludf.DUMMYFUNCTION("IFERROR(VLOOKUP(A599,IMPORTRANGE(""1StiHxuxrFhYdrq5WLR2JMORicW0TbnJf3J-oTHeMRtM"",""Form Responses 1!B:C""),2,FALSE),)"),"")</f>
        <v/>
      </c>
      <c r="E599" s="70" t="str">
        <f>IFERROR(__xludf.DUMMYFUNCTION("IFERROR(VLOOKUP(A599,IMPORTRANGE(""1QaxxyUjrDq2kgz300C1Bq1tacFk6e-xX218cSXCQUK0"",""Form Responses 1!B:C""),2,FALSE),)"),"")</f>
        <v/>
      </c>
      <c r="F599" s="70" t="str">
        <f>IFERROR(__xludf.DUMMYFUNCTION("IFERROR(VLOOKUP(A599,IMPORTRANGE(""1fn2ECph_y8Uz78DhjLaiXcwgt6kh3oe-0Le36Uw0noE"",""Form Responses 1!B:C""),2,FALSE),)"),"")</f>
        <v/>
      </c>
      <c r="G599" s="70"/>
      <c r="H599" s="70"/>
      <c r="I599" s="70"/>
      <c r="J599" s="70"/>
      <c r="K599" s="70"/>
      <c r="L599" s="70"/>
      <c r="M599" s="70"/>
      <c r="N599" s="70"/>
      <c r="O599" s="70"/>
      <c r="P599" s="70"/>
      <c r="Q599" s="70" t="str">
        <f>IFERROR(__xludf.DUMMYFUNCTION("IFERROR(IF(COUNTIF(IMPORTRANGE(""1WjiLR_MTMxI_IZUKuvPO4Sg2rTSIqBzP3edakSRXbOA"",""Form Responses 1!B:B""),F599)&gt;0,10,),0)"),"")</f>
        <v/>
      </c>
      <c r="R599" s="70" t="str">
        <f>IFERROR(__xludf.DUMMYFUNCTION("IFERROR(VLOOKUP(F599,IMPORTRANGE(""1Ixzbal5tEbtWhozsFEppQzOYE6ZSrkNXHg_HW5k3Wt4"",""Form Responses 1!B:C""),2,FALSE),)"),"")</f>
        <v/>
      </c>
      <c r="S599" s="70" t="str">
        <f>IFERROR(__xludf.DUMMYFUNCTION("IFERROR(VLOOKUP(F599,IMPORTRANGE(""1zxjtEKGvVIJPIDqZdnxENwVpPXYa88EihzyI44hcQUo"",""Form Responses 1!B:C""),2,FALSE),)"),"")</f>
        <v/>
      </c>
      <c r="T599" s="70" t="str">
        <f>IFERROR(__xludf.DUMMYFUNCTION("IFERROR(VLOOKUP(F599,IMPORTRANGE(""1H3cO01obd5zFULYqaT5NAqecZBFFIHeDFn4CeQLZF3w"",""Form Responses 1!B:C""),2,FALSE),)"),"")</f>
        <v/>
      </c>
      <c r="U599" s="70" t="str">
        <f>IFERROR(__xludf.DUMMYFUNCTION("IFERROR(IF(COUNTIF(IMPORTRANGE(""1IG9qoa6PeLdDDFzKpW39lxXshN0-M8Z25a_R1EpsYyg"",""Form Responses 1!B:B""),F599)&gt;0,10,),0)"),"")</f>
        <v/>
      </c>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row>
    <row r="600">
      <c r="B600" s="70" t="str">
        <f>IFERROR(__xludf.DUMMYFUNCTION("IFERROR(IF(COUNTIF(IMPORTRANGE(""1RTcwEJsI_0aJRebhNwO_H_AoKl9r46k7hWYbtciIyM4"",""Form Responses 1!B:B""),A600)&gt;0,10,),0)"),"")</f>
        <v/>
      </c>
      <c r="C600" s="70" t="str">
        <f>IFERROR(__xludf.DUMMYFUNCTION("IFERROR(VLOOKUP(A600,IMPORTRANGE(""11i8IUhq_U6RRKRV3CBWIKqYed_fMvFgNUHTq1YDJfp8"",""Form Responses 1!B:C""),2,FALSE),)"),"")</f>
        <v/>
      </c>
      <c r="D600" s="70" t="str">
        <f>IFERROR(__xludf.DUMMYFUNCTION("IFERROR(VLOOKUP(A600,IMPORTRANGE(""1StiHxuxrFhYdrq5WLR2JMORicW0TbnJf3J-oTHeMRtM"",""Form Responses 1!B:C""),2,FALSE),)"),"")</f>
        <v/>
      </c>
      <c r="E600" s="70" t="str">
        <f>IFERROR(__xludf.DUMMYFUNCTION("IFERROR(VLOOKUP(A600,IMPORTRANGE(""1QaxxyUjrDq2kgz300C1Bq1tacFk6e-xX218cSXCQUK0"",""Form Responses 1!B:C""),2,FALSE),)"),"")</f>
        <v/>
      </c>
      <c r="F600" s="70" t="str">
        <f>IFERROR(__xludf.DUMMYFUNCTION("IFERROR(VLOOKUP(A600,IMPORTRANGE(""1fn2ECph_y8Uz78DhjLaiXcwgt6kh3oe-0Le36Uw0noE"",""Form Responses 1!B:C""),2,FALSE),)"),"")</f>
        <v/>
      </c>
      <c r="G600" s="70"/>
      <c r="H600" s="70"/>
      <c r="I600" s="70"/>
      <c r="J600" s="70"/>
      <c r="K600" s="70"/>
      <c r="L600" s="70"/>
      <c r="M600" s="70"/>
      <c r="N600" s="70"/>
      <c r="O600" s="70"/>
      <c r="P600" s="70"/>
      <c r="Q600" s="70" t="str">
        <f>IFERROR(__xludf.DUMMYFUNCTION("IFERROR(IF(COUNTIF(IMPORTRANGE(""1WjiLR_MTMxI_IZUKuvPO4Sg2rTSIqBzP3edakSRXbOA"",""Form Responses 1!B:B""),F600)&gt;0,10,),0)"),"")</f>
        <v/>
      </c>
      <c r="R600" s="70" t="str">
        <f>IFERROR(__xludf.DUMMYFUNCTION("IFERROR(VLOOKUP(F600,IMPORTRANGE(""1Ixzbal5tEbtWhozsFEppQzOYE6ZSrkNXHg_HW5k3Wt4"",""Form Responses 1!B:C""),2,FALSE),)"),"")</f>
        <v/>
      </c>
      <c r="S600" s="70" t="str">
        <f>IFERROR(__xludf.DUMMYFUNCTION("IFERROR(VLOOKUP(F600,IMPORTRANGE(""1zxjtEKGvVIJPIDqZdnxENwVpPXYa88EihzyI44hcQUo"",""Form Responses 1!B:C""),2,FALSE),)"),"")</f>
        <v/>
      </c>
      <c r="T600" s="70" t="str">
        <f>IFERROR(__xludf.DUMMYFUNCTION("IFERROR(VLOOKUP(F600,IMPORTRANGE(""1H3cO01obd5zFULYqaT5NAqecZBFFIHeDFn4CeQLZF3w"",""Form Responses 1!B:C""),2,FALSE),)"),"")</f>
        <v/>
      </c>
      <c r="U600" s="70" t="str">
        <f>IFERROR(__xludf.DUMMYFUNCTION("IFERROR(IF(COUNTIF(IMPORTRANGE(""1IG9qoa6PeLdDDFzKpW39lxXshN0-M8Z25a_R1EpsYyg"",""Form Responses 1!B:B""),F600)&gt;0,10,),0)"),"")</f>
        <v/>
      </c>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row>
    <row r="601">
      <c r="B601" s="70" t="str">
        <f>IFERROR(__xludf.DUMMYFUNCTION("IFERROR(IF(COUNTIF(IMPORTRANGE(""1RTcwEJsI_0aJRebhNwO_H_AoKl9r46k7hWYbtciIyM4"",""Form Responses 1!B:B""),A601)&gt;0,10,),0)"),"")</f>
        <v/>
      </c>
      <c r="C601" s="70" t="str">
        <f>IFERROR(__xludf.DUMMYFUNCTION("IFERROR(VLOOKUP(A601,IMPORTRANGE(""11i8IUhq_U6RRKRV3CBWIKqYed_fMvFgNUHTq1YDJfp8"",""Form Responses 1!B:C""),2,FALSE),)"),"")</f>
        <v/>
      </c>
      <c r="D601" s="70" t="str">
        <f>IFERROR(__xludf.DUMMYFUNCTION("IFERROR(VLOOKUP(A601,IMPORTRANGE(""1StiHxuxrFhYdrq5WLR2JMORicW0TbnJf3J-oTHeMRtM"",""Form Responses 1!B:C""),2,FALSE),)"),"")</f>
        <v/>
      </c>
      <c r="E601" s="70" t="str">
        <f>IFERROR(__xludf.DUMMYFUNCTION("IFERROR(VLOOKUP(A601,IMPORTRANGE(""1QaxxyUjrDq2kgz300C1Bq1tacFk6e-xX218cSXCQUK0"",""Form Responses 1!B:C""),2,FALSE),)"),"")</f>
        <v/>
      </c>
      <c r="F601" s="70" t="str">
        <f>IFERROR(__xludf.DUMMYFUNCTION("IFERROR(VLOOKUP(A601,IMPORTRANGE(""1fn2ECph_y8Uz78DhjLaiXcwgt6kh3oe-0Le36Uw0noE"",""Form Responses 1!B:C""),2,FALSE),)"),"")</f>
        <v/>
      </c>
      <c r="G601" s="70"/>
      <c r="H601" s="70"/>
      <c r="I601" s="70"/>
      <c r="J601" s="70"/>
      <c r="K601" s="70"/>
      <c r="L601" s="70"/>
      <c r="M601" s="70"/>
      <c r="N601" s="70"/>
      <c r="O601" s="70"/>
      <c r="P601" s="70"/>
      <c r="Q601" s="70" t="str">
        <f>IFERROR(__xludf.DUMMYFUNCTION("IFERROR(IF(COUNTIF(IMPORTRANGE(""1WjiLR_MTMxI_IZUKuvPO4Sg2rTSIqBzP3edakSRXbOA"",""Form Responses 1!B:B""),F601)&gt;0,10,),0)"),"")</f>
        <v/>
      </c>
      <c r="R601" s="70" t="str">
        <f>IFERROR(__xludf.DUMMYFUNCTION("IFERROR(VLOOKUP(F601,IMPORTRANGE(""1Ixzbal5tEbtWhozsFEppQzOYE6ZSrkNXHg_HW5k3Wt4"",""Form Responses 1!B:C""),2,FALSE),)"),"")</f>
        <v/>
      </c>
      <c r="S601" s="70" t="str">
        <f>IFERROR(__xludf.DUMMYFUNCTION("IFERROR(VLOOKUP(F601,IMPORTRANGE(""1zxjtEKGvVIJPIDqZdnxENwVpPXYa88EihzyI44hcQUo"",""Form Responses 1!B:C""),2,FALSE),)"),"")</f>
        <v/>
      </c>
      <c r="T601" s="70" t="str">
        <f>IFERROR(__xludf.DUMMYFUNCTION("IFERROR(VLOOKUP(F601,IMPORTRANGE(""1H3cO01obd5zFULYqaT5NAqecZBFFIHeDFn4CeQLZF3w"",""Form Responses 1!B:C""),2,FALSE),)"),"")</f>
        <v/>
      </c>
      <c r="U601" s="70" t="str">
        <f>IFERROR(__xludf.DUMMYFUNCTION("IFERROR(IF(COUNTIF(IMPORTRANGE(""1IG9qoa6PeLdDDFzKpW39lxXshN0-M8Z25a_R1EpsYyg"",""Form Responses 1!B:B""),F601)&gt;0,10,),0)"),"")</f>
        <v/>
      </c>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row>
    <row r="602">
      <c r="B602" s="70" t="str">
        <f>IFERROR(__xludf.DUMMYFUNCTION("IFERROR(IF(COUNTIF(IMPORTRANGE(""1RTcwEJsI_0aJRebhNwO_H_AoKl9r46k7hWYbtciIyM4"",""Form Responses 1!B:B""),A602)&gt;0,10,),0)"),"")</f>
        <v/>
      </c>
      <c r="C602" s="70" t="str">
        <f>IFERROR(__xludf.DUMMYFUNCTION("IFERROR(VLOOKUP(A602,IMPORTRANGE(""11i8IUhq_U6RRKRV3CBWIKqYed_fMvFgNUHTq1YDJfp8"",""Form Responses 1!B:C""),2,FALSE),)"),"")</f>
        <v/>
      </c>
      <c r="D602" s="70" t="str">
        <f>IFERROR(__xludf.DUMMYFUNCTION("IFERROR(VLOOKUP(A602,IMPORTRANGE(""1StiHxuxrFhYdrq5WLR2JMORicW0TbnJf3J-oTHeMRtM"",""Form Responses 1!B:C""),2,FALSE),)"),"")</f>
        <v/>
      </c>
      <c r="E602" s="70" t="str">
        <f>IFERROR(__xludf.DUMMYFUNCTION("IFERROR(VLOOKUP(A602,IMPORTRANGE(""1QaxxyUjrDq2kgz300C1Bq1tacFk6e-xX218cSXCQUK0"",""Form Responses 1!B:C""),2,FALSE),)"),"")</f>
        <v/>
      </c>
      <c r="F602" s="70" t="str">
        <f>IFERROR(__xludf.DUMMYFUNCTION("IFERROR(VLOOKUP(A602,IMPORTRANGE(""1fn2ECph_y8Uz78DhjLaiXcwgt6kh3oe-0Le36Uw0noE"",""Form Responses 1!B:C""),2,FALSE),)"),"")</f>
        <v/>
      </c>
      <c r="G602" s="70"/>
      <c r="H602" s="70"/>
      <c r="I602" s="70"/>
      <c r="J602" s="70"/>
      <c r="K602" s="70"/>
      <c r="L602" s="70"/>
      <c r="M602" s="70"/>
      <c r="N602" s="70"/>
      <c r="O602" s="70"/>
      <c r="P602" s="70"/>
      <c r="Q602" s="70" t="str">
        <f>IFERROR(__xludf.DUMMYFUNCTION("IFERROR(IF(COUNTIF(IMPORTRANGE(""1WjiLR_MTMxI_IZUKuvPO4Sg2rTSIqBzP3edakSRXbOA"",""Form Responses 1!B:B""),F602)&gt;0,10,),0)"),"")</f>
        <v/>
      </c>
      <c r="R602" s="70" t="str">
        <f>IFERROR(__xludf.DUMMYFUNCTION("IFERROR(VLOOKUP(F602,IMPORTRANGE(""1Ixzbal5tEbtWhozsFEppQzOYE6ZSrkNXHg_HW5k3Wt4"",""Form Responses 1!B:C""),2,FALSE),)"),"")</f>
        <v/>
      </c>
      <c r="S602" s="70" t="str">
        <f>IFERROR(__xludf.DUMMYFUNCTION("IFERROR(VLOOKUP(F602,IMPORTRANGE(""1zxjtEKGvVIJPIDqZdnxENwVpPXYa88EihzyI44hcQUo"",""Form Responses 1!B:C""),2,FALSE),)"),"")</f>
        <v/>
      </c>
      <c r="T602" s="70" t="str">
        <f>IFERROR(__xludf.DUMMYFUNCTION("IFERROR(VLOOKUP(F602,IMPORTRANGE(""1H3cO01obd5zFULYqaT5NAqecZBFFIHeDFn4CeQLZF3w"",""Form Responses 1!B:C""),2,FALSE),)"),"")</f>
        <v/>
      </c>
      <c r="U602" s="70" t="str">
        <f>IFERROR(__xludf.DUMMYFUNCTION("IFERROR(IF(COUNTIF(IMPORTRANGE(""1IG9qoa6PeLdDDFzKpW39lxXshN0-M8Z25a_R1EpsYyg"",""Form Responses 1!B:B""),F602)&gt;0,10,),0)"),"")</f>
        <v/>
      </c>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row>
    <row r="603">
      <c r="B603" s="70" t="str">
        <f>IFERROR(__xludf.DUMMYFUNCTION("IFERROR(IF(COUNTIF(IMPORTRANGE(""1RTcwEJsI_0aJRebhNwO_H_AoKl9r46k7hWYbtciIyM4"",""Form Responses 1!B:B""),A603)&gt;0,10,),0)"),"")</f>
        <v/>
      </c>
      <c r="C603" s="70" t="str">
        <f>IFERROR(__xludf.DUMMYFUNCTION("IFERROR(VLOOKUP(A603,IMPORTRANGE(""11i8IUhq_U6RRKRV3CBWIKqYed_fMvFgNUHTq1YDJfp8"",""Form Responses 1!B:C""),2,FALSE),)"),"")</f>
        <v/>
      </c>
      <c r="D603" s="70" t="str">
        <f>IFERROR(__xludf.DUMMYFUNCTION("IFERROR(VLOOKUP(A603,IMPORTRANGE(""1StiHxuxrFhYdrq5WLR2JMORicW0TbnJf3J-oTHeMRtM"",""Form Responses 1!B:C""),2,FALSE),)"),"")</f>
        <v/>
      </c>
      <c r="E603" s="70" t="str">
        <f>IFERROR(__xludf.DUMMYFUNCTION("IFERROR(VLOOKUP(A603,IMPORTRANGE(""1QaxxyUjrDq2kgz300C1Bq1tacFk6e-xX218cSXCQUK0"",""Form Responses 1!B:C""),2,FALSE),)"),"")</f>
        <v/>
      </c>
      <c r="F603" s="70" t="str">
        <f>IFERROR(__xludf.DUMMYFUNCTION("IFERROR(VLOOKUP(A603,IMPORTRANGE(""1fn2ECph_y8Uz78DhjLaiXcwgt6kh3oe-0Le36Uw0noE"",""Form Responses 1!B:C""),2,FALSE),)"),"")</f>
        <v/>
      </c>
      <c r="G603" s="70"/>
      <c r="H603" s="70"/>
      <c r="I603" s="70"/>
      <c r="J603" s="70"/>
      <c r="K603" s="70"/>
      <c r="L603" s="70"/>
      <c r="M603" s="70"/>
      <c r="N603" s="70"/>
      <c r="O603" s="70"/>
      <c r="P603" s="70"/>
      <c r="Q603" s="70" t="str">
        <f>IFERROR(__xludf.DUMMYFUNCTION("IFERROR(IF(COUNTIF(IMPORTRANGE(""1WjiLR_MTMxI_IZUKuvPO4Sg2rTSIqBzP3edakSRXbOA"",""Form Responses 1!B:B""),F603)&gt;0,10,),0)"),"")</f>
        <v/>
      </c>
      <c r="R603" s="70" t="str">
        <f>IFERROR(__xludf.DUMMYFUNCTION("IFERROR(VLOOKUP(F603,IMPORTRANGE(""1Ixzbal5tEbtWhozsFEppQzOYE6ZSrkNXHg_HW5k3Wt4"",""Form Responses 1!B:C""),2,FALSE),)"),"")</f>
        <v/>
      </c>
      <c r="S603" s="70" t="str">
        <f>IFERROR(__xludf.DUMMYFUNCTION("IFERROR(VLOOKUP(F603,IMPORTRANGE(""1zxjtEKGvVIJPIDqZdnxENwVpPXYa88EihzyI44hcQUo"",""Form Responses 1!B:C""),2,FALSE),)"),"")</f>
        <v/>
      </c>
      <c r="T603" s="70" t="str">
        <f>IFERROR(__xludf.DUMMYFUNCTION("IFERROR(VLOOKUP(F603,IMPORTRANGE(""1H3cO01obd5zFULYqaT5NAqecZBFFIHeDFn4CeQLZF3w"",""Form Responses 1!B:C""),2,FALSE),)"),"")</f>
        <v/>
      </c>
      <c r="U603" s="70" t="str">
        <f>IFERROR(__xludf.DUMMYFUNCTION("IFERROR(IF(COUNTIF(IMPORTRANGE(""1IG9qoa6PeLdDDFzKpW39lxXshN0-M8Z25a_R1EpsYyg"",""Form Responses 1!B:B""),F603)&gt;0,10,),0)"),"")</f>
        <v/>
      </c>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row>
    <row r="604">
      <c r="B604" s="70" t="str">
        <f>IFERROR(__xludf.DUMMYFUNCTION("IFERROR(IF(COUNTIF(IMPORTRANGE(""1RTcwEJsI_0aJRebhNwO_H_AoKl9r46k7hWYbtciIyM4"",""Form Responses 1!B:B""),A604)&gt;0,10,),0)"),"")</f>
        <v/>
      </c>
      <c r="C604" s="70" t="str">
        <f>IFERROR(__xludf.DUMMYFUNCTION("IFERROR(VLOOKUP(A604,IMPORTRANGE(""11i8IUhq_U6RRKRV3CBWIKqYed_fMvFgNUHTq1YDJfp8"",""Form Responses 1!B:C""),2,FALSE),)"),"")</f>
        <v/>
      </c>
      <c r="D604" s="70" t="str">
        <f>IFERROR(__xludf.DUMMYFUNCTION("IFERROR(VLOOKUP(A604,IMPORTRANGE(""1StiHxuxrFhYdrq5WLR2JMORicW0TbnJf3J-oTHeMRtM"",""Form Responses 1!B:C""),2,FALSE),)"),"")</f>
        <v/>
      </c>
      <c r="E604" s="70" t="str">
        <f>IFERROR(__xludf.DUMMYFUNCTION("IFERROR(VLOOKUP(A604,IMPORTRANGE(""1QaxxyUjrDq2kgz300C1Bq1tacFk6e-xX218cSXCQUK0"",""Form Responses 1!B:C""),2,FALSE),)"),"")</f>
        <v/>
      </c>
      <c r="F604" s="70" t="str">
        <f>IFERROR(__xludf.DUMMYFUNCTION("IFERROR(VLOOKUP(A604,IMPORTRANGE(""1fn2ECph_y8Uz78DhjLaiXcwgt6kh3oe-0Le36Uw0noE"",""Form Responses 1!B:C""),2,FALSE),)"),"")</f>
        <v/>
      </c>
      <c r="G604" s="70"/>
      <c r="H604" s="70"/>
      <c r="I604" s="70"/>
      <c r="J604" s="70"/>
      <c r="K604" s="70"/>
      <c r="L604" s="70"/>
      <c r="M604" s="70"/>
      <c r="N604" s="70"/>
      <c r="O604" s="70"/>
      <c r="P604" s="70"/>
      <c r="Q604" s="70" t="str">
        <f>IFERROR(__xludf.DUMMYFUNCTION("IFERROR(IF(COUNTIF(IMPORTRANGE(""1WjiLR_MTMxI_IZUKuvPO4Sg2rTSIqBzP3edakSRXbOA"",""Form Responses 1!B:B""),F604)&gt;0,10,),0)"),"")</f>
        <v/>
      </c>
      <c r="R604" s="70" t="str">
        <f>IFERROR(__xludf.DUMMYFUNCTION("IFERROR(VLOOKUP(F604,IMPORTRANGE(""1Ixzbal5tEbtWhozsFEppQzOYE6ZSrkNXHg_HW5k3Wt4"",""Form Responses 1!B:C""),2,FALSE),)"),"")</f>
        <v/>
      </c>
      <c r="S604" s="70" t="str">
        <f>IFERROR(__xludf.DUMMYFUNCTION("IFERROR(VLOOKUP(F604,IMPORTRANGE(""1zxjtEKGvVIJPIDqZdnxENwVpPXYa88EihzyI44hcQUo"",""Form Responses 1!B:C""),2,FALSE),)"),"")</f>
        <v/>
      </c>
      <c r="T604" s="70" t="str">
        <f>IFERROR(__xludf.DUMMYFUNCTION("IFERROR(VLOOKUP(F604,IMPORTRANGE(""1H3cO01obd5zFULYqaT5NAqecZBFFIHeDFn4CeQLZF3w"",""Form Responses 1!B:C""),2,FALSE),)"),"")</f>
        <v/>
      </c>
      <c r="U604" s="70" t="str">
        <f>IFERROR(__xludf.DUMMYFUNCTION("IFERROR(IF(COUNTIF(IMPORTRANGE(""1IG9qoa6PeLdDDFzKpW39lxXshN0-M8Z25a_R1EpsYyg"",""Form Responses 1!B:B""),F604)&gt;0,10,),0)"),"")</f>
        <v/>
      </c>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row>
    <row r="605">
      <c r="B605" s="70" t="str">
        <f>IFERROR(__xludf.DUMMYFUNCTION("IFERROR(IF(COUNTIF(IMPORTRANGE(""1RTcwEJsI_0aJRebhNwO_H_AoKl9r46k7hWYbtciIyM4"",""Form Responses 1!B:B""),A605)&gt;0,10,),0)"),"")</f>
        <v/>
      </c>
      <c r="C605" s="70" t="str">
        <f>IFERROR(__xludf.DUMMYFUNCTION("IFERROR(VLOOKUP(A605,IMPORTRANGE(""11i8IUhq_U6RRKRV3CBWIKqYed_fMvFgNUHTq1YDJfp8"",""Form Responses 1!B:C""),2,FALSE),)"),"")</f>
        <v/>
      </c>
      <c r="D605" s="70" t="str">
        <f>IFERROR(__xludf.DUMMYFUNCTION("IFERROR(VLOOKUP(A605,IMPORTRANGE(""1StiHxuxrFhYdrq5WLR2JMORicW0TbnJf3J-oTHeMRtM"",""Form Responses 1!B:C""),2,FALSE),)"),"")</f>
        <v/>
      </c>
      <c r="E605" s="70" t="str">
        <f>IFERROR(__xludf.DUMMYFUNCTION("IFERROR(VLOOKUP(A605,IMPORTRANGE(""1QaxxyUjrDq2kgz300C1Bq1tacFk6e-xX218cSXCQUK0"",""Form Responses 1!B:C""),2,FALSE),)"),"")</f>
        <v/>
      </c>
      <c r="F605" s="70" t="str">
        <f>IFERROR(__xludf.DUMMYFUNCTION("IFERROR(VLOOKUP(A605,IMPORTRANGE(""1fn2ECph_y8Uz78DhjLaiXcwgt6kh3oe-0Le36Uw0noE"",""Form Responses 1!B:C""),2,FALSE),)"),"")</f>
        <v/>
      </c>
      <c r="G605" s="70"/>
      <c r="H605" s="70"/>
      <c r="I605" s="70"/>
      <c r="J605" s="70"/>
      <c r="K605" s="70"/>
      <c r="L605" s="70"/>
      <c r="M605" s="70"/>
      <c r="N605" s="70"/>
      <c r="O605" s="70"/>
      <c r="P605" s="70"/>
      <c r="Q605" s="70" t="str">
        <f>IFERROR(__xludf.DUMMYFUNCTION("IFERROR(IF(COUNTIF(IMPORTRANGE(""1WjiLR_MTMxI_IZUKuvPO4Sg2rTSIqBzP3edakSRXbOA"",""Form Responses 1!B:B""),F605)&gt;0,10,),0)"),"")</f>
        <v/>
      </c>
      <c r="R605" s="70" t="str">
        <f>IFERROR(__xludf.DUMMYFUNCTION("IFERROR(VLOOKUP(F605,IMPORTRANGE(""1Ixzbal5tEbtWhozsFEppQzOYE6ZSrkNXHg_HW5k3Wt4"",""Form Responses 1!B:C""),2,FALSE),)"),"")</f>
        <v/>
      </c>
      <c r="S605" s="70" t="str">
        <f>IFERROR(__xludf.DUMMYFUNCTION("IFERROR(VLOOKUP(F605,IMPORTRANGE(""1zxjtEKGvVIJPIDqZdnxENwVpPXYa88EihzyI44hcQUo"",""Form Responses 1!B:C""),2,FALSE),)"),"")</f>
        <v/>
      </c>
      <c r="T605" s="70" t="str">
        <f>IFERROR(__xludf.DUMMYFUNCTION("IFERROR(VLOOKUP(F605,IMPORTRANGE(""1H3cO01obd5zFULYqaT5NAqecZBFFIHeDFn4CeQLZF3w"",""Form Responses 1!B:C""),2,FALSE),)"),"")</f>
        <v/>
      </c>
      <c r="U605" s="70" t="str">
        <f>IFERROR(__xludf.DUMMYFUNCTION("IFERROR(IF(COUNTIF(IMPORTRANGE(""1IG9qoa6PeLdDDFzKpW39lxXshN0-M8Z25a_R1EpsYyg"",""Form Responses 1!B:B""),F605)&gt;0,10,),0)"),"")</f>
        <v/>
      </c>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row>
    <row r="606">
      <c r="B606" s="70" t="str">
        <f>IFERROR(__xludf.DUMMYFUNCTION("IFERROR(IF(COUNTIF(IMPORTRANGE(""1RTcwEJsI_0aJRebhNwO_H_AoKl9r46k7hWYbtciIyM4"",""Form Responses 1!B:B""),A606)&gt;0,10,),0)"),"")</f>
        <v/>
      </c>
      <c r="C606" s="70" t="str">
        <f>IFERROR(__xludf.DUMMYFUNCTION("IFERROR(VLOOKUP(A606,IMPORTRANGE(""11i8IUhq_U6RRKRV3CBWIKqYed_fMvFgNUHTq1YDJfp8"",""Form Responses 1!B:C""),2,FALSE),)"),"")</f>
        <v/>
      </c>
      <c r="D606" s="70" t="str">
        <f>IFERROR(__xludf.DUMMYFUNCTION("IFERROR(VLOOKUP(A606,IMPORTRANGE(""1StiHxuxrFhYdrq5WLR2JMORicW0TbnJf3J-oTHeMRtM"",""Form Responses 1!B:C""),2,FALSE),)"),"")</f>
        <v/>
      </c>
      <c r="E606" s="70" t="str">
        <f>IFERROR(__xludf.DUMMYFUNCTION("IFERROR(VLOOKUP(A606,IMPORTRANGE(""1QaxxyUjrDq2kgz300C1Bq1tacFk6e-xX218cSXCQUK0"",""Form Responses 1!B:C""),2,FALSE),)"),"")</f>
        <v/>
      </c>
      <c r="F606" s="70" t="str">
        <f>IFERROR(__xludf.DUMMYFUNCTION("IFERROR(VLOOKUP(A606,IMPORTRANGE(""1fn2ECph_y8Uz78DhjLaiXcwgt6kh3oe-0Le36Uw0noE"",""Form Responses 1!B:C""),2,FALSE),)"),"")</f>
        <v/>
      </c>
      <c r="G606" s="70"/>
      <c r="H606" s="70"/>
      <c r="I606" s="70"/>
      <c r="J606" s="70"/>
      <c r="K606" s="70"/>
      <c r="L606" s="70"/>
      <c r="M606" s="70"/>
      <c r="N606" s="70"/>
      <c r="O606" s="70"/>
      <c r="P606" s="70"/>
      <c r="Q606" s="70" t="str">
        <f>IFERROR(__xludf.DUMMYFUNCTION("IFERROR(IF(COUNTIF(IMPORTRANGE(""1WjiLR_MTMxI_IZUKuvPO4Sg2rTSIqBzP3edakSRXbOA"",""Form Responses 1!B:B""),F606)&gt;0,10,),0)"),"")</f>
        <v/>
      </c>
      <c r="R606" s="70" t="str">
        <f>IFERROR(__xludf.DUMMYFUNCTION("IFERROR(VLOOKUP(F606,IMPORTRANGE(""1Ixzbal5tEbtWhozsFEppQzOYE6ZSrkNXHg_HW5k3Wt4"",""Form Responses 1!B:C""),2,FALSE),)"),"")</f>
        <v/>
      </c>
      <c r="S606" s="70" t="str">
        <f>IFERROR(__xludf.DUMMYFUNCTION("IFERROR(VLOOKUP(F606,IMPORTRANGE(""1zxjtEKGvVIJPIDqZdnxENwVpPXYa88EihzyI44hcQUo"",""Form Responses 1!B:C""),2,FALSE),)"),"")</f>
        <v/>
      </c>
      <c r="T606" s="70" t="str">
        <f>IFERROR(__xludf.DUMMYFUNCTION("IFERROR(VLOOKUP(F606,IMPORTRANGE(""1H3cO01obd5zFULYqaT5NAqecZBFFIHeDFn4CeQLZF3w"",""Form Responses 1!B:C""),2,FALSE),)"),"")</f>
        <v/>
      </c>
      <c r="U606" s="70" t="str">
        <f>IFERROR(__xludf.DUMMYFUNCTION("IFERROR(IF(COUNTIF(IMPORTRANGE(""1IG9qoa6PeLdDDFzKpW39lxXshN0-M8Z25a_R1EpsYyg"",""Form Responses 1!B:B""),F606)&gt;0,10,),0)"),"")</f>
        <v/>
      </c>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row>
    <row r="607">
      <c r="B607" s="70" t="str">
        <f>IFERROR(__xludf.DUMMYFUNCTION("IFERROR(IF(COUNTIF(IMPORTRANGE(""1RTcwEJsI_0aJRebhNwO_H_AoKl9r46k7hWYbtciIyM4"",""Form Responses 1!B:B""),A607)&gt;0,10,),0)"),"")</f>
        <v/>
      </c>
      <c r="C607" s="70" t="str">
        <f>IFERROR(__xludf.DUMMYFUNCTION("IFERROR(VLOOKUP(A607,IMPORTRANGE(""11i8IUhq_U6RRKRV3CBWIKqYed_fMvFgNUHTq1YDJfp8"",""Form Responses 1!B:C""),2,FALSE),)"),"")</f>
        <v/>
      </c>
      <c r="D607" s="70" t="str">
        <f>IFERROR(__xludf.DUMMYFUNCTION("IFERROR(VLOOKUP(A607,IMPORTRANGE(""1StiHxuxrFhYdrq5WLR2JMORicW0TbnJf3J-oTHeMRtM"",""Form Responses 1!B:C""),2,FALSE),)"),"")</f>
        <v/>
      </c>
      <c r="E607" s="70" t="str">
        <f>IFERROR(__xludf.DUMMYFUNCTION("IFERROR(VLOOKUP(A607,IMPORTRANGE(""1QaxxyUjrDq2kgz300C1Bq1tacFk6e-xX218cSXCQUK0"",""Form Responses 1!B:C""),2,FALSE),)"),"")</f>
        <v/>
      </c>
      <c r="F607" s="70" t="str">
        <f>IFERROR(__xludf.DUMMYFUNCTION("IFERROR(VLOOKUP(A607,IMPORTRANGE(""1fn2ECph_y8Uz78DhjLaiXcwgt6kh3oe-0Le36Uw0noE"",""Form Responses 1!B:C""),2,FALSE),)"),"")</f>
        <v/>
      </c>
      <c r="G607" s="70"/>
      <c r="H607" s="70"/>
      <c r="I607" s="70"/>
      <c r="J607" s="70"/>
      <c r="K607" s="70"/>
      <c r="L607" s="70"/>
      <c r="M607" s="70"/>
      <c r="N607" s="70"/>
      <c r="O607" s="70"/>
      <c r="P607" s="70"/>
      <c r="Q607" s="70" t="str">
        <f>IFERROR(__xludf.DUMMYFUNCTION("IFERROR(IF(COUNTIF(IMPORTRANGE(""1WjiLR_MTMxI_IZUKuvPO4Sg2rTSIqBzP3edakSRXbOA"",""Form Responses 1!B:B""),F607)&gt;0,10,),0)"),"")</f>
        <v/>
      </c>
      <c r="R607" s="70" t="str">
        <f>IFERROR(__xludf.DUMMYFUNCTION("IFERROR(VLOOKUP(F607,IMPORTRANGE(""1Ixzbal5tEbtWhozsFEppQzOYE6ZSrkNXHg_HW5k3Wt4"",""Form Responses 1!B:C""),2,FALSE),)"),"")</f>
        <v/>
      </c>
      <c r="S607" s="70" t="str">
        <f>IFERROR(__xludf.DUMMYFUNCTION("IFERROR(VLOOKUP(F607,IMPORTRANGE(""1zxjtEKGvVIJPIDqZdnxENwVpPXYa88EihzyI44hcQUo"",""Form Responses 1!B:C""),2,FALSE),)"),"")</f>
        <v/>
      </c>
      <c r="T607" s="70" t="str">
        <f>IFERROR(__xludf.DUMMYFUNCTION("IFERROR(VLOOKUP(F607,IMPORTRANGE(""1H3cO01obd5zFULYqaT5NAqecZBFFIHeDFn4CeQLZF3w"",""Form Responses 1!B:C""),2,FALSE),)"),"")</f>
        <v/>
      </c>
      <c r="U607" s="70" t="str">
        <f>IFERROR(__xludf.DUMMYFUNCTION("IFERROR(IF(COUNTIF(IMPORTRANGE(""1IG9qoa6PeLdDDFzKpW39lxXshN0-M8Z25a_R1EpsYyg"",""Form Responses 1!B:B""),F607)&gt;0,10,),0)"),"")</f>
        <v/>
      </c>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row>
    <row r="608">
      <c r="B608" s="70" t="str">
        <f>IFERROR(__xludf.DUMMYFUNCTION("IFERROR(IF(COUNTIF(IMPORTRANGE(""1RTcwEJsI_0aJRebhNwO_H_AoKl9r46k7hWYbtciIyM4"",""Form Responses 1!B:B""),A608)&gt;0,10,),0)"),"")</f>
        <v/>
      </c>
      <c r="C608" s="70" t="str">
        <f>IFERROR(__xludf.DUMMYFUNCTION("IFERROR(VLOOKUP(A608,IMPORTRANGE(""11i8IUhq_U6RRKRV3CBWIKqYed_fMvFgNUHTq1YDJfp8"",""Form Responses 1!B:C""),2,FALSE),)"),"")</f>
        <v/>
      </c>
      <c r="D608" s="70" t="str">
        <f>IFERROR(__xludf.DUMMYFUNCTION("IFERROR(VLOOKUP(A608,IMPORTRANGE(""1StiHxuxrFhYdrq5WLR2JMORicW0TbnJf3J-oTHeMRtM"",""Form Responses 1!B:C""),2,FALSE),)"),"")</f>
        <v/>
      </c>
      <c r="E608" s="70" t="str">
        <f>IFERROR(__xludf.DUMMYFUNCTION("IFERROR(VLOOKUP(A608,IMPORTRANGE(""1QaxxyUjrDq2kgz300C1Bq1tacFk6e-xX218cSXCQUK0"",""Form Responses 1!B:C""),2,FALSE),)"),"")</f>
        <v/>
      </c>
      <c r="F608" s="70" t="str">
        <f>IFERROR(__xludf.DUMMYFUNCTION("IFERROR(VLOOKUP(A608,IMPORTRANGE(""1fn2ECph_y8Uz78DhjLaiXcwgt6kh3oe-0Le36Uw0noE"",""Form Responses 1!B:C""),2,FALSE),)"),"")</f>
        <v/>
      </c>
      <c r="G608" s="70"/>
      <c r="H608" s="70"/>
      <c r="I608" s="70"/>
      <c r="J608" s="70"/>
      <c r="K608" s="70"/>
      <c r="L608" s="70"/>
      <c r="M608" s="70"/>
      <c r="N608" s="70"/>
      <c r="O608" s="70"/>
      <c r="P608" s="70"/>
      <c r="Q608" s="70" t="str">
        <f>IFERROR(__xludf.DUMMYFUNCTION("IFERROR(IF(COUNTIF(IMPORTRANGE(""1WjiLR_MTMxI_IZUKuvPO4Sg2rTSIqBzP3edakSRXbOA"",""Form Responses 1!B:B""),F608)&gt;0,10,),0)"),"")</f>
        <v/>
      </c>
      <c r="R608" s="70" t="str">
        <f>IFERROR(__xludf.DUMMYFUNCTION("IFERROR(VLOOKUP(F608,IMPORTRANGE(""1Ixzbal5tEbtWhozsFEppQzOYE6ZSrkNXHg_HW5k3Wt4"",""Form Responses 1!B:C""),2,FALSE),)"),"")</f>
        <v/>
      </c>
      <c r="S608" s="70" t="str">
        <f>IFERROR(__xludf.DUMMYFUNCTION("IFERROR(VLOOKUP(F608,IMPORTRANGE(""1zxjtEKGvVIJPIDqZdnxENwVpPXYa88EihzyI44hcQUo"",""Form Responses 1!B:C""),2,FALSE),)"),"")</f>
        <v/>
      </c>
      <c r="T608" s="70" t="str">
        <f>IFERROR(__xludf.DUMMYFUNCTION("IFERROR(VLOOKUP(F608,IMPORTRANGE(""1H3cO01obd5zFULYqaT5NAqecZBFFIHeDFn4CeQLZF3w"",""Form Responses 1!B:C""),2,FALSE),)"),"")</f>
        <v/>
      </c>
      <c r="U608" s="70" t="str">
        <f>IFERROR(__xludf.DUMMYFUNCTION("IFERROR(IF(COUNTIF(IMPORTRANGE(""1IG9qoa6PeLdDDFzKpW39lxXshN0-M8Z25a_R1EpsYyg"",""Form Responses 1!B:B""),F608)&gt;0,10,),0)"),"")</f>
        <v/>
      </c>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row>
    <row r="609">
      <c r="B609" s="70" t="str">
        <f>IFERROR(__xludf.DUMMYFUNCTION("IFERROR(IF(COUNTIF(IMPORTRANGE(""1RTcwEJsI_0aJRebhNwO_H_AoKl9r46k7hWYbtciIyM4"",""Form Responses 1!B:B""),A609)&gt;0,10,),0)"),"")</f>
        <v/>
      </c>
      <c r="C609" s="70" t="str">
        <f>IFERROR(__xludf.DUMMYFUNCTION("IFERROR(VLOOKUP(A609,IMPORTRANGE(""11i8IUhq_U6RRKRV3CBWIKqYed_fMvFgNUHTq1YDJfp8"",""Form Responses 1!B:C""),2,FALSE),)"),"")</f>
        <v/>
      </c>
      <c r="D609" s="70" t="str">
        <f>IFERROR(__xludf.DUMMYFUNCTION("IFERROR(VLOOKUP(A609,IMPORTRANGE(""1StiHxuxrFhYdrq5WLR2JMORicW0TbnJf3J-oTHeMRtM"",""Form Responses 1!B:C""),2,FALSE),)"),"")</f>
        <v/>
      </c>
      <c r="E609" s="70" t="str">
        <f>IFERROR(__xludf.DUMMYFUNCTION("IFERROR(VLOOKUP(A609,IMPORTRANGE(""1QaxxyUjrDq2kgz300C1Bq1tacFk6e-xX218cSXCQUK0"",""Form Responses 1!B:C""),2,FALSE),)"),"")</f>
        <v/>
      </c>
      <c r="F609" s="70" t="str">
        <f>IFERROR(__xludf.DUMMYFUNCTION("IFERROR(VLOOKUP(A609,IMPORTRANGE(""1fn2ECph_y8Uz78DhjLaiXcwgt6kh3oe-0Le36Uw0noE"",""Form Responses 1!B:C""),2,FALSE),)"),"")</f>
        <v/>
      </c>
      <c r="G609" s="70"/>
      <c r="H609" s="70"/>
      <c r="I609" s="70"/>
      <c r="J609" s="70"/>
      <c r="K609" s="70"/>
      <c r="L609" s="70"/>
      <c r="M609" s="70"/>
      <c r="N609" s="70"/>
      <c r="O609" s="70"/>
      <c r="P609" s="70"/>
      <c r="Q609" s="70" t="str">
        <f>IFERROR(__xludf.DUMMYFUNCTION("IFERROR(IF(COUNTIF(IMPORTRANGE(""1WjiLR_MTMxI_IZUKuvPO4Sg2rTSIqBzP3edakSRXbOA"",""Form Responses 1!B:B""),F609)&gt;0,10,),0)"),"")</f>
        <v/>
      </c>
      <c r="R609" s="70" t="str">
        <f>IFERROR(__xludf.DUMMYFUNCTION("IFERROR(VLOOKUP(F609,IMPORTRANGE(""1Ixzbal5tEbtWhozsFEppQzOYE6ZSrkNXHg_HW5k3Wt4"",""Form Responses 1!B:C""),2,FALSE),)"),"")</f>
        <v/>
      </c>
      <c r="S609" s="70" t="str">
        <f>IFERROR(__xludf.DUMMYFUNCTION("IFERROR(VLOOKUP(F609,IMPORTRANGE(""1zxjtEKGvVIJPIDqZdnxENwVpPXYa88EihzyI44hcQUo"",""Form Responses 1!B:C""),2,FALSE),)"),"")</f>
        <v/>
      </c>
      <c r="T609" s="70" t="str">
        <f>IFERROR(__xludf.DUMMYFUNCTION("IFERROR(VLOOKUP(F609,IMPORTRANGE(""1H3cO01obd5zFULYqaT5NAqecZBFFIHeDFn4CeQLZF3w"",""Form Responses 1!B:C""),2,FALSE),)"),"")</f>
        <v/>
      </c>
      <c r="U609" s="70" t="str">
        <f>IFERROR(__xludf.DUMMYFUNCTION("IFERROR(IF(COUNTIF(IMPORTRANGE(""1IG9qoa6PeLdDDFzKpW39lxXshN0-M8Z25a_R1EpsYyg"",""Form Responses 1!B:B""),F609)&gt;0,10,),0)"),"")</f>
        <v/>
      </c>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row>
    <row r="610">
      <c r="B610" s="70" t="str">
        <f>IFERROR(__xludf.DUMMYFUNCTION("IFERROR(IF(COUNTIF(IMPORTRANGE(""1RTcwEJsI_0aJRebhNwO_H_AoKl9r46k7hWYbtciIyM4"",""Form Responses 1!B:B""),A610)&gt;0,10,),0)"),"")</f>
        <v/>
      </c>
      <c r="C610" s="70" t="str">
        <f>IFERROR(__xludf.DUMMYFUNCTION("IFERROR(VLOOKUP(A610,IMPORTRANGE(""11i8IUhq_U6RRKRV3CBWIKqYed_fMvFgNUHTq1YDJfp8"",""Form Responses 1!B:C""),2,FALSE),)"),"")</f>
        <v/>
      </c>
      <c r="D610" s="70" t="str">
        <f>IFERROR(__xludf.DUMMYFUNCTION("IFERROR(VLOOKUP(A610,IMPORTRANGE(""1StiHxuxrFhYdrq5WLR2JMORicW0TbnJf3J-oTHeMRtM"",""Form Responses 1!B:C""),2,FALSE),)"),"")</f>
        <v/>
      </c>
      <c r="E610" s="70" t="str">
        <f>IFERROR(__xludf.DUMMYFUNCTION("IFERROR(VLOOKUP(A610,IMPORTRANGE(""1QaxxyUjrDq2kgz300C1Bq1tacFk6e-xX218cSXCQUK0"",""Form Responses 1!B:C""),2,FALSE),)"),"")</f>
        <v/>
      </c>
      <c r="F610" s="70" t="str">
        <f>IFERROR(__xludf.DUMMYFUNCTION("IFERROR(VLOOKUP(A610,IMPORTRANGE(""1fn2ECph_y8Uz78DhjLaiXcwgt6kh3oe-0Le36Uw0noE"",""Form Responses 1!B:C""),2,FALSE),)"),"")</f>
        <v/>
      </c>
      <c r="G610" s="70"/>
      <c r="H610" s="70"/>
      <c r="I610" s="70"/>
      <c r="J610" s="70"/>
      <c r="K610" s="70"/>
      <c r="L610" s="70"/>
      <c r="M610" s="70"/>
      <c r="N610" s="70"/>
      <c r="O610" s="70"/>
      <c r="P610" s="70"/>
      <c r="Q610" s="70" t="str">
        <f>IFERROR(__xludf.DUMMYFUNCTION("IFERROR(IF(COUNTIF(IMPORTRANGE(""1WjiLR_MTMxI_IZUKuvPO4Sg2rTSIqBzP3edakSRXbOA"",""Form Responses 1!B:B""),F610)&gt;0,10,),0)"),"")</f>
        <v/>
      </c>
      <c r="R610" s="70" t="str">
        <f>IFERROR(__xludf.DUMMYFUNCTION("IFERROR(VLOOKUP(F610,IMPORTRANGE(""1Ixzbal5tEbtWhozsFEppQzOYE6ZSrkNXHg_HW5k3Wt4"",""Form Responses 1!B:C""),2,FALSE),)"),"")</f>
        <v/>
      </c>
      <c r="S610" s="70" t="str">
        <f>IFERROR(__xludf.DUMMYFUNCTION("IFERROR(VLOOKUP(F610,IMPORTRANGE(""1zxjtEKGvVIJPIDqZdnxENwVpPXYa88EihzyI44hcQUo"",""Form Responses 1!B:C""),2,FALSE),)"),"")</f>
        <v/>
      </c>
      <c r="T610" s="70" t="str">
        <f>IFERROR(__xludf.DUMMYFUNCTION("IFERROR(VLOOKUP(F610,IMPORTRANGE(""1H3cO01obd5zFULYqaT5NAqecZBFFIHeDFn4CeQLZF3w"",""Form Responses 1!B:C""),2,FALSE),)"),"")</f>
        <v/>
      </c>
      <c r="U610" s="70" t="str">
        <f>IFERROR(__xludf.DUMMYFUNCTION("IFERROR(IF(COUNTIF(IMPORTRANGE(""1IG9qoa6PeLdDDFzKpW39lxXshN0-M8Z25a_R1EpsYyg"",""Form Responses 1!B:B""),F610)&gt;0,10,),0)"),"")</f>
        <v/>
      </c>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row>
    <row r="611">
      <c r="B611" s="70" t="str">
        <f>IFERROR(__xludf.DUMMYFUNCTION("IFERROR(IF(COUNTIF(IMPORTRANGE(""1RTcwEJsI_0aJRebhNwO_H_AoKl9r46k7hWYbtciIyM4"",""Form Responses 1!B:B""),A611)&gt;0,10,),0)"),"")</f>
        <v/>
      </c>
      <c r="C611" s="70" t="str">
        <f>IFERROR(__xludf.DUMMYFUNCTION("IFERROR(VLOOKUP(A611,IMPORTRANGE(""11i8IUhq_U6RRKRV3CBWIKqYed_fMvFgNUHTq1YDJfp8"",""Form Responses 1!B:C""),2,FALSE),)"),"")</f>
        <v/>
      </c>
      <c r="D611" s="70" t="str">
        <f>IFERROR(__xludf.DUMMYFUNCTION("IFERROR(VLOOKUP(A611,IMPORTRANGE(""1StiHxuxrFhYdrq5WLR2JMORicW0TbnJf3J-oTHeMRtM"",""Form Responses 1!B:C""),2,FALSE),)"),"")</f>
        <v/>
      </c>
      <c r="E611" s="70" t="str">
        <f>IFERROR(__xludf.DUMMYFUNCTION("IFERROR(VLOOKUP(A611,IMPORTRANGE(""1QaxxyUjrDq2kgz300C1Bq1tacFk6e-xX218cSXCQUK0"",""Form Responses 1!B:C""),2,FALSE),)"),"")</f>
        <v/>
      </c>
      <c r="F611" s="70" t="str">
        <f>IFERROR(__xludf.DUMMYFUNCTION("IFERROR(VLOOKUP(A611,IMPORTRANGE(""1fn2ECph_y8Uz78DhjLaiXcwgt6kh3oe-0Le36Uw0noE"",""Form Responses 1!B:C""),2,FALSE),)"),"")</f>
        <v/>
      </c>
      <c r="G611" s="70"/>
      <c r="H611" s="70"/>
      <c r="I611" s="70"/>
      <c r="J611" s="70"/>
      <c r="K611" s="70"/>
      <c r="L611" s="70"/>
      <c r="M611" s="70"/>
      <c r="N611" s="70"/>
      <c r="O611" s="70"/>
      <c r="P611" s="70"/>
      <c r="Q611" s="70" t="str">
        <f>IFERROR(__xludf.DUMMYFUNCTION("IFERROR(IF(COUNTIF(IMPORTRANGE(""1WjiLR_MTMxI_IZUKuvPO4Sg2rTSIqBzP3edakSRXbOA"",""Form Responses 1!B:B""),F611)&gt;0,10,),0)"),"")</f>
        <v/>
      </c>
      <c r="R611" s="70" t="str">
        <f>IFERROR(__xludf.DUMMYFUNCTION("IFERROR(VLOOKUP(F611,IMPORTRANGE(""1Ixzbal5tEbtWhozsFEppQzOYE6ZSrkNXHg_HW5k3Wt4"",""Form Responses 1!B:C""),2,FALSE),)"),"")</f>
        <v/>
      </c>
      <c r="S611" s="70" t="str">
        <f>IFERROR(__xludf.DUMMYFUNCTION("IFERROR(VLOOKUP(F611,IMPORTRANGE(""1zxjtEKGvVIJPIDqZdnxENwVpPXYa88EihzyI44hcQUo"",""Form Responses 1!B:C""),2,FALSE),)"),"")</f>
        <v/>
      </c>
      <c r="T611" s="70" t="str">
        <f>IFERROR(__xludf.DUMMYFUNCTION("IFERROR(VLOOKUP(F611,IMPORTRANGE(""1H3cO01obd5zFULYqaT5NAqecZBFFIHeDFn4CeQLZF3w"",""Form Responses 1!B:C""),2,FALSE),)"),"")</f>
        <v/>
      </c>
      <c r="U611" s="70" t="str">
        <f>IFERROR(__xludf.DUMMYFUNCTION("IFERROR(IF(COUNTIF(IMPORTRANGE(""1IG9qoa6PeLdDDFzKpW39lxXshN0-M8Z25a_R1EpsYyg"",""Form Responses 1!B:B""),F611)&gt;0,10,),0)"),"")</f>
        <v/>
      </c>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row>
    <row r="612">
      <c r="B612" s="70" t="str">
        <f>IFERROR(__xludf.DUMMYFUNCTION("IFERROR(IF(COUNTIF(IMPORTRANGE(""1RTcwEJsI_0aJRebhNwO_H_AoKl9r46k7hWYbtciIyM4"",""Form Responses 1!B:B""),A612)&gt;0,10,),0)"),"")</f>
        <v/>
      </c>
      <c r="C612" s="70" t="str">
        <f>IFERROR(__xludf.DUMMYFUNCTION("IFERROR(VLOOKUP(A612,IMPORTRANGE(""11i8IUhq_U6RRKRV3CBWIKqYed_fMvFgNUHTq1YDJfp8"",""Form Responses 1!B:C""),2,FALSE),)"),"")</f>
        <v/>
      </c>
      <c r="D612" s="70" t="str">
        <f>IFERROR(__xludf.DUMMYFUNCTION("IFERROR(VLOOKUP(A612,IMPORTRANGE(""1StiHxuxrFhYdrq5WLR2JMORicW0TbnJf3J-oTHeMRtM"",""Form Responses 1!B:C""),2,FALSE),)"),"")</f>
        <v/>
      </c>
      <c r="E612" s="70" t="str">
        <f>IFERROR(__xludf.DUMMYFUNCTION("IFERROR(VLOOKUP(A612,IMPORTRANGE(""1QaxxyUjrDq2kgz300C1Bq1tacFk6e-xX218cSXCQUK0"",""Form Responses 1!B:C""),2,FALSE),)"),"")</f>
        <v/>
      </c>
      <c r="F612" s="70" t="str">
        <f>IFERROR(__xludf.DUMMYFUNCTION("IFERROR(VLOOKUP(A612,IMPORTRANGE(""1fn2ECph_y8Uz78DhjLaiXcwgt6kh3oe-0Le36Uw0noE"",""Form Responses 1!B:C""),2,FALSE),)"),"")</f>
        <v/>
      </c>
      <c r="G612" s="70"/>
      <c r="H612" s="70"/>
      <c r="I612" s="70"/>
      <c r="J612" s="70"/>
      <c r="K612" s="70"/>
      <c r="L612" s="70"/>
      <c r="M612" s="70"/>
      <c r="N612" s="70"/>
      <c r="O612" s="70"/>
      <c r="P612" s="70"/>
      <c r="Q612" s="70" t="str">
        <f>IFERROR(__xludf.DUMMYFUNCTION("IFERROR(IF(COUNTIF(IMPORTRANGE(""1WjiLR_MTMxI_IZUKuvPO4Sg2rTSIqBzP3edakSRXbOA"",""Form Responses 1!B:B""),F612)&gt;0,10,),0)"),"")</f>
        <v/>
      </c>
      <c r="R612" s="70" t="str">
        <f>IFERROR(__xludf.DUMMYFUNCTION("IFERROR(VLOOKUP(F612,IMPORTRANGE(""1Ixzbal5tEbtWhozsFEppQzOYE6ZSrkNXHg_HW5k3Wt4"",""Form Responses 1!B:C""),2,FALSE),)"),"")</f>
        <v/>
      </c>
      <c r="S612" s="70" t="str">
        <f>IFERROR(__xludf.DUMMYFUNCTION("IFERROR(VLOOKUP(F612,IMPORTRANGE(""1zxjtEKGvVIJPIDqZdnxENwVpPXYa88EihzyI44hcQUo"",""Form Responses 1!B:C""),2,FALSE),)"),"")</f>
        <v/>
      </c>
      <c r="T612" s="70" t="str">
        <f>IFERROR(__xludf.DUMMYFUNCTION("IFERROR(VLOOKUP(F612,IMPORTRANGE(""1H3cO01obd5zFULYqaT5NAqecZBFFIHeDFn4CeQLZF3w"",""Form Responses 1!B:C""),2,FALSE),)"),"")</f>
        <v/>
      </c>
      <c r="U612" s="70" t="str">
        <f>IFERROR(__xludf.DUMMYFUNCTION("IFERROR(IF(COUNTIF(IMPORTRANGE(""1IG9qoa6PeLdDDFzKpW39lxXshN0-M8Z25a_R1EpsYyg"",""Form Responses 1!B:B""),F612)&gt;0,10,),0)"),"")</f>
        <v/>
      </c>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row>
    <row r="613">
      <c r="B613" s="70" t="str">
        <f>IFERROR(__xludf.DUMMYFUNCTION("IFERROR(IF(COUNTIF(IMPORTRANGE(""1RTcwEJsI_0aJRebhNwO_H_AoKl9r46k7hWYbtciIyM4"",""Form Responses 1!B:B""),A613)&gt;0,10,),0)"),"")</f>
        <v/>
      </c>
      <c r="C613" s="70" t="str">
        <f>IFERROR(__xludf.DUMMYFUNCTION("IFERROR(VLOOKUP(A613,IMPORTRANGE(""11i8IUhq_U6RRKRV3CBWIKqYed_fMvFgNUHTq1YDJfp8"",""Form Responses 1!B:C""),2,FALSE),)"),"")</f>
        <v/>
      </c>
      <c r="D613" s="70" t="str">
        <f>IFERROR(__xludf.DUMMYFUNCTION("IFERROR(VLOOKUP(A613,IMPORTRANGE(""1StiHxuxrFhYdrq5WLR2JMORicW0TbnJf3J-oTHeMRtM"",""Form Responses 1!B:C""),2,FALSE),)"),"")</f>
        <v/>
      </c>
      <c r="E613" s="70" t="str">
        <f>IFERROR(__xludf.DUMMYFUNCTION("IFERROR(VLOOKUP(A613,IMPORTRANGE(""1QaxxyUjrDq2kgz300C1Bq1tacFk6e-xX218cSXCQUK0"",""Form Responses 1!B:C""),2,FALSE),)"),"")</f>
        <v/>
      </c>
      <c r="F613" s="70" t="str">
        <f>IFERROR(__xludf.DUMMYFUNCTION("IFERROR(VLOOKUP(A613,IMPORTRANGE(""1fn2ECph_y8Uz78DhjLaiXcwgt6kh3oe-0Le36Uw0noE"",""Form Responses 1!B:C""),2,FALSE),)"),"")</f>
        <v/>
      </c>
      <c r="G613" s="70"/>
      <c r="H613" s="70"/>
      <c r="I613" s="70"/>
      <c r="J613" s="70"/>
      <c r="K613" s="70"/>
      <c r="L613" s="70"/>
      <c r="M613" s="70"/>
      <c r="N613" s="70"/>
      <c r="O613" s="70"/>
      <c r="P613" s="70"/>
      <c r="Q613" s="70" t="str">
        <f>IFERROR(__xludf.DUMMYFUNCTION("IFERROR(IF(COUNTIF(IMPORTRANGE(""1WjiLR_MTMxI_IZUKuvPO4Sg2rTSIqBzP3edakSRXbOA"",""Form Responses 1!B:B""),F613)&gt;0,10,),0)"),"")</f>
        <v/>
      </c>
      <c r="R613" s="70" t="str">
        <f>IFERROR(__xludf.DUMMYFUNCTION("IFERROR(VLOOKUP(F613,IMPORTRANGE(""1Ixzbal5tEbtWhozsFEppQzOYE6ZSrkNXHg_HW5k3Wt4"",""Form Responses 1!B:C""),2,FALSE),)"),"")</f>
        <v/>
      </c>
      <c r="S613" s="70" t="str">
        <f>IFERROR(__xludf.DUMMYFUNCTION("IFERROR(VLOOKUP(F613,IMPORTRANGE(""1zxjtEKGvVIJPIDqZdnxENwVpPXYa88EihzyI44hcQUo"",""Form Responses 1!B:C""),2,FALSE),)"),"")</f>
        <v/>
      </c>
      <c r="T613" s="70" t="str">
        <f>IFERROR(__xludf.DUMMYFUNCTION("IFERROR(VLOOKUP(F613,IMPORTRANGE(""1H3cO01obd5zFULYqaT5NAqecZBFFIHeDFn4CeQLZF3w"",""Form Responses 1!B:C""),2,FALSE),)"),"")</f>
        <v/>
      </c>
      <c r="U613" s="70" t="str">
        <f>IFERROR(__xludf.DUMMYFUNCTION("IFERROR(IF(COUNTIF(IMPORTRANGE(""1IG9qoa6PeLdDDFzKpW39lxXshN0-M8Z25a_R1EpsYyg"",""Form Responses 1!B:B""),F613)&gt;0,10,),0)"),"")</f>
        <v/>
      </c>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row>
    <row r="614">
      <c r="B614" s="70" t="str">
        <f>IFERROR(__xludf.DUMMYFUNCTION("IFERROR(IF(COUNTIF(IMPORTRANGE(""1RTcwEJsI_0aJRebhNwO_H_AoKl9r46k7hWYbtciIyM4"",""Form Responses 1!B:B""),A614)&gt;0,10,),0)"),"")</f>
        <v/>
      </c>
      <c r="C614" s="70" t="str">
        <f>IFERROR(__xludf.DUMMYFUNCTION("IFERROR(VLOOKUP(A614,IMPORTRANGE(""11i8IUhq_U6RRKRV3CBWIKqYed_fMvFgNUHTq1YDJfp8"",""Form Responses 1!B:C""),2,FALSE),)"),"")</f>
        <v/>
      </c>
      <c r="D614" s="70" t="str">
        <f>IFERROR(__xludf.DUMMYFUNCTION("IFERROR(VLOOKUP(A614,IMPORTRANGE(""1StiHxuxrFhYdrq5WLR2JMORicW0TbnJf3J-oTHeMRtM"",""Form Responses 1!B:C""),2,FALSE),)"),"")</f>
        <v/>
      </c>
      <c r="E614" s="70" t="str">
        <f>IFERROR(__xludf.DUMMYFUNCTION("IFERROR(VLOOKUP(A614,IMPORTRANGE(""1QaxxyUjrDq2kgz300C1Bq1tacFk6e-xX218cSXCQUK0"",""Form Responses 1!B:C""),2,FALSE),)"),"")</f>
        <v/>
      </c>
      <c r="F614" s="70" t="str">
        <f>IFERROR(__xludf.DUMMYFUNCTION("IFERROR(VLOOKUP(A614,IMPORTRANGE(""1fn2ECph_y8Uz78DhjLaiXcwgt6kh3oe-0Le36Uw0noE"",""Form Responses 1!B:C""),2,FALSE),)"),"")</f>
        <v/>
      </c>
      <c r="G614" s="70"/>
      <c r="H614" s="70"/>
      <c r="I614" s="70"/>
      <c r="J614" s="70"/>
      <c r="K614" s="70"/>
      <c r="L614" s="70"/>
      <c r="M614" s="70"/>
      <c r="N614" s="70"/>
      <c r="O614" s="70"/>
      <c r="P614" s="70"/>
      <c r="Q614" s="70" t="str">
        <f>IFERROR(__xludf.DUMMYFUNCTION("IFERROR(IF(COUNTIF(IMPORTRANGE(""1WjiLR_MTMxI_IZUKuvPO4Sg2rTSIqBzP3edakSRXbOA"",""Form Responses 1!B:B""),F614)&gt;0,10,),0)"),"")</f>
        <v/>
      </c>
      <c r="R614" s="70" t="str">
        <f>IFERROR(__xludf.DUMMYFUNCTION("IFERROR(VLOOKUP(F614,IMPORTRANGE(""1Ixzbal5tEbtWhozsFEppQzOYE6ZSrkNXHg_HW5k3Wt4"",""Form Responses 1!B:C""),2,FALSE),)"),"")</f>
        <v/>
      </c>
      <c r="S614" s="70" t="str">
        <f>IFERROR(__xludf.DUMMYFUNCTION("IFERROR(VLOOKUP(F614,IMPORTRANGE(""1zxjtEKGvVIJPIDqZdnxENwVpPXYa88EihzyI44hcQUo"",""Form Responses 1!B:C""),2,FALSE),)"),"")</f>
        <v/>
      </c>
      <c r="T614" s="70" t="str">
        <f>IFERROR(__xludf.DUMMYFUNCTION("IFERROR(VLOOKUP(F614,IMPORTRANGE(""1H3cO01obd5zFULYqaT5NAqecZBFFIHeDFn4CeQLZF3w"",""Form Responses 1!B:C""),2,FALSE),)"),"")</f>
        <v/>
      </c>
      <c r="U614" s="70" t="str">
        <f>IFERROR(__xludf.DUMMYFUNCTION("IFERROR(IF(COUNTIF(IMPORTRANGE(""1IG9qoa6PeLdDDFzKpW39lxXshN0-M8Z25a_R1EpsYyg"",""Form Responses 1!B:B""),F614)&gt;0,10,),0)"),"")</f>
        <v/>
      </c>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row>
    <row r="615">
      <c r="B615" s="70" t="str">
        <f>IFERROR(__xludf.DUMMYFUNCTION("IFERROR(IF(COUNTIF(IMPORTRANGE(""1RTcwEJsI_0aJRebhNwO_H_AoKl9r46k7hWYbtciIyM4"",""Form Responses 1!B:B""),A615)&gt;0,10,),0)"),"")</f>
        <v/>
      </c>
      <c r="C615" s="70" t="str">
        <f>IFERROR(__xludf.DUMMYFUNCTION("IFERROR(VLOOKUP(A615,IMPORTRANGE(""11i8IUhq_U6RRKRV3CBWIKqYed_fMvFgNUHTq1YDJfp8"",""Form Responses 1!B:C""),2,FALSE),)"),"")</f>
        <v/>
      </c>
      <c r="D615" s="70" t="str">
        <f>IFERROR(__xludf.DUMMYFUNCTION("IFERROR(VLOOKUP(A615,IMPORTRANGE(""1StiHxuxrFhYdrq5WLR2JMORicW0TbnJf3J-oTHeMRtM"",""Form Responses 1!B:C""),2,FALSE),)"),"")</f>
        <v/>
      </c>
      <c r="E615" s="70" t="str">
        <f>IFERROR(__xludf.DUMMYFUNCTION("IFERROR(VLOOKUP(A615,IMPORTRANGE(""1QaxxyUjrDq2kgz300C1Bq1tacFk6e-xX218cSXCQUK0"",""Form Responses 1!B:C""),2,FALSE),)"),"")</f>
        <v/>
      </c>
      <c r="F615" s="70" t="str">
        <f>IFERROR(__xludf.DUMMYFUNCTION("IFERROR(VLOOKUP(A615,IMPORTRANGE(""1fn2ECph_y8Uz78DhjLaiXcwgt6kh3oe-0Le36Uw0noE"",""Form Responses 1!B:C""),2,FALSE),)"),"")</f>
        <v/>
      </c>
      <c r="G615" s="70"/>
      <c r="H615" s="70"/>
      <c r="I615" s="70"/>
      <c r="J615" s="70"/>
      <c r="K615" s="70"/>
      <c r="L615" s="70"/>
      <c r="M615" s="70"/>
      <c r="N615" s="70"/>
      <c r="O615" s="70"/>
      <c r="P615" s="70"/>
      <c r="Q615" s="70" t="str">
        <f>IFERROR(__xludf.DUMMYFUNCTION("IFERROR(IF(COUNTIF(IMPORTRANGE(""1WjiLR_MTMxI_IZUKuvPO4Sg2rTSIqBzP3edakSRXbOA"",""Form Responses 1!B:B""),F615)&gt;0,10,),0)"),"")</f>
        <v/>
      </c>
      <c r="R615" s="70" t="str">
        <f>IFERROR(__xludf.DUMMYFUNCTION("IFERROR(VLOOKUP(F615,IMPORTRANGE(""1Ixzbal5tEbtWhozsFEppQzOYE6ZSrkNXHg_HW5k3Wt4"",""Form Responses 1!B:C""),2,FALSE),)"),"")</f>
        <v/>
      </c>
      <c r="S615" s="70" t="str">
        <f>IFERROR(__xludf.DUMMYFUNCTION("IFERROR(VLOOKUP(F615,IMPORTRANGE(""1zxjtEKGvVIJPIDqZdnxENwVpPXYa88EihzyI44hcQUo"",""Form Responses 1!B:C""),2,FALSE),)"),"")</f>
        <v/>
      </c>
      <c r="T615" s="70" t="str">
        <f>IFERROR(__xludf.DUMMYFUNCTION("IFERROR(VLOOKUP(F615,IMPORTRANGE(""1H3cO01obd5zFULYqaT5NAqecZBFFIHeDFn4CeQLZF3w"",""Form Responses 1!B:C""),2,FALSE),)"),"")</f>
        <v/>
      </c>
      <c r="U615" s="70" t="str">
        <f>IFERROR(__xludf.DUMMYFUNCTION("IFERROR(IF(COUNTIF(IMPORTRANGE(""1IG9qoa6PeLdDDFzKpW39lxXshN0-M8Z25a_R1EpsYyg"",""Form Responses 1!B:B""),F615)&gt;0,10,),0)"),"")</f>
        <v/>
      </c>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row>
    <row r="616">
      <c r="B616" s="70" t="str">
        <f>IFERROR(__xludf.DUMMYFUNCTION("IFERROR(IF(COUNTIF(IMPORTRANGE(""1RTcwEJsI_0aJRebhNwO_H_AoKl9r46k7hWYbtciIyM4"",""Form Responses 1!B:B""),A616)&gt;0,10,),0)"),"")</f>
        <v/>
      </c>
      <c r="C616" s="70" t="str">
        <f>IFERROR(__xludf.DUMMYFUNCTION("IFERROR(VLOOKUP(A616,IMPORTRANGE(""11i8IUhq_U6RRKRV3CBWIKqYed_fMvFgNUHTq1YDJfp8"",""Form Responses 1!B:C""),2,FALSE),)"),"")</f>
        <v/>
      </c>
      <c r="D616" s="70" t="str">
        <f>IFERROR(__xludf.DUMMYFUNCTION("IFERROR(VLOOKUP(A616,IMPORTRANGE(""1StiHxuxrFhYdrq5WLR2JMORicW0TbnJf3J-oTHeMRtM"",""Form Responses 1!B:C""),2,FALSE),)"),"")</f>
        <v/>
      </c>
      <c r="E616" s="70" t="str">
        <f>IFERROR(__xludf.DUMMYFUNCTION("IFERROR(VLOOKUP(A616,IMPORTRANGE(""1QaxxyUjrDq2kgz300C1Bq1tacFk6e-xX218cSXCQUK0"",""Form Responses 1!B:C""),2,FALSE),)"),"")</f>
        <v/>
      </c>
      <c r="F616" s="70" t="str">
        <f>IFERROR(__xludf.DUMMYFUNCTION("IFERROR(VLOOKUP(A616,IMPORTRANGE(""1fn2ECph_y8Uz78DhjLaiXcwgt6kh3oe-0Le36Uw0noE"",""Form Responses 1!B:C""),2,FALSE),)"),"")</f>
        <v/>
      </c>
      <c r="G616" s="70"/>
      <c r="H616" s="70"/>
      <c r="I616" s="70"/>
      <c r="J616" s="70"/>
      <c r="K616" s="70"/>
      <c r="L616" s="70"/>
      <c r="M616" s="70"/>
      <c r="N616" s="70"/>
      <c r="O616" s="70"/>
      <c r="P616" s="70"/>
      <c r="Q616" s="70" t="str">
        <f>IFERROR(__xludf.DUMMYFUNCTION("IFERROR(IF(COUNTIF(IMPORTRANGE(""1WjiLR_MTMxI_IZUKuvPO4Sg2rTSIqBzP3edakSRXbOA"",""Form Responses 1!B:B""),F616)&gt;0,10,),0)"),"")</f>
        <v/>
      </c>
      <c r="R616" s="70" t="str">
        <f>IFERROR(__xludf.DUMMYFUNCTION("IFERROR(VLOOKUP(F616,IMPORTRANGE(""1Ixzbal5tEbtWhozsFEppQzOYE6ZSrkNXHg_HW5k3Wt4"",""Form Responses 1!B:C""),2,FALSE),)"),"")</f>
        <v/>
      </c>
      <c r="S616" s="70" t="str">
        <f>IFERROR(__xludf.DUMMYFUNCTION("IFERROR(VLOOKUP(F616,IMPORTRANGE(""1zxjtEKGvVIJPIDqZdnxENwVpPXYa88EihzyI44hcQUo"",""Form Responses 1!B:C""),2,FALSE),)"),"")</f>
        <v/>
      </c>
      <c r="T616" s="70" t="str">
        <f>IFERROR(__xludf.DUMMYFUNCTION("IFERROR(VLOOKUP(F616,IMPORTRANGE(""1H3cO01obd5zFULYqaT5NAqecZBFFIHeDFn4CeQLZF3w"",""Form Responses 1!B:C""),2,FALSE),)"),"")</f>
        <v/>
      </c>
      <c r="U616" s="70" t="str">
        <f>IFERROR(__xludf.DUMMYFUNCTION("IFERROR(IF(COUNTIF(IMPORTRANGE(""1IG9qoa6PeLdDDFzKpW39lxXshN0-M8Z25a_R1EpsYyg"",""Form Responses 1!B:B""),F616)&gt;0,10,),0)"),"")</f>
        <v/>
      </c>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row>
    <row r="617">
      <c r="B617" s="70" t="str">
        <f>IFERROR(__xludf.DUMMYFUNCTION("IFERROR(IF(COUNTIF(IMPORTRANGE(""1RTcwEJsI_0aJRebhNwO_H_AoKl9r46k7hWYbtciIyM4"",""Form Responses 1!B:B""),A617)&gt;0,10,),0)"),"")</f>
        <v/>
      </c>
      <c r="C617" s="70" t="str">
        <f>IFERROR(__xludf.DUMMYFUNCTION("IFERROR(VLOOKUP(A617,IMPORTRANGE(""11i8IUhq_U6RRKRV3CBWIKqYed_fMvFgNUHTq1YDJfp8"",""Form Responses 1!B:C""),2,FALSE),)"),"")</f>
        <v/>
      </c>
      <c r="D617" s="70" t="str">
        <f>IFERROR(__xludf.DUMMYFUNCTION("IFERROR(VLOOKUP(A617,IMPORTRANGE(""1StiHxuxrFhYdrq5WLR2JMORicW0TbnJf3J-oTHeMRtM"",""Form Responses 1!B:C""),2,FALSE),)"),"")</f>
        <v/>
      </c>
      <c r="E617" s="70" t="str">
        <f>IFERROR(__xludf.DUMMYFUNCTION("IFERROR(VLOOKUP(A617,IMPORTRANGE(""1QaxxyUjrDq2kgz300C1Bq1tacFk6e-xX218cSXCQUK0"",""Form Responses 1!B:C""),2,FALSE),)"),"")</f>
        <v/>
      </c>
      <c r="F617" s="70" t="str">
        <f>IFERROR(__xludf.DUMMYFUNCTION("IFERROR(VLOOKUP(A617,IMPORTRANGE(""1fn2ECph_y8Uz78DhjLaiXcwgt6kh3oe-0Le36Uw0noE"",""Form Responses 1!B:C""),2,FALSE),)"),"")</f>
        <v/>
      </c>
      <c r="G617" s="70"/>
      <c r="H617" s="70"/>
      <c r="I617" s="70"/>
      <c r="J617" s="70"/>
      <c r="K617" s="70"/>
      <c r="L617" s="70"/>
      <c r="M617" s="70"/>
      <c r="N617" s="70"/>
      <c r="O617" s="70"/>
      <c r="P617" s="70"/>
      <c r="Q617" s="70" t="str">
        <f>IFERROR(__xludf.DUMMYFUNCTION("IFERROR(IF(COUNTIF(IMPORTRANGE(""1WjiLR_MTMxI_IZUKuvPO4Sg2rTSIqBzP3edakSRXbOA"",""Form Responses 1!B:B""),F617)&gt;0,10,),0)"),"")</f>
        <v/>
      </c>
      <c r="R617" s="70" t="str">
        <f>IFERROR(__xludf.DUMMYFUNCTION("IFERROR(VLOOKUP(F617,IMPORTRANGE(""1Ixzbal5tEbtWhozsFEppQzOYE6ZSrkNXHg_HW5k3Wt4"",""Form Responses 1!B:C""),2,FALSE),)"),"")</f>
        <v/>
      </c>
      <c r="S617" s="70" t="str">
        <f>IFERROR(__xludf.DUMMYFUNCTION("IFERROR(VLOOKUP(F617,IMPORTRANGE(""1zxjtEKGvVIJPIDqZdnxENwVpPXYa88EihzyI44hcQUo"",""Form Responses 1!B:C""),2,FALSE),)"),"")</f>
        <v/>
      </c>
      <c r="T617" s="70" t="str">
        <f>IFERROR(__xludf.DUMMYFUNCTION("IFERROR(VLOOKUP(F617,IMPORTRANGE(""1H3cO01obd5zFULYqaT5NAqecZBFFIHeDFn4CeQLZF3w"",""Form Responses 1!B:C""),2,FALSE),)"),"")</f>
        <v/>
      </c>
      <c r="U617" s="70" t="str">
        <f>IFERROR(__xludf.DUMMYFUNCTION("IFERROR(IF(COUNTIF(IMPORTRANGE(""1IG9qoa6PeLdDDFzKpW39lxXshN0-M8Z25a_R1EpsYyg"",""Form Responses 1!B:B""),F617)&gt;0,10,),0)"),"")</f>
        <v/>
      </c>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row>
    <row r="618">
      <c r="B618" s="70" t="str">
        <f>IFERROR(__xludf.DUMMYFUNCTION("IFERROR(IF(COUNTIF(IMPORTRANGE(""1RTcwEJsI_0aJRebhNwO_H_AoKl9r46k7hWYbtciIyM4"",""Form Responses 1!B:B""),A618)&gt;0,10,),0)"),"")</f>
        <v/>
      </c>
      <c r="C618" s="70" t="str">
        <f>IFERROR(__xludf.DUMMYFUNCTION("IFERROR(VLOOKUP(A618,IMPORTRANGE(""11i8IUhq_U6RRKRV3CBWIKqYed_fMvFgNUHTq1YDJfp8"",""Form Responses 1!B:C""),2,FALSE),)"),"")</f>
        <v/>
      </c>
      <c r="D618" s="70" t="str">
        <f>IFERROR(__xludf.DUMMYFUNCTION("IFERROR(VLOOKUP(A618,IMPORTRANGE(""1StiHxuxrFhYdrq5WLR2JMORicW0TbnJf3J-oTHeMRtM"",""Form Responses 1!B:C""),2,FALSE),)"),"")</f>
        <v/>
      </c>
      <c r="E618" s="70" t="str">
        <f>IFERROR(__xludf.DUMMYFUNCTION("IFERROR(VLOOKUP(A618,IMPORTRANGE(""1QaxxyUjrDq2kgz300C1Bq1tacFk6e-xX218cSXCQUK0"",""Form Responses 1!B:C""),2,FALSE),)"),"")</f>
        <v/>
      </c>
      <c r="F618" s="70" t="str">
        <f>IFERROR(__xludf.DUMMYFUNCTION("IFERROR(VLOOKUP(A618,IMPORTRANGE(""1fn2ECph_y8Uz78DhjLaiXcwgt6kh3oe-0Le36Uw0noE"",""Form Responses 1!B:C""),2,FALSE),)"),"")</f>
        <v/>
      </c>
      <c r="G618" s="70"/>
      <c r="H618" s="70"/>
      <c r="I618" s="70"/>
      <c r="J618" s="70"/>
      <c r="K618" s="70"/>
      <c r="L618" s="70"/>
      <c r="M618" s="70"/>
      <c r="N618" s="70"/>
      <c r="O618" s="70"/>
      <c r="P618" s="70"/>
      <c r="Q618" s="70" t="str">
        <f>IFERROR(__xludf.DUMMYFUNCTION("IFERROR(IF(COUNTIF(IMPORTRANGE(""1WjiLR_MTMxI_IZUKuvPO4Sg2rTSIqBzP3edakSRXbOA"",""Form Responses 1!B:B""),F618)&gt;0,10,),0)"),"")</f>
        <v/>
      </c>
      <c r="R618" s="70" t="str">
        <f>IFERROR(__xludf.DUMMYFUNCTION("IFERROR(VLOOKUP(F618,IMPORTRANGE(""1Ixzbal5tEbtWhozsFEppQzOYE6ZSrkNXHg_HW5k3Wt4"",""Form Responses 1!B:C""),2,FALSE),)"),"")</f>
        <v/>
      </c>
      <c r="S618" s="70" t="str">
        <f>IFERROR(__xludf.DUMMYFUNCTION("IFERROR(VLOOKUP(F618,IMPORTRANGE(""1zxjtEKGvVIJPIDqZdnxENwVpPXYa88EihzyI44hcQUo"",""Form Responses 1!B:C""),2,FALSE),)"),"")</f>
        <v/>
      </c>
      <c r="T618" s="70" t="str">
        <f>IFERROR(__xludf.DUMMYFUNCTION("IFERROR(VLOOKUP(F618,IMPORTRANGE(""1H3cO01obd5zFULYqaT5NAqecZBFFIHeDFn4CeQLZF3w"",""Form Responses 1!B:C""),2,FALSE),)"),"")</f>
        <v/>
      </c>
      <c r="U618" s="70" t="str">
        <f>IFERROR(__xludf.DUMMYFUNCTION("IFERROR(IF(COUNTIF(IMPORTRANGE(""1IG9qoa6PeLdDDFzKpW39lxXshN0-M8Z25a_R1EpsYyg"",""Form Responses 1!B:B""),F618)&gt;0,10,),0)"),"")</f>
        <v/>
      </c>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row>
    <row r="619">
      <c r="B619" s="70" t="str">
        <f>IFERROR(__xludf.DUMMYFUNCTION("IFERROR(IF(COUNTIF(IMPORTRANGE(""1RTcwEJsI_0aJRebhNwO_H_AoKl9r46k7hWYbtciIyM4"",""Form Responses 1!B:B""),A619)&gt;0,10,),0)"),"")</f>
        <v/>
      </c>
      <c r="C619" s="70" t="str">
        <f>IFERROR(__xludf.DUMMYFUNCTION("IFERROR(VLOOKUP(A619,IMPORTRANGE(""11i8IUhq_U6RRKRV3CBWIKqYed_fMvFgNUHTq1YDJfp8"",""Form Responses 1!B:C""),2,FALSE),)"),"")</f>
        <v/>
      </c>
      <c r="D619" s="70" t="str">
        <f>IFERROR(__xludf.DUMMYFUNCTION("IFERROR(VLOOKUP(A619,IMPORTRANGE(""1StiHxuxrFhYdrq5WLR2JMORicW0TbnJf3J-oTHeMRtM"",""Form Responses 1!B:C""),2,FALSE),)"),"")</f>
        <v/>
      </c>
      <c r="E619" s="70" t="str">
        <f>IFERROR(__xludf.DUMMYFUNCTION("IFERROR(VLOOKUP(A619,IMPORTRANGE(""1QaxxyUjrDq2kgz300C1Bq1tacFk6e-xX218cSXCQUK0"",""Form Responses 1!B:C""),2,FALSE),)"),"")</f>
        <v/>
      </c>
      <c r="F619" s="70" t="str">
        <f>IFERROR(__xludf.DUMMYFUNCTION("IFERROR(VLOOKUP(A619,IMPORTRANGE(""1fn2ECph_y8Uz78DhjLaiXcwgt6kh3oe-0Le36Uw0noE"",""Form Responses 1!B:C""),2,FALSE),)"),"")</f>
        <v/>
      </c>
      <c r="G619" s="70"/>
      <c r="H619" s="70"/>
      <c r="I619" s="70"/>
      <c r="J619" s="70"/>
      <c r="K619" s="70"/>
      <c r="L619" s="70"/>
      <c r="M619" s="70"/>
      <c r="N619" s="70"/>
      <c r="O619" s="70"/>
      <c r="P619" s="70"/>
      <c r="Q619" s="70" t="str">
        <f>IFERROR(__xludf.DUMMYFUNCTION("IFERROR(IF(COUNTIF(IMPORTRANGE(""1WjiLR_MTMxI_IZUKuvPO4Sg2rTSIqBzP3edakSRXbOA"",""Form Responses 1!B:B""),F619)&gt;0,10,),0)"),"")</f>
        <v/>
      </c>
      <c r="R619" s="70" t="str">
        <f>IFERROR(__xludf.DUMMYFUNCTION("IFERROR(VLOOKUP(F619,IMPORTRANGE(""1Ixzbal5tEbtWhozsFEppQzOYE6ZSrkNXHg_HW5k3Wt4"",""Form Responses 1!B:C""),2,FALSE),)"),"")</f>
        <v/>
      </c>
      <c r="S619" s="70" t="str">
        <f>IFERROR(__xludf.DUMMYFUNCTION("IFERROR(VLOOKUP(F619,IMPORTRANGE(""1zxjtEKGvVIJPIDqZdnxENwVpPXYa88EihzyI44hcQUo"",""Form Responses 1!B:C""),2,FALSE),)"),"")</f>
        <v/>
      </c>
      <c r="T619" s="70" t="str">
        <f>IFERROR(__xludf.DUMMYFUNCTION("IFERROR(VLOOKUP(F619,IMPORTRANGE(""1H3cO01obd5zFULYqaT5NAqecZBFFIHeDFn4CeQLZF3w"",""Form Responses 1!B:C""),2,FALSE),)"),"")</f>
        <v/>
      </c>
      <c r="U619" s="70" t="str">
        <f>IFERROR(__xludf.DUMMYFUNCTION("IFERROR(IF(COUNTIF(IMPORTRANGE(""1IG9qoa6PeLdDDFzKpW39lxXshN0-M8Z25a_R1EpsYyg"",""Form Responses 1!B:B""),F619)&gt;0,10,),0)"),"")</f>
        <v/>
      </c>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row>
    <row r="620">
      <c r="B620" s="70" t="str">
        <f>IFERROR(__xludf.DUMMYFUNCTION("IFERROR(IF(COUNTIF(IMPORTRANGE(""1RTcwEJsI_0aJRebhNwO_H_AoKl9r46k7hWYbtciIyM4"",""Form Responses 1!B:B""),A620)&gt;0,10,),0)"),"")</f>
        <v/>
      </c>
      <c r="C620" s="70" t="str">
        <f>IFERROR(__xludf.DUMMYFUNCTION("IFERROR(VLOOKUP(A620,IMPORTRANGE(""11i8IUhq_U6RRKRV3CBWIKqYed_fMvFgNUHTq1YDJfp8"",""Form Responses 1!B:C""),2,FALSE),)"),"")</f>
        <v/>
      </c>
      <c r="D620" s="70" t="str">
        <f>IFERROR(__xludf.DUMMYFUNCTION("IFERROR(VLOOKUP(A620,IMPORTRANGE(""1StiHxuxrFhYdrq5WLR2JMORicW0TbnJf3J-oTHeMRtM"",""Form Responses 1!B:C""),2,FALSE),)"),"")</f>
        <v/>
      </c>
      <c r="E620" s="70" t="str">
        <f>IFERROR(__xludf.DUMMYFUNCTION("IFERROR(VLOOKUP(A620,IMPORTRANGE(""1QaxxyUjrDq2kgz300C1Bq1tacFk6e-xX218cSXCQUK0"",""Form Responses 1!B:C""),2,FALSE),)"),"")</f>
        <v/>
      </c>
      <c r="F620" s="70" t="str">
        <f>IFERROR(__xludf.DUMMYFUNCTION("IFERROR(VLOOKUP(A620,IMPORTRANGE(""1fn2ECph_y8Uz78DhjLaiXcwgt6kh3oe-0Le36Uw0noE"",""Form Responses 1!B:C""),2,FALSE),)"),"")</f>
        <v/>
      </c>
      <c r="G620" s="70"/>
      <c r="H620" s="70"/>
      <c r="I620" s="70"/>
      <c r="J620" s="70"/>
      <c r="K620" s="70"/>
      <c r="L620" s="70"/>
      <c r="M620" s="70"/>
      <c r="N620" s="70"/>
      <c r="O620" s="70"/>
      <c r="P620" s="70"/>
      <c r="Q620" s="70" t="str">
        <f>IFERROR(__xludf.DUMMYFUNCTION("IFERROR(IF(COUNTIF(IMPORTRANGE(""1WjiLR_MTMxI_IZUKuvPO4Sg2rTSIqBzP3edakSRXbOA"",""Form Responses 1!B:B""),F620)&gt;0,10,),0)"),"")</f>
        <v/>
      </c>
      <c r="R620" s="70" t="str">
        <f>IFERROR(__xludf.DUMMYFUNCTION("IFERROR(VLOOKUP(F620,IMPORTRANGE(""1Ixzbal5tEbtWhozsFEppQzOYE6ZSrkNXHg_HW5k3Wt4"",""Form Responses 1!B:C""),2,FALSE),)"),"")</f>
        <v/>
      </c>
      <c r="S620" s="70" t="str">
        <f>IFERROR(__xludf.DUMMYFUNCTION("IFERROR(VLOOKUP(F620,IMPORTRANGE(""1zxjtEKGvVIJPIDqZdnxENwVpPXYa88EihzyI44hcQUo"",""Form Responses 1!B:C""),2,FALSE),)"),"")</f>
        <v/>
      </c>
      <c r="T620" s="70" t="str">
        <f>IFERROR(__xludf.DUMMYFUNCTION("IFERROR(VLOOKUP(F620,IMPORTRANGE(""1H3cO01obd5zFULYqaT5NAqecZBFFIHeDFn4CeQLZF3w"",""Form Responses 1!B:C""),2,FALSE),)"),"")</f>
        <v/>
      </c>
      <c r="U620" s="70" t="str">
        <f>IFERROR(__xludf.DUMMYFUNCTION("IFERROR(IF(COUNTIF(IMPORTRANGE(""1IG9qoa6PeLdDDFzKpW39lxXshN0-M8Z25a_R1EpsYyg"",""Form Responses 1!B:B""),F620)&gt;0,10,),0)"),"")</f>
        <v/>
      </c>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row>
    <row r="621">
      <c r="B621" s="70" t="str">
        <f>IFERROR(__xludf.DUMMYFUNCTION("IFERROR(IF(COUNTIF(IMPORTRANGE(""1RTcwEJsI_0aJRebhNwO_H_AoKl9r46k7hWYbtciIyM4"",""Form Responses 1!B:B""),A621)&gt;0,10,),0)"),"")</f>
        <v/>
      </c>
      <c r="C621" s="70" t="str">
        <f>IFERROR(__xludf.DUMMYFUNCTION("IFERROR(VLOOKUP(A621,IMPORTRANGE(""11i8IUhq_U6RRKRV3CBWIKqYed_fMvFgNUHTq1YDJfp8"",""Form Responses 1!B:C""),2,FALSE),)"),"")</f>
        <v/>
      </c>
      <c r="D621" s="70" t="str">
        <f>IFERROR(__xludf.DUMMYFUNCTION("IFERROR(VLOOKUP(A621,IMPORTRANGE(""1StiHxuxrFhYdrq5WLR2JMORicW0TbnJf3J-oTHeMRtM"",""Form Responses 1!B:C""),2,FALSE),)"),"")</f>
        <v/>
      </c>
      <c r="E621" s="70" t="str">
        <f>IFERROR(__xludf.DUMMYFUNCTION("IFERROR(VLOOKUP(A621,IMPORTRANGE(""1QaxxyUjrDq2kgz300C1Bq1tacFk6e-xX218cSXCQUK0"",""Form Responses 1!B:C""),2,FALSE),)"),"")</f>
        <v/>
      </c>
      <c r="F621" s="70" t="str">
        <f>IFERROR(__xludf.DUMMYFUNCTION("IFERROR(VLOOKUP(A621,IMPORTRANGE(""1fn2ECph_y8Uz78DhjLaiXcwgt6kh3oe-0Le36Uw0noE"",""Form Responses 1!B:C""),2,FALSE),)"),"")</f>
        <v/>
      </c>
      <c r="G621" s="70"/>
      <c r="H621" s="70"/>
      <c r="I621" s="70"/>
      <c r="J621" s="70"/>
      <c r="K621" s="70"/>
      <c r="L621" s="70"/>
      <c r="M621" s="70"/>
      <c r="N621" s="70"/>
      <c r="O621" s="70"/>
      <c r="P621" s="70"/>
      <c r="Q621" s="70" t="str">
        <f>IFERROR(__xludf.DUMMYFUNCTION("IFERROR(IF(COUNTIF(IMPORTRANGE(""1WjiLR_MTMxI_IZUKuvPO4Sg2rTSIqBzP3edakSRXbOA"",""Form Responses 1!B:B""),F621)&gt;0,10,),0)"),"")</f>
        <v/>
      </c>
      <c r="R621" s="70" t="str">
        <f>IFERROR(__xludf.DUMMYFUNCTION("IFERROR(VLOOKUP(F621,IMPORTRANGE(""1Ixzbal5tEbtWhozsFEppQzOYE6ZSrkNXHg_HW5k3Wt4"",""Form Responses 1!B:C""),2,FALSE),)"),"")</f>
        <v/>
      </c>
      <c r="S621" s="70" t="str">
        <f>IFERROR(__xludf.DUMMYFUNCTION("IFERROR(VLOOKUP(F621,IMPORTRANGE(""1zxjtEKGvVIJPIDqZdnxENwVpPXYa88EihzyI44hcQUo"",""Form Responses 1!B:C""),2,FALSE),)"),"")</f>
        <v/>
      </c>
      <c r="T621" s="70" t="str">
        <f>IFERROR(__xludf.DUMMYFUNCTION("IFERROR(VLOOKUP(F621,IMPORTRANGE(""1H3cO01obd5zFULYqaT5NAqecZBFFIHeDFn4CeQLZF3w"",""Form Responses 1!B:C""),2,FALSE),)"),"")</f>
        <v/>
      </c>
      <c r="U621" s="70" t="str">
        <f>IFERROR(__xludf.DUMMYFUNCTION("IFERROR(IF(COUNTIF(IMPORTRANGE(""1IG9qoa6PeLdDDFzKpW39lxXshN0-M8Z25a_R1EpsYyg"",""Form Responses 1!B:B""),F621)&gt;0,10,),0)"),"")</f>
        <v/>
      </c>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row>
    <row r="622">
      <c r="B622" s="70" t="str">
        <f>IFERROR(__xludf.DUMMYFUNCTION("IFERROR(IF(COUNTIF(IMPORTRANGE(""1RTcwEJsI_0aJRebhNwO_H_AoKl9r46k7hWYbtciIyM4"",""Form Responses 1!B:B""),A622)&gt;0,10,),0)"),"")</f>
        <v/>
      </c>
      <c r="C622" s="70" t="str">
        <f>IFERROR(__xludf.DUMMYFUNCTION("IFERROR(VLOOKUP(A622,IMPORTRANGE(""11i8IUhq_U6RRKRV3CBWIKqYed_fMvFgNUHTq1YDJfp8"",""Form Responses 1!B:C""),2,FALSE),)"),"")</f>
        <v/>
      </c>
      <c r="D622" s="70" t="str">
        <f>IFERROR(__xludf.DUMMYFUNCTION("IFERROR(VLOOKUP(A622,IMPORTRANGE(""1StiHxuxrFhYdrq5WLR2JMORicW0TbnJf3J-oTHeMRtM"",""Form Responses 1!B:C""),2,FALSE),)"),"")</f>
        <v/>
      </c>
      <c r="E622" s="70" t="str">
        <f>IFERROR(__xludf.DUMMYFUNCTION("IFERROR(VLOOKUP(A622,IMPORTRANGE(""1QaxxyUjrDq2kgz300C1Bq1tacFk6e-xX218cSXCQUK0"",""Form Responses 1!B:C""),2,FALSE),)"),"")</f>
        <v/>
      </c>
      <c r="F622" s="70" t="str">
        <f>IFERROR(__xludf.DUMMYFUNCTION("IFERROR(VLOOKUP(A622,IMPORTRANGE(""1fn2ECph_y8Uz78DhjLaiXcwgt6kh3oe-0Le36Uw0noE"",""Form Responses 1!B:C""),2,FALSE),)"),"")</f>
        <v/>
      </c>
      <c r="G622" s="70"/>
      <c r="H622" s="70"/>
      <c r="I622" s="70"/>
      <c r="J622" s="70"/>
      <c r="K622" s="70"/>
      <c r="L622" s="70"/>
      <c r="M622" s="70"/>
      <c r="N622" s="70"/>
      <c r="O622" s="70"/>
      <c r="P622" s="70"/>
      <c r="Q622" s="70" t="str">
        <f>IFERROR(__xludf.DUMMYFUNCTION("IFERROR(IF(COUNTIF(IMPORTRANGE(""1WjiLR_MTMxI_IZUKuvPO4Sg2rTSIqBzP3edakSRXbOA"",""Form Responses 1!B:B""),F622)&gt;0,10,),0)"),"")</f>
        <v/>
      </c>
      <c r="R622" s="70" t="str">
        <f>IFERROR(__xludf.DUMMYFUNCTION("IFERROR(VLOOKUP(F622,IMPORTRANGE(""1Ixzbal5tEbtWhozsFEppQzOYE6ZSrkNXHg_HW5k3Wt4"",""Form Responses 1!B:C""),2,FALSE),)"),"")</f>
        <v/>
      </c>
      <c r="S622" s="70" t="str">
        <f>IFERROR(__xludf.DUMMYFUNCTION("IFERROR(VLOOKUP(F622,IMPORTRANGE(""1zxjtEKGvVIJPIDqZdnxENwVpPXYa88EihzyI44hcQUo"",""Form Responses 1!B:C""),2,FALSE),)"),"")</f>
        <v/>
      </c>
      <c r="T622" s="70" t="str">
        <f>IFERROR(__xludf.DUMMYFUNCTION("IFERROR(VLOOKUP(F622,IMPORTRANGE(""1H3cO01obd5zFULYqaT5NAqecZBFFIHeDFn4CeQLZF3w"",""Form Responses 1!B:C""),2,FALSE),)"),"")</f>
        <v/>
      </c>
      <c r="U622" s="70" t="str">
        <f>IFERROR(__xludf.DUMMYFUNCTION("IFERROR(IF(COUNTIF(IMPORTRANGE(""1IG9qoa6PeLdDDFzKpW39lxXshN0-M8Z25a_R1EpsYyg"",""Form Responses 1!B:B""),F622)&gt;0,10,),0)"),"")</f>
        <v/>
      </c>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row>
    <row r="623">
      <c r="B623" s="70" t="str">
        <f>IFERROR(__xludf.DUMMYFUNCTION("IFERROR(IF(COUNTIF(IMPORTRANGE(""1RTcwEJsI_0aJRebhNwO_H_AoKl9r46k7hWYbtciIyM4"",""Form Responses 1!B:B""),A623)&gt;0,10,),0)"),"")</f>
        <v/>
      </c>
      <c r="C623" s="70" t="str">
        <f>IFERROR(__xludf.DUMMYFUNCTION("IFERROR(VLOOKUP(A623,IMPORTRANGE(""11i8IUhq_U6RRKRV3CBWIKqYed_fMvFgNUHTq1YDJfp8"",""Form Responses 1!B:C""),2,FALSE),)"),"")</f>
        <v/>
      </c>
      <c r="D623" s="70" t="str">
        <f>IFERROR(__xludf.DUMMYFUNCTION("IFERROR(VLOOKUP(A623,IMPORTRANGE(""1StiHxuxrFhYdrq5WLR2JMORicW0TbnJf3J-oTHeMRtM"",""Form Responses 1!B:C""),2,FALSE),)"),"")</f>
        <v/>
      </c>
      <c r="E623" s="70" t="str">
        <f>IFERROR(__xludf.DUMMYFUNCTION("IFERROR(VLOOKUP(A623,IMPORTRANGE(""1QaxxyUjrDq2kgz300C1Bq1tacFk6e-xX218cSXCQUK0"",""Form Responses 1!B:C""),2,FALSE),)"),"")</f>
        <v/>
      </c>
      <c r="F623" s="70" t="str">
        <f>IFERROR(__xludf.DUMMYFUNCTION("IFERROR(VLOOKUP(A623,IMPORTRANGE(""1fn2ECph_y8Uz78DhjLaiXcwgt6kh3oe-0Le36Uw0noE"",""Form Responses 1!B:C""),2,FALSE),)"),"")</f>
        <v/>
      </c>
      <c r="G623" s="70"/>
      <c r="H623" s="70"/>
      <c r="I623" s="70"/>
      <c r="J623" s="70"/>
      <c r="K623" s="70"/>
      <c r="L623" s="70"/>
      <c r="M623" s="70"/>
      <c r="N623" s="70"/>
      <c r="O623" s="70"/>
      <c r="P623" s="70"/>
      <c r="Q623" s="70" t="str">
        <f>IFERROR(__xludf.DUMMYFUNCTION("IFERROR(IF(COUNTIF(IMPORTRANGE(""1WjiLR_MTMxI_IZUKuvPO4Sg2rTSIqBzP3edakSRXbOA"",""Form Responses 1!B:B""),F623)&gt;0,10,),0)"),"")</f>
        <v/>
      </c>
      <c r="R623" s="70" t="str">
        <f>IFERROR(__xludf.DUMMYFUNCTION("IFERROR(VLOOKUP(F623,IMPORTRANGE(""1Ixzbal5tEbtWhozsFEppQzOYE6ZSrkNXHg_HW5k3Wt4"",""Form Responses 1!B:C""),2,FALSE),)"),"")</f>
        <v/>
      </c>
      <c r="S623" s="70" t="str">
        <f>IFERROR(__xludf.DUMMYFUNCTION("IFERROR(VLOOKUP(F623,IMPORTRANGE(""1zxjtEKGvVIJPIDqZdnxENwVpPXYa88EihzyI44hcQUo"",""Form Responses 1!B:C""),2,FALSE),)"),"")</f>
        <v/>
      </c>
      <c r="T623" s="70" t="str">
        <f>IFERROR(__xludf.DUMMYFUNCTION("IFERROR(VLOOKUP(F623,IMPORTRANGE(""1H3cO01obd5zFULYqaT5NAqecZBFFIHeDFn4CeQLZF3w"",""Form Responses 1!B:C""),2,FALSE),)"),"")</f>
        <v/>
      </c>
      <c r="U623" s="70" t="str">
        <f>IFERROR(__xludf.DUMMYFUNCTION("IFERROR(IF(COUNTIF(IMPORTRANGE(""1IG9qoa6PeLdDDFzKpW39lxXshN0-M8Z25a_R1EpsYyg"",""Form Responses 1!B:B""),F623)&gt;0,10,),0)"),"")</f>
        <v/>
      </c>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row>
    <row r="624">
      <c r="B624" s="70" t="str">
        <f>IFERROR(__xludf.DUMMYFUNCTION("IFERROR(IF(COUNTIF(IMPORTRANGE(""1RTcwEJsI_0aJRebhNwO_H_AoKl9r46k7hWYbtciIyM4"",""Form Responses 1!B:B""),A624)&gt;0,10,),0)"),"")</f>
        <v/>
      </c>
      <c r="C624" s="70" t="str">
        <f>IFERROR(__xludf.DUMMYFUNCTION("IFERROR(VLOOKUP(A624,IMPORTRANGE(""11i8IUhq_U6RRKRV3CBWIKqYed_fMvFgNUHTq1YDJfp8"",""Form Responses 1!B:C""),2,FALSE),)"),"")</f>
        <v/>
      </c>
      <c r="D624" s="70" t="str">
        <f>IFERROR(__xludf.DUMMYFUNCTION("IFERROR(VLOOKUP(A624,IMPORTRANGE(""1StiHxuxrFhYdrq5WLR2JMORicW0TbnJf3J-oTHeMRtM"",""Form Responses 1!B:C""),2,FALSE),)"),"")</f>
        <v/>
      </c>
      <c r="E624" s="70" t="str">
        <f>IFERROR(__xludf.DUMMYFUNCTION("IFERROR(VLOOKUP(A624,IMPORTRANGE(""1QaxxyUjrDq2kgz300C1Bq1tacFk6e-xX218cSXCQUK0"",""Form Responses 1!B:C""),2,FALSE),)"),"")</f>
        <v/>
      </c>
      <c r="F624" s="70" t="str">
        <f>IFERROR(__xludf.DUMMYFUNCTION("IFERROR(VLOOKUP(A624,IMPORTRANGE(""1fn2ECph_y8Uz78DhjLaiXcwgt6kh3oe-0Le36Uw0noE"",""Form Responses 1!B:C""),2,FALSE),)"),"")</f>
        <v/>
      </c>
      <c r="G624" s="70"/>
      <c r="H624" s="70"/>
      <c r="I624" s="70"/>
      <c r="J624" s="70"/>
      <c r="K624" s="70"/>
      <c r="L624" s="70"/>
      <c r="M624" s="70"/>
      <c r="N624" s="70"/>
      <c r="O624" s="70"/>
      <c r="P624" s="70"/>
      <c r="Q624" s="70" t="str">
        <f>IFERROR(__xludf.DUMMYFUNCTION("IFERROR(IF(COUNTIF(IMPORTRANGE(""1WjiLR_MTMxI_IZUKuvPO4Sg2rTSIqBzP3edakSRXbOA"",""Form Responses 1!B:B""),F624)&gt;0,10,),0)"),"")</f>
        <v/>
      </c>
      <c r="R624" s="70" t="str">
        <f>IFERROR(__xludf.DUMMYFUNCTION("IFERROR(VLOOKUP(F624,IMPORTRANGE(""1Ixzbal5tEbtWhozsFEppQzOYE6ZSrkNXHg_HW5k3Wt4"",""Form Responses 1!B:C""),2,FALSE),)"),"")</f>
        <v/>
      </c>
      <c r="S624" s="70" t="str">
        <f>IFERROR(__xludf.DUMMYFUNCTION("IFERROR(VLOOKUP(F624,IMPORTRANGE(""1zxjtEKGvVIJPIDqZdnxENwVpPXYa88EihzyI44hcQUo"",""Form Responses 1!B:C""),2,FALSE),)"),"")</f>
        <v/>
      </c>
      <c r="T624" s="70" t="str">
        <f>IFERROR(__xludf.DUMMYFUNCTION("IFERROR(VLOOKUP(F624,IMPORTRANGE(""1H3cO01obd5zFULYqaT5NAqecZBFFIHeDFn4CeQLZF3w"",""Form Responses 1!B:C""),2,FALSE),)"),"")</f>
        <v/>
      </c>
      <c r="U624" s="70" t="str">
        <f>IFERROR(__xludf.DUMMYFUNCTION("IFERROR(IF(COUNTIF(IMPORTRANGE(""1IG9qoa6PeLdDDFzKpW39lxXshN0-M8Z25a_R1EpsYyg"",""Form Responses 1!B:B""),F624)&gt;0,10,),0)"),"")</f>
        <v/>
      </c>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row>
    <row r="625">
      <c r="B625" s="70" t="str">
        <f>IFERROR(__xludf.DUMMYFUNCTION("IFERROR(IF(COUNTIF(IMPORTRANGE(""1RTcwEJsI_0aJRebhNwO_H_AoKl9r46k7hWYbtciIyM4"",""Form Responses 1!B:B""),A625)&gt;0,10,),0)"),"")</f>
        <v/>
      </c>
      <c r="C625" s="70" t="str">
        <f>IFERROR(__xludf.DUMMYFUNCTION("IFERROR(VLOOKUP(A625,IMPORTRANGE(""11i8IUhq_U6RRKRV3CBWIKqYed_fMvFgNUHTq1YDJfp8"",""Form Responses 1!B:C""),2,FALSE),)"),"")</f>
        <v/>
      </c>
      <c r="D625" s="70" t="str">
        <f>IFERROR(__xludf.DUMMYFUNCTION("IFERROR(VLOOKUP(A625,IMPORTRANGE(""1StiHxuxrFhYdrq5WLR2JMORicW0TbnJf3J-oTHeMRtM"",""Form Responses 1!B:C""),2,FALSE),)"),"")</f>
        <v/>
      </c>
      <c r="E625" s="70" t="str">
        <f>IFERROR(__xludf.DUMMYFUNCTION("IFERROR(VLOOKUP(A625,IMPORTRANGE(""1QaxxyUjrDq2kgz300C1Bq1tacFk6e-xX218cSXCQUK0"",""Form Responses 1!B:C""),2,FALSE),)"),"")</f>
        <v/>
      </c>
      <c r="F625" s="70" t="str">
        <f>IFERROR(__xludf.DUMMYFUNCTION("IFERROR(VLOOKUP(A625,IMPORTRANGE(""1fn2ECph_y8Uz78DhjLaiXcwgt6kh3oe-0Le36Uw0noE"",""Form Responses 1!B:C""),2,FALSE),)"),"")</f>
        <v/>
      </c>
      <c r="G625" s="70"/>
      <c r="H625" s="70"/>
      <c r="I625" s="70"/>
      <c r="J625" s="70"/>
      <c r="K625" s="70"/>
      <c r="L625" s="70"/>
      <c r="M625" s="70"/>
      <c r="N625" s="70"/>
      <c r="O625" s="70"/>
      <c r="P625" s="70"/>
      <c r="Q625" s="70" t="str">
        <f>IFERROR(__xludf.DUMMYFUNCTION("IFERROR(IF(COUNTIF(IMPORTRANGE(""1WjiLR_MTMxI_IZUKuvPO4Sg2rTSIqBzP3edakSRXbOA"",""Form Responses 1!B:B""),F625)&gt;0,10,),0)"),"")</f>
        <v/>
      </c>
      <c r="R625" s="70" t="str">
        <f>IFERROR(__xludf.DUMMYFUNCTION("IFERROR(VLOOKUP(F625,IMPORTRANGE(""1Ixzbal5tEbtWhozsFEppQzOYE6ZSrkNXHg_HW5k3Wt4"",""Form Responses 1!B:C""),2,FALSE),)"),"")</f>
        <v/>
      </c>
      <c r="S625" s="70" t="str">
        <f>IFERROR(__xludf.DUMMYFUNCTION("IFERROR(VLOOKUP(F625,IMPORTRANGE(""1zxjtEKGvVIJPIDqZdnxENwVpPXYa88EihzyI44hcQUo"",""Form Responses 1!B:C""),2,FALSE),)"),"")</f>
        <v/>
      </c>
      <c r="T625" s="70" t="str">
        <f>IFERROR(__xludf.DUMMYFUNCTION("IFERROR(VLOOKUP(F625,IMPORTRANGE(""1H3cO01obd5zFULYqaT5NAqecZBFFIHeDFn4CeQLZF3w"",""Form Responses 1!B:C""),2,FALSE),)"),"")</f>
        <v/>
      </c>
      <c r="U625" s="70" t="str">
        <f>IFERROR(__xludf.DUMMYFUNCTION("IFERROR(IF(COUNTIF(IMPORTRANGE(""1IG9qoa6PeLdDDFzKpW39lxXshN0-M8Z25a_R1EpsYyg"",""Form Responses 1!B:B""),F625)&gt;0,10,),0)"),"")</f>
        <v/>
      </c>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row>
    <row r="626">
      <c r="B626" s="70" t="str">
        <f>IFERROR(__xludf.DUMMYFUNCTION("IFERROR(IF(COUNTIF(IMPORTRANGE(""1RTcwEJsI_0aJRebhNwO_H_AoKl9r46k7hWYbtciIyM4"",""Form Responses 1!B:B""),A626)&gt;0,10,),0)"),"")</f>
        <v/>
      </c>
      <c r="C626" s="70" t="str">
        <f>IFERROR(__xludf.DUMMYFUNCTION("IFERROR(VLOOKUP(A626,IMPORTRANGE(""11i8IUhq_U6RRKRV3CBWIKqYed_fMvFgNUHTq1YDJfp8"",""Form Responses 1!B:C""),2,FALSE),)"),"")</f>
        <v/>
      </c>
      <c r="D626" s="70" t="str">
        <f>IFERROR(__xludf.DUMMYFUNCTION("IFERROR(VLOOKUP(A626,IMPORTRANGE(""1StiHxuxrFhYdrq5WLR2JMORicW0TbnJf3J-oTHeMRtM"",""Form Responses 1!B:C""),2,FALSE),)"),"")</f>
        <v/>
      </c>
      <c r="E626" s="70" t="str">
        <f>IFERROR(__xludf.DUMMYFUNCTION("IFERROR(VLOOKUP(A626,IMPORTRANGE(""1QaxxyUjrDq2kgz300C1Bq1tacFk6e-xX218cSXCQUK0"",""Form Responses 1!B:C""),2,FALSE),)"),"")</f>
        <v/>
      </c>
      <c r="F626" s="70" t="str">
        <f>IFERROR(__xludf.DUMMYFUNCTION("IFERROR(VLOOKUP(A626,IMPORTRANGE(""1fn2ECph_y8Uz78DhjLaiXcwgt6kh3oe-0Le36Uw0noE"",""Form Responses 1!B:C""),2,FALSE),)"),"")</f>
        <v/>
      </c>
      <c r="G626" s="70"/>
      <c r="H626" s="70"/>
      <c r="I626" s="70"/>
      <c r="J626" s="70"/>
      <c r="K626" s="70"/>
      <c r="L626" s="70"/>
      <c r="M626" s="70"/>
      <c r="N626" s="70"/>
      <c r="O626" s="70"/>
      <c r="P626" s="70"/>
      <c r="Q626" s="70" t="str">
        <f>IFERROR(__xludf.DUMMYFUNCTION("IFERROR(IF(COUNTIF(IMPORTRANGE(""1WjiLR_MTMxI_IZUKuvPO4Sg2rTSIqBzP3edakSRXbOA"",""Form Responses 1!B:B""),F626)&gt;0,10,),0)"),"")</f>
        <v/>
      </c>
      <c r="R626" s="70" t="str">
        <f>IFERROR(__xludf.DUMMYFUNCTION("IFERROR(VLOOKUP(F626,IMPORTRANGE(""1Ixzbal5tEbtWhozsFEppQzOYE6ZSrkNXHg_HW5k3Wt4"",""Form Responses 1!B:C""),2,FALSE),)"),"")</f>
        <v/>
      </c>
      <c r="S626" s="70" t="str">
        <f>IFERROR(__xludf.DUMMYFUNCTION("IFERROR(VLOOKUP(F626,IMPORTRANGE(""1zxjtEKGvVIJPIDqZdnxENwVpPXYa88EihzyI44hcQUo"",""Form Responses 1!B:C""),2,FALSE),)"),"")</f>
        <v/>
      </c>
      <c r="T626" s="70" t="str">
        <f>IFERROR(__xludf.DUMMYFUNCTION("IFERROR(VLOOKUP(F626,IMPORTRANGE(""1H3cO01obd5zFULYqaT5NAqecZBFFIHeDFn4CeQLZF3w"",""Form Responses 1!B:C""),2,FALSE),)"),"")</f>
        <v/>
      </c>
      <c r="U626" s="70" t="str">
        <f>IFERROR(__xludf.DUMMYFUNCTION("IFERROR(IF(COUNTIF(IMPORTRANGE(""1IG9qoa6PeLdDDFzKpW39lxXshN0-M8Z25a_R1EpsYyg"",""Form Responses 1!B:B""),F626)&gt;0,10,),0)"),"")</f>
        <v/>
      </c>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row>
    <row r="627">
      <c r="B627" s="70" t="str">
        <f>IFERROR(__xludf.DUMMYFUNCTION("IFERROR(IF(COUNTIF(IMPORTRANGE(""1RTcwEJsI_0aJRebhNwO_H_AoKl9r46k7hWYbtciIyM4"",""Form Responses 1!B:B""),A627)&gt;0,10,),0)"),"")</f>
        <v/>
      </c>
      <c r="C627" s="70" t="str">
        <f>IFERROR(__xludf.DUMMYFUNCTION("IFERROR(VLOOKUP(A627,IMPORTRANGE(""11i8IUhq_U6RRKRV3CBWIKqYed_fMvFgNUHTq1YDJfp8"",""Form Responses 1!B:C""),2,FALSE),)"),"")</f>
        <v/>
      </c>
      <c r="D627" s="70" t="str">
        <f>IFERROR(__xludf.DUMMYFUNCTION("IFERROR(VLOOKUP(A627,IMPORTRANGE(""1StiHxuxrFhYdrq5WLR2JMORicW0TbnJf3J-oTHeMRtM"",""Form Responses 1!B:C""),2,FALSE),)"),"")</f>
        <v/>
      </c>
      <c r="E627" s="70" t="str">
        <f>IFERROR(__xludf.DUMMYFUNCTION("IFERROR(VLOOKUP(A627,IMPORTRANGE(""1QaxxyUjrDq2kgz300C1Bq1tacFk6e-xX218cSXCQUK0"",""Form Responses 1!B:C""),2,FALSE),)"),"")</f>
        <v/>
      </c>
      <c r="F627" s="70" t="str">
        <f>IFERROR(__xludf.DUMMYFUNCTION("IFERROR(VLOOKUP(A627,IMPORTRANGE(""1fn2ECph_y8Uz78DhjLaiXcwgt6kh3oe-0Le36Uw0noE"",""Form Responses 1!B:C""),2,FALSE),)"),"")</f>
        <v/>
      </c>
      <c r="G627" s="70"/>
      <c r="H627" s="70"/>
      <c r="I627" s="70"/>
      <c r="J627" s="70"/>
      <c r="K627" s="70"/>
      <c r="L627" s="70"/>
      <c r="M627" s="70"/>
      <c r="N627" s="70"/>
      <c r="O627" s="70"/>
      <c r="P627" s="70"/>
      <c r="Q627" s="70" t="str">
        <f>IFERROR(__xludf.DUMMYFUNCTION("IFERROR(IF(COUNTIF(IMPORTRANGE(""1WjiLR_MTMxI_IZUKuvPO4Sg2rTSIqBzP3edakSRXbOA"",""Form Responses 1!B:B""),F627)&gt;0,10,),0)"),"")</f>
        <v/>
      </c>
      <c r="R627" s="70" t="str">
        <f>IFERROR(__xludf.DUMMYFUNCTION("IFERROR(VLOOKUP(F627,IMPORTRANGE(""1Ixzbal5tEbtWhozsFEppQzOYE6ZSrkNXHg_HW5k3Wt4"",""Form Responses 1!B:C""),2,FALSE),)"),"")</f>
        <v/>
      </c>
      <c r="S627" s="70" t="str">
        <f>IFERROR(__xludf.DUMMYFUNCTION("IFERROR(VLOOKUP(F627,IMPORTRANGE(""1zxjtEKGvVIJPIDqZdnxENwVpPXYa88EihzyI44hcQUo"",""Form Responses 1!B:C""),2,FALSE),)"),"")</f>
        <v/>
      </c>
      <c r="T627" s="70" t="str">
        <f>IFERROR(__xludf.DUMMYFUNCTION("IFERROR(VLOOKUP(F627,IMPORTRANGE(""1H3cO01obd5zFULYqaT5NAqecZBFFIHeDFn4CeQLZF3w"",""Form Responses 1!B:C""),2,FALSE),)"),"")</f>
        <v/>
      </c>
      <c r="U627" s="70" t="str">
        <f>IFERROR(__xludf.DUMMYFUNCTION("IFERROR(IF(COUNTIF(IMPORTRANGE(""1IG9qoa6PeLdDDFzKpW39lxXshN0-M8Z25a_R1EpsYyg"",""Form Responses 1!B:B""),F627)&gt;0,10,),0)"),"")</f>
        <v/>
      </c>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row>
    <row r="628">
      <c r="B628" s="70" t="str">
        <f>IFERROR(__xludf.DUMMYFUNCTION("IFERROR(IF(COUNTIF(IMPORTRANGE(""1RTcwEJsI_0aJRebhNwO_H_AoKl9r46k7hWYbtciIyM4"",""Form Responses 1!B:B""),A628)&gt;0,10,),0)"),"")</f>
        <v/>
      </c>
      <c r="C628" s="70" t="str">
        <f>IFERROR(__xludf.DUMMYFUNCTION("IFERROR(VLOOKUP(A628,IMPORTRANGE(""11i8IUhq_U6RRKRV3CBWIKqYed_fMvFgNUHTq1YDJfp8"",""Form Responses 1!B:C""),2,FALSE),)"),"")</f>
        <v/>
      </c>
      <c r="D628" s="70" t="str">
        <f>IFERROR(__xludf.DUMMYFUNCTION("IFERROR(VLOOKUP(A628,IMPORTRANGE(""1StiHxuxrFhYdrq5WLR2JMORicW0TbnJf3J-oTHeMRtM"",""Form Responses 1!B:C""),2,FALSE),)"),"")</f>
        <v/>
      </c>
      <c r="E628" s="70" t="str">
        <f>IFERROR(__xludf.DUMMYFUNCTION("IFERROR(VLOOKUP(A628,IMPORTRANGE(""1QaxxyUjrDq2kgz300C1Bq1tacFk6e-xX218cSXCQUK0"",""Form Responses 1!B:C""),2,FALSE),)"),"")</f>
        <v/>
      </c>
      <c r="F628" s="70" t="str">
        <f>IFERROR(__xludf.DUMMYFUNCTION("IFERROR(VLOOKUP(A628,IMPORTRANGE(""1fn2ECph_y8Uz78DhjLaiXcwgt6kh3oe-0Le36Uw0noE"",""Form Responses 1!B:C""),2,FALSE),)"),"")</f>
        <v/>
      </c>
      <c r="G628" s="70"/>
      <c r="H628" s="70"/>
      <c r="I628" s="70"/>
      <c r="J628" s="70"/>
      <c r="K628" s="70"/>
      <c r="L628" s="70"/>
      <c r="M628" s="70"/>
      <c r="N628" s="70"/>
      <c r="O628" s="70"/>
      <c r="P628" s="70"/>
      <c r="Q628" s="70" t="str">
        <f>IFERROR(__xludf.DUMMYFUNCTION("IFERROR(IF(COUNTIF(IMPORTRANGE(""1WjiLR_MTMxI_IZUKuvPO4Sg2rTSIqBzP3edakSRXbOA"",""Form Responses 1!B:B""),F628)&gt;0,10,),0)"),"")</f>
        <v/>
      </c>
      <c r="R628" s="70" t="str">
        <f>IFERROR(__xludf.DUMMYFUNCTION("IFERROR(VLOOKUP(F628,IMPORTRANGE(""1Ixzbal5tEbtWhozsFEppQzOYE6ZSrkNXHg_HW5k3Wt4"",""Form Responses 1!B:C""),2,FALSE),)"),"")</f>
        <v/>
      </c>
      <c r="S628" s="70" t="str">
        <f>IFERROR(__xludf.DUMMYFUNCTION("IFERROR(VLOOKUP(F628,IMPORTRANGE(""1zxjtEKGvVIJPIDqZdnxENwVpPXYa88EihzyI44hcQUo"",""Form Responses 1!B:C""),2,FALSE),)"),"")</f>
        <v/>
      </c>
      <c r="T628" s="70" t="str">
        <f>IFERROR(__xludf.DUMMYFUNCTION("IFERROR(VLOOKUP(F628,IMPORTRANGE(""1H3cO01obd5zFULYqaT5NAqecZBFFIHeDFn4CeQLZF3w"",""Form Responses 1!B:C""),2,FALSE),)"),"")</f>
        <v/>
      </c>
      <c r="U628" s="70" t="str">
        <f>IFERROR(__xludf.DUMMYFUNCTION("IFERROR(IF(COUNTIF(IMPORTRANGE(""1IG9qoa6PeLdDDFzKpW39lxXshN0-M8Z25a_R1EpsYyg"",""Form Responses 1!B:B""),F628)&gt;0,10,),0)"),"")</f>
        <v/>
      </c>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row>
    <row r="629">
      <c r="B629" s="70" t="str">
        <f>IFERROR(__xludf.DUMMYFUNCTION("IFERROR(IF(COUNTIF(IMPORTRANGE(""1RTcwEJsI_0aJRebhNwO_H_AoKl9r46k7hWYbtciIyM4"",""Form Responses 1!B:B""),A629)&gt;0,10,),0)"),"")</f>
        <v/>
      </c>
      <c r="C629" s="70" t="str">
        <f>IFERROR(__xludf.DUMMYFUNCTION("IFERROR(VLOOKUP(A629,IMPORTRANGE(""11i8IUhq_U6RRKRV3CBWIKqYed_fMvFgNUHTq1YDJfp8"",""Form Responses 1!B:C""),2,FALSE),)"),"")</f>
        <v/>
      </c>
      <c r="D629" s="70" t="str">
        <f>IFERROR(__xludf.DUMMYFUNCTION("IFERROR(VLOOKUP(A629,IMPORTRANGE(""1StiHxuxrFhYdrq5WLR2JMORicW0TbnJf3J-oTHeMRtM"",""Form Responses 1!B:C""),2,FALSE),)"),"")</f>
        <v/>
      </c>
      <c r="E629" s="70" t="str">
        <f>IFERROR(__xludf.DUMMYFUNCTION("IFERROR(VLOOKUP(A629,IMPORTRANGE(""1QaxxyUjrDq2kgz300C1Bq1tacFk6e-xX218cSXCQUK0"",""Form Responses 1!B:C""),2,FALSE),)"),"")</f>
        <v/>
      </c>
      <c r="F629" s="70" t="str">
        <f>IFERROR(__xludf.DUMMYFUNCTION("IFERROR(VLOOKUP(A629,IMPORTRANGE(""1fn2ECph_y8Uz78DhjLaiXcwgt6kh3oe-0Le36Uw0noE"",""Form Responses 1!B:C""),2,FALSE),)"),"")</f>
        <v/>
      </c>
      <c r="G629" s="70"/>
      <c r="H629" s="70"/>
      <c r="I629" s="70"/>
      <c r="J629" s="70"/>
      <c r="K629" s="70"/>
      <c r="L629" s="70"/>
      <c r="M629" s="70"/>
      <c r="N629" s="70"/>
      <c r="O629" s="70"/>
      <c r="P629" s="70"/>
      <c r="Q629" s="70" t="str">
        <f>IFERROR(__xludf.DUMMYFUNCTION("IFERROR(IF(COUNTIF(IMPORTRANGE(""1WjiLR_MTMxI_IZUKuvPO4Sg2rTSIqBzP3edakSRXbOA"",""Form Responses 1!B:B""),F629)&gt;0,10,),0)"),"")</f>
        <v/>
      </c>
      <c r="R629" s="70" t="str">
        <f>IFERROR(__xludf.DUMMYFUNCTION("IFERROR(VLOOKUP(F629,IMPORTRANGE(""1Ixzbal5tEbtWhozsFEppQzOYE6ZSrkNXHg_HW5k3Wt4"",""Form Responses 1!B:C""),2,FALSE),)"),"")</f>
        <v/>
      </c>
      <c r="S629" s="70" t="str">
        <f>IFERROR(__xludf.DUMMYFUNCTION("IFERROR(VLOOKUP(F629,IMPORTRANGE(""1zxjtEKGvVIJPIDqZdnxENwVpPXYa88EihzyI44hcQUo"",""Form Responses 1!B:C""),2,FALSE),)"),"")</f>
        <v/>
      </c>
      <c r="T629" s="70" t="str">
        <f>IFERROR(__xludf.DUMMYFUNCTION("IFERROR(VLOOKUP(F629,IMPORTRANGE(""1H3cO01obd5zFULYqaT5NAqecZBFFIHeDFn4CeQLZF3w"",""Form Responses 1!B:C""),2,FALSE),)"),"")</f>
        <v/>
      </c>
      <c r="U629" s="70" t="str">
        <f>IFERROR(__xludf.DUMMYFUNCTION("IFERROR(IF(COUNTIF(IMPORTRANGE(""1IG9qoa6PeLdDDFzKpW39lxXshN0-M8Z25a_R1EpsYyg"",""Form Responses 1!B:B""),F629)&gt;0,10,),0)"),"")</f>
        <v/>
      </c>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row>
    <row r="630">
      <c r="B630" s="70" t="str">
        <f>IFERROR(__xludf.DUMMYFUNCTION("IFERROR(IF(COUNTIF(IMPORTRANGE(""1RTcwEJsI_0aJRebhNwO_H_AoKl9r46k7hWYbtciIyM4"",""Form Responses 1!B:B""),A630)&gt;0,10,),0)"),"")</f>
        <v/>
      </c>
      <c r="C630" s="70" t="str">
        <f>IFERROR(__xludf.DUMMYFUNCTION("IFERROR(VLOOKUP(A630,IMPORTRANGE(""11i8IUhq_U6RRKRV3CBWIKqYed_fMvFgNUHTq1YDJfp8"",""Form Responses 1!B:C""),2,FALSE),)"),"")</f>
        <v/>
      </c>
      <c r="D630" s="70" t="str">
        <f>IFERROR(__xludf.DUMMYFUNCTION("IFERROR(VLOOKUP(A630,IMPORTRANGE(""1StiHxuxrFhYdrq5WLR2JMORicW0TbnJf3J-oTHeMRtM"",""Form Responses 1!B:C""),2,FALSE),)"),"")</f>
        <v/>
      </c>
      <c r="E630" s="70" t="str">
        <f>IFERROR(__xludf.DUMMYFUNCTION("IFERROR(VLOOKUP(A630,IMPORTRANGE(""1QaxxyUjrDq2kgz300C1Bq1tacFk6e-xX218cSXCQUK0"",""Form Responses 1!B:C""),2,FALSE),)"),"")</f>
        <v/>
      </c>
      <c r="F630" s="70" t="str">
        <f>IFERROR(__xludf.DUMMYFUNCTION("IFERROR(VLOOKUP(A630,IMPORTRANGE(""1fn2ECph_y8Uz78DhjLaiXcwgt6kh3oe-0Le36Uw0noE"",""Form Responses 1!B:C""),2,FALSE),)"),"")</f>
        <v/>
      </c>
      <c r="G630" s="70"/>
      <c r="H630" s="70"/>
      <c r="I630" s="70"/>
      <c r="J630" s="70"/>
      <c r="K630" s="70"/>
      <c r="L630" s="70"/>
      <c r="M630" s="70"/>
      <c r="N630" s="70"/>
      <c r="O630" s="70"/>
      <c r="P630" s="70"/>
      <c r="Q630" s="70" t="str">
        <f>IFERROR(__xludf.DUMMYFUNCTION("IFERROR(IF(COUNTIF(IMPORTRANGE(""1WjiLR_MTMxI_IZUKuvPO4Sg2rTSIqBzP3edakSRXbOA"",""Form Responses 1!B:B""),F630)&gt;0,10,),0)"),"")</f>
        <v/>
      </c>
      <c r="R630" s="70" t="str">
        <f>IFERROR(__xludf.DUMMYFUNCTION("IFERROR(VLOOKUP(F630,IMPORTRANGE(""1Ixzbal5tEbtWhozsFEppQzOYE6ZSrkNXHg_HW5k3Wt4"",""Form Responses 1!B:C""),2,FALSE),)"),"")</f>
        <v/>
      </c>
      <c r="S630" s="70" t="str">
        <f>IFERROR(__xludf.DUMMYFUNCTION("IFERROR(VLOOKUP(F630,IMPORTRANGE(""1zxjtEKGvVIJPIDqZdnxENwVpPXYa88EihzyI44hcQUo"",""Form Responses 1!B:C""),2,FALSE),)"),"")</f>
        <v/>
      </c>
      <c r="T630" s="70" t="str">
        <f>IFERROR(__xludf.DUMMYFUNCTION("IFERROR(VLOOKUP(F630,IMPORTRANGE(""1H3cO01obd5zFULYqaT5NAqecZBFFIHeDFn4CeQLZF3w"",""Form Responses 1!B:C""),2,FALSE),)"),"")</f>
        <v/>
      </c>
      <c r="U630" s="70" t="str">
        <f>IFERROR(__xludf.DUMMYFUNCTION("IFERROR(IF(COUNTIF(IMPORTRANGE(""1IG9qoa6PeLdDDFzKpW39lxXshN0-M8Z25a_R1EpsYyg"",""Form Responses 1!B:B""),F630)&gt;0,10,),0)"),"")</f>
        <v/>
      </c>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row>
    <row r="631">
      <c r="B631" s="70" t="str">
        <f>IFERROR(__xludf.DUMMYFUNCTION("IFERROR(IF(COUNTIF(IMPORTRANGE(""1RTcwEJsI_0aJRebhNwO_H_AoKl9r46k7hWYbtciIyM4"",""Form Responses 1!B:B""),A631)&gt;0,10,),0)"),"")</f>
        <v/>
      </c>
      <c r="C631" s="70" t="str">
        <f>IFERROR(__xludf.DUMMYFUNCTION("IFERROR(VLOOKUP(A631,IMPORTRANGE(""11i8IUhq_U6RRKRV3CBWIKqYed_fMvFgNUHTq1YDJfp8"",""Form Responses 1!B:C""),2,FALSE),)"),"")</f>
        <v/>
      </c>
      <c r="D631" s="70" t="str">
        <f>IFERROR(__xludf.DUMMYFUNCTION("IFERROR(VLOOKUP(A631,IMPORTRANGE(""1StiHxuxrFhYdrq5WLR2JMORicW0TbnJf3J-oTHeMRtM"",""Form Responses 1!B:C""),2,FALSE),)"),"")</f>
        <v/>
      </c>
      <c r="E631" s="70" t="str">
        <f>IFERROR(__xludf.DUMMYFUNCTION("IFERROR(VLOOKUP(A631,IMPORTRANGE(""1QaxxyUjrDq2kgz300C1Bq1tacFk6e-xX218cSXCQUK0"",""Form Responses 1!B:C""),2,FALSE),)"),"")</f>
        <v/>
      </c>
      <c r="F631" s="70" t="str">
        <f>IFERROR(__xludf.DUMMYFUNCTION("IFERROR(VLOOKUP(A631,IMPORTRANGE(""1fn2ECph_y8Uz78DhjLaiXcwgt6kh3oe-0Le36Uw0noE"",""Form Responses 1!B:C""),2,FALSE),)"),"")</f>
        <v/>
      </c>
      <c r="G631" s="70"/>
      <c r="H631" s="70"/>
      <c r="I631" s="70"/>
      <c r="J631" s="70"/>
      <c r="K631" s="70"/>
      <c r="L631" s="70"/>
      <c r="M631" s="70"/>
      <c r="N631" s="70"/>
      <c r="O631" s="70"/>
      <c r="P631" s="70"/>
      <c r="Q631" s="70" t="str">
        <f>IFERROR(__xludf.DUMMYFUNCTION("IFERROR(IF(COUNTIF(IMPORTRANGE(""1WjiLR_MTMxI_IZUKuvPO4Sg2rTSIqBzP3edakSRXbOA"",""Form Responses 1!B:B""),F631)&gt;0,10,),0)"),"")</f>
        <v/>
      </c>
      <c r="R631" s="70" t="str">
        <f>IFERROR(__xludf.DUMMYFUNCTION("IFERROR(VLOOKUP(F631,IMPORTRANGE(""1Ixzbal5tEbtWhozsFEppQzOYE6ZSrkNXHg_HW5k3Wt4"",""Form Responses 1!B:C""),2,FALSE),)"),"")</f>
        <v/>
      </c>
      <c r="S631" s="70" t="str">
        <f>IFERROR(__xludf.DUMMYFUNCTION("IFERROR(VLOOKUP(F631,IMPORTRANGE(""1zxjtEKGvVIJPIDqZdnxENwVpPXYa88EihzyI44hcQUo"",""Form Responses 1!B:C""),2,FALSE),)"),"")</f>
        <v/>
      </c>
      <c r="T631" s="70" t="str">
        <f>IFERROR(__xludf.DUMMYFUNCTION("IFERROR(VLOOKUP(F631,IMPORTRANGE(""1H3cO01obd5zFULYqaT5NAqecZBFFIHeDFn4CeQLZF3w"",""Form Responses 1!B:C""),2,FALSE),)"),"")</f>
        <v/>
      </c>
      <c r="U631" s="70" t="str">
        <f>IFERROR(__xludf.DUMMYFUNCTION("IFERROR(IF(COUNTIF(IMPORTRANGE(""1IG9qoa6PeLdDDFzKpW39lxXshN0-M8Z25a_R1EpsYyg"",""Form Responses 1!B:B""),F631)&gt;0,10,),0)"),"")</f>
        <v/>
      </c>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row>
    <row r="632">
      <c r="B632" s="70" t="str">
        <f>IFERROR(__xludf.DUMMYFUNCTION("IFERROR(IF(COUNTIF(IMPORTRANGE(""1RTcwEJsI_0aJRebhNwO_H_AoKl9r46k7hWYbtciIyM4"",""Form Responses 1!B:B""),A632)&gt;0,10,),0)"),"")</f>
        <v/>
      </c>
      <c r="C632" s="70" t="str">
        <f>IFERROR(__xludf.DUMMYFUNCTION("IFERROR(VLOOKUP(A632,IMPORTRANGE(""11i8IUhq_U6RRKRV3CBWIKqYed_fMvFgNUHTq1YDJfp8"",""Form Responses 1!B:C""),2,FALSE),)"),"")</f>
        <v/>
      </c>
      <c r="D632" s="70" t="str">
        <f>IFERROR(__xludf.DUMMYFUNCTION("IFERROR(VLOOKUP(A632,IMPORTRANGE(""1StiHxuxrFhYdrq5WLR2JMORicW0TbnJf3J-oTHeMRtM"",""Form Responses 1!B:C""),2,FALSE),)"),"")</f>
        <v/>
      </c>
      <c r="E632" s="70" t="str">
        <f>IFERROR(__xludf.DUMMYFUNCTION("IFERROR(VLOOKUP(A632,IMPORTRANGE(""1QaxxyUjrDq2kgz300C1Bq1tacFk6e-xX218cSXCQUK0"",""Form Responses 1!B:C""),2,FALSE),)"),"")</f>
        <v/>
      </c>
      <c r="F632" s="70" t="str">
        <f>IFERROR(__xludf.DUMMYFUNCTION("IFERROR(VLOOKUP(A632,IMPORTRANGE(""1fn2ECph_y8Uz78DhjLaiXcwgt6kh3oe-0Le36Uw0noE"",""Form Responses 1!B:C""),2,FALSE),)"),"")</f>
        <v/>
      </c>
      <c r="G632" s="70"/>
      <c r="H632" s="70"/>
      <c r="I632" s="70"/>
      <c r="J632" s="70"/>
      <c r="K632" s="70"/>
      <c r="L632" s="70"/>
      <c r="M632" s="70"/>
      <c r="N632" s="70"/>
      <c r="O632" s="70"/>
      <c r="P632" s="70"/>
      <c r="Q632" s="70" t="str">
        <f>IFERROR(__xludf.DUMMYFUNCTION("IFERROR(IF(COUNTIF(IMPORTRANGE(""1WjiLR_MTMxI_IZUKuvPO4Sg2rTSIqBzP3edakSRXbOA"",""Form Responses 1!B:B""),F632)&gt;0,10,),0)"),"")</f>
        <v/>
      </c>
      <c r="R632" s="70" t="str">
        <f>IFERROR(__xludf.DUMMYFUNCTION("IFERROR(VLOOKUP(F632,IMPORTRANGE(""1Ixzbal5tEbtWhozsFEppQzOYE6ZSrkNXHg_HW5k3Wt4"",""Form Responses 1!B:C""),2,FALSE),)"),"")</f>
        <v/>
      </c>
      <c r="S632" s="70" t="str">
        <f>IFERROR(__xludf.DUMMYFUNCTION("IFERROR(VLOOKUP(F632,IMPORTRANGE(""1zxjtEKGvVIJPIDqZdnxENwVpPXYa88EihzyI44hcQUo"",""Form Responses 1!B:C""),2,FALSE),)"),"")</f>
        <v/>
      </c>
      <c r="T632" s="70" t="str">
        <f>IFERROR(__xludf.DUMMYFUNCTION("IFERROR(VLOOKUP(F632,IMPORTRANGE(""1H3cO01obd5zFULYqaT5NAqecZBFFIHeDFn4CeQLZF3w"",""Form Responses 1!B:C""),2,FALSE),)"),"")</f>
        <v/>
      </c>
      <c r="U632" s="70" t="str">
        <f>IFERROR(__xludf.DUMMYFUNCTION("IFERROR(IF(COUNTIF(IMPORTRANGE(""1IG9qoa6PeLdDDFzKpW39lxXshN0-M8Z25a_R1EpsYyg"",""Form Responses 1!B:B""),F632)&gt;0,10,),0)"),"")</f>
        <v/>
      </c>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row>
    <row r="633">
      <c r="B633" s="70" t="str">
        <f>IFERROR(__xludf.DUMMYFUNCTION("IFERROR(IF(COUNTIF(IMPORTRANGE(""1RTcwEJsI_0aJRebhNwO_H_AoKl9r46k7hWYbtciIyM4"",""Form Responses 1!B:B""),A633)&gt;0,10,),0)"),"")</f>
        <v/>
      </c>
      <c r="C633" s="70" t="str">
        <f>IFERROR(__xludf.DUMMYFUNCTION("IFERROR(VLOOKUP(A633,IMPORTRANGE(""11i8IUhq_U6RRKRV3CBWIKqYed_fMvFgNUHTq1YDJfp8"",""Form Responses 1!B:C""),2,FALSE),)"),"")</f>
        <v/>
      </c>
      <c r="D633" s="70" t="str">
        <f>IFERROR(__xludf.DUMMYFUNCTION("IFERROR(VLOOKUP(A633,IMPORTRANGE(""1StiHxuxrFhYdrq5WLR2JMORicW0TbnJf3J-oTHeMRtM"",""Form Responses 1!B:C""),2,FALSE),)"),"")</f>
        <v/>
      </c>
      <c r="E633" s="70" t="str">
        <f>IFERROR(__xludf.DUMMYFUNCTION("IFERROR(VLOOKUP(A633,IMPORTRANGE(""1QaxxyUjrDq2kgz300C1Bq1tacFk6e-xX218cSXCQUK0"",""Form Responses 1!B:C""),2,FALSE),)"),"")</f>
        <v/>
      </c>
      <c r="F633" s="70" t="str">
        <f>IFERROR(__xludf.DUMMYFUNCTION("IFERROR(VLOOKUP(A633,IMPORTRANGE(""1fn2ECph_y8Uz78DhjLaiXcwgt6kh3oe-0Le36Uw0noE"",""Form Responses 1!B:C""),2,FALSE),)"),"")</f>
        <v/>
      </c>
      <c r="G633" s="70"/>
      <c r="H633" s="70"/>
      <c r="I633" s="70"/>
      <c r="J633" s="70"/>
      <c r="K633" s="70"/>
      <c r="L633" s="70"/>
      <c r="M633" s="70"/>
      <c r="N633" s="70"/>
      <c r="O633" s="70"/>
      <c r="P633" s="70"/>
      <c r="Q633" s="70" t="str">
        <f>IFERROR(__xludf.DUMMYFUNCTION("IFERROR(IF(COUNTIF(IMPORTRANGE(""1WjiLR_MTMxI_IZUKuvPO4Sg2rTSIqBzP3edakSRXbOA"",""Form Responses 1!B:B""),F633)&gt;0,10,),0)"),"")</f>
        <v/>
      </c>
      <c r="R633" s="70" t="str">
        <f>IFERROR(__xludf.DUMMYFUNCTION("IFERROR(VLOOKUP(F633,IMPORTRANGE(""1Ixzbal5tEbtWhozsFEppQzOYE6ZSrkNXHg_HW5k3Wt4"",""Form Responses 1!B:C""),2,FALSE),)"),"")</f>
        <v/>
      </c>
      <c r="S633" s="70" t="str">
        <f>IFERROR(__xludf.DUMMYFUNCTION("IFERROR(VLOOKUP(F633,IMPORTRANGE(""1zxjtEKGvVIJPIDqZdnxENwVpPXYa88EihzyI44hcQUo"",""Form Responses 1!B:C""),2,FALSE),)"),"")</f>
        <v/>
      </c>
      <c r="T633" s="70" t="str">
        <f>IFERROR(__xludf.DUMMYFUNCTION("IFERROR(VLOOKUP(F633,IMPORTRANGE(""1H3cO01obd5zFULYqaT5NAqecZBFFIHeDFn4CeQLZF3w"",""Form Responses 1!B:C""),2,FALSE),)"),"")</f>
        <v/>
      </c>
      <c r="U633" s="70" t="str">
        <f>IFERROR(__xludf.DUMMYFUNCTION("IFERROR(IF(COUNTIF(IMPORTRANGE(""1IG9qoa6PeLdDDFzKpW39lxXshN0-M8Z25a_R1EpsYyg"",""Form Responses 1!B:B""),F633)&gt;0,10,),0)"),"")</f>
        <v/>
      </c>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row>
    <row r="634">
      <c r="B634" s="70" t="str">
        <f>IFERROR(__xludf.DUMMYFUNCTION("IFERROR(IF(COUNTIF(IMPORTRANGE(""1RTcwEJsI_0aJRebhNwO_H_AoKl9r46k7hWYbtciIyM4"",""Form Responses 1!B:B""),A634)&gt;0,10,),0)"),"")</f>
        <v/>
      </c>
      <c r="C634" s="70" t="str">
        <f>IFERROR(__xludf.DUMMYFUNCTION("IFERROR(VLOOKUP(A634,IMPORTRANGE(""11i8IUhq_U6RRKRV3CBWIKqYed_fMvFgNUHTq1YDJfp8"",""Form Responses 1!B:C""),2,FALSE),)"),"")</f>
        <v/>
      </c>
      <c r="D634" s="70" t="str">
        <f>IFERROR(__xludf.DUMMYFUNCTION("IFERROR(VLOOKUP(A634,IMPORTRANGE(""1StiHxuxrFhYdrq5WLR2JMORicW0TbnJf3J-oTHeMRtM"",""Form Responses 1!B:C""),2,FALSE),)"),"")</f>
        <v/>
      </c>
      <c r="E634" s="70" t="str">
        <f>IFERROR(__xludf.DUMMYFUNCTION("IFERROR(VLOOKUP(A634,IMPORTRANGE(""1QaxxyUjrDq2kgz300C1Bq1tacFk6e-xX218cSXCQUK0"",""Form Responses 1!B:C""),2,FALSE),)"),"")</f>
        <v/>
      </c>
      <c r="F634" s="70" t="str">
        <f>IFERROR(__xludf.DUMMYFUNCTION("IFERROR(VLOOKUP(A634,IMPORTRANGE(""1fn2ECph_y8Uz78DhjLaiXcwgt6kh3oe-0Le36Uw0noE"",""Form Responses 1!B:C""),2,FALSE),)"),"")</f>
        <v/>
      </c>
      <c r="G634" s="70"/>
      <c r="H634" s="70"/>
      <c r="I634" s="70"/>
      <c r="J634" s="70"/>
      <c r="K634" s="70"/>
      <c r="L634" s="70"/>
      <c r="M634" s="70"/>
      <c r="N634" s="70"/>
      <c r="O634" s="70"/>
      <c r="P634" s="70"/>
      <c r="Q634" s="70" t="str">
        <f>IFERROR(__xludf.DUMMYFUNCTION("IFERROR(IF(COUNTIF(IMPORTRANGE(""1WjiLR_MTMxI_IZUKuvPO4Sg2rTSIqBzP3edakSRXbOA"",""Form Responses 1!B:B""),F634)&gt;0,10,),0)"),"")</f>
        <v/>
      </c>
      <c r="R634" s="70" t="str">
        <f>IFERROR(__xludf.DUMMYFUNCTION("IFERROR(VLOOKUP(F634,IMPORTRANGE(""1Ixzbal5tEbtWhozsFEppQzOYE6ZSrkNXHg_HW5k3Wt4"",""Form Responses 1!B:C""),2,FALSE),)"),"")</f>
        <v/>
      </c>
      <c r="S634" s="70" t="str">
        <f>IFERROR(__xludf.DUMMYFUNCTION("IFERROR(VLOOKUP(F634,IMPORTRANGE(""1zxjtEKGvVIJPIDqZdnxENwVpPXYa88EihzyI44hcQUo"",""Form Responses 1!B:C""),2,FALSE),)"),"")</f>
        <v/>
      </c>
      <c r="T634" s="70" t="str">
        <f>IFERROR(__xludf.DUMMYFUNCTION("IFERROR(VLOOKUP(F634,IMPORTRANGE(""1H3cO01obd5zFULYqaT5NAqecZBFFIHeDFn4CeQLZF3w"",""Form Responses 1!B:C""),2,FALSE),)"),"")</f>
        <v/>
      </c>
      <c r="U634" s="70" t="str">
        <f>IFERROR(__xludf.DUMMYFUNCTION("IFERROR(IF(COUNTIF(IMPORTRANGE(""1IG9qoa6PeLdDDFzKpW39lxXshN0-M8Z25a_R1EpsYyg"",""Form Responses 1!B:B""),F634)&gt;0,10,),0)"),"")</f>
        <v/>
      </c>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row>
    <row r="635">
      <c r="B635" s="70" t="str">
        <f>IFERROR(__xludf.DUMMYFUNCTION("IFERROR(IF(COUNTIF(IMPORTRANGE(""1RTcwEJsI_0aJRebhNwO_H_AoKl9r46k7hWYbtciIyM4"",""Form Responses 1!B:B""),A635)&gt;0,10,),0)"),"")</f>
        <v/>
      </c>
      <c r="C635" s="70" t="str">
        <f>IFERROR(__xludf.DUMMYFUNCTION("IFERROR(VLOOKUP(A635,IMPORTRANGE(""11i8IUhq_U6RRKRV3CBWIKqYed_fMvFgNUHTq1YDJfp8"",""Form Responses 1!B:C""),2,FALSE),)"),"")</f>
        <v/>
      </c>
      <c r="D635" s="70" t="str">
        <f>IFERROR(__xludf.DUMMYFUNCTION("IFERROR(VLOOKUP(A635,IMPORTRANGE(""1StiHxuxrFhYdrq5WLR2JMORicW0TbnJf3J-oTHeMRtM"",""Form Responses 1!B:C""),2,FALSE),)"),"")</f>
        <v/>
      </c>
      <c r="E635" s="70" t="str">
        <f>IFERROR(__xludf.DUMMYFUNCTION("IFERROR(VLOOKUP(A635,IMPORTRANGE(""1QaxxyUjrDq2kgz300C1Bq1tacFk6e-xX218cSXCQUK0"",""Form Responses 1!B:C""),2,FALSE),)"),"")</f>
        <v/>
      </c>
      <c r="F635" s="70" t="str">
        <f>IFERROR(__xludf.DUMMYFUNCTION("IFERROR(VLOOKUP(A635,IMPORTRANGE(""1fn2ECph_y8Uz78DhjLaiXcwgt6kh3oe-0Le36Uw0noE"",""Form Responses 1!B:C""),2,FALSE),)"),"")</f>
        <v/>
      </c>
      <c r="G635" s="70"/>
      <c r="H635" s="70"/>
      <c r="I635" s="70"/>
      <c r="J635" s="70"/>
      <c r="K635" s="70"/>
      <c r="L635" s="70"/>
      <c r="M635" s="70"/>
      <c r="N635" s="70"/>
      <c r="O635" s="70"/>
      <c r="P635" s="70"/>
      <c r="Q635" s="70" t="str">
        <f>IFERROR(__xludf.DUMMYFUNCTION("IFERROR(IF(COUNTIF(IMPORTRANGE(""1WjiLR_MTMxI_IZUKuvPO4Sg2rTSIqBzP3edakSRXbOA"",""Form Responses 1!B:B""),F635)&gt;0,10,),0)"),"")</f>
        <v/>
      </c>
      <c r="R635" s="70" t="str">
        <f>IFERROR(__xludf.DUMMYFUNCTION("IFERROR(VLOOKUP(F635,IMPORTRANGE(""1Ixzbal5tEbtWhozsFEppQzOYE6ZSrkNXHg_HW5k3Wt4"",""Form Responses 1!B:C""),2,FALSE),)"),"")</f>
        <v/>
      </c>
      <c r="S635" s="70" t="str">
        <f>IFERROR(__xludf.DUMMYFUNCTION("IFERROR(VLOOKUP(F635,IMPORTRANGE(""1zxjtEKGvVIJPIDqZdnxENwVpPXYa88EihzyI44hcQUo"",""Form Responses 1!B:C""),2,FALSE),)"),"")</f>
        <v/>
      </c>
      <c r="T635" s="70" t="str">
        <f>IFERROR(__xludf.DUMMYFUNCTION("IFERROR(VLOOKUP(F635,IMPORTRANGE(""1H3cO01obd5zFULYqaT5NAqecZBFFIHeDFn4CeQLZF3w"",""Form Responses 1!B:C""),2,FALSE),)"),"")</f>
        <v/>
      </c>
      <c r="U635" s="70" t="str">
        <f>IFERROR(__xludf.DUMMYFUNCTION("IFERROR(IF(COUNTIF(IMPORTRANGE(""1IG9qoa6PeLdDDFzKpW39lxXshN0-M8Z25a_R1EpsYyg"",""Form Responses 1!B:B""),F635)&gt;0,10,),0)"),"")</f>
        <v/>
      </c>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row>
    <row r="636">
      <c r="B636" s="70" t="str">
        <f>IFERROR(__xludf.DUMMYFUNCTION("IFERROR(IF(COUNTIF(IMPORTRANGE(""1RTcwEJsI_0aJRebhNwO_H_AoKl9r46k7hWYbtciIyM4"",""Form Responses 1!B:B""),A636)&gt;0,10,),0)"),"")</f>
        <v/>
      </c>
      <c r="C636" s="70" t="str">
        <f>IFERROR(__xludf.DUMMYFUNCTION("IFERROR(VLOOKUP(A636,IMPORTRANGE(""11i8IUhq_U6RRKRV3CBWIKqYed_fMvFgNUHTq1YDJfp8"",""Form Responses 1!B:C""),2,FALSE),)"),"")</f>
        <v/>
      </c>
      <c r="D636" s="70" t="str">
        <f>IFERROR(__xludf.DUMMYFUNCTION("IFERROR(VLOOKUP(A636,IMPORTRANGE(""1StiHxuxrFhYdrq5WLR2JMORicW0TbnJf3J-oTHeMRtM"",""Form Responses 1!B:C""),2,FALSE),)"),"")</f>
        <v/>
      </c>
      <c r="E636" s="70" t="str">
        <f>IFERROR(__xludf.DUMMYFUNCTION("IFERROR(VLOOKUP(A636,IMPORTRANGE(""1QaxxyUjrDq2kgz300C1Bq1tacFk6e-xX218cSXCQUK0"",""Form Responses 1!B:C""),2,FALSE),)"),"")</f>
        <v/>
      </c>
      <c r="F636" s="70" t="str">
        <f>IFERROR(__xludf.DUMMYFUNCTION("IFERROR(VLOOKUP(A636,IMPORTRANGE(""1fn2ECph_y8Uz78DhjLaiXcwgt6kh3oe-0Le36Uw0noE"",""Form Responses 1!B:C""),2,FALSE),)"),"")</f>
        <v/>
      </c>
      <c r="G636" s="70"/>
      <c r="H636" s="70"/>
      <c r="I636" s="70"/>
      <c r="J636" s="70"/>
      <c r="K636" s="70"/>
      <c r="L636" s="70"/>
      <c r="M636" s="70"/>
      <c r="N636" s="70"/>
      <c r="O636" s="70"/>
      <c r="P636" s="70"/>
      <c r="Q636" s="70" t="str">
        <f>IFERROR(__xludf.DUMMYFUNCTION("IFERROR(IF(COUNTIF(IMPORTRANGE(""1WjiLR_MTMxI_IZUKuvPO4Sg2rTSIqBzP3edakSRXbOA"",""Form Responses 1!B:B""),F636)&gt;0,10,),0)"),"")</f>
        <v/>
      </c>
      <c r="R636" s="70" t="str">
        <f>IFERROR(__xludf.DUMMYFUNCTION("IFERROR(VLOOKUP(F636,IMPORTRANGE(""1Ixzbal5tEbtWhozsFEppQzOYE6ZSrkNXHg_HW5k3Wt4"",""Form Responses 1!B:C""),2,FALSE),)"),"")</f>
        <v/>
      </c>
      <c r="S636" s="70" t="str">
        <f>IFERROR(__xludf.DUMMYFUNCTION("IFERROR(VLOOKUP(F636,IMPORTRANGE(""1zxjtEKGvVIJPIDqZdnxENwVpPXYa88EihzyI44hcQUo"",""Form Responses 1!B:C""),2,FALSE),)"),"")</f>
        <v/>
      </c>
      <c r="T636" s="70" t="str">
        <f>IFERROR(__xludf.DUMMYFUNCTION("IFERROR(VLOOKUP(F636,IMPORTRANGE(""1H3cO01obd5zFULYqaT5NAqecZBFFIHeDFn4CeQLZF3w"",""Form Responses 1!B:C""),2,FALSE),)"),"")</f>
        <v/>
      </c>
      <c r="U636" s="70" t="str">
        <f>IFERROR(__xludf.DUMMYFUNCTION("IFERROR(IF(COUNTIF(IMPORTRANGE(""1IG9qoa6PeLdDDFzKpW39lxXshN0-M8Z25a_R1EpsYyg"",""Form Responses 1!B:B""),F636)&gt;0,10,),0)"),"")</f>
        <v/>
      </c>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row>
    <row r="637">
      <c r="B637" s="70" t="str">
        <f>IFERROR(__xludf.DUMMYFUNCTION("IFERROR(IF(COUNTIF(IMPORTRANGE(""1RTcwEJsI_0aJRebhNwO_H_AoKl9r46k7hWYbtciIyM4"",""Form Responses 1!B:B""),A637)&gt;0,10,),0)"),"")</f>
        <v/>
      </c>
      <c r="C637" s="70" t="str">
        <f>IFERROR(__xludf.DUMMYFUNCTION("IFERROR(VLOOKUP(A637,IMPORTRANGE(""11i8IUhq_U6RRKRV3CBWIKqYed_fMvFgNUHTq1YDJfp8"",""Form Responses 1!B:C""),2,FALSE),)"),"")</f>
        <v/>
      </c>
      <c r="D637" s="70" t="str">
        <f>IFERROR(__xludf.DUMMYFUNCTION("IFERROR(VLOOKUP(A637,IMPORTRANGE(""1StiHxuxrFhYdrq5WLR2JMORicW0TbnJf3J-oTHeMRtM"",""Form Responses 1!B:C""),2,FALSE),)"),"")</f>
        <v/>
      </c>
      <c r="E637" s="70" t="str">
        <f>IFERROR(__xludf.DUMMYFUNCTION("IFERROR(VLOOKUP(A637,IMPORTRANGE(""1QaxxyUjrDq2kgz300C1Bq1tacFk6e-xX218cSXCQUK0"",""Form Responses 1!B:C""),2,FALSE),)"),"")</f>
        <v/>
      </c>
      <c r="F637" s="70" t="str">
        <f>IFERROR(__xludf.DUMMYFUNCTION("IFERROR(VLOOKUP(A637,IMPORTRANGE(""1fn2ECph_y8Uz78DhjLaiXcwgt6kh3oe-0Le36Uw0noE"",""Form Responses 1!B:C""),2,FALSE),)"),"")</f>
        <v/>
      </c>
      <c r="G637" s="70"/>
      <c r="H637" s="70"/>
      <c r="I637" s="70"/>
      <c r="J637" s="70"/>
      <c r="K637" s="70"/>
      <c r="L637" s="70"/>
      <c r="M637" s="70"/>
      <c r="N637" s="70"/>
      <c r="O637" s="70"/>
      <c r="P637" s="70"/>
      <c r="Q637" s="70" t="str">
        <f>IFERROR(__xludf.DUMMYFUNCTION("IFERROR(IF(COUNTIF(IMPORTRANGE(""1WjiLR_MTMxI_IZUKuvPO4Sg2rTSIqBzP3edakSRXbOA"",""Form Responses 1!B:B""),F637)&gt;0,10,),0)"),"")</f>
        <v/>
      </c>
      <c r="R637" s="70" t="str">
        <f>IFERROR(__xludf.DUMMYFUNCTION("IFERROR(VLOOKUP(F637,IMPORTRANGE(""1Ixzbal5tEbtWhozsFEppQzOYE6ZSrkNXHg_HW5k3Wt4"",""Form Responses 1!B:C""),2,FALSE),)"),"")</f>
        <v/>
      </c>
      <c r="S637" s="70" t="str">
        <f>IFERROR(__xludf.DUMMYFUNCTION("IFERROR(VLOOKUP(F637,IMPORTRANGE(""1zxjtEKGvVIJPIDqZdnxENwVpPXYa88EihzyI44hcQUo"",""Form Responses 1!B:C""),2,FALSE),)"),"")</f>
        <v/>
      </c>
      <c r="T637" s="70" t="str">
        <f>IFERROR(__xludf.DUMMYFUNCTION("IFERROR(VLOOKUP(F637,IMPORTRANGE(""1H3cO01obd5zFULYqaT5NAqecZBFFIHeDFn4CeQLZF3w"",""Form Responses 1!B:C""),2,FALSE),)"),"")</f>
        <v/>
      </c>
      <c r="U637" s="70" t="str">
        <f>IFERROR(__xludf.DUMMYFUNCTION("IFERROR(IF(COUNTIF(IMPORTRANGE(""1IG9qoa6PeLdDDFzKpW39lxXshN0-M8Z25a_R1EpsYyg"",""Form Responses 1!B:B""),F637)&gt;0,10,),0)"),"")</f>
        <v/>
      </c>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row>
    <row r="638">
      <c r="B638" s="70" t="str">
        <f>IFERROR(__xludf.DUMMYFUNCTION("IFERROR(IF(COUNTIF(IMPORTRANGE(""1RTcwEJsI_0aJRebhNwO_H_AoKl9r46k7hWYbtciIyM4"",""Form Responses 1!B:B""),A638)&gt;0,10,),0)"),"")</f>
        <v/>
      </c>
      <c r="C638" s="70" t="str">
        <f>IFERROR(__xludf.DUMMYFUNCTION("IFERROR(VLOOKUP(A638,IMPORTRANGE(""11i8IUhq_U6RRKRV3CBWIKqYed_fMvFgNUHTq1YDJfp8"",""Form Responses 1!B:C""),2,FALSE),)"),"")</f>
        <v/>
      </c>
      <c r="D638" s="70" t="str">
        <f>IFERROR(__xludf.DUMMYFUNCTION("IFERROR(VLOOKUP(A638,IMPORTRANGE(""1StiHxuxrFhYdrq5WLR2JMORicW0TbnJf3J-oTHeMRtM"",""Form Responses 1!B:C""),2,FALSE),)"),"")</f>
        <v/>
      </c>
      <c r="E638" s="70" t="str">
        <f>IFERROR(__xludf.DUMMYFUNCTION("IFERROR(VLOOKUP(A638,IMPORTRANGE(""1QaxxyUjrDq2kgz300C1Bq1tacFk6e-xX218cSXCQUK0"",""Form Responses 1!B:C""),2,FALSE),)"),"")</f>
        <v/>
      </c>
      <c r="F638" s="70" t="str">
        <f>IFERROR(__xludf.DUMMYFUNCTION("IFERROR(VLOOKUP(A638,IMPORTRANGE(""1fn2ECph_y8Uz78DhjLaiXcwgt6kh3oe-0Le36Uw0noE"",""Form Responses 1!B:C""),2,FALSE),)"),"")</f>
        <v/>
      </c>
      <c r="G638" s="70"/>
      <c r="H638" s="70"/>
      <c r="I638" s="70"/>
      <c r="J638" s="70"/>
      <c r="K638" s="70"/>
      <c r="L638" s="70"/>
      <c r="M638" s="70"/>
      <c r="N638" s="70"/>
      <c r="O638" s="70"/>
      <c r="P638" s="70"/>
      <c r="Q638" s="70" t="str">
        <f>IFERROR(__xludf.DUMMYFUNCTION("IFERROR(IF(COUNTIF(IMPORTRANGE(""1WjiLR_MTMxI_IZUKuvPO4Sg2rTSIqBzP3edakSRXbOA"",""Form Responses 1!B:B""),F638)&gt;0,10,),0)"),"")</f>
        <v/>
      </c>
      <c r="R638" s="70" t="str">
        <f>IFERROR(__xludf.DUMMYFUNCTION("IFERROR(VLOOKUP(F638,IMPORTRANGE(""1Ixzbal5tEbtWhozsFEppQzOYE6ZSrkNXHg_HW5k3Wt4"",""Form Responses 1!B:C""),2,FALSE),)"),"")</f>
        <v/>
      </c>
      <c r="S638" s="70" t="str">
        <f>IFERROR(__xludf.DUMMYFUNCTION("IFERROR(VLOOKUP(F638,IMPORTRANGE(""1zxjtEKGvVIJPIDqZdnxENwVpPXYa88EihzyI44hcQUo"",""Form Responses 1!B:C""),2,FALSE),)"),"")</f>
        <v/>
      </c>
      <c r="T638" s="70" t="str">
        <f>IFERROR(__xludf.DUMMYFUNCTION("IFERROR(VLOOKUP(F638,IMPORTRANGE(""1H3cO01obd5zFULYqaT5NAqecZBFFIHeDFn4CeQLZF3w"",""Form Responses 1!B:C""),2,FALSE),)"),"")</f>
        <v/>
      </c>
      <c r="U638" s="70" t="str">
        <f>IFERROR(__xludf.DUMMYFUNCTION("IFERROR(IF(COUNTIF(IMPORTRANGE(""1IG9qoa6PeLdDDFzKpW39lxXshN0-M8Z25a_R1EpsYyg"",""Form Responses 1!B:B""),F638)&gt;0,10,),0)"),"")</f>
        <v/>
      </c>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row>
    <row r="639">
      <c r="B639" s="70" t="str">
        <f>IFERROR(__xludf.DUMMYFUNCTION("IFERROR(IF(COUNTIF(IMPORTRANGE(""1RTcwEJsI_0aJRebhNwO_H_AoKl9r46k7hWYbtciIyM4"",""Form Responses 1!B:B""),A639)&gt;0,10,),0)"),"")</f>
        <v/>
      </c>
      <c r="C639" s="70" t="str">
        <f>IFERROR(__xludf.DUMMYFUNCTION("IFERROR(VLOOKUP(A639,IMPORTRANGE(""11i8IUhq_U6RRKRV3CBWIKqYed_fMvFgNUHTq1YDJfp8"",""Form Responses 1!B:C""),2,FALSE),)"),"")</f>
        <v/>
      </c>
      <c r="D639" s="70" t="str">
        <f>IFERROR(__xludf.DUMMYFUNCTION("IFERROR(VLOOKUP(A639,IMPORTRANGE(""1StiHxuxrFhYdrq5WLR2JMORicW0TbnJf3J-oTHeMRtM"",""Form Responses 1!B:C""),2,FALSE),)"),"")</f>
        <v/>
      </c>
      <c r="E639" s="70" t="str">
        <f>IFERROR(__xludf.DUMMYFUNCTION("IFERROR(VLOOKUP(A639,IMPORTRANGE(""1QaxxyUjrDq2kgz300C1Bq1tacFk6e-xX218cSXCQUK0"",""Form Responses 1!B:C""),2,FALSE),)"),"")</f>
        <v/>
      </c>
      <c r="F639" s="70" t="str">
        <f>IFERROR(__xludf.DUMMYFUNCTION("IFERROR(VLOOKUP(A639,IMPORTRANGE(""1fn2ECph_y8Uz78DhjLaiXcwgt6kh3oe-0Le36Uw0noE"",""Form Responses 1!B:C""),2,FALSE),)"),"")</f>
        <v/>
      </c>
      <c r="G639" s="70"/>
      <c r="H639" s="70"/>
      <c r="I639" s="70"/>
      <c r="J639" s="70"/>
      <c r="K639" s="70"/>
      <c r="L639" s="70"/>
      <c r="M639" s="70"/>
      <c r="N639" s="70"/>
      <c r="O639" s="70"/>
      <c r="P639" s="70"/>
      <c r="Q639" s="70" t="str">
        <f>IFERROR(__xludf.DUMMYFUNCTION("IFERROR(IF(COUNTIF(IMPORTRANGE(""1WjiLR_MTMxI_IZUKuvPO4Sg2rTSIqBzP3edakSRXbOA"",""Form Responses 1!B:B""),F639)&gt;0,10,),0)"),"")</f>
        <v/>
      </c>
      <c r="R639" s="70" t="str">
        <f>IFERROR(__xludf.DUMMYFUNCTION("IFERROR(VLOOKUP(F639,IMPORTRANGE(""1Ixzbal5tEbtWhozsFEppQzOYE6ZSrkNXHg_HW5k3Wt4"",""Form Responses 1!B:C""),2,FALSE),)"),"")</f>
        <v/>
      </c>
      <c r="S639" s="70" t="str">
        <f>IFERROR(__xludf.DUMMYFUNCTION("IFERROR(VLOOKUP(F639,IMPORTRANGE(""1zxjtEKGvVIJPIDqZdnxENwVpPXYa88EihzyI44hcQUo"",""Form Responses 1!B:C""),2,FALSE),)"),"")</f>
        <v/>
      </c>
      <c r="T639" s="70" t="str">
        <f>IFERROR(__xludf.DUMMYFUNCTION("IFERROR(VLOOKUP(F639,IMPORTRANGE(""1H3cO01obd5zFULYqaT5NAqecZBFFIHeDFn4CeQLZF3w"",""Form Responses 1!B:C""),2,FALSE),)"),"")</f>
        <v/>
      </c>
      <c r="U639" s="70" t="str">
        <f>IFERROR(__xludf.DUMMYFUNCTION("IFERROR(IF(COUNTIF(IMPORTRANGE(""1IG9qoa6PeLdDDFzKpW39lxXshN0-M8Z25a_R1EpsYyg"",""Form Responses 1!B:B""),F639)&gt;0,10,),0)"),"")</f>
        <v/>
      </c>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row>
    <row r="640">
      <c r="B640" s="70" t="str">
        <f>IFERROR(__xludf.DUMMYFUNCTION("IFERROR(IF(COUNTIF(IMPORTRANGE(""1RTcwEJsI_0aJRebhNwO_H_AoKl9r46k7hWYbtciIyM4"",""Form Responses 1!B:B""),A640)&gt;0,10,),0)"),"")</f>
        <v/>
      </c>
      <c r="C640" s="70" t="str">
        <f>IFERROR(__xludf.DUMMYFUNCTION("IFERROR(VLOOKUP(A640,IMPORTRANGE(""11i8IUhq_U6RRKRV3CBWIKqYed_fMvFgNUHTq1YDJfp8"",""Form Responses 1!B:C""),2,FALSE),)"),"")</f>
        <v/>
      </c>
      <c r="D640" s="70" t="str">
        <f>IFERROR(__xludf.DUMMYFUNCTION("IFERROR(VLOOKUP(A640,IMPORTRANGE(""1StiHxuxrFhYdrq5WLR2JMORicW0TbnJf3J-oTHeMRtM"",""Form Responses 1!B:C""),2,FALSE),)"),"")</f>
        <v/>
      </c>
      <c r="E640" s="70" t="str">
        <f>IFERROR(__xludf.DUMMYFUNCTION("IFERROR(VLOOKUP(A640,IMPORTRANGE(""1QaxxyUjrDq2kgz300C1Bq1tacFk6e-xX218cSXCQUK0"",""Form Responses 1!B:C""),2,FALSE),)"),"")</f>
        <v/>
      </c>
      <c r="F640" s="70" t="str">
        <f>IFERROR(__xludf.DUMMYFUNCTION("IFERROR(VLOOKUP(A640,IMPORTRANGE(""1fn2ECph_y8Uz78DhjLaiXcwgt6kh3oe-0Le36Uw0noE"",""Form Responses 1!B:C""),2,FALSE),)"),"")</f>
        <v/>
      </c>
      <c r="G640" s="70"/>
      <c r="H640" s="70"/>
      <c r="I640" s="70"/>
      <c r="J640" s="70"/>
      <c r="K640" s="70"/>
      <c r="L640" s="70"/>
      <c r="M640" s="70"/>
      <c r="N640" s="70"/>
      <c r="O640" s="70"/>
      <c r="P640" s="70"/>
      <c r="Q640" s="70" t="str">
        <f>IFERROR(__xludf.DUMMYFUNCTION("IFERROR(IF(COUNTIF(IMPORTRANGE(""1WjiLR_MTMxI_IZUKuvPO4Sg2rTSIqBzP3edakSRXbOA"",""Form Responses 1!B:B""),F640)&gt;0,10,),0)"),"")</f>
        <v/>
      </c>
      <c r="R640" s="70" t="str">
        <f>IFERROR(__xludf.DUMMYFUNCTION("IFERROR(VLOOKUP(F640,IMPORTRANGE(""1Ixzbal5tEbtWhozsFEppQzOYE6ZSrkNXHg_HW5k3Wt4"",""Form Responses 1!B:C""),2,FALSE),)"),"")</f>
        <v/>
      </c>
      <c r="S640" s="70" t="str">
        <f>IFERROR(__xludf.DUMMYFUNCTION("IFERROR(VLOOKUP(F640,IMPORTRANGE(""1zxjtEKGvVIJPIDqZdnxENwVpPXYa88EihzyI44hcQUo"",""Form Responses 1!B:C""),2,FALSE),)"),"")</f>
        <v/>
      </c>
      <c r="T640" s="70" t="str">
        <f>IFERROR(__xludf.DUMMYFUNCTION("IFERROR(VLOOKUP(F640,IMPORTRANGE(""1H3cO01obd5zFULYqaT5NAqecZBFFIHeDFn4CeQLZF3w"",""Form Responses 1!B:C""),2,FALSE),)"),"")</f>
        <v/>
      </c>
      <c r="U640" s="70" t="str">
        <f>IFERROR(__xludf.DUMMYFUNCTION("IFERROR(IF(COUNTIF(IMPORTRANGE(""1IG9qoa6PeLdDDFzKpW39lxXshN0-M8Z25a_R1EpsYyg"",""Form Responses 1!B:B""),F640)&gt;0,10,),0)"),"")</f>
        <v/>
      </c>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row>
    <row r="641">
      <c r="B641" s="70" t="str">
        <f>IFERROR(__xludf.DUMMYFUNCTION("IFERROR(IF(COUNTIF(IMPORTRANGE(""1RTcwEJsI_0aJRebhNwO_H_AoKl9r46k7hWYbtciIyM4"",""Form Responses 1!B:B""),A641)&gt;0,10,),0)"),"")</f>
        <v/>
      </c>
      <c r="C641" s="70" t="str">
        <f>IFERROR(__xludf.DUMMYFUNCTION("IFERROR(VLOOKUP(A641,IMPORTRANGE(""11i8IUhq_U6RRKRV3CBWIKqYed_fMvFgNUHTq1YDJfp8"",""Form Responses 1!B:C""),2,FALSE),)"),"")</f>
        <v/>
      </c>
      <c r="D641" s="70" t="str">
        <f>IFERROR(__xludf.DUMMYFUNCTION("IFERROR(VLOOKUP(A641,IMPORTRANGE(""1StiHxuxrFhYdrq5WLR2JMORicW0TbnJf3J-oTHeMRtM"",""Form Responses 1!B:C""),2,FALSE),)"),"")</f>
        <v/>
      </c>
      <c r="E641" s="70" t="str">
        <f>IFERROR(__xludf.DUMMYFUNCTION("IFERROR(VLOOKUP(A641,IMPORTRANGE(""1QaxxyUjrDq2kgz300C1Bq1tacFk6e-xX218cSXCQUK0"",""Form Responses 1!B:C""),2,FALSE),)"),"")</f>
        <v/>
      </c>
      <c r="F641" s="70" t="str">
        <f>IFERROR(__xludf.DUMMYFUNCTION("IFERROR(VLOOKUP(A641,IMPORTRANGE(""1fn2ECph_y8Uz78DhjLaiXcwgt6kh3oe-0Le36Uw0noE"",""Form Responses 1!B:C""),2,FALSE),)"),"")</f>
        <v/>
      </c>
      <c r="G641" s="70"/>
      <c r="H641" s="70"/>
      <c r="I641" s="70"/>
      <c r="J641" s="70"/>
      <c r="K641" s="70"/>
      <c r="L641" s="70"/>
      <c r="M641" s="70"/>
      <c r="N641" s="70"/>
      <c r="O641" s="70"/>
      <c r="P641" s="70"/>
      <c r="Q641" s="70" t="str">
        <f>IFERROR(__xludf.DUMMYFUNCTION("IFERROR(IF(COUNTIF(IMPORTRANGE(""1WjiLR_MTMxI_IZUKuvPO4Sg2rTSIqBzP3edakSRXbOA"",""Form Responses 1!B:B""),F641)&gt;0,10,),0)"),"")</f>
        <v/>
      </c>
      <c r="R641" s="70" t="str">
        <f>IFERROR(__xludf.DUMMYFUNCTION("IFERROR(VLOOKUP(F641,IMPORTRANGE(""1Ixzbal5tEbtWhozsFEppQzOYE6ZSrkNXHg_HW5k3Wt4"",""Form Responses 1!B:C""),2,FALSE),)"),"")</f>
        <v/>
      </c>
      <c r="S641" s="70" t="str">
        <f>IFERROR(__xludf.DUMMYFUNCTION("IFERROR(VLOOKUP(F641,IMPORTRANGE(""1zxjtEKGvVIJPIDqZdnxENwVpPXYa88EihzyI44hcQUo"",""Form Responses 1!B:C""),2,FALSE),)"),"")</f>
        <v/>
      </c>
      <c r="T641" s="70" t="str">
        <f>IFERROR(__xludf.DUMMYFUNCTION("IFERROR(VLOOKUP(F641,IMPORTRANGE(""1H3cO01obd5zFULYqaT5NAqecZBFFIHeDFn4CeQLZF3w"",""Form Responses 1!B:C""),2,FALSE),)"),"")</f>
        <v/>
      </c>
      <c r="U641" s="70" t="str">
        <f>IFERROR(__xludf.DUMMYFUNCTION("IFERROR(IF(COUNTIF(IMPORTRANGE(""1IG9qoa6PeLdDDFzKpW39lxXshN0-M8Z25a_R1EpsYyg"",""Form Responses 1!B:B""),F641)&gt;0,10,),0)"),"")</f>
        <v/>
      </c>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row>
    <row r="642">
      <c r="B642" s="70" t="str">
        <f>IFERROR(__xludf.DUMMYFUNCTION("IFERROR(IF(COUNTIF(IMPORTRANGE(""1RTcwEJsI_0aJRebhNwO_H_AoKl9r46k7hWYbtciIyM4"",""Form Responses 1!B:B""),A642)&gt;0,10,),0)"),"")</f>
        <v/>
      </c>
      <c r="C642" s="70" t="str">
        <f>IFERROR(__xludf.DUMMYFUNCTION("IFERROR(VLOOKUP(A642,IMPORTRANGE(""11i8IUhq_U6RRKRV3CBWIKqYed_fMvFgNUHTq1YDJfp8"",""Form Responses 1!B:C""),2,FALSE),)"),"")</f>
        <v/>
      </c>
      <c r="D642" s="70" t="str">
        <f>IFERROR(__xludf.DUMMYFUNCTION("IFERROR(VLOOKUP(A642,IMPORTRANGE(""1StiHxuxrFhYdrq5WLR2JMORicW0TbnJf3J-oTHeMRtM"",""Form Responses 1!B:C""),2,FALSE),)"),"")</f>
        <v/>
      </c>
      <c r="E642" s="70" t="str">
        <f>IFERROR(__xludf.DUMMYFUNCTION("IFERROR(VLOOKUP(A642,IMPORTRANGE(""1QaxxyUjrDq2kgz300C1Bq1tacFk6e-xX218cSXCQUK0"",""Form Responses 1!B:C""),2,FALSE),)"),"")</f>
        <v/>
      </c>
      <c r="F642" s="70" t="str">
        <f>IFERROR(__xludf.DUMMYFUNCTION("IFERROR(VLOOKUP(A642,IMPORTRANGE(""1fn2ECph_y8Uz78DhjLaiXcwgt6kh3oe-0Le36Uw0noE"",""Form Responses 1!B:C""),2,FALSE),)"),"")</f>
        <v/>
      </c>
      <c r="G642" s="70"/>
      <c r="H642" s="70"/>
      <c r="I642" s="70"/>
      <c r="J642" s="70"/>
      <c r="K642" s="70"/>
      <c r="L642" s="70"/>
      <c r="M642" s="70"/>
      <c r="N642" s="70"/>
      <c r="O642" s="70"/>
      <c r="P642" s="70"/>
      <c r="Q642" s="70" t="str">
        <f>IFERROR(__xludf.DUMMYFUNCTION("IFERROR(IF(COUNTIF(IMPORTRANGE(""1WjiLR_MTMxI_IZUKuvPO4Sg2rTSIqBzP3edakSRXbOA"",""Form Responses 1!B:B""),F642)&gt;0,10,),0)"),"")</f>
        <v/>
      </c>
      <c r="R642" s="70" t="str">
        <f>IFERROR(__xludf.DUMMYFUNCTION("IFERROR(VLOOKUP(F642,IMPORTRANGE(""1Ixzbal5tEbtWhozsFEppQzOYE6ZSrkNXHg_HW5k3Wt4"",""Form Responses 1!B:C""),2,FALSE),)"),"")</f>
        <v/>
      </c>
      <c r="S642" s="70" t="str">
        <f>IFERROR(__xludf.DUMMYFUNCTION("IFERROR(VLOOKUP(F642,IMPORTRANGE(""1zxjtEKGvVIJPIDqZdnxENwVpPXYa88EihzyI44hcQUo"",""Form Responses 1!B:C""),2,FALSE),)"),"")</f>
        <v/>
      </c>
      <c r="T642" s="70" t="str">
        <f>IFERROR(__xludf.DUMMYFUNCTION("IFERROR(VLOOKUP(F642,IMPORTRANGE(""1H3cO01obd5zFULYqaT5NAqecZBFFIHeDFn4CeQLZF3w"",""Form Responses 1!B:C""),2,FALSE),)"),"")</f>
        <v/>
      </c>
      <c r="U642" s="70" t="str">
        <f>IFERROR(__xludf.DUMMYFUNCTION("IFERROR(IF(COUNTIF(IMPORTRANGE(""1IG9qoa6PeLdDDFzKpW39lxXshN0-M8Z25a_R1EpsYyg"",""Form Responses 1!B:B""),F642)&gt;0,10,),0)"),"")</f>
        <v/>
      </c>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row>
    <row r="643">
      <c r="B643" s="70" t="str">
        <f>IFERROR(__xludf.DUMMYFUNCTION("IFERROR(IF(COUNTIF(IMPORTRANGE(""1RTcwEJsI_0aJRebhNwO_H_AoKl9r46k7hWYbtciIyM4"",""Form Responses 1!B:B""),A643)&gt;0,10,),0)"),"")</f>
        <v/>
      </c>
      <c r="C643" s="70" t="str">
        <f>IFERROR(__xludf.DUMMYFUNCTION("IFERROR(VLOOKUP(A643,IMPORTRANGE(""11i8IUhq_U6RRKRV3CBWIKqYed_fMvFgNUHTq1YDJfp8"",""Form Responses 1!B:C""),2,FALSE),)"),"")</f>
        <v/>
      </c>
      <c r="D643" s="70" t="str">
        <f>IFERROR(__xludf.DUMMYFUNCTION("IFERROR(VLOOKUP(A643,IMPORTRANGE(""1StiHxuxrFhYdrq5WLR2JMORicW0TbnJf3J-oTHeMRtM"",""Form Responses 1!B:C""),2,FALSE),)"),"")</f>
        <v/>
      </c>
      <c r="E643" s="70" t="str">
        <f>IFERROR(__xludf.DUMMYFUNCTION("IFERROR(VLOOKUP(A643,IMPORTRANGE(""1QaxxyUjrDq2kgz300C1Bq1tacFk6e-xX218cSXCQUK0"",""Form Responses 1!B:C""),2,FALSE),)"),"")</f>
        <v/>
      </c>
      <c r="F643" s="70" t="str">
        <f>IFERROR(__xludf.DUMMYFUNCTION("IFERROR(VLOOKUP(A643,IMPORTRANGE(""1fn2ECph_y8Uz78DhjLaiXcwgt6kh3oe-0Le36Uw0noE"",""Form Responses 1!B:C""),2,FALSE),)"),"")</f>
        <v/>
      </c>
      <c r="G643" s="70"/>
      <c r="H643" s="70"/>
      <c r="I643" s="70"/>
      <c r="J643" s="70"/>
      <c r="K643" s="70"/>
      <c r="L643" s="70"/>
      <c r="M643" s="70"/>
      <c r="N643" s="70"/>
      <c r="O643" s="70"/>
      <c r="P643" s="70"/>
      <c r="Q643" s="70" t="str">
        <f>IFERROR(__xludf.DUMMYFUNCTION("IFERROR(IF(COUNTIF(IMPORTRANGE(""1WjiLR_MTMxI_IZUKuvPO4Sg2rTSIqBzP3edakSRXbOA"",""Form Responses 1!B:B""),F643)&gt;0,10,),0)"),"")</f>
        <v/>
      </c>
      <c r="R643" s="70" t="str">
        <f>IFERROR(__xludf.DUMMYFUNCTION("IFERROR(VLOOKUP(F643,IMPORTRANGE(""1Ixzbal5tEbtWhozsFEppQzOYE6ZSrkNXHg_HW5k3Wt4"",""Form Responses 1!B:C""),2,FALSE),)"),"")</f>
        <v/>
      </c>
      <c r="S643" s="70" t="str">
        <f>IFERROR(__xludf.DUMMYFUNCTION("IFERROR(VLOOKUP(F643,IMPORTRANGE(""1zxjtEKGvVIJPIDqZdnxENwVpPXYa88EihzyI44hcQUo"",""Form Responses 1!B:C""),2,FALSE),)"),"")</f>
        <v/>
      </c>
      <c r="T643" s="70" t="str">
        <f>IFERROR(__xludf.DUMMYFUNCTION("IFERROR(VLOOKUP(F643,IMPORTRANGE(""1H3cO01obd5zFULYqaT5NAqecZBFFIHeDFn4CeQLZF3w"",""Form Responses 1!B:C""),2,FALSE),)"),"")</f>
        <v/>
      </c>
      <c r="U643" s="70" t="str">
        <f>IFERROR(__xludf.DUMMYFUNCTION("IFERROR(IF(COUNTIF(IMPORTRANGE(""1IG9qoa6PeLdDDFzKpW39lxXshN0-M8Z25a_R1EpsYyg"",""Form Responses 1!B:B""),F643)&gt;0,10,),0)"),"")</f>
        <v/>
      </c>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row>
    <row r="644">
      <c r="B644" s="70" t="str">
        <f>IFERROR(__xludf.DUMMYFUNCTION("IFERROR(IF(COUNTIF(IMPORTRANGE(""1RTcwEJsI_0aJRebhNwO_H_AoKl9r46k7hWYbtciIyM4"",""Form Responses 1!B:B""),A644)&gt;0,10,),0)"),"")</f>
        <v/>
      </c>
      <c r="C644" s="70" t="str">
        <f>IFERROR(__xludf.DUMMYFUNCTION("IFERROR(VLOOKUP(A644,IMPORTRANGE(""11i8IUhq_U6RRKRV3CBWIKqYed_fMvFgNUHTq1YDJfp8"",""Form Responses 1!B:C""),2,FALSE),)"),"")</f>
        <v/>
      </c>
      <c r="D644" s="70" t="str">
        <f>IFERROR(__xludf.DUMMYFUNCTION("IFERROR(VLOOKUP(A644,IMPORTRANGE(""1StiHxuxrFhYdrq5WLR2JMORicW0TbnJf3J-oTHeMRtM"",""Form Responses 1!B:C""),2,FALSE),)"),"")</f>
        <v/>
      </c>
      <c r="E644" s="70" t="str">
        <f>IFERROR(__xludf.DUMMYFUNCTION("IFERROR(VLOOKUP(A644,IMPORTRANGE(""1QaxxyUjrDq2kgz300C1Bq1tacFk6e-xX218cSXCQUK0"",""Form Responses 1!B:C""),2,FALSE),)"),"")</f>
        <v/>
      </c>
      <c r="F644" s="70" t="str">
        <f>IFERROR(__xludf.DUMMYFUNCTION("IFERROR(VLOOKUP(A644,IMPORTRANGE(""1fn2ECph_y8Uz78DhjLaiXcwgt6kh3oe-0Le36Uw0noE"",""Form Responses 1!B:C""),2,FALSE),)"),"")</f>
        <v/>
      </c>
      <c r="G644" s="70"/>
      <c r="H644" s="70"/>
      <c r="I644" s="70"/>
      <c r="J644" s="70"/>
      <c r="K644" s="70"/>
      <c r="L644" s="70"/>
      <c r="M644" s="70"/>
      <c r="N644" s="70"/>
      <c r="O644" s="70"/>
      <c r="P644" s="70"/>
      <c r="Q644" s="70" t="str">
        <f>IFERROR(__xludf.DUMMYFUNCTION("IFERROR(IF(COUNTIF(IMPORTRANGE(""1WjiLR_MTMxI_IZUKuvPO4Sg2rTSIqBzP3edakSRXbOA"",""Form Responses 1!B:B""),F644)&gt;0,10,),0)"),"")</f>
        <v/>
      </c>
      <c r="R644" s="70" t="str">
        <f>IFERROR(__xludf.DUMMYFUNCTION("IFERROR(VLOOKUP(F644,IMPORTRANGE(""1Ixzbal5tEbtWhozsFEppQzOYE6ZSrkNXHg_HW5k3Wt4"",""Form Responses 1!B:C""),2,FALSE),)"),"")</f>
        <v/>
      </c>
      <c r="S644" s="70" t="str">
        <f>IFERROR(__xludf.DUMMYFUNCTION("IFERROR(VLOOKUP(F644,IMPORTRANGE(""1zxjtEKGvVIJPIDqZdnxENwVpPXYa88EihzyI44hcQUo"",""Form Responses 1!B:C""),2,FALSE),)"),"")</f>
        <v/>
      </c>
      <c r="T644" s="70" t="str">
        <f>IFERROR(__xludf.DUMMYFUNCTION("IFERROR(VLOOKUP(F644,IMPORTRANGE(""1H3cO01obd5zFULYqaT5NAqecZBFFIHeDFn4CeQLZF3w"",""Form Responses 1!B:C""),2,FALSE),)"),"")</f>
        <v/>
      </c>
      <c r="U644" s="70" t="str">
        <f>IFERROR(__xludf.DUMMYFUNCTION("IFERROR(IF(COUNTIF(IMPORTRANGE(""1IG9qoa6PeLdDDFzKpW39lxXshN0-M8Z25a_R1EpsYyg"",""Form Responses 1!B:B""),F644)&gt;0,10,),0)"),"")</f>
        <v/>
      </c>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row>
    <row r="645">
      <c r="B645" s="70" t="str">
        <f>IFERROR(__xludf.DUMMYFUNCTION("IFERROR(IF(COUNTIF(IMPORTRANGE(""1RTcwEJsI_0aJRebhNwO_H_AoKl9r46k7hWYbtciIyM4"",""Form Responses 1!B:B""),A645)&gt;0,10,),0)"),"")</f>
        <v/>
      </c>
      <c r="C645" s="70" t="str">
        <f>IFERROR(__xludf.DUMMYFUNCTION("IFERROR(VLOOKUP(A645,IMPORTRANGE(""11i8IUhq_U6RRKRV3CBWIKqYed_fMvFgNUHTq1YDJfp8"",""Form Responses 1!B:C""),2,FALSE),)"),"")</f>
        <v/>
      </c>
      <c r="D645" s="70" t="str">
        <f>IFERROR(__xludf.DUMMYFUNCTION("IFERROR(VLOOKUP(A645,IMPORTRANGE(""1StiHxuxrFhYdrq5WLR2JMORicW0TbnJf3J-oTHeMRtM"",""Form Responses 1!B:C""),2,FALSE),)"),"")</f>
        <v/>
      </c>
      <c r="E645" s="70" t="str">
        <f>IFERROR(__xludf.DUMMYFUNCTION("IFERROR(VLOOKUP(A645,IMPORTRANGE(""1QaxxyUjrDq2kgz300C1Bq1tacFk6e-xX218cSXCQUK0"",""Form Responses 1!B:C""),2,FALSE),)"),"")</f>
        <v/>
      </c>
      <c r="F645" s="70" t="str">
        <f>IFERROR(__xludf.DUMMYFUNCTION("IFERROR(VLOOKUP(A645,IMPORTRANGE(""1fn2ECph_y8Uz78DhjLaiXcwgt6kh3oe-0Le36Uw0noE"",""Form Responses 1!B:C""),2,FALSE),)"),"")</f>
        <v/>
      </c>
      <c r="G645" s="70"/>
      <c r="H645" s="70"/>
      <c r="I645" s="70"/>
      <c r="J645" s="70"/>
      <c r="K645" s="70"/>
      <c r="L645" s="70"/>
      <c r="M645" s="70"/>
      <c r="N645" s="70"/>
      <c r="O645" s="70"/>
      <c r="P645" s="70"/>
      <c r="Q645" s="70" t="str">
        <f>IFERROR(__xludf.DUMMYFUNCTION("IFERROR(IF(COUNTIF(IMPORTRANGE(""1WjiLR_MTMxI_IZUKuvPO4Sg2rTSIqBzP3edakSRXbOA"",""Form Responses 1!B:B""),F645)&gt;0,10,),0)"),"")</f>
        <v/>
      </c>
      <c r="R645" s="70" t="str">
        <f>IFERROR(__xludf.DUMMYFUNCTION("IFERROR(VLOOKUP(F645,IMPORTRANGE(""1Ixzbal5tEbtWhozsFEppQzOYE6ZSrkNXHg_HW5k3Wt4"",""Form Responses 1!B:C""),2,FALSE),)"),"")</f>
        <v/>
      </c>
      <c r="S645" s="70" t="str">
        <f>IFERROR(__xludf.DUMMYFUNCTION("IFERROR(VLOOKUP(F645,IMPORTRANGE(""1zxjtEKGvVIJPIDqZdnxENwVpPXYa88EihzyI44hcQUo"",""Form Responses 1!B:C""),2,FALSE),)"),"")</f>
        <v/>
      </c>
      <c r="T645" s="70" t="str">
        <f>IFERROR(__xludf.DUMMYFUNCTION("IFERROR(VLOOKUP(F645,IMPORTRANGE(""1H3cO01obd5zFULYqaT5NAqecZBFFIHeDFn4CeQLZF3w"",""Form Responses 1!B:C""),2,FALSE),)"),"")</f>
        <v/>
      </c>
      <c r="U645" s="70" t="str">
        <f>IFERROR(__xludf.DUMMYFUNCTION("IFERROR(IF(COUNTIF(IMPORTRANGE(""1IG9qoa6PeLdDDFzKpW39lxXshN0-M8Z25a_R1EpsYyg"",""Form Responses 1!B:B""),F645)&gt;0,10,),0)"),"")</f>
        <v/>
      </c>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row>
    <row r="646">
      <c r="B646" s="70" t="str">
        <f>IFERROR(__xludf.DUMMYFUNCTION("IFERROR(IF(COUNTIF(IMPORTRANGE(""1RTcwEJsI_0aJRebhNwO_H_AoKl9r46k7hWYbtciIyM4"",""Form Responses 1!B:B""),A646)&gt;0,10,),0)"),"")</f>
        <v/>
      </c>
      <c r="C646" s="70" t="str">
        <f>IFERROR(__xludf.DUMMYFUNCTION("IFERROR(VLOOKUP(A646,IMPORTRANGE(""11i8IUhq_U6RRKRV3CBWIKqYed_fMvFgNUHTq1YDJfp8"",""Form Responses 1!B:C""),2,FALSE),)"),"")</f>
        <v/>
      </c>
      <c r="D646" s="70" t="str">
        <f>IFERROR(__xludf.DUMMYFUNCTION("IFERROR(VLOOKUP(A646,IMPORTRANGE(""1StiHxuxrFhYdrq5WLR2JMORicW0TbnJf3J-oTHeMRtM"",""Form Responses 1!B:C""),2,FALSE),)"),"")</f>
        <v/>
      </c>
      <c r="E646" s="70" t="str">
        <f>IFERROR(__xludf.DUMMYFUNCTION("IFERROR(VLOOKUP(A646,IMPORTRANGE(""1QaxxyUjrDq2kgz300C1Bq1tacFk6e-xX218cSXCQUK0"",""Form Responses 1!B:C""),2,FALSE),)"),"")</f>
        <v/>
      </c>
      <c r="F646" s="70" t="str">
        <f>IFERROR(__xludf.DUMMYFUNCTION("IFERROR(VLOOKUP(A646,IMPORTRANGE(""1fn2ECph_y8Uz78DhjLaiXcwgt6kh3oe-0Le36Uw0noE"",""Form Responses 1!B:C""),2,FALSE),)"),"")</f>
        <v/>
      </c>
      <c r="G646" s="70"/>
      <c r="H646" s="70"/>
      <c r="I646" s="70"/>
      <c r="J646" s="70"/>
      <c r="K646" s="70"/>
      <c r="L646" s="70"/>
      <c r="M646" s="70"/>
      <c r="N646" s="70"/>
      <c r="O646" s="70"/>
      <c r="P646" s="70"/>
      <c r="Q646" s="70" t="str">
        <f>IFERROR(__xludf.DUMMYFUNCTION("IFERROR(IF(COUNTIF(IMPORTRANGE(""1WjiLR_MTMxI_IZUKuvPO4Sg2rTSIqBzP3edakSRXbOA"",""Form Responses 1!B:B""),F646)&gt;0,10,),0)"),"")</f>
        <v/>
      </c>
      <c r="R646" s="70" t="str">
        <f>IFERROR(__xludf.DUMMYFUNCTION("IFERROR(VLOOKUP(F646,IMPORTRANGE(""1Ixzbal5tEbtWhozsFEppQzOYE6ZSrkNXHg_HW5k3Wt4"",""Form Responses 1!B:C""),2,FALSE),)"),"")</f>
        <v/>
      </c>
      <c r="S646" s="70" t="str">
        <f>IFERROR(__xludf.DUMMYFUNCTION("IFERROR(VLOOKUP(F646,IMPORTRANGE(""1zxjtEKGvVIJPIDqZdnxENwVpPXYa88EihzyI44hcQUo"",""Form Responses 1!B:C""),2,FALSE),)"),"")</f>
        <v/>
      </c>
      <c r="T646" s="70" t="str">
        <f>IFERROR(__xludf.DUMMYFUNCTION("IFERROR(VLOOKUP(F646,IMPORTRANGE(""1H3cO01obd5zFULYqaT5NAqecZBFFIHeDFn4CeQLZF3w"",""Form Responses 1!B:C""),2,FALSE),)"),"")</f>
        <v/>
      </c>
      <c r="U646" s="70" t="str">
        <f>IFERROR(__xludf.DUMMYFUNCTION("IFERROR(IF(COUNTIF(IMPORTRANGE(""1IG9qoa6PeLdDDFzKpW39lxXshN0-M8Z25a_R1EpsYyg"",""Form Responses 1!B:B""),F646)&gt;0,10,),0)"),"")</f>
        <v/>
      </c>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row>
    <row r="647">
      <c r="B647" s="70" t="str">
        <f>IFERROR(__xludf.DUMMYFUNCTION("IFERROR(IF(COUNTIF(IMPORTRANGE(""1RTcwEJsI_0aJRebhNwO_H_AoKl9r46k7hWYbtciIyM4"",""Form Responses 1!B:B""),A647)&gt;0,10,),0)"),"")</f>
        <v/>
      </c>
      <c r="C647" s="70" t="str">
        <f>IFERROR(__xludf.DUMMYFUNCTION("IFERROR(VLOOKUP(A647,IMPORTRANGE(""11i8IUhq_U6RRKRV3CBWIKqYed_fMvFgNUHTq1YDJfp8"",""Form Responses 1!B:C""),2,FALSE),)"),"")</f>
        <v/>
      </c>
      <c r="D647" s="70" t="str">
        <f>IFERROR(__xludf.DUMMYFUNCTION("IFERROR(VLOOKUP(A647,IMPORTRANGE(""1StiHxuxrFhYdrq5WLR2JMORicW0TbnJf3J-oTHeMRtM"",""Form Responses 1!B:C""),2,FALSE),)"),"")</f>
        <v/>
      </c>
      <c r="E647" s="70" t="str">
        <f>IFERROR(__xludf.DUMMYFUNCTION("IFERROR(VLOOKUP(A647,IMPORTRANGE(""1QaxxyUjrDq2kgz300C1Bq1tacFk6e-xX218cSXCQUK0"",""Form Responses 1!B:C""),2,FALSE),)"),"")</f>
        <v/>
      </c>
      <c r="F647" s="70" t="str">
        <f>IFERROR(__xludf.DUMMYFUNCTION("IFERROR(VLOOKUP(A647,IMPORTRANGE(""1fn2ECph_y8Uz78DhjLaiXcwgt6kh3oe-0Le36Uw0noE"",""Form Responses 1!B:C""),2,FALSE),)"),"")</f>
        <v/>
      </c>
      <c r="G647" s="70"/>
      <c r="H647" s="70"/>
      <c r="I647" s="70"/>
      <c r="J647" s="70"/>
      <c r="K647" s="70"/>
      <c r="L647" s="70"/>
      <c r="M647" s="70"/>
      <c r="N647" s="70"/>
      <c r="O647" s="70"/>
      <c r="P647" s="70"/>
      <c r="Q647" s="70" t="str">
        <f>IFERROR(__xludf.DUMMYFUNCTION("IFERROR(IF(COUNTIF(IMPORTRANGE(""1WjiLR_MTMxI_IZUKuvPO4Sg2rTSIqBzP3edakSRXbOA"",""Form Responses 1!B:B""),F647)&gt;0,10,),0)"),"")</f>
        <v/>
      </c>
      <c r="R647" s="70" t="str">
        <f>IFERROR(__xludf.DUMMYFUNCTION("IFERROR(VLOOKUP(F647,IMPORTRANGE(""1Ixzbal5tEbtWhozsFEppQzOYE6ZSrkNXHg_HW5k3Wt4"",""Form Responses 1!B:C""),2,FALSE),)"),"")</f>
        <v/>
      </c>
      <c r="S647" s="70" t="str">
        <f>IFERROR(__xludf.DUMMYFUNCTION("IFERROR(VLOOKUP(F647,IMPORTRANGE(""1zxjtEKGvVIJPIDqZdnxENwVpPXYa88EihzyI44hcQUo"",""Form Responses 1!B:C""),2,FALSE),)"),"")</f>
        <v/>
      </c>
      <c r="T647" s="70" t="str">
        <f>IFERROR(__xludf.DUMMYFUNCTION("IFERROR(VLOOKUP(F647,IMPORTRANGE(""1H3cO01obd5zFULYqaT5NAqecZBFFIHeDFn4CeQLZF3w"",""Form Responses 1!B:C""),2,FALSE),)"),"")</f>
        <v/>
      </c>
      <c r="U647" s="70" t="str">
        <f>IFERROR(__xludf.DUMMYFUNCTION("IFERROR(IF(COUNTIF(IMPORTRANGE(""1IG9qoa6PeLdDDFzKpW39lxXshN0-M8Z25a_R1EpsYyg"",""Form Responses 1!B:B""),F647)&gt;0,10,),0)"),"")</f>
        <v/>
      </c>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row>
    <row r="648">
      <c r="B648" s="70" t="str">
        <f>IFERROR(__xludf.DUMMYFUNCTION("IFERROR(IF(COUNTIF(IMPORTRANGE(""1RTcwEJsI_0aJRebhNwO_H_AoKl9r46k7hWYbtciIyM4"",""Form Responses 1!B:B""),A648)&gt;0,10,),0)"),"")</f>
        <v/>
      </c>
      <c r="C648" s="70" t="str">
        <f>IFERROR(__xludf.DUMMYFUNCTION("IFERROR(VLOOKUP(A648,IMPORTRANGE(""11i8IUhq_U6RRKRV3CBWIKqYed_fMvFgNUHTq1YDJfp8"",""Form Responses 1!B:C""),2,FALSE),)"),"")</f>
        <v/>
      </c>
      <c r="D648" s="70" t="str">
        <f>IFERROR(__xludf.DUMMYFUNCTION("IFERROR(VLOOKUP(A648,IMPORTRANGE(""1StiHxuxrFhYdrq5WLR2JMORicW0TbnJf3J-oTHeMRtM"",""Form Responses 1!B:C""),2,FALSE),)"),"")</f>
        <v/>
      </c>
      <c r="E648" s="70" t="str">
        <f>IFERROR(__xludf.DUMMYFUNCTION("IFERROR(VLOOKUP(A648,IMPORTRANGE(""1QaxxyUjrDq2kgz300C1Bq1tacFk6e-xX218cSXCQUK0"",""Form Responses 1!B:C""),2,FALSE),)"),"")</f>
        <v/>
      </c>
      <c r="F648" s="70" t="str">
        <f>IFERROR(__xludf.DUMMYFUNCTION("IFERROR(VLOOKUP(A648,IMPORTRANGE(""1fn2ECph_y8Uz78DhjLaiXcwgt6kh3oe-0Le36Uw0noE"",""Form Responses 1!B:C""),2,FALSE),)"),"")</f>
        <v/>
      </c>
      <c r="G648" s="70"/>
      <c r="H648" s="70"/>
      <c r="I648" s="70"/>
      <c r="J648" s="70"/>
      <c r="K648" s="70"/>
      <c r="L648" s="70"/>
      <c r="M648" s="70"/>
      <c r="N648" s="70"/>
      <c r="O648" s="70"/>
      <c r="P648" s="70"/>
      <c r="Q648" s="70" t="str">
        <f>IFERROR(__xludf.DUMMYFUNCTION("IFERROR(IF(COUNTIF(IMPORTRANGE(""1WjiLR_MTMxI_IZUKuvPO4Sg2rTSIqBzP3edakSRXbOA"",""Form Responses 1!B:B""),F648)&gt;0,10,),0)"),"")</f>
        <v/>
      </c>
      <c r="R648" s="70" t="str">
        <f>IFERROR(__xludf.DUMMYFUNCTION("IFERROR(VLOOKUP(F648,IMPORTRANGE(""1Ixzbal5tEbtWhozsFEppQzOYE6ZSrkNXHg_HW5k3Wt4"",""Form Responses 1!B:C""),2,FALSE),)"),"")</f>
        <v/>
      </c>
      <c r="S648" s="70" t="str">
        <f>IFERROR(__xludf.DUMMYFUNCTION("IFERROR(VLOOKUP(F648,IMPORTRANGE(""1zxjtEKGvVIJPIDqZdnxENwVpPXYa88EihzyI44hcQUo"",""Form Responses 1!B:C""),2,FALSE),)"),"")</f>
        <v/>
      </c>
      <c r="T648" s="70" t="str">
        <f>IFERROR(__xludf.DUMMYFUNCTION("IFERROR(VLOOKUP(F648,IMPORTRANGE(""1H3cO01obd5zFULYqaT5NAqecZBFFIHeDFn4CeQLZF3w"",""Form Responses 1!B:C""),2,FALSE),)"),"")</f>
        <v/>
      </c>
      <c r="U648" s="70" t="str">
        <f>IFERROR(__xludf.DUMMYFUNCTION("IFERROR(IF(COUNTIF(IMPORTRANGE(""1IG9qoa6PeLdDDFzKpW39lxXshN0-M8Z25a_R1EpsYyg"",""Form Responses 1!B:B""),F648)&gt;0,10,),0)"),"")</f>
        <v/>
      </c>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row>
    <row r="649">
      <c r="B649" s="70" t="str">
        <f>IFERROR(__xludf.DUMMYFUNCTION("IFERROR(IF(COUNTIF(IMPORTRANGE(""1RTcwEJsI_0aJRebhNwO_H_AoKl9r46k7hWYbtciIyM4"",""Form Responses 1!B:B""),A649)&gt;0,10,),0)"),"")</f>
        <v/>
      </c>
      <c r="C649" s="70" t="str">
        <f>IFERROR(__xludf.DUMMYFUNCTION("IFERROR(VLOOKUP(A649,IMPORTRANGE(""11i8IUhq_U6RRKRV3CBWIKqYed_fMvFgNUHTq1YDJfp8"",""Form Responses 1!B:C""),2,FALSE),)"),"")</f>
        <v/>
      </c>
      <c r="D649" s="70" t="str">
        <f>IFERROR(__xludf.DUMMYFUNCTION("IFERROR(VLOOKUP(A649,IMPORTRANGE(""1StiHxuxrFhYdrq5WLR2JMORicW0TbnJf3J-oTHeMRtM"",""Form Responses 1!B:C""),2,FALSE),)"),"")</f>
        <v/>
      </c>
      <c r="E649" s="70" t="str">
        <f>IFERROR(__xludf.DUMMYFUNCTION("IFERROR(VLOOKUP(A649,IMPORTRANGE(""1QaxxyUjrDq2kgz300C1Bq1tacFk6e-xX218cSXCQUK0"",""Form Responses 1!B:C""),2,FALSE),)"),"")</f>
        <v/>
      </c>
      <c r="F649" s="70" t="str">
        <f>IFERROR(__xludf.DUMMYFUNCTION("IFERROR(VLOOKUP(A649,IMPORTRANGE(""1fn2ECph_y8Uz78DhjLaiXcwgt6kh3oe-0Le36Uw0noE"",""Form Responses 1!B:C""),2,FALSE),)"),"")</f>
        <v/>
      </c>
      <c r="G649" s="70"/>
      <c r="H649" s="70"/>
      <c r="I649" s="70"/>
      <c r="J649" s="70"/>
      <c r="K649" s="70"/>
      <c r="L649" s="70"/>
      <c r="M649" s="70"/>
      <c r="N649" s="70"/>
      <c r="O649" s="70"/>
      <c r="P649" s="70"/>
      <c r="Q649" s="70" t="str">
        <f>IFERROR(__xludf.DUMMYFUNCTION("IFERROR(IF(COUNTIF(IMPORTRANGE(""1WjiLR_MTMxI_IZUKuvPO4Sg2rTSIqBzP3edakSRXbOA"",""Form Responses 1!B:B""),F649)&gt;0,10,),0)"),"")</f>
        <v/>
      </c>
      <c r="R649" s="70" t="str">
        <f>IFERROR(__xludf.DUMMYFUNCTION("IFERROR(VLOOKUP(F649,IMPORTRANGE(""1Ixzbal5tEbtWhozsFEppQzOYE6ZSrkNXHg_HW5k3Wt4"",""Form Responses 1!B:C""),2,FALSE),)"),"")</f>
        <v/>
      </c>
      <c r="S649" s="70" t="str">
        <f>IFERROR(__xludf.DUMMYFUNCTION("IFERROR(VLOOKUP(F649,IMPORTRANGE(""1zxjtEKGvVIJPIDqZdnxENwVpPXYa88EihzyI44hcQUo"",""Form Responses 1!B:C""),2,FALSE),)"),"")</f>
        <v/>
      </c>
      <c r="T649" s="70" t="str">
        <f>IFERROR(__xludf.DUMMYFUNCTION("IFERROR(VLOOKUP(F649,IMPORTRANGE(""1H3cO01obd5zFULYqaT5NAqecZBFFIHeDFn4CeQLZF3w"",""Form Responses 1!B:C""),2,FALSE),)"),"")</f>
        <v/>
      </c>
      <c r="U649" s="70" t="str">
        <f>IFERROR(__xludf.DUMMYFUNCTION("IFERROR(IF(COUNTIF(IMPORTRANGE(""1IG9qoa6PeLdDDFzKpW39lxXshN0-M8Z25a_R1EpsYyg"",""Form Responses 1!B:B""),F649)&gt;0,10,),0)"),"")</f>
        <v/>
      </c>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row>
    <row r="650">
      <c r="B650" s="70" t="str">
        <f>IFERROR(__xludf.DUMMYFUNCTION("IFERROR(IF(COUNTIF(IMPORTRANGE(""1RTcwEJsI_0aJRebhNwO_H_AoKl9r46k7hWYbtciIyM4"",""Form Responses 1!B:B""),A650)&gt;0,10,),0)"),"")</f>
        <v/>
      </c>
      <c r="C650" s="70" t="str">
        <f>IFERROR(__xludf.DUMMYFUNCTION("IFERROR(VLOOKUP(A650,IMPORTRANGE(""11i8IUhq_U6RRKRV3CBWIKqYed_fMvFgNUHTq1YDJfp8"",""Form Responses 1!B:C""),2,FALSE),)"),"")</f>
        <v/>
      </c>
      <c r="D650" s="70" t="str">
        <f>IFERROR(__xludf.DUMMYFUNCTION("IFERROR(VLOOKUP(A650,IMPORTRANGE(""1StiHxuxrFhYdrq5WLR2JMORicW0TbnJf3J-oTHeMRtM"",""Form Responses 1!B:C""),2,FALSE),)"),"")</f>
        <v/>
      </c>
      <c r="E650" s="70" t="str">
        <f>IFERROR(__xludf.DUMMYFUNCTION("IFERROR(VLOOKUP(A650,IMPORTRANGE(""1QaxxyUjrDq2kgz300C1Bq1tacFk6e-xX218cSXCQUK0"",""Form Responses 1!B:C""),2,FALSE),)"),"")</f>
        <v/>
      </c>
      <c r="F650" s="70" t="str">
        <f>IFERROR(__xludf.DUMMYFUNCTION("IFERROR(VLOOKUP(A650,IMPORTRANGE(""1fn2ECph_y8Uz78DhjLaiXcwgt6kh3oe-0Le36Uw0noE"",""Form Responses 1!B:C""),2,FALSE),)"),"")</f>
        <v/>
      </c>
      <c r="G650" s="70"/>
      <c r="H650" s="70"/>
      <c r="I650" s="70"/>
      <c r="J650" s="70"/>
      <c r="K650" s="70"/>
      <c r="L650" s="70"/>
      <c r="M650" s="70"/>
      <c r="N650" s="70"/>
      <c r="O650" s="70"/>
      <c r="P650" s="70"/>
      <c r="Q650" s="70" t="str">
        <f>IFERROR(__xludf.DUMMYFUNCTION("IFERROR(IF(COUNTIF(IMPORTRANGE(""1WjiLR_MTMxI_IZUKuvPO4Sg2rTSIqBzP3edakSRXbOA"",""Form Responses 1!B:B""),F650)&gt;0,10,),0)"),"")</f>
        <v/>
      </c>
      <c r="R650" s="70" t="str">
        <f>IFERROR(__xludf.DUMMYFUNCTION("IFERROR(VLOOKUP(F650,IMPORTRANGE(""1Ixzbal5tEbtWhozsFEppQzOYE6ZSrkNXHg_HW5k3Wt4"",""Form Responses 1!B:C""),2,FALSE),)"),"")</f>
        <v/>
      </c>
      <c r="S650" s="70" t="str">
        <f>IFERROR(__xludf.DUMMYFUNCTION("IFERROR(VLOOKUP(F650,IMPORTRANGE(""1zxjtEKGvVIJPIDqZdnxENwVpPXYa88EihzyI44hcQUo"",""Form Responses 1!B:C""),2,FALSE),)"),"")</f>
        <v/>
      </c>
      <c r="T650" s="70" t="str">
        <f>IFERROR(__xludf.DUMMYFUNCTION("IFERROR(VLOOKUP(F650,IMPORTRANGE(""1H3cO01obd5zFULYqaT5NAqecZBFFIHeDFn4CeQLZF3w"",""Form Responses 1!B:C""),2,FALSE),)"),"")</f>
        <v/>
      </c>
      <c r="U650" s="70" t="str">
        <f>IFERROR(__xludf.DUMMYFUNCTION("IFERROR(IF(COUNTIF(IMPORTRANGE(""1IG9qoa6PeLdDDFzKpW39lxXshN0-M8Z25a_R1EpsYyg"",""Form Responses 1!B:B""),F650)&gt;0,10,),0)"),"")</f>
        <v/>
      </c>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row>
    <row r="651">
      <c r="B651" s="70" t="str">
        <f>IFERROR(__xludf.DUMMYFUNCTION("IFERROR(IF(COUNTIF(IMPORTRANGE(""1RTcwEJsI_0aJRebhNwO_H_AoKl9r46k7hWYbtciIyM4"",""Form Responses 1!B:B""),A651)&gt;0,10,),0)"),"")</f>
        <v/>
      </c>
      <c r="C651" s="70" t="str">
        <f>IFERROR(__xludf.DUMMYFUNCTION("IFERROR(VLOOKUP(A651,IMPORTRANGE(""11i8IUhq_U6RRKRV3CBWIKqYed_fMvFgNUHTq1YDJfp8"",""Form Responses 1!B:C""),2,FALSE),)"),"")</f>
        <v/>
      </c>
      <c r="D651" s="70" t="str">
        <f>IFERROR(__xludf.DUMMYFUNCTION("IFERROR(VLOOKUP(A651,IMPORTRANGE(""1StiHxuxrFhYdrq5WLR2JMORicW0TbnJf3J-oTHeMRtM"",""Form Responses 1!B:C""),2,FALSE),)"),"")</f>
        <v/>
      </c>
      <c r="E651" s="70" t="str">
        <f>IFERROR(__xludf.DUMMYFUNCTION("IFERROR(VLOOKUP(A651,IMPORTRANGE(""1QaxxyUjrDq2kgz300C1Bq1tacFk6e-xX218cSXCQUK0"",""Form Responses 1!B:C""),2,FALSE),)"),"")</f>
        <v/>
      </c>
      <c r="F651" s="70" t="str">
        <f>IFERROR(__xludf.DUMMYFUNCTION("IFERROR(VLOOKUP(A651,IMPORTRANGE(""1fn2ECph_y8Uz78DhjLaiXcwgt6kh3oe-0Le36Uw0noE"",""Form Responses 1!B:C""),2,FALSE),)"),"")</f>
        <v/>
      </c>
      <c r="G651" s="70"/>
      <c r="H651" s="70"/>
      <c r="I651" s="70"/>
      <c r="J651" s="70"/>
      <c r="K651" s="70"/>
      <c r="L651" s="70"/>
      <c r="M651" s="70"/>
      <c r="N651" s="70"/>
      <c r="O651" s="70"/>
      <c r="P651" s="70"/>
      <c r="Q651" s="70" t="str">
        <f>IFERROR(__xludf.DUMMYFUNCTION("IFERROR(IF(COUNTIF(IMPORTRANGE(""1WjiLR_MTMxI_IZUKuvPO4Sg2rTSIqBzP3edakSRXbOA"",""Form Responses 1!B:B""),F651)&gt;0,10,),0)"),"")</f>
        <v/>
      </c>
      <c r="R651" s="70" t="str">
        <f>IFERROR(__xludf.DUMMYFUNCTION("IFERROR(VLOOKUP(F651,IMPORTRANGE(""1Ixzbal5tEbtWhozsFEppQzOYE6ZSrkNXHg_HW5k3Wt4"",""Form Responses 1!B:C""),2,FALSE),)"),"")</f>
        <v/>
      </c>
      <c r="S651" s="70" t="str">
        <f>IFERROR(__xludf.DUMMYFUNCTION("IFERROR(VLOOKUP(F651,IMPORTRANGE(""1zxjtEKGvVIJPIDqZdnxENwVpPXYa88EihzyI44hcQUo"",""Form Responses 1!B:C""),2,FALSE),)"),"")</f>
        <v/>
      </c>
      <c r="T651" s="70" t="str">
        <f>IFERROR(__xludf.DUMMYFUNCTION("IFERROR(VLOOKUP(F651,IMPORTRANGE(""1H3cO01obd5zFULYqaT5NAqecZBFFIHeDFn4CeQLZF3w"",""Form Responses 1!B:C""),2,FALSE),)"),"")</f>
        <v/>
      </c>
      <c r="U651" s="70" t="str">
        <f>IFERROR(__xludf.DUMMYFUNCTION("IFERROR(IF(COUNTIF(IMPORTRANGE(""1IG9qoa6PeLdDDFzKpW39lxXshN0-M8Z25a_R1EpsYyg"",""Form Responses 1!B:B""),F651)&gt;0,10,),0)"),"")</f>
        <v/>
      </c>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row>
    <row r="652">
      <c r="B652" s="70" t="str">
        <f>IFERROR(__xludf.DUMMYFUNCTION("IFERROR(IF(COUNTIF(IMPORTRANGE(""1RTcwEJsI_0aJRebhNwO_H_AoKl9r46k7hWYbtciIyM4"",""Form Responses 1!B:B""),A652)&gt;0,10,),0)"),"")</f>
        <v/>
      </c>
      <c r="C652" s="70" t="str">
        <f>IFERROR(__xludf.DUMMYFUNCTION("IFERROR(VLOOKUP(A652,IMPORTRANGE(""11i8IUhq_U6RRKRV3CBWIKqYed_fMvFgNUHTq1YDJfp8"",""Form Responses 1!B:C""),2,FALSE),)"),"")</f>
        <v/>
      </c>
      <c r="D652" s="70" t="str">
        <f>IFERROR(__xludf.DUMMYFUNCTION("IFERROR(VLOOKUP(A652,IMPORTRANGE(""1StiHxuxrFhYdrq5WLR2JMORicW0TbnJf3J-oTHeMRtM"",""Form Responses 1!B:C""),2,FALSE),)"),"")</f>
        <v/>
      </c>
      <c r="E652" s="70" t="str">
        <f>IFERROR(__xludf.DUMMYFUNCTION("IFERROR(VLOOKUP(A652,IMPORTRANGE(""1QaxxyUjrDq2kgz300C1Bq1tacFk6e-xX218cSXCQUK0"",""Form Responses 1!B:C""),2,FALSE),)"),"")</f>
        <v/>
      </c>
      <c r="F652" s="70" t="str">
        <f>IFERROR(__xludf.DUMMYFUNCTION("IFERROR(VLOOKUP(A652,IMPORTRANGE(""1fn2ECph_y8Uz78DhjLaiXcwgt6kh3oe-0Le36Uw0noE"",""Form Responses 1!B:C""),2,FALSE),)"),"")</f>
        <v/>
      </c>
      <c r="G652" s="70"/>
      <c r="H652" s="70"/>
      <c r="I652" s="70"/>
      <c r="J652" s="70"/>
      <c r="K652" s="70"/>
      <c r="L652" s="70"/>
      <c r="M652" s="70"/>
      <c r="N652" s="70"/>
      <c r="O652" s="70"/>
      <c r="P652" s="70"/>
      <c r="Q652" s="70" t="str">
        <f>IFERROR(__xludf.DUMMYFUNCTION("IFERROR(IF(COUNTIF(IMPORTRANGE(""1WjiLR_MTMxI_IZUKuvPO4Sg2rTSIqBzP3edakSRXbOA"",""Form Responses 1!B:B""),F652)&gt;0,10,),0)"),"")</f>
        <v/>
      </c>
      <c r="R652" s="70" t="str">
        <f>IFERROR(__xludf.DUMMYFUNCTION("IFERROR(VLOOKUP(F652,IMPORTRANGE(""1Ixzbal5tEbtWhozsFEppQzOYE6ZSrkNXHg_HW5k3Wt4"",""Form Responses 1!B:C""),2,FALSE),)"),"")</f>
        <v/>
      </c>
      <c r="S652" s="70" t="str">
        <f>IFERROR(__xludf.DUMMYFUNCTION("IFERROR(VLOOKUP(F652,IMPORTRANGE(""1zxjtEKGvVIJPIDqZdnxENwVpPXYa88EihzyI44hcQUo"",""Form Responses 1!B:C""),2,FALSE),)"),"")</f>
        <v/>
      </c>
      <c r="T652" s="70" t="str">
        <f>IFERROR(__xludf.DUMMYFUNCTION("IFERROR(VLOOKUP(F652,IMPORTRANGE(""1H3cO01obd5zFULYqaT5NAqecZBFFIHeDFn4CeQLZF3w"",""Form Responses 1!B:C""),2,FALSE),)"),"")</f>
        <v/>
      </c>
      <c r="U652" s="70" t="str">
        <f>IFERROR(__xludf.DUMMYFUNCTION("IFERROR(IF(COUNTIF(IMPORTRANGE(""1IG9qoa6PeLdDDFzKpW39lxXshN0-M8Z25a_R1EpsYyg"",""Form Responses 1!B:B""),F652)&gt;0,10,),0)"),"")</f>
        <v/>
      </c>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row>
    <row r="653">
      <c r="B653" s="70" t="str">
        <f>IFERROR(__xludf.DUMMYFUNCTION("IFERROR(IF(COUNTIF(IMPORTRANGE(""1RTcwEJsI_0aJRebhNwO_H_AoKl9r46k7hWYbtciIyM4"",""Form Responses 1!B:B""),A653)&gt;0,10,),0)"),"")</f>
        <v/>
      </c>
      <c r="C653" s="70" t="str">
        <f>IFERROR(__xludf.DUMMYFUNCTION("IFERROR(VLOOKUP(A653,IMPORTRANGE(""11i8IUhq_U6RRKRV3CBWIKqYed_fMvFgNUHTq1YDJfp8"",""Form Responses 1!B:C""),2,FALSE),)"),"")</f>
        <v/>
      </c>
      <c r="D653" s="70" t="str">
        <f>IFERROR(__xludf.DUMMYFUNCTION("IFERROR(VLOOKUP(A653,IMPORTRANGE(""1StiHxuxrFhYdrq5WLR2JMORicW0TbnJf3J-oTHeMRtM"",""Form Responses 1!B:C""),2,FALSE),)"),"")</f>
        <v/>
      </c>
      <c r="E653" s="70" t="str">
        <f>IFERROR(__xludf.DUMMYFUNCTION("IFERROR(VLOOKUP(A653,IMPORTRANGE(""1QaxxyUjrDq2kgz300C1Bq1tacFk6e-xX218cSXCQUK0"",""Form Responses 1!B:C""),2,FALSE),)"),"")</f>
        <v/>
      </c>
      <c r="F653" s="70" t="str">
        <f>IFERROR(__xludf.DUMMYFUNCTION("IFERROR(VLOOKUP(A653,IMPORTRANGE(""1fn2ECph_y8Uz78DhjLaiXcwgt6kh3oe-0Le36Uw0noE"",""Form Responses 1!B:C""),2,FALSE),)"),"")</f>
        <v/>
      </c>
      <c r="G653" s="70"/>
      <c r="H653" s="70"/>
      <c r="I653" s="70"/>
      <c r="J653" s="70"/>
      <c r="K653" s="70"/>
      <c r="L653" s="70"/>
      <c r="M653" s="70"/>
      <c r="N653" s="70"/>
      <c r="O653" s="70"/>
      <c r="P653" s="70"/>
      <c r="Q653" s="70" t="str">
        <f>IFERROR(__xludf.DUMMYFUNCTION("IFERROR(IF(COUNTIF(IMPORTRANGE(""1WjiLR_MTMxI_IZUKuvPO4Sg2rTSIqBzP3edakSRXbOA"",""Form Responses 1!B:B""),F653)&gt;0,10,),0)"),"")</f>
        <v/>
      </c>
      <c r="R653" s="70" t="str">
        <f>IFERROR(__xludf.DUMMYFUNCTION("IFERROR(VLOOKUP(F653,IMPORTRANGE(""1Ixzbal5tEbtWhozsFEppQzOYE6ZSrkNXHg_HW5k3Wt4"",""Form Responses 1!B:C""),2,FALSE),)"),"")</f>
        <v/>
      </c>
      <c r="S653" s="70" t="str">
        <f>IFERROR(__xludf.DUMMYFUNCTION("IFERROR(VLOOKUP(F653,IMPORTRANGE(""1zxjtEKGvVIJPIDqZdnxENwVpPXYa88EihzyI44hcQUo"",""Form Responses 1!B:C""),2,FALSE),)"),"")</f>
        <v/>
      </c>
      <c r="T653" s="70" t="str">
        <f>IFERROR(__xludf.DUMMYFUNCTION("IFERROR(VLOOKUP(F653,IMPORTRANGE(""1H3cO01obd5zFULYqaT5NAqecZBFFIHeDFn4CeQLZF3w"",""Form Responses 1!B:C""),2,FALSE),)"),"")</f>
        <v/>
      </c>
      <c r="U653" s="70" t="str">
        <f>IFERROR(__xludf.DUMMYFUNCTION("IFERROR(IF(COUNTIF(IMPORTRANGE(""1IG9qoa6PeLdDDFzKpW39lxXshN0-M8Z25a_R1EpsYyg"",""Form Responses 1!B:B""),F653)&gt;0,10,),0)"),"")</f>
        <v/>
      </c>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row>
    <row r="654">
      <c r="B654" s="70" t="str">
        <f>IFERROR(__xludf.DUMMYFUNCTION("IFERROR(IF(COUNTIF(IMPORTRANGE(""1RTcwEJsI_0aJRebhNwO_H_AoKl9r46k7hWYbtciIyM4"",""Form Responses 1!B:B""),A654)&gt;0,10,),0)"),"")</f>
        <v/>
      </c>
      <c r="C654" s="70" t="str">
        <f>IFERROR(__xludf.DUMMYFUNCTION("IFERROR(VLOOKUP(A654,IMPORTRANGE(""11i8IUhq_U6RRKRV3CBWIKqYed_fMvFgNUHTq1YDJfp8"",""Form Responses 1!B:C""),2,FALSE),)"),"")</f>
        <v/>
      </c>
      <c r="D654" s="70" t="str">
        <f>IFERROR(__xludf.DUMMYFUNCTION("IFERROR(VLOOKUP(A654,IMPORTRANGE(""1StiHxuxrFhYdrq5WLR2JMORicW0TbnJf3J-oTHeMRtM"",""Form Responses 1!B:C""),2,FALSE),)"),"")</f>
        <v/>
      </c>
      <c r="E654" s="70" t="str">
        <f>IFERROR(__xludf.DUMMYFUNCTION("IFERROR(VLOOKUP(A654,IMPORTRANGE(""1QaxxyUjrDq2kgz300C1Bq1tacFk6e-xX218cSXCQUK0"",""Form Responses 1!B:C""),2,FALSE),)"),"")</f>
        <v/>
      </c>
      <c r="F654" s="70" t="str">
        <f>IFERROR(__xludf.DUMMYFUNCTION("IFERROR(VLOOKUP(A654,IMPORTRANGE(""1fn2ECph_y8Uz78DhjLaiXcwgt6kh3oe-0Le36Uw0noE"",""Form Responses 1!B:C""),2,FALSE),)"),"")</f>
        <v/>
      </c>
      <c r="G654" s="70"/>
      <c r="H654" s="70"/>
      <c r="I654" s="70"/>
      <c r="J654" s="70"/>
      <c r="K654" s="70"/>
      <c r="L654" s="70"/>
      <c r="M654" s="70"/>
      <c r="N654" s="70"/>
      <c r="O654" s="70"/>
      <c r="P654" s="70"/>
      <c r="Q654" s="70" t="str">
        <f>IFERROR(__xludf.DUMMYFUNCTION("IFERROR(IF(COUNTIF(IMPORTRANGE(""1WjiLR_MTMxI_IZUKuvPO4Sg2rTSIqBzP3edakSRXbOA"",""Form Responses 1!B:B""),F654)&gt;0,10,),0)"),"")</f>
        <v/>
      </c>
      <c r="R654" s="70" t="str">
        <f>IFERROR(__xludf.DUMMYFUNCTION("IFERROR(VLOOKUP(F654,IMPORTRANGE(""1Ixzbal5tEbtWhozsFEppQzOYE6ZSrkNXHg_HW5k3Wt4"",""Form Responses 1!B:C""),2,FALSE),)"),"")</f>
        <v/>
      </c>
      <c r="S654" s="70" t="str">
        <f>IFERROR(__xludf.DUMMYFUNCTION("IFERROR(VLOOKUP(F654,IMPORTRANGE(""1zxjtEKGvVIJPIDqZdnxENwVpPXYa88EihzyI44hcQUo"",""Form Responses 1!B:C""),2,FALSE),)"),"")</f>
        <v/>
      </c>
      <c r="T654" s="70" t="str">
        <f>IFERROR(__xludf.DUMMYFUNCTION("IFERROR(VLOOKUP(F654,IMPORTRANGE(""1H3cO01obd5zFULYqaT5NAqecZBFFIHeDFn4CeQLZF3w"",""Form Responses 1!B:C""),2,FALSE),)"),"")</f>
        <v/>
      </c>
      <c r="U654" s="70" t="str">
        <f>IFERROR(__xludf.DUMMYFUNCTION("IFERROR(IF(COUNTIF(IMPORTRANGE(""1IG9qoa6PeLdDDFzKpW39lxXshN0-M8Z25a_R1EpsYyg"",""Form Responses 1!B:B""),F654)&gt;0,10,),0)"),"")</f>
        <v/>
      </c>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row>
    <row r="655">
      <c r="B655" s="70" t="str">
        <f>IFERROR(__xludf.DUMMYFUNCTION("IFERROR(IF(COUNTIF(IMPORTRANGE(""1RTcwEJsI_0aJRebhNwO_H_AoKl9r46k7hWYbtciIyM4"",""Form Responses 1!B:B""),A655)&gt;0,10,),0)"),"")</f>
        <v/>
      </c>
      <c r="C655" s="70" t="str">
        <f>IFERROR(__xludf.DUMMYFUNCTION("IFERROR(VLOOKUP(A655,IMPORTRANGE(""11i8IUhq_U6RRKRV3CBWIKqYed_fMvFgNUHTq1YDJfp8"",""Form Responses 1!B:C""),2,FALSE),)"),"")</f>
        <v/>
      </c>
      <c r="D655" s="70" t="str">
        <f>IFERROR(__xludf.DUMMYFUNCTION("IFERROR(VLOOKUP(A655,IMPORTRANGE(""1StiHxuxrFhYdrq5WLR2JMORicW0TbnJf3J-oTHeMRtM"",""Form Responses 1!B:C""),2,FALSE),)"),"")</f>
        <v/>
      </c>
      <c r="E655" s="70" t="str">
        <f>IFERROR(__xludf.DUMMYFUNCTION("IFERROR(VLOOKUP(A655,IMPORTRANGE(""1QaxxyUjrDq2kgz300C1Bq1tacFk6e-xX218cSXCQUK0"",""Form Responses 1!B:C""),2,FALSE),)"),"")</f>
        <v/>
      </c>
      <c r="F655" s="70" t="str">
        <f>IFERROR(__xludf.DUMMYFUNCTION("IFERROR(VLOOKUP(A655,IMPORTRANGE(""1fn2ECph_y8Uz78DhjLaiXcwgt6kh3oe-0Le36Uw0noE"",""Form Responses 1!B:C""),2,FALSE),)"),"")</f>
        <v/>
      </c>
      <c r="G655" s="70"/>
      <c r="H655" s="70"/>
      <c r="I655" s="70"/>
      <c r="J655" s="70"/>
      <c r="K655" s="70"/>
      <c r="L655" s="70"/>
      <c r="M655" s="70"/>
      <c r="N655" s="70"/>
      <c r="O655" s="70"/>
      <c r="P655" s="70"/>
      <c r="Q655" s="70" t="str">
        <f>IFERROR(__xludf.DUMMYFUNCTION("IFERROR(IF(COUNTIF(IMPORTRANGE(""1WjiLR_MTMxI_IZUKuvPO4Sg2rTSIqBzP3edakSRXbOA"",""Form Responses 1!B:B""),F655)&gt;0,10,),0)"),"")</f>
        <v/>
      </c>
      <c r="R655" s="70" t="str">
        <f>IFERROR(__xludf.DUMMYFUNCTION("IFERROR(VLOOKUP(F655,IMPORTRANGE(""1Ixzbal5tEbtWhozsFEppQzOYE6ZSrkNXHg_HW5k3Wt4"",""Form Responses 1!B:C""),2,FALSE),)"),"")</f>
        <v/>
      </c>
      <c r="S655" s="70" t="str">
        <f>IFERROR(__xludf.DUMMYFUNCTION("IFERROR(VLOOKUP(F655,IMPORTRANGE(""1zxjtEKGvVIJPIDqZdnxENwVpPXYa88EihzyI44hcQUo"",""Form Responses 1!B:C""),2,FALSE),)"),"")</f>
        <v/>
      </c>
      <c r="T655" s="70" t="str">
        <f>IFERROR(__xludf.DUMMYFUNCTION("IFERROR(VLOOKUP(F655,IMPORTRANGE(""1H3cO01obd5zFULYqaT5NAqecZBFFIHeDFn4CeQLZF3w"",""Form Responses 1!B:C""),2,FALSE),)"),"")</f>
        <v/>
      </c>
      <c r="U655" s="70" t="str">
        <f>IFERROR(__xludf.DUMMYFUNCTION("IFERROR(IF(COUNTIF(IMPORTRANGE(""1IG9qoa6PeLdDDFzKpW39lxXshN0-M8Z25a_R1EpsYyg"",""Form Responses 1!B:B""),F655)&gt;0,10,),0)"),"")</f>
        <v/>
      </c>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row>
    <row r="656">
      <c r="B656" s="70" t="str">
        <f>IFERROR(__xludf.DUMMYFUNCTION("IFERROR(IF(COUNTIF(IMPORTRANGE(""1RTcwEJsI_0aJRebhNwO_H_AoKl9r46k7hWYbtciIyM4"",""Form Responses 1!B:B""),A656)&gt;0,10,),0)"),"")</f>
        <v/>
      </c>
      <c r="C656" s="70" t="str">
        <f>IFERROR(__xludf.DUMMYFUNCTION("IFERROR(VLOOKUP(A656,IMPORTRANGE(""11i8IUhq_U6RRKRV3CBWIKqYed_fMvFgNUHTq1YDJfp8"",""Form Responses 1!B:C""),2,FALSE),)"),"")</f>
        <v/>
      </c>
      <c r="D656" s="70" t="str">
        <f>IFERROR(__xludf.DUMMYFUNCTION("IFERROR(VLOOKUP(A656,IMPORTRANGE(""1StiHxuxrFhYdrq5WLR2JMORicW0TbnJf3J-oTHeMRtM"",""Form Responses 1!B:C""),2,FALSE),)"),"")</f>
        <v/>
      </c>
      <c r="E656" s="70" t="str">
        <f>IFERROR(__xludf.DUMMYFUNCTION("IFERROR(VLOOKUP(A656,IMPORTRANGE(""1QaxxyUjrDq2kgz300C1Bq1tacFk6e-xX218cSXCQUK0"",""Form Responses 1!B:C""),2,FALSE),)"),"")</f>
        <v/>
      </c>
      <c r="F656" s="70" t="str">
        <f>IFERROR(__xludf.DUMMYFUNCTION("IFERROR(VLOOKUP(A656,IMPORTRANGE(""1fn2ECph_y8Uz78DhjLaiXcwgt6kh3oe-0Le36Uw0noE"",""Form Responses 1!B:C""),2,FALSE),)"),"")</f>
        <v/>
      </c>
      <c r="G656" s="70"/>
      <c r="H656" s="70"/>
      <c r="I656" s="70"/>
      <c r="J656" s="70"/>
      <c r="K656" s="70"/>
      <c r="L656" s="70"/>
      <c r="M656" s="70"/>
      <c r="N656" s="70"/>
      <c r="O656" s="70"/>
      <c r="P656" s="70"/>
      <c r="Q656" s="70" t="str">
        <f>IFERROR(__xludf.DUMMYFUNCTION("IFERROR(IF(COUNTIF(IMPORTRANGE(""1WjiLR_MTMxI_IZUKuvPO4Sg2rTSIqBzP3edakSRXbOA"",""Form Responses 1!B:B""),F656)&gt;0,10,),0)"),"")</f>
        <v/>
      </c>
      <c r="R656" s="70" t="str">
        <f>IFERROR(__xludf.DUMMYFUNCTION("IFERROR(VLOOKUP(F656,IMPORTRANGE(""1Ixzbal5tEbtWhozsFEppQzOYE6ZSrkNXHg_HW5k3Wt4"",""Form Responses 1!B:C""),2,FALSE),)"),"")</f>
        <v/>
      </c>
      <c r="S656" s="70" t="str">
        <f>IFERROR(__xludf.DUMMYFUNCTION("IFERROR(VLOOKUP(F656,IMPORTRANGE(""1zxjtEKGvVIJPIDqZdnxENwVpPXYa88EihzyI44hcQUo"",""Form Responses 1!B:C""),2,FALSE),)"),"")</f>
        <v/>
      </c>
      <c r="T656" s="70" t="str">
        <f>IFERROR(__xludf.DUMMYFUNCTION("IFERROR(VLOOKUP(F656,IMPORTRANGE(""1H3cO01obd5zFULYqaT5NAqecZBFFIHeDFn4CeQLZF3w"",""Form Responses 1!B:C""),2,FALSE),)"),"")</f>
        <v/>
      </c>
      <c r="U656" s="70" t="str">
        <f>IFERROR(__xludf.DUMMYFUNCTION("IFERROR(IF(COUNTIF(IMPORTRANGE(""1IG9qoa6PeLdDDFzKpW39lxXshN0-M8Z25a_R1EpsYyg"",""Form Responses 1!B:B""),F656)&gt;0,10,),0)"),"")</f>
        <v/>
      </c>
      <c r="V656" s="70"/>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row>
    <row r="657">
      <c r="B657" s="70" t="str">
        <f>IFERROR(__xludf.DUMMYFUNCTION("IFERROR(IF(COUNTIF(IMPORTRANGE(""1RTcwEJsI_0aJRebhNwO_H_AoKl9r46k7hWYbtciIyM4"",""Form Responses 1!B:B""),A657)&gt;0,10,),0)"),"")</f>
        <v/>
      </c>
      <c r="C657" s="70" t="str">
        <f>IFERROR(__xludf.DUMMYFUNCTION("IFERROR(VLOOKUP(A657,IMPORTRANGE(""11i8IUhq_U6RRKRV3CBWIKqYed_fMvFgNUHTq1YDJfp8"",""Form Responses 1!B:C""),2,FALSE),)"),"")</f>
        <v/>
      </c>
      <c r="D657" s="70" t="str">
        <f>IFERROR(__xludf.DUMMYFUNCTION("IFERROR(VLOOKUP(A657,IMPORTRANGE(""1StiHxuxrFhYdrq5WLR2JMORicW0TbnJf3J-oTHeMRtM"",""Form Responses 1!B:C""),2,FALSE),)"),"")</f>
        <v/>
      </c>
      <c r="E657" s="70" t="str">
        <f>IFERROR(__xludf.DUMMYFUNCTION("IFERROR(VLOOKUP(A657,IMPORTRANGE(""1QaxxyUjrDq2kgz300C1Bq1tacFk6e-xX218cSXCQUK0"",""Form Responses 1!B:C""),2,FALSE),)"),"")</f>
        <v/>
      </c>
      <c r="F657" s="70" t="str">
        <f>IFERROR(__xludf.DUMMYFUNCTION("IFERROR(VLOOKUP(A657,IMPORTRANGE(""1fn2ECph_y8Uz78DhjLaiXcwgt6kh3oe-0Le36Uw0noE"",""Form Responses 1!B:C""),2,FALSE),)"),"")</f>
        <v/>
      </c>
      <c r="G657" s="70"/>
      <c r="H657" s="70"/>
      <c r="I657" s="70"/>
      <c r="J657" s="70"/>
      <c r="K657" s="70"/>
      <c r="L657" s="70"/>
      <c r="M657" s="70"/>
      <c r="N657" s="70"/>
      <c r="O657" s="70"/>
      <c r="P657" s="70"/>
      <c r="Q657" s="70" t="str">
        <f>IFERROR(__xludf.DUMMYFUNCTION("IFERROR(IF(COUNTIF(IMPORTRANGE(""1WjiLR_MTMxI_IZUKuvPO4Sg2rTSIqBzP3edakSRXbOA"",""Form Responses 1!B:B""),F657)&gt;0,10,),0)"),"")</f>
        <v/>
      </c>
      <c r="R657" s="70" t="str">
        <f>IFERROR(__xludf.DUMMYFUNCTION("IFERROR(VLOOKUP(F657,IMPORTRANGE(""1Ixzbal5tEbtWhozsFEppQzOYE6ZSrkNXHg_HW5k3Wt4"",""Form Responses 1!B:C""),2,FALSE),)"),"")</f>
        <v/>
      </c>
      <c r="S657" s="70" t="str">
        <f>IFERROR(__xludf.DUMMYFUNCTION("IFERROR(VLOOKUP(F657,IMPORTRANGE(""1zxjtEKGvVIJPIDqZdnxENwVpPXYa88EihzyI44hcQUo"",""Form Responses 1!B:C""),2,FALSE),)"),"")</f>
        <v/>
      </c>
      <c r="T657" s="70" t="str">
        <f>IFERROR(__xludf.DUMMYFUNCTION("IFERROR(VLOOKUP(F657,IMPORTRANGE(""1H3cO01obd5zFULYqaT5NAqecZBFFIHeDFn4CeQLZF3w"",""Form Responses 1!B:C""),2,FALSE),)"),"")</f>
        <v/>
      </c>
      <c r="U657" s="70" t="str">
        <f>IFERROR(__xludf.DUMMYFUNCTION("IFERROR(IF(COUNTIF(IMPORTRANGE(""1IG9qoa6PeLdDDFzKpW39lxXshN0-M8Z25a_R1EpsYyg"",""Form Responses 1!B:B""),F657)&gt;0,10,),0)"),"")</f>
        <v/>
      </c>
      <c r="V657" s="70"/>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row>
    <row r="658">
      <c r="B658" s="70" t="str">
        <f>IFERROR(__xludf.DUMMYFUNCTION("IFERROR(IF(COUNTIF(IMPORTRANGE(""1RTcwEJsI_0aJRebhNwO_H_AoKl9r46k7hWYbtciIyM4"",""Form Responses 1!B:B""),A658)&gt;0,10,),0)"),"")</f>
        <v/>
      </c>
      <c r="C658" s="70" t="str">
        <f>IFERROR(__xludf.DUMMYFUNCTION("IFERROR(VLOOKUP(A658,IMPORTRANGE(""11i8IUhq_U6RRKRV3CBWIKqYed_fMvFgNUHTq1YDJfp8"",""Form Responses 1!B:C""),2,FALSE),)"),"")</f>
        <v/>
      </c>
      <c r="D658" s="70" t="str">
        <f>IFERROR(__xludf.DUMMYFUNCTION("IFERROR(VLOOKUP(A658,IMPORTRANGE(""1StiHxuxrFhYdrq5WLR2JMORicW0TbnJf3J-oTHeMRtM"",""Form Responses 1!B:C""),2,FALSE),)"),"")</f>
        <v/>
      </c>
      <c r="E658" s="70" t="str">
        <f>IFERROR(__xludf.DUMMYFUNCTION("IFERROR(VLOOKUP(A658,IMPORTRANGE(""1QaxxyUjrDq2kgz300C1Bq1tacFk6e-xX218cSXCQUK0"",""Form Responses 1!B:C""),2,FALSE),)"),"")</f>
        <v/>
      </c>
      <c r="F658" s="70" t="str">
        <f>IFERROR(__xludf.DUMMYFUNCTION("IFERROR(VLOOKUP(A658,IMPORTRANGE(""1fn2ECph_y8Uz78DhjLaiXcwgt6kh3oe-0Le36Uw0noE"",""Form Responses 1!B:C""),2,FALSE),)"),"")</f>
        <v/>
      </c>
      <c r="G658" s="70"/>
      <c r="H658" s="70"/>
      <c r="I658" s="70"/>
      <c r="J658" s="70"/>
      <c r="K658" s="70"/>
      <c r="L658" s="70"/>
      <c r="M658" s="70"/>
      <c r="N658" s="70"/>
      <c r="O658" s="70"/>
      <c r="P658" s="70"/>
      <c r="Q658" s="70" t="str">
        <f>IFERROR(__xludf.DUMMYFUNCTION("IFERROR(IF(COUNTIF(IMPORTRANGE(""1WjiLR_MTMxI_IZUKuvPO4Sg2rTSIqBzP3edakSRXbOA"",""Form Responses 1!B:B""),F658)&gt;0,10,),0)"),"")</f>
        <v/>
      </c>
      <c r="R658" s="70" t="str">
        <f>IFERROR(__xludf.DUMMYFUNCTION("IFERROR(VLOOKUP(F658,IMPORTRANGE(""1Ixzbal5tEbtWhozsFEppQzOYE6ZSrkNXHg_HW5k3Wt4"",""Form Responses 1!B:C""),2,FALSE),)"),"")</f>
        <v/>
      </c>
      <c r="S658" s="70" t="str">
        <f>IFERROR(__xludf.DUMMYFUNCTION("IFERROR(VLOOKUP(F658,IMPORTRANGE(""1zxjtEKGvVIJPIDqZdnxENwVpPXYa88EihzyI44hcQUo"",""Form Responses 1!B:C""),2,FALSE),)"),"")</f>
        <v/>
      </c>
      <c r="T658" s="70" t="str">
        <f>IFERROR(__xludf.DUMMYFUNCTION("IFERROR(VLOOKUP(F658,IMPORTRANGE(""1H3cO01obd5zFULYqaT5NAqecZBFFIHeDFn4CeQLZF3w"",""Form Responses 1!B:C""),2,FALSE),)"),"")</f>
        <v/>
      </c>
      <c r="U658" s="70" t="str">
        <f>IFERROR(__xludf.DUMMYFUNCTION("IFERROR(IF(COUNTIF(IMPORTRANGE(""1IG9qoa6PeLdDDFzKpW39lxXshN0-M8Z25a_R1EpsYyg"",""Form Responses 1!B:B""),F658)&gt;0,10,),0)"),"")</f>
        <v/>
      </c>
      <c r="V658" s="70"/>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row>
    <row r="659">
      <c r="B659" s="70" t="str">
        <f>IFERROR(__xludf.DUMMYFUNCTION("IFERROR(IF(COUNTIF(IMPORTRANGE(""1RTcwEJsI_0aJRebhNwO_H_AoKl9r46k7hWYbtciIyM4"",""Form Responses 1!B:B""),A659)&gt;0,10,),0)"),"")</f>
        <v/>
      </c>
      <c r="C659" s="70" t="str">
        <f>IFERROR(__xludf.DUMMYFUNCTION("IFERROR(VLOOKUP(A659,IMPORTRANGE(""11i8IUhq_U6RRKRV3CBWIKqYed_fMvFgNUHTq1YDJfp8"",""Form Responses 1!B:C""),2,FALSE),)"),"")</f>
        <v/>
      </c>
      <c r="D659" s="70" t="str">
        <f>IFERROR(__xludf.DUMMYFUNCTION("IFERROR(VLOOKUP(A659,IMPORTRANGE(""1StiHxuxrFhYdrq5WLR2JMORicW0TbnJf3J-oTHeMRtM"",""Form Responses 1!B:C""),2,FALSE),)"),"")</f>
        <v/>
      </c>
      <c r="E659" s="70" t="str">
        <f>IFERROR(__xludf.DUMMYFUNCTION("IFERROR(VLOOKUP(A659,IMPORTRANGE(""1QaxxyUjrDq2kgz300C1Bq1tacFk6e-xX218cSXCQUK0"",""Form Responses 1!B:C""),2,FALSE),)"),"")</f>
        <v/>
      </c>
      <c r="F659" s="70" t="str">
        <f>IFERROR(__xludf.DUMMYFUNCTION("IFERROR(VLOOKUP(A659,IMPORTRANGE(""1fn2ECph_y8Uz78DhjLaiXcwgt6kh3oe-0Le36Uw0noE"",""Form Responses 1!B:C""),2,FALSE),)"),"")</f>
        <v/>
      </c>
      <c r="G659" s="70"/>
      <c r="H659" s="70"/>
      <c r="I659" s="70"/>
      <c r="J659" s="70"/>
      <c r="K659" s="70"/>
      <c r="L659" s="70"/>
      <c r="M659" s="70"/>
      <c r="N659" s="70"/>
      <c r="O659" s="70"/>
      <c r="P659" s="70"/>
      <c r="Q659" s="70" t="str">
        <f>IFERROR(__xludf.DUMMYFUNCTION("IFERROR(IF(COUNTIF(IMPORTRANGE(""1WjiLR_MTMxI_IZUKuvPO4Sg2rTSIqBzP3edakSRXbOA"",""Form Responses 1!B:B""),F659)&gt;0,10,),0)"),"")</f>
        <v/>
      </c>
      <c r="R659" s="70" t="str">
        <f>IFERROR(__xludf.DUMMYFUNCTION("IFERROR(VLOOKUP(F659,IMPORTRANGE(""1Ixzbal5tEbtWhozsFEppQzOYE6ZSrkNXHg_HW5k3Wt4"",""Form Responses 1!B:C""),2,FALSE),)"),"")</f>
        <v/>
      </c>
      <c r="S659" s="70" t="str">
        <f>IFERROR(__xludf.DUMMYFUNCTION("IFERROR(VLOOKUP(F659,IMPORTRANGE(""1zxjtEKGvVIJPIDqZdnxENwVpPXYa88EihzyI44hcQUo"",""Form Responses 1!B:C""),2,FALSE),)"),"")</f>
        <v/>
      </c>
      <c r="T659" s="70" t="str">
        <f>IFERROR(__xludf.DUMMYFUNCTION("IFERROR(VLOOKUP(F659,IMPORTRANGE(""1H3cO01obd5zFULYqaT5NAqecZBFFIHeDFn4CeQLZF3w"",""Form Responses 1!B:C""),2,FALSE),)"),"")</f>
        <v/>
      </c>
      <c r="U659" s="70" t="str">
        <f>IFERROR(__xludf.DUMMYFUNCTION("IFERROR(IF(COUNTIF(IMPORTRANGE(""1IG9qoa6PeLdDDFzKpW39lxXshN0-M8Z25a_R1EpsYyg"",""Form Responses 1!B:B""),F659)&gt;0,10,),0)"),"")</f>
        <v/>
      </c>
      <c r="V659" s="70"/>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row>
    <row r="660">
      <c r="B660" s="70" t="str">
        <f>IFERROR(__xludf.DUMMYFUNCTION("IFERROR(IF(COUNTIF(IMPORTRANGE(""1RTcwEJsI_0aJRebhNwO_H_AoKl9r46k7hWYbtciIyM4"",""Form Responses 1!B:B""),A660)&gt;0,10,),0)"),"")</f>
        <v/>
      </c>
      <c r="C660" s="70" t="str">
        <f>IFERROR(__xludf.DUMMYFUNCTION("IFERROR(VLOOKUP(A660,IMPORTRANGE(""11i8IUhq_U6RRKRV3CBWIKqYed_fMvFgNUHTq1YDJfp8"",""Form Responses 1!B:C""),2,FALSE),)"),"")</f>
        <v/>
      </c>
      <c r="D660" s="70" t="str">
        <f>IFERROR(__xludf.DUMMYFUNCTION("IFERROR(VLOOKUP(A660,IMPORTRANGE(""1StiHxuxrFhYdrq5WLR2JMORicW0TbnJf3J-oTHeMRtM"",""Form Responses 1!B:C""),2,FALSE),)"),"")</f>
        <v/>
      </c>
      <c r="E660" s="70" t="str">
        <f>IFERROR(__xludf.DUMMYFUNCTION("IFERROR(VLOOKUP(A660,IMPORTRANGE(""1QaxxyUjrDq2kgz300C1Bq1tacFk6e-xX218cSXCQUK0"",""Form Responses 1!B:C""),2,FALSE),)"),"")</f>
        <v/>
      </c>
      <c r="F660" s="70" t="str">
        <f>IFERROR(__xludf.DUMMYFUNCTION("IFERROR(VLOOKUP(A660,IMPORTRANGE(""1fn2ECph_y8Uz78DhjLaiXcwgt6kh3oe-0Le36Uw0noE"",""Form Responses 1!B:C""),2,FALSE),)"),"")</f>
        <v/>
      </c>
      <c r="G660" s="70"/>
      <c r="H660" s="70"/>
      <c r="I660" s="70"/>
      <c r="J660" s="70"/>
      <c r="K660" s="70"/>
      <c r="L660" s="70"/>
      <c r="M660" s="70"/>
      <c r="N660" s="70"/>
      <c r="O660" s="70"/>
      <c r="P660" s="70"/>
      <c r="Q660" s="70" t="str">
        <f>IFERROR(__xludf.DUMMYFUNCTION("IFERROR(IF(COUNTIF(IMPORTRANGE(""1WjiLR_MTMxI_IZUKuvPO4Sg2rTSIqBzP3edakSRXbOA"",""Form Responses 1!B:B""),F660)&gt;0,10,),0)"),"")</f>
        <v/>
      </c>
      <c r="R660" s="70" t="str">
        <f>IFERROR(__xludf.DUMMYFUNCTION("IFERROR(VLOOKUP(F660,IMPORTRANGE(""1Ixzbal5tEbtWhozsFEppQzOYE6ZSrkNXHg_HW5k3Wt4"",""Form Responses 1!B:C""),2,FALSE),)"),"")</f>
        <v/>
      </c>
      <c r="S660" s="70" t="str">
        <f>IFERROR(__xludf.DUMMYFUNCTION("IFERROR(VLOOKUP(F660,IMPORTRANGE(""1zxjtEKGvVIJPIDqZdnxENwVpPXYa88EihzyI44hcQUo"",""Form Responses 1!B:C""),2,FALSE),)"),"")</f>
        <v/>
      </c>
      <c r="T660" s="70" t="str">
        <f>IFERROR(__xludf.DUMMYFUNCTION("IFERROR(VLOOKUP(F660,IMPORTRANGE(""1H3cO01obd5zFULYqaT5NAqecZBFFIHeDFn4CeQLZF3w"",""Form Responses 1!B:C""),2,FALSE),)"),"")</f>
        <v/>
      </c>
      <c r="U660" s="70" t="str">
        <f>IFERROR(__xludf.DUMMYFUNCTION("IFERROR(IF(COUNTIF(IMPORTRANGE(""1IG9qoa6PeLdDDFzKpW39lxXshN0-M8Z25a_R1EpsYyg"",""Form Responses 1!B:B""),F660)&gt;0,10,),0)"),"")</f>
        <v/>
      </c>
      <c r="V660" s="70"/>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row>
    <row r="661">
      <c r="B661" s="70" t="str">
        <f>IFERROR(__xludf.DUMMYFUNCTION("IFERROR(IF(COUNTIF(IMPORTRANGE(""1RTcwEJsI_0aJRebhNwO_H_AoKl9r46k7hWYbtciIyM4"",""Form Responses 1!B:B""),A661)&gt;0,10,),0)"),"")</f>
        <v/>
      </c>
      <c r="C661" s="70" t="str">
        <f>IFERROR(__xludf.DUMMYFUNCTION("IFERROR(VLOOKUP(A661,IMPORTRANGE(""11i8IUhq_U6RRKRV3CBWIKqYed_fMvFgNUHTq1YDJfp8"",""Form Responses 1!B:C""),2,FALSE),)"),"")</f>
        <v/>
      </c>
      <c r="D661" s="70" t="str">
        <f>IFERROR(__xludf.DUMMYFUNCTION("IFERROR(VLOOKUP(A661,IMPORTRANGE(""1StiHxuxrFhYdrq5WLR2JMORicW0TbnJf3J-oTHeMRtM"",""Form Responses 1!B:C""),2,FALSE),)"),"")</f>
        <v/>
      </c>
      <c r="E661" s="70" t="str">
        <f>IFERROR(__xludf.DUMMYFUNCTION("IFERROR(VLOOKUP(A661,IMPORTRANGE(""1QaxxyUjrDq2kgz300C1Bq1tacFk6e-xX218cSXCQUK0"",""Form Responses 1!B:C""),2,FALSE),)"),"")</f>
        <v/>
      </c>
      <c r="F661" s="70" t="str">
        <f>IFERROR(__xludf.DUMMYFUNCTION("IFERROR(VLOOKUP(A661,IMPORTRANGE(""1fn2ECph_y8Uz78DhjLaiXcwgt6kh3oe-0Le36Uw0noE"",""Form Responses 1!B:C""),2,FALSE),)"),"")</f>
        <v/>
      </c>
      <c r="G661" s="70"/>
      <c r="H661" s="70"/>
      <c r="I661" s="70"/>
      <c r="J661" s="70"/>
      <c r="K661" s="70"/>
      <c r="L661" s="70"/>
      <c r="M661" s="70"/>
      <c r="N661" s="70"/>
      <c r="O661" s="70"/>
      <c r="P661" s="70"/>
      <c r="Q661" s="70" t="str">
        <f>IFERROR(__xludf.DUMMYFUNCTION("IFERROR(IF(COUNTIF(IMPORTRANGE(""1WjiLR_MTMxI_IZUKuvPO4Sg2rTSIqBzP3edakSRXbOA"",""Form Responses 1!B:B""),F661)&gt;0,10,),0)"),"")</f>
        <v/>
      </c>
      <c r="R661" s="70" t="str">
        <f>IFERROR(__xludf.DUMMYFUNCTION("IFERROR(VLOOKUP(F661,IMPORTRANGE(""1Ixzbal5tEbtWhozsFEppQzOYE6ZSrkNXHg_HW5k3Wt4"",""Form Responses 1!B:C""),2,FALSE),)"),"")</f>
        <v/>
      </c>
      <c r="S661" s="70" t="str">
        <f>IFERROR(__xludf.DUMMYFUNCTION("IFERROR(VLOOKUP(F661,IMPORTRANGE(""1zxjtEKGvVIJPIDqZdnxENwVpPXYa88EihzyI44hcQUo"",""Form Responses 1!B:C""),2,FALSE),)"),"")</f>
        <v/>
      </c>
      <c r="T661" s="70" t="str">
        <f>IFERROR(__xludf.DUMMYFUNCTION("IFERROR(VLOOKUP(F661,IMPORTRANGE(""1H3cO01obd5zFULYqaT5NAqecZBFFIHeDFn4CeQLZF3w"",""Form Responses 1!B:C""),2,FALSE),)"),"")</f>
        <v/>
      </c>
      <c r="U661" s="70" t="str">
        <f>IFERROR(__xludf.DUMMYFUNCTION("IFERROR(IF(COUNTIF(IMPORTRANGE(""1IG9qoa6PeLdDDFzKpW39lxXshN0-M8Z25a_R1EpsYyg"",""Form Responses 1!B:B""),F661)&gt;0,10,),0)"),"")</f>
        <v/>
      </c>
      <c r="V661" s="70"/>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row>
    <row r="662">
      <c r="B662" s="70" t="str">
        <f>IFERROR(__xludf.DUMMYFUNCTION("IFERROR(IF(COUNTIF(IMPORTRANGE(""1RTcwEJsI_0aJRebhNwO_H_AoKl9r46k7hWYbtciIyM4"",""Form Responses 1!B:B""),A662)&gt;0,10,),0)"),"")</f>
        <v/>
      </c>
      <c r="C662" s="70" t="str">
        <f>IFERROR(__xludf.DUMMYFUNCTION("IFERROR(VLOOKUP(A662,IMPORTRANGE(""11i8IUhq_U6RRKRV3CBWIKqYed_fMvFgNUHTq1YDJfp8"",""Form Responses 1!B:C""),2,FALSE),)"),"")</f>
        <v/>
      </c>
      <c r="D662" s="70" t="str">
        <f>IFERROR(__xludf.DUMMYFUNCTION("IFERROR(VLOOKUP(A662,IMPORTRANGE(""1StiHxuxrFhYdrq5WLR2JMORicW0TbnJf3J-oTHeMRtM"",""Form Responses 1!B:C""),2,FALSE),)"),"")</f>
        <v/>
      </c>
      <c r="E662" s="70" t="str">
        <f>IFERROR(__xludf.DUMMYFUNCTION("IFERROR(VLOOKUP(A662,IMPORTRANGE(""1QaxxyUjrDq2kgz300C1Bq1tacFk6e-xX218cSXCQUK0"",""Form Responses 1!B:C""),2,FALSE),)"),"")</f>
        <v/>
      </c>
      <c r="F662" s="70" t="str">
        <f>IFERROR(__xludf.DUMMYFUNCTION("IFERROR(VLOOKUP(A662,IMPORTRANGE(""1fn2ECph_y8Uz78DhjLaiXcwgt6kh3oe-0Le36Uw0noE"",""Form Responses 1!B:C""),2,FALSE),)"),"")</f>
        <v/>
      </c>
      <c r="G662" s="70"/>
      <c r="H662" s="70"/>
      <c r="I662" s="70"/>
      <c r="J662" s="70"/>
      <c r="K662" s="70"/>
      <c r="L662" s="70"/>
      <c r="M662" s="70"/>
      <c r="N662" s="70"/>
      <c r="O662" s="70"/>
      <c r="P662" s="70"/>
      <c r="Q662" s="70" t="str">
        <f>IFERROR(__xludf.DUMMYFUNCTION("IFERROR(IF(COUNTIF(IMPORTRANGE(""1WjiLR_MTMxI_IZUKuvPO4Sg2rTSIqBzP3edakSRXbOA"",""Form Responses 1!B:B""),F662)&gt;0,10,),0)"),"")</f>
        <v/>
      </c>
      <c r="R662" s="70" t="str">
        <f>IFERROR(__xludf.DUMMYFUNCTION("IFERROR(VLOOKUP(F662,IMPORTRANGE(""1Ixzbal5tEbtWhozsFEppQzOYE6ZSrkNXHg_HW5k3Wt4"",""Form Responses 1!B:C""),2,FALSE),)"),"")</f>
        <v/>
      </c>
      <c r="S662" s="70" t="str">
        <f>IFERROR(__xludf.DUMMYFUNCTION("IFERROR(VLOOKUP(F662,IMPORTRANGE(""1zxjtEKGvVIJPIDqZdnxENwVpPXYa88EihzyI44hcQUo"",""Form Responses 1!B:C""),2,FALSE),)"),"")</f>
        <v/>
      </c>
      <c r="T662" s="70" t="str">
        <f>IFERROR(__xludf.DUMMYFUNCTION("IFERROR(VLOOKUP(F662,IMPORTRANGE(""1H3cO01obd5zFULYqaT5NAqecZBFFIHeDFn4CeQLZF3w"",""Form Responses 1!B:C""),2,FALSE),)"),"")</f>
        <v/>
      </c>
      <c r="U662" s="70" t="str">
        <f>IFERROR(__xludf.DUMMYFUNCTION("IFERROR(IF(COUNTIF(IMPORTRANGE(""1IG9qoa6PeLdDDFzKpW39lxXshN0-M8Z25a_R1EpsYyg"",""Form Responses 1!B:B""),F662)&gt;0,10,),0)"),"")</f>
        <v/>
      </c>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row>
    <row r="663">
      <c r="B663" s="70" t="str">
        <f>IFERROR(__xludf.DUMMYFUNCTION("IFERROR(IF(COUNTIF(IMPORTRANGE(""1RTcwEJsI_0aJRebhNwO_H_AoKl9r46k7hWYbtciIyM4"",""Form Responses 1!B:B""),A663)&gt;0,10,),0)"),"")</f>
        <v/>
      </c>
      <c r="C663" s="70" t="str">
        <f>IFERROR(__xludf.DUMMYFUNCTION("IFERROR(VLOOKUP(A663,IMPORTRANGE(""11i8IUhq_U6RRKRV3CBWIKqYed_fMvFgNUHTq1YDJfp8"",""Form Responses 1!B:C""),2,FALSE),)"),"")</f>
        <v/>
      </c>
      <c r="D663" s="70" t="str">
        <f>IFERROR(__xludf.DUMMYFUNCTION("IFERROR(VLOOKUP(A663,IMPORTRANGE(""1StiHxuxrFhYdrq5WLR2JMORicW0TbnJf3J-oTHeMRtM"",""Form Responses 1!B:C""),2,FALSE),)"),"")</f>
        <v/>
      </c>
      <c r="E663" s="70" t="str">
        <f>IFERROR(__xludf.DUMMYFUNCTION("IFERROR(VLOOKUP(A663,IMPORTRANGE(""1QaxxyUjrDq2kgz300C1Bq1tacFk6e-xX218cSXCQUK0"",""Form Responses 1!B:C""),2,FALSE),)"),"")</f>
        <v/>
      </c>
      <c r="F663" s="70" t="str">
        <f>IFERROR(__xludf.DUMMYFUNCTION("IFERROR(VLOOKUP(A663,IMPORTRANGE(""1fn2ECph_y8Uz78DhjLaiXcwgt6kh3oe-0Le36Uw0noE"",""Form Responses 1!B:C""),2,FALSE),)"),"")</f>
        <v/>
      </c>
      <c r="G663" s="70"/>
      <c r="H663" s="70"/>
      <c r="I663" s="70"/>
      <c r="J663" s="70"/>
      <c r="K663" s="70"/>
      <c r="L663" s="70"/>
      <c r="M663" s="70"/>
      <c r="N663" s="70"/>
      <c r="O663" s="70"/>
      <c r="P663" s="70"/>
      <c r="Q663" s="70" t="str">
        <f>IFERROR(__xludf.DUMMYFUNCTION("IFERROR(IF(COUNTIF(IMPORTRANGE(""1WjiLR_MTMxI_IZUKuvPO4Sg2rTSIqBzP3edakSRXbOA"",""Form Responses 1!B:B""),F663)&gt;0,10,),0)"),"")</f>
        <v/>
      </c>
      <c r="R663" s="70" t="str">
        <f>IFERROR(__xludf.DUMMYFUNCTION("IFERROR(VLOOKUP(F663,IMPORTRANGE(""1Ixzbal5tEbtWhozsFEppQzOYE6ZSrkNXHg_HW5k3Wt4"",""Form Responses 1!B:C""),2,FALSE),)"),"")</f>
        <v/>
      </c>
      <c r="S663" s="70" t="str">
        <f>IFERROR(__xludf.DUMMYFUNCTION("IFERROR(VLOOKUP(F663,IMPORTRANGE(""1zxjtEKGvVIJPIDqZdnxENwVpPXYa88EihzyI44hcQUo"",""Form Responses 1!B:C""),2,FALSE),)"),"")</f>
        <v/>
      </c>
      <c r="T663" s="70" t="str">
        <f>IFERROR(__xludf.DUMMYFUNCTION("IFERROR(VLOOKUP(F663,IMPORTRANGE(""1H3cO01obd5zFULYqaT5NAqecZBFFIHeDFn4CeQLZF3w"",""Form Responses 1!B:C""),2,FALSE),)"),"")</f>
        <v/>
      </c>
      <c r="U663" s="70" t="str">
        <f>IFERROR(__xludf.DUMMYFUNCTION("IFERROR(IF(COUNTIF(IMPORTRANGE(""1IG9qoa6PeLdDDFzKpW39lxXshN0-M8Z25a_R1EpsYyg"",""Form Responses 1!B:B""),F663)&gt;0,10,),0)"),"")</f>
        <v/>
      </c>
      <c r="V663" s="70"/>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row>
    <row r="664">
      <c r="B664" s="70" t="str">
        <f>IFERROR(__xludf.DUMMYFUNCTION("IFERROR(IF(COUNTIF(IMPORTRANGE(""1RTcwEJsI_0aJRebhNwO_H_AoKl9r46k7hWYbtciIyM4"",""Form Responses 1!B:B""),A664)&gt;0,10,),0)"),"")</f>
        <v/>
      </c>
      <c r="C664" s="70" t="str">
        <f>IFERROR(__xludf.DUMMYFUNCTION("IFERROR(VLOOKUP(A664,IMPORTRANGE(""11i8IUhq_U6RRKRV3CBWIKqYed_fMvFgNUHTq1YDJfp8"",""Form Responses 1!B:C""),2,FALSE),)"),"")</f>
        <v/>
      </c>
      <c r="D664" s="70" t="str">
        <f>IFERROR(__xludf.DUMMYFUNCTION("IFERROR(VLOOKUP(A664,IMPORTRANGE(""1StiHxuxrFhYdrq5WLR2JMORicW0TbnJf3J-oTHeMRtM"",""Form Responses 1!B:C""),2,FALSE),)"),"")</f>
        <v/>
      </c>
      <c r="E664" s="70" t="str">
        <f>IFERROR(__xludf.DUMMYFUNCTION("IFERROR(VLOOKUP(A664,IMPORTRANGE(""1QaxxyUjrDq2kgz300C1Bq1tacFk6e-xX218cSXCQUK0"",""Form Responses 1!B:C""),2,FALSE),)"),"")</f>
        <v/>
      </c>
      <c r="F664" s="70" t="str">
        <f>IFERROR(__xludf.DUMMYFUNCTION("IFERROR(VLOOKUP(A664,IMPORTRANGE(""1fn2ECph_y8Uz78DhjLaiXcwgt6kh3oe-0Le36Uw0noE"",""Form Responses 1!B:C""),2,FALSE),)"),"")</f>
        <v/>
      </c>
      <c r="G664" s="70"/>
      <c r="H664" s="70"/>
      <c r="I664" s="70"/>
      <c r="J664" s="70"/>
      <c r="K664" s="70"/>
      <c r="L664" s="70"/>
      <c r="M664" s="70"/>
      <c r="N664" s="70"/>
      <c r="O664" s="70"/>
      <c r="P664" s="70"/>
      <c r="Q664" s="70" t="str">
        <f>IFERROR(__xludf.DUMMYFUNCTION("IFERROR(IF(COUNTIF(IMPORTRANGE(""1WjiLR_MTMxI_IZUKuvPO4Sg2rTSIqBzP3edakSRXbOA"",""Form Responses 1!B:B""),F664)&gt;0,10,),0)"),"")</f>
        <v/>
      </c>
      <c r="R664" s="70" t="str">
        <f>IFERROR(__xludf.DUMMYFUNCTION("IFERROR(VLOOKUP(F664,IMPORTRANGE(""1Ixzbal5tEbtWhozsFEppQzOYE6ZSrkNXHg_HW5k3Wt4"",""Form Responses 1!B:C""),2,FALSE),)"),"")</f>
        <v/>
      </c>
      <c r="S664" s="70" t="str">
        <f>IFERROR(__xludf.DUMMYFUNCTION("IFERROR(VLOOKUP(F664,IMPORTRANGE(""1zxjtEKGvVIJPIDqZdnxENwVpPXYa88EihzyI44hcQUo"",""Form Responses 1!B:C""),2,FALSE),)"),"")</f>
        <v/>
      </c>
      <c r="T664" s="70" t="str">
        <f>IFERROR(__xludf.DUMMYFUNCTION("IFERROR(VLOOKUP(F664,IMPORTRANGE(""1H3cO01obd5zFULYqaT5NAqecZBFFIHeDFn4CeQLZF3w"",""Form Responses 1!B:C""),2,FALSE),)"),"")</f>
        <v/>
      </c>
      <c r="U664" s="70" t="str">
        <f>IFERROR(__xludf.DUMMYFUNCTION("IFERROR(IF(COUNTIF(IMPORTRANGE(""1IG9qoa6PeLdDDFzKpW39lxXshN0-M8Z25a_R1EpsYyg"",""Form Responses 1!B:B""),F664)&gt;0,10,),0)"),"")</f>
        <v/>
      </c>
      <c r="V664" s="70"/>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row>
    <row r="665">
      <c r="B665" s="70" t="str">
        <f>IFERROR(__xludf.DUMMYFUNCTION("IFERROR(IF(COUNTIF(IMPORTRANGE(""1RTcwEJsI_0aJRebhNwO_H_AoKl9r46k7hWYbtciIyM4"",""Form Responses 1!B:B""),A665)&gt;0,10,),0)"),"")</f>
        <v/>
      </c>
      <c r="C665" s="70" t="str">
        <f>IFERROR(__xludf.DUMMYFUNCTION("IFERROR(VLOOKUP(A665,IMPORTRANGE(""11i8IUhq_U6RRKRV3CBWIKqYed_fMvFgNUHTq1YDJfp8"",""Form Responses 1!B:C""),2,FALSE),)"),"")</f>
        <v/>
      </c>
      <c r="D665" s="70" t="str">
        <f>IFERROR(__xludf.DUMMYFUNCTION("IFERROR(VLOOKUP(A665,IMPORTRANGE(""1StiHxuxrFhYdrq5WLR2JMORicW0TbnJf3J-oTHeMRtM"",""Form Responses 1!B:C""),2,FALSE),)"),"")</f>
        <v/>
      </c>
      <c r="E665" s="70" t="str">
        <f>IFERROR(__xludf.DUMMYFUNCTION("IFERROR(VLOOKUP(A665,IMPORTRANGE(""1QaxxyUjrDq2kgz300C1Bq1tacFk6e-xX218cSXCQUK0"",""Form Responses 1!B:C""),2,FALSE),)"),"")</f>
        <v/>
      </c>
      <c r="F665" s="70" t="str">
        <f>IFERROR(__xludf.DUMMYFUNCTION("IFERROR(VLOOKUP(A665,IMPORTRANGE(""1fn2ECph_y8Uz78DhjLaiXcwgt6kh3oe-0Le36Uw0noE"",""Form Responses 1!B:C""),2,FALSE),)"),"")</f>
        <v/>
      </c>
      <c r="G665" s="70"/>
      <c r="H665" s="70"/>
      <c r="I665" s="70"/>
      <c r="J665" s="70"/>
      <c r="K665" s="70"/>
      <c r="L665" s="70"/>
      <c r="M665" s="70"/>
      <c r="N665" s="70"/>
      <c r="O665" s="70"/>
      <c r="P665" s="70"/>
      <c r="Q665" s="70" t="str">
        <f>IFERROR(__xludf.DUMMYFUNCTION("IFERROR(IF(COUNTIF(IMPORTRANGE(""1WjiLR_MTMxI_IZUKuvPO4Sg2rTSIqBzP3edakSRXbOA"",""Form Responses 1!B:B""),F665)&gt;0,10,),0)"),"")</f>
        <v/>
      </c>
      <c r="R665" s="70" t="str">
        <f>IFERROR(__xludf.DUMMYFUNCTION("IFERROR(VLOOKUP(F665,IMPORTRANGE(""1Ixzbal5tEbtWhozsFEppQzOYE6ZSrkNXHg_HW5k3Wt4"",""Form Responses 1!B:C""),2,FALSE),)"),"")</f>
        <v/>
      </c>
      <c r="S665" s="70" t="str">
        <f>IFERROR(__xludf.DUMMYFUNCTION("IFERROR(VLOOKUP(F665,IMPORTRANGE(""1zxjtEKGvVIJPIDqZdnxENwVpPXYa88EihzyI44hcQUo"",""Form Responses 1!B:C""),2,FALSE),)"),"")</f>
        <v/>
      </c>
      <c r="T665" s="70" t="str">
        <f>IFERROR(__xludf.DUMMYFUNCTION("IFERROR(VLOOKUP(F665,IMPORTRANGE(""1H3cO01obd5zFULYqaT5NAqecZBFFIHeDFn4CeQLZF3w"",""Form Responses 1!B:C""),2,FALSE),)"),"")</f>
        <v/>
      </c>
      <c r="U665" s="70" t="str">
        <f>IFERROR(__xludf.DUMMYFUNCTION("IFERROR(IF(COUNTIF(IMPORTRANGE(""1IG9qoa6PeLdDDFzKpW39lxXshN0-M8Z25a_R1EpsYyg"",""Form Responses 1!B:B""),F665)&gt;0,10,),0)"),"")</f>
        <v/>
      </c>
      <c r="V665" s="70"/>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row>
    <row r="666">
      <c r="B666" s="70" t="str">
        <f>IFERROR(__xludf.DUMMYFUNCTION("IFERROR(IF(COUNTIF(IMPORTRANGE(""1RTcwEJsI_0aJRebhNwO_H_AoKl9r46k7hWYbtciIyM4"",""Form Responses 1!B:B""),A666)&gt;0,10,),0)"),"")</f>
        <v/>
      </c>
      <c r="C666" s="70" t="str">
        <f>IFERROR(__xludf.DUMMYFUNCTION("IFERROR(VLOOKUP(A666,IMPORTRANGE(""11i8IUhq_U6RRKRV3CBWIKqYed_fMvFgNUHTq1YDJfp8"",""Form Responses 1!B:C""),2,FALSE),)"),"")</f>
        <v/>
      </c>
      <c r="D666" s="70" t="str">
        <f>IFERROR(__xludf.DUMMYFUNCTION("IFERROR(VLOOKUP(A666,IMPORTRANGE(""1StiHxuxrFhYdrq5WLR2JMORicW0TbnJf3J-oTHeMRtM"",""Form Responses 1!B:C""),2,FALSE),)"),"")</f>
        <v/>
      </c>
      <c r="E666" s="70" t="str">
        <f>IFERROR(__xludf.DUMMYFUNCTION("IFERROR(VLOOKUP(A666,IMPORTRANGE(""1QaxxyUjrDq2kgz300C1Bq1tacFk6e-xX218cSXCQUK0"",""Form Responses 1!B:C""),2,FALSE),)"),"")</f>
        <v/>
      </c>
      <c r="F666" s="70" t="str">
        <f>IFERROR(__xludf.DUMMYFUNCTION("IFERROR(VLOOKUP(A666,IMPORTRANGE(""1fn2ECph_y8Uz78DhjLaiXcwgt6kh3oe-0Le36Uw0noE"",""Form Responses 1!B:C""),2,FALSE),)"),"")</f>
        <v/>
      </c>
      <c r="G666" s="70"/>
      <c r="H666" s="70"/>
      <c r="I666" s="70"/>
      <c r="J666" s="70"/>
      <c r="K666" s="70"/>
      <c r="L666" s="70"/>
      <c r="M666" s="70"/>
      <c r="N666" s="70"/>
      <c r="O666" s="70"/>
      <c r="P666" s="70"/>
      <c r="Q666" s="70" t="str">
        <f>IFERROR(__xludf.DUMMYFUNCTION("IFERROR(IF(COUNTIF(IMPORTRANGE(""1WjiLR_MTMxI_IZUKuvPO4Sg2rTSIqBzP3edakSRXbOA"",""Form Responses 1!B:B""),F666)&gt;0,10,),0)"),"")</f>
        <v/>
      </c>
      <c r="R666" s="70" t="str">
        <f>IFERROR(__xludf.DUMMYFUNCTION("IFERROR(VLOOKUP(F666,IMPORTRANGE(""1Ixzbal5tEbtWhozsFEppQzOYE6ZSrkNXHg_HW5k3Wt4"",""Form Responses 1!B:C""),2,FALSE),)"),"")</f>
        <v/>
      </c>
      <c r="S666" s="70" t="str">
        <f>IFERROR(__xludf.DUMMYFUNCTION("IFERROR(VLOOKUP(F666,IMPORTRANGE(""1zxjtEKGvVIJPIDqZdnxENwVpPXYa88EihzyI44hcQUo"",""Form Responses 1!B:C""),2,FALSE),)"),"")</f>
        <v/>
      </c>
      <c r="T666" s="70" t="str">
        <f>IFERROR(__xludf.DUMMYFUNCTION("IFERROR(VLOOKUP(F666,IMPORTRANGE(""1H3cO01obd5zFULYqaT5NAqecZBFFIHeDFn4CeQLZF3w"",""Form Responses 1!B:C""),2,FALSE),)"),"")</f>
        <v/>
      </c>
      <c r="U666" s="70" t="str">
        <f>IFERROR(__xludf.DUMMYFUNCTION("IFERROR(IF(COUNTIF(IMPORTRANGE(""1IG9qoa6PeLdDDFzKpW39lxXshN0-M8Z25a_R1EpsYyg"",""Form Responses 1!B:B""),F666)&gt;0,10,),0)"),"")</f>
        <v/>
      </c>
      <c r="V666" s="70"/>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row>
    <row r="667">
      <c r="B667" s="70" t="str">
        <f>IFERROR(__xludf.DUMMYFUNCTION("IFERROR(IF(COUNTIF(IMPORTRANGE(""1RTcwEJsI_0aJRebhNwO_H_AoKl9r46k7hWYbtciIyM4"",""Form Responses 1!B:B""),A667)&gt;0,10,),0)"),"")</f>
        <v/>
      </c>
      <c r="C667" s="70" t="str">
        <f>IFERROR(__xludf.DUMMYFUNCTION("IFERROR(VLOOKUP(A667,IMPORTRANGE(""11i8IUhq_U6RRKRV3CBWIKqYed_fMvFgNUHTq1YDJfp8"",""Form Responses 1!B:C""),2,FALSE),)"),"")</f>
        <v/>
      </c>
      <c r="D667" s="70" t="str">
        <f>IFERROR(__xludf.DUMMYFUNCTION("IFERROR(VLOOKUP(A667,IMPORTRANGE(""1StiHxuxrFhYdrq5WLR2JMORicW0TbnJf3J-oTHeMRtM"",""Form Responses 1!B:C""),2,FALSE),)"),"")</f>
        <v/>
      </c>
      <c r="E667" s="70" t="str">
        <f>IFERROR(__xludf.DUMMYFUNCTION("IFERROR(VLOOKUP(A667,IMPORTRANGE(""1QaxxyUjrDq2kgz300C1Bq1tacFk6e-xX218cSXCQUK0"",""Form Responses 1!B:C""),2,FALSE),)"),"")</f>
        <v/>
      </c>
      <c r="F667" s="70" t="str">
        <f>IFERROR(__xludf.DUMMYFUNCTION("IFERROR(VLOOKUP(A667,IMPORTRANGE(""1fn2ECph_y8Uz78DhjLaiXcwgt6kh3oe-0Le36Uw0noE"",""Form Responses 1!B:C""),2,FALSE),)"),"")</f>
        <v/>
      </c>
      <c r="G667" s="70"/>
      <c r="H667" s="70"/>
      <c r="I667" s="70"/>
      <c r="J667" s="70"/>
      <c r="K667" s="70"/>
      <c r="L667" s="70"/>
      <c r="M667" s="70"/>
      <c r="N667" s="70"/>
      <c r="O667" s="70"/>
      <c r="P667" s="70"/>
      <c r="Q667" s="70" t="str">
        <f>IFERROR(__xludf.DUMMYFUNCTION("IFERROR(IF(COUNTIF(IMPORTRANGE(""1WjiLR_MTMxI_IZUKuvPO4Sg2rTSIqBzP3edakSRXbOA"",""Form Responses 1!B:B""),F667)&gt;0,10,),0)"),"")</f>
        <v/>
      </c>
      <c r="R667" s="70" t="str">
        <f>IFERROR(__xludf.DUMMYFUNCTION("IFERROR(VLOOKUP(F667,IMPORTRANGE(""1Ixzbal5tEbtWhozsFEppQzOYE6ZSrkNXHg_HW5k3Wt4"",""Form Responses 1!B:C""),2,FALSE),)"),"")</f>
        <v/>
      </c>
      <c r="S667" s="70" t="str">
        <f>IFERROR(__xludf.DUMMYFUNCTION("IFERROR(VLOOKUP(F667,IMPORTRANGE(""1zxjtEKGvVIJPIDqZdnxENwVpPXYa88EihzyI44hcQUo"",""Form Responses 1!B:C""),2,FALSE),)"),"")</f>
        <v/>
      </c>
      <c r="T667" s="70" t="str">
        <f>IFERROR(__xludf.DUMMYFUNCTION("IFERROR(VLOOKUP(F667,IMPORTRANGE(""1H3cO01obd5zFULYqaT5NAqecZBFFIHeDFn4CeQLZF3w"",""Form Responses 1!B:C""),2,FALSE),)"),"")</f>
        <v/>
      </c>
      <c r="U667" s="70" t="str">
        <f>IFERROR(__xludf.DUMMYFUNCTION("IFERROR(IF(COUNTIF(IMPORTRANGE(""1IG9qoa6PeLdDDFzKpW39lxXshN0-M8Z25a_R1EpsYyg"",""Form Responses 1!B:B""),F667)&gt;0,10,),0)"),"")</f>
        <v/>
      </c>
      <c r="V667" s="70"/>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row>
    <row r="668">
      <c r="B668" s="70" t="str">
        <f>IFERROR(__xludf.DUMMYFUNCTION("IFERROR(IF(COUNTIF(IMPORTRANGE(""1RTcwEJsI_0aJRebhNwO_H_AoKl9r46k7hWYbtciIyM4"",""Form Responses 1!B:B""),A668)&gt;0,10,),0)"),"")</f>
        <v/>
      </c>
      <c r="C668" s="70" t="str">
        <f>IFERROR(__xludf.DUMMYFUNCTION("IFERROR(VLOOKUP(A668,IMPORTRANGE(""11i8IUhq_U6RRKRV3CBWIKqYed_fMvFgNUHTq1YDJfp8"",""Form Responses 1!B:C""),2,FALSE),)"),"")</f>
        <v/>
      </c>
      <c r="D668" s="70" t="str">
        <f>IFERROR(__xludf.DUMMYFUNCTION("IFERROR(VLOOKUP(A668,IMPORTRANGE(""1StiHxuxrFhYdrq5WLR2JMORicW0TbnJf3J-oTHeMRtM"",""Form Responses 1!B:C""),2,FALSE),)"),"")</f>
        <v/>
      </c>
      <c r="E668" s="70" t="str">
        <f>IFERROR(__xludf.DUMMYFUNCTION("IFERROR(VLOOKUP(A668,IMPORTRANGE(""1QaxxyUjrDq2kgz300C1Bq1tacFk6e-xX218cSXCQUK0"",""Form Responses 1!B:C""),2,FALSE),)"),"")</f>
        <v/>
      </c>
      <c r="F668" s="70" t="str">
        <f>IFERROR(__xludf.DUMMYFUNCTION("IFERROR(VLOOKUP(A668,IMPORTRANGE(""1fn2ECph_y8Uz78DhjLaiXcwgt6kh3oe-0Le36Uw0noE"",""Form Responses 1!B:C""),2,FALSE),)"),"")</f>
        <v/>
      </c>
      <c r="G668" s="70"/>
      <c r="H668" s="70"/>
      <c r="I668" s="70"/>
      <c r="J668" s="70"/>
      <c r="K668" s="70"/>
      <c r="L668" s="70"/>
      <c r="M668" s="70"/>
      <c r="N668" s="70"/>
      <c r="O668" s="70"/>
      <c r="P668" s="70"/>
      <c r="Q668" s="70" t="str">
        <f>IFERROR(__xludf.DUMMYFUNCTION("IFERROR(IF(COUNTIF(IMPORTRANGE(""1WjiLR_MTMxI_IZUKuvPO4Sg2rTSIqBzP3edakSRXbOA"",""Form Responses 1!B:B""),F668)&gt;0,10,),0)"),"")</f>
        <v/>
      </c>
      <c r="R668" s="70" t="str">
        <f>IFERROR(__xludf.DUMMYFUNCTION("IFERROR(VLOOKUP(F668,IMPORTRANGE(""1Ixzbal5tEbtWhozsFEppQzOYE6ZSrkNXHg_HW5k3Wt4"",""Form Responses 1!B:C""),2,FALSE),)"),"")</f>
        <v/>
      </c>
      <c r="S668" s="70" t="str">
        <f>IFERROR(__xludf.DUMMYFUNCTION("IFERROR(VLOOKUP(F668,IMPORTRANGE(""1zxjtEKGvVIJPIDqZdnxENwVpPXYa88EihzyI44hcQUo"",""Form Responses 1!B:C""),2,FALSE),)"),"")</f>
        <v/>
      </c>
      <c r="T668" s="70" t="str">
        <f>IFERROR(__xludf.DUMMYFUNCTION("IFERROR(VLOOKUP(F668,IMPORTRANGE(""1H3cO01obd5zFULYqaT5NAqecZBFFIHeDFn4CeQLZF3w"",""Form Responses 1!B:C""),2,FALSE),)"),"")</f>
        <v/>
      </c>
      <c r="U668" s="70" t="str">
        <f>IFERROR(__xludf.DUMMYFUNCTION("IFERROR(IF(COUNTIF(IMPORTRANGE(""1IG9qoa6PeLdDDFzKpW39lxXshN0-M8Z25a_R1EpsYyg"",""Form Responses 1!B:B""),F668)&gt;0,10,),0)"),"")</f>
        <v/>
      </c>
      <c r="V668" s="70"/>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row>
    <row r="669">
      <c r="B669" s="70" t="str">
        <f>IFERROR(__xludf.DUMMYFUNCTION("IFERROR(IF(COUNTIF(IMPORTRANGE(""1RTcwEJsI_0aJRebhNwO_H_AoKl9r46k7hWYbtciIyM4"",""Form Responses 1!B:B""),A669)&gt;0,10,),0)"),"")</f>
        <v/>
      </c>
      <c r="C669" s="70" t="str">
        <f>IFERROR(__xludf.DUMMYFUNCTION("IFERROR(VLOOKUP(A669,IMPORTRANGE(""11i8IUhq_U6RRKRV3CBWIKqYed_fMvFgNUHTq1YDJfp8"",""Form Responses 1!B:C""),2,FALSE),)"),"")</f>
        <v/>
      </c>
      <c r="D669" s="70" t="str">
        <f>IFERROR(__xludf.DUMMYFUNCTION("IFERROR(VLOOKUP(A669,IMPORTRANGE(""1StiHxuxrFhYdrq5WLR2JMORicW0TbnJf3J-oTHeMRtM"",""Form Responses 1!B:C""),2,FALSE),)"),"")</f>
        <v/>
      </c>
      <c r="E669" s="70" t="str">
        <f>IFERROR(__xludf.DUMMYFUNCTION("IFERROR(VLOOKUP(A669,IMPORTRANGE(""1QaxxyUjrDq2kgz300C1Bq1tacFk6e-xX218cSXCQUK0"",""Form Responses 1!B:C""),2,FALSE),)"),"")</f>
        <v/>
      </c>
      <c r="F669" s="70" t="str">
        <f>IFERROR(__xludf.DUMMYFUNCTION("IFERROR(VLOOKUP(A669,IMPORTRANGE(""1fn2ECph_y8Uz78DhjLaiXcwgt6kh3oe-0Le36Uw0noE"",""Form Responses 1!B:C""),2,FALSE),)"),"")</f>
        <v/>
      </c>
      <c r="G669" s="70"/>
      <c r="H669" s="70"/>
      <c r="I669" s="70"/>
      <c r="J669" s="70"/>
      <c r="K669" s="70"/>
      <c r="L669" s="70"/>
      <c r="M669" s="70"/>
      <c r="N669" s="70"/>
      <c r="O669" s="70"/>
      <c r="P669" s="70"/>
      <c r="Q669" s="70" t="str">
        <f>IFERROR(__xludf.DUMMYFUNCTION("IFERROR(IF(COUNTIF(IMPORTRANGE(""1WjiLR_MTMxI_IZUKuvPO4Sg2rTSIqBzP3edakSRXbOA"",""Form Responses 1!B:B""),F669)&gt;0,10,),0)"),"")</f>
        <v/>
      </c>
      <c r="R669" s="70" t="str">
        <f>IFERROR(__xludf.DUMMYFUNCTION("IFERROR(VLOOKUP(F669,IMPORTRANGE(""1Ixzbal5tEbtWhozsFEppQzOYE6ZSrkNXHg_HW5k3Wt4"",""Form Responses 1!B:C""),2,FALSE),)"),"")</f>
        <v/>
      </c>
      <c r="S669" s="70" t="str">
        <f>IFERROR(__xludf.DUMMYFUNCTION("IFERROR(VLOOKUP(F669,IMPORTRANGE(""1zxjtEKGvVIJPIDqZdnxENwVpPXYa88EihzyI44hcQUo"",""Form Responses 1!B:C""),2,FALSE),)"),"")</f>
        <v/>
      </c>
      <c r="T669" s="70" t="str">
        <f>IFERROR(__xludf.DUMMYFUNCTION("IFERROR(VLOOKUP(F669,IMPORTRANGE(""1H3cO01obd5zFULYqaT5NAqecZBFFIHeDFn4CeQLZF3w"",""Form Responses 1!B:C""),2,FALSE),)"),"")</f>
        <v/>
      </c>
      <c r="U669" s="70" t="str">
        <f>IFERROR(__xludf.DUMMYFUNCTION("IFERROR(IF(COUNTIF(IMPORTRANGE(""1IG9qoa6PeLdDDFzKpW39lxXshN0-M8Z25a_R1EpsYyg"",""Form Responses 1!B:B""),F669)&gt;0,10,),0)"),"")</f>
        <v/>
      </c>
      <c r="V669" s="70"/>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row>
    <row r="670">
      <c r="B670" s="70" t="str">
        <f>IFERROR(__xludf.DUMMYFUNCTION("IFERROR(IF(COUNTIF(IMPORTRANGE(""1RTcwEJsI_0aJRebhNwO_H_AoKl9r46k7hWYbtciIyM4"",""Form Responses 1!B:B""),A670)&gt;0,10,),0)"),"")</f>
        <v/>
      </c>
      <c r="C670" s="70" t="str">
        <f>IFERROR(__xludf.DUMMYFUNCTION("IFERROR(VLOOKUP(A670,IMPORTRANGE(""11i8IUhq_U6RRKRV3CBWIKqYed_fMvFgNUHTq1YDJfp8"",""Form Responses 1!B:C""),2,FALSE),)"),"")</f>
        <v/>
      </c>
      <c r="D670" s="70" t="str">
        <f>IFERROR(__xludf.DUMMYFUNCTION("IFERROR(VLOOKUP(A670,IMPORTRANGE(""1StiHxuxrFhYdrq5WLR2JMORicW0TbnJf3J-oTHeMRtM"",""Form Responses 1!B:C""),2,FALSE),)"),"")</f>
        <v/>
      </c>
      <c r="E670" s="70" t="str">
        <f>IFERROR(__xludf.DUMMYFUNCTION("IFERROR(VLOOKUP(A670,IMPORTRANGE(""1QaxxyUjrDq2kgz300C1Bq1tacFk6e-xX218cSXCQUK0"",""Form Responses 1!B:C""),2,FALSE),)"),"")</f>
        <v/>
      </c>
      <c r="F670" s="70" t="str">
        <f>IFERROR(__xludf.DUMMYFUNCTION("IFERROR(VLOOKUP(A670,IMPORTRANGE(""1fn2ECph_y8Uz78DhjLaiXcwgt6kh3oe-0Le36Uw0noE"",""Form Responses 1!B:C""),2,FALSE),)"),"")</f>
        <v/>
      </c>
      <c r="G670" s="70"/>
      <c r="H670" s="70"/>
      <c r="I670" s="70"/>
      <c r="J670" s="70"/>
      <c r="K670" s="70"/>
      <c r="L670" s="70"/>
      <c r="M670" s="70"/>
      <c r="N670" s="70"/>
      <c r="O670" s="70"/>
      <c r="P670" s="70"/>
      <c r="Q670" s="70" t="str">
        <f>IFERROR(__xludf.DUMMYFUNCTION("IFERROR(IF(COUNTIF(IMPORTRANGE(""1WjiLR_MTMxI_IZUKuvPO4Sg2rTSIqBzP3edakSRXbOA"",""Form Responses 1!B:B""),F670)&gt;0,10,),0)"),"")</f>
        <v/>
      </c>
      <c r="R670" s="70" t="str">
        <f>IFERROR(__xludf.DUMMYFUNCTION("IFERROR(VLOOKUP(F670,IMPORTRANGE(""1Ixzbal5tEbtWhozsFEppQzOYE6ZSrkNXHg_HW5k3Wt4"",""Form Responses 1!B:C""),2,FALSE),)"),"")</f>
        <v/>
      </c>
      <c r="S670" s="70" t="str">
        <f>IFERROR(__xludf.DUMMYFUNCTION("IFERROR(VLOOKUP(F670,IMPORTRANGE(""1zxjtEKGvVIJPIDqZdnxENwVpPXYa88EihzyI44hcQUo"",""Form Responses 1!B:C""),2,FALSE),)"),"")</f>
        <v/>
      </c>
      <c r="T670" s="70" t="str">
        <f>IFERROR(__xludf.DUMMYFUNCTION("IFERROR(VLOOKUP(F670,IMPORTRANGE(""1H3cO01obd5zFULYqaT5NAqecZBFFIHeDFn4CeQLZF3w"",""Form Responses 1!B:C""),2,FALSE),)"),"")</f>
        <v/>
      </c>
      <c r="U670" s="70" t="str">
        <f>IFERROR(__xludf.DUMMYFUNCTION("IFERROR(IF(COUNTIF(IMPORTRANGE(""1IG9qoa6PeLdDDFzKpW39lxXshN0-M8Z25a_R1EpsYyg"",""Form Responses 1!B:B""),F670)&gt;0,10,),0)"),"")</f>
        <v/>
      </c>
      <c r="V670" s="70"/>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row>
    <row r="671">
      <c r="B671" s="70" t="str">
        <f>IFERROR(__xludf.DUMMYFUNCTION("IFERROR(IF(COUNTIF(IMPORTRANGE(""1RTcwEJsI_0aJRebhNwO_H_AoKl9r46k7hWYbtciIyM4"",""Form Responses 1!B:B""),A671)&gt;0,10,),0)"),"")</f>
        <v/>
      </c>
      <c r="C671" s="70" t="str">
        <f>IFERROR(__xludf.DUMMYFUNCTION("IFERROR(VLOOKUP(A671,IMPORTRANGE(""11i8IUhq_U6RRKRV3CBWIKqYed_fMvFgNUHTq1YDJfp8"",""Form Responses 1!B:C""),2,FALSE),)"),"")</f>
        <v/>
      </c>
      <c r="D671" s="70" t="str">
        <f>IFERROR(__xludf.DUMMYFUNCTION("IFERROR(VLOOKUP(A671,IMPORTRANGE(""1StiHxuxrFhYdrq5WLR2JMORicW0TbnJf3J-oTHeMRtM"",""Form Responses 1!B:C""),2,FALSE),)"),"")</f>
        <v/>
      </c>
      <c r="E671" s="70" t="str">
        <f>IFERROR(__xludf.DUMMYFUNCTION("IFERROR(VLOOKUP(A671,IMPORTRANGE(""1QaxxyUjrDq2kgz300C1Bq1tacFk6e-xX218cSXCQUK0"",""Form Responses 1!B:C""),2,FALSE),)"),"")</f>
        <v/>
      </c>
      <c r="F671" s="70" t="str">
        <f>IFERROR(__xludf.DUMMYFUNCTION("IFERROR(VLOOKUP(A671,IMPORTRANGE(""1fn2ECph_y8Uz78DhjLaiXcwgt6kh3oe-0Le36Uw0noE"",""Form Responses 1!B:C""),2,FALSE),)"),"")</f>
        <v/>
      </c>
      <c r="G671" s="70"/>
      <c r="H671" s="70"/>
      <c r="I671" s="70"/>
      <c r="J671" s="70"/>
      <c r="K671" s="70"/>
      <c r="L671" s="70"/>
      <c r="M671" s="70"/>
      <c r="N671" s="70"/>
      <c r="O671" s="70"/>
      <c r="P671" s="70"/>
      <c r="Q671" s="70" t="str">
        <f>IFERROR(__xludf.DUMMYFUNCTION("IFERROR(IF(COUNTIF(IMPORTRANGE(""1WjiLR_MTMxI_IZUKuvPO4Sg2rTSIqBzP3edakSRXbOA"",""Form Responses 1!B:B""),F671)&gt;0,10,),0)"),"")</f>
        <v/>
      </c>
      <c r="R671" s="70" t="str">
        <f>IFERROR(__xludf.DUMMYFUNCTION("IFERROR(VLOOKUP(F671,IMPORTRANGE(""1Ixzbal5tEbtWhozsFEppQzOYE6ZSrkNXHg_HW5k3Wt4"",""Form Responses 1!B:C""),2,FALSE),)"),"")</f>
        <v/>
      </c>
      <c r="S671" s="70" t="str">
        <f>IFERROR(__xludf.DUMMYFUNCTION("IFERROR(VLOOKUP(F671,IMPORTRANGE(""1zxjtEKGvVIJPIDqZdnxENwVpPXYa88EihzyI44hcQUo"",""Form Responses 1!B:C""),2,FALSE),)"),"")</f>
        <v/>
      </c>
      <c r="T671" s="70" t="str">
        <f>IFERROR(__xludf.DUMMYFUNCTION("IFERROR(VLOOKUP(F671,IMPORTRANGE(""1H3cO01obd5zFULYqaT5NAqecZBFFIHeDFn4CeQLZF3w"",""Form Responses 1!B:C""),2,FALSE),)"),"")</f>
        <v/>
      </c>
      <c r="U671" s="70" t="str">
        <f>IFERROR(__xludf.DUMMYFUNCTION("IFERROR(IF(COUNTIF(IMPORTRANGE(""1IG9qoa6PeLdDDFzKpW39lxXshN0-M8Z25a_R1EpsYyg"",""Form Responses 1!B:B""),F671)&gt;0,10,),0)"),"")</f>
        <v/>
      </c>
      <c r="V671" s="70"/>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row>
    <row r="672">
      <c r="B672" s="70" t="str">
        <f>IFERROR(__xludf.DUMMYFUNCTION("IFERROR(IF(COUNTIF(IMPORTRANGE(""1RTcwEJsI_0aJRebhNwO_H_AoKl9r46k7hWYbtciIyM4"",""Form Responses 1!B:B""),A672)&gt;0,10,),0)"),"")</f>
        <v/>
      </c>
      <c r="C672" s="70" t="str">
        <f>IFERROR(__xludf.DUMMYFUNCTION("IFERROR(VLOOKUP(A672,IMPORTRANGE(""11i8IUhq_U6RRKRV3CBWIKqYed_fMvFgNUHTq1YDJfp8"",""Form Responses 1!B:C""),2,FALSE),)"),"")</f>
        <v/>
      </c>
      <c r="D672" s="70" t="str">
        <f>IFERROR(__xludf.DUMMYFUNCTION("IFERROR(VLOOKUP(A672,IMPORTRANGE(""1StiHxuxrFhYdrq5WLR2JMORicW0TbnJf3J-oTHeMRtM"",""Form Responses 1!B:C""),2,FALSE),)"),"")</f>
        <v/>
      </c>
      <c r="E672" s="70" t="str">
        <f>IFERROR(__xludf.DUMMYFUNCTION("IFERROR(VLOOKUP(A672,IMPORTRANGE(""1QaxxyUjrDq2kgz300C1Bq1tacFk6e-xX218cSXCQUK0"",""Form Responses 1!B:C""),2,FALSE),)"),"")</f>
        <v/>
      </c>
      <c r="F672" s="70" t="str">
        <f>IFERROR(__xludf.DUMMYFUNCTION("IFERROR(VLOOKUP(A672,IMPORTRANGE(""1fn2ECph_y8Uz78DhjLaiXcwgt6kh3oe-0Le36Uw0noE"",""Form Responses 1!B:C""),2,FALSE),)"),"")</f>
        <v/>
      </c>
      <c r="G672" s="70"/>
      <c r="H672" s="70"/>
      <c r="I672" s="70"/>
      <c r="J672" s="70"/>
      <c r="K672" s="70"/>
      <c r="L672" s="70"/>
      <c r="M672" s="70"/>
      <c r="N672" s="70"/>
      <c r="O672" s="70"/>
      <c r="P672" s="70"/>
      <c r="Q672" s="70" t="str">
        <f>IFERROR(__xludf.DUMMYFUNCTION("IFERROR(IF(COUNTIF(IMPORTRANGE(""1WjiLR_MTMxI_IZUKuvPO4Sg2rTSIqBzP3edakSRXbOA"",""Form Responses 1!B:B""),F672)&gt;0,10,),0)"),"")</f>
        <v/>
      </c>
      <c r="R672" s="70" t="str">
        <f>IFERROR(__xludf.DUMMYFUNCTION("IFERROR(VLOOKUP(F672,IMPORTRANGE(""1Ixzbal5tEbtWhozsFEppQzOYE6ZSrkNXHg_HW5k3Wt4"",""Form Responses 1!B:C""),2,FALSE),)"),"")</f>
        <v/>
      </c>
      <c r="S672" s="70" t="str">
        <f>IFERROR(__xludf.DUMMYFUNCTION("IFERROR(VLOOKUP(F672,IMPORTRANGE(""1zxjtEKGvVIJPIDqZdnxENwVpPXYa88EihzyI44hcQUo"",""Form Responses 1!B:C""),2,FALSE),)"),"")</f>
        <v/>
      </c>
      <c r="T672" s="70" t="str">
        <f>IFERROR(__xludf.DUMMYFUNCTION("IFERROR(VLOOKUP(F672,IMPORTRANGE(""1H3cO01obd5zFULYqaT5NAqecZBFFIHeDFn4CeQLZF3w"",""Form Responses 1!B:C""),2,FALSE),)"),"")</f>
        <v/>
      </c>
      <c r="U672" s="70" t="str">
        <f>IFERROR(__xludf.DUMMYFUNCTION("IFERROR(IF(COUNTIF(IMPORTRANGE(""1IG9qoa6PeLdDDFzKpW39lxXshN0-M8Z25a_R1EpsYyg"",""Form Responses 1!B:B""),F672)&gt;0,10,),0)"),"")</f>
        <v/>
      </c>
      <c r="V672" s="70"/>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row>
    <row r="673">
      <c r="B673" s="70" t="str">
        <f>IFERROR(__xludf.DUMMYFUNCTION("IFERROR(IF(COUNTIF(IMPORTRANGE(""1RTcwEJsI_0aJRebhNwO_H_AoKl9r46k7hWYbtciIyM4"",""Form Responses 1!B:B""),A673)&gt;0,10,),0)"),"")</f>
        <v/>
      </c>
      <c r="C673" s="70" t="str">
        <f>IFERROR(__xludf.DUMMYFUNCTION("IFERROR(VLOOKUP(A673,IMPORTRANGE(""11i8IUhq_U6RRKRV3CBWIKqYed_fMvFgNUHTq1YDJfp8"",""Form Responses 1!B:C""),2,FALSE),)"),"")</f>
        <v/>
      </c>
      <c r="D673" s="70" t="str">
        <f>IFERROR(__xludf.DUMMYFUNCTION("IFERROR(VLOOKUP(A673,IMPORTRANGE(""1StiHxuxrFhYdrq5WLR2JMORicW0TbnJf3J-oTHeMRtM"",""Form Responses 1!B:C""),2,FALSE),)"),"")</f>
        <v/>
      </c>
      <c r="E673" s="70" t="str">
        <f>IFERROR(__xludf.DUMMYFUNCTION("IFERROR(VLOOKUP(A673,IMPORTRANGE(""1QaxxyUjrDq2kgz300C1Bq1tacFk6e-xX218cSXCQUK0"",""Form Responses 1!B:C""),2,FALSE),)"),"")</f>
        <v/>
      </c>
      <c r="F673" s="70" t="str">
        <f>IFERROR(__xludf.DUMMYFUNCTION("IFERROR(VLOOKUP(A673,IMPORTRANGE(""1fn2ECph_y8Uz78DhjLaiXcwgt6kh3oe-0Le36Uw0noE"",""Form Responses 1!B:C""),2,FALSE),)"),"")</f>
        <v/>
      </c>
      <c r="G673" s="70"/>
      <c r="H673" s="70"/>
      <c r="I673" s="70"/>
      <c r="J673" s="70"/>
      <c r="K673" s="70"/>
      <c r="L673" s="70"/>
      <c r="M673" s="70"/>
      <c r="N673" s="70"/>
      <c r="O673" s="70"/>
      <c r="P673" s="70"/>
      <c r="Q673" s="70" t="str">
        <f>IFERROR(__xludf.DUMMYFUNCTION("IFERROR(IF(COUNTIF(IMPORTRANGE(""1WjiLR_MTMxI_IZUKuvPO4Sg2rTSIqBzP3edakSRXbOA"",""Form Responses 1!B:B""),F673)&gt;0,10,),0)"),"")</f>
        <v/>
      </c>
      <c r="R673" s="70" t="str">
        <f>IFERROR(__xludf.DUMMYFUNCTION("IFERROR(VLOOKUP(F673,IMPORTRANGE(""1Ixzbal5tEbtWhozsFEppQzOYE6ZSrkNXHg_HW5k3Wt4"",""Form Responses 1!B:C""),2,FALSE),)"),"")</f>
        <v/>
      </c>
      <c r="S673" s="70" t="str">
        <f>IFERROR(__xludf.DUMMYFUNCTION("IFERROR(VLOOKUP(F673,IMPORTRANGE(""1zxjtEKGvVIJPIDqZdnxENwVpPXYa88EihzyI44hcQUo"",""Form Responses 1!B:C""),2,FALSE),)"),"")</f>
        <v/>
      </c>
      <c r="T673" s="70" t="str">
        <f>IFERROR(__xludf.DUMMYFUNCTION("IFERROR(VLOOKUP(F673,IMPORTRANGE(""1H3cO01obd5zFULYqaT5NAqecZBFFIHeDFn4CeQLZF3w"",""Form Responses 1!B:C""),2,FALSE),)"),"")</f>
        <v/>
      </c>
      <c r="U673" s="70" t="str">
        <f>IFERROR(__xludf.DUMMYFUNCTION("IFERROR(IF(COUNTIF(IMPORTRANGE(""1IG9qoa6PeLdDDFzKpW39lxXshN0-M8Z25a_R1EpsYyg"",""Form Responses 1!B:B""),F673)&gt;0,10,),0)"),"")</f>
        <v/>
      </c>
      <c r="V673" s="70"/>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row>
    <row r="674">
      <c r="B674" s="70" t="str">
        <f>IFERROR(__xludf.DUMMYFUNCTION("IFERROR(IF(COUNTIF(IMPORTRANGE(""1RTcwEJsI_0aJRebhNwO_H_AoKl9r46k7hWYbtciIyM4"",""Form Responses 1!B:B""),A674)&gt;0,10,),0)"),"")</f>
        <v/>
      </c>
      <c r="C674" s="70" t="str">
        <f>IFERROR(__xludf.DUMMYFUNCTION("IFERROR(VLOOKUP(A674,IMPORTRANGE(""11i8IUhq_U6RRKRV3CBWIKqYed_fMvFgNUHTq1YDJfp8"",""Form Responses 1!B:C""),2,FALSE),)"),"")</f>
        <v/>
      </c>
      <c r="D674" s="70" t="str">
        <f>IFERROR(__xludf.DUMMYFUNCTION("IFERROR(VLOOKUP(A674,IMPORTRANGE(""1StiHxuxrFhYdrq5WLR2JMORicW0TbnJf3J-oTHeMRtM"",""Form Responses 1!B:C""),2,FALSE),)"),"")</f>
        <v/>
      </c>
      <c r="E674" s="70" t="str">
        <f>IFERROR(__xludf.DUMMYFUNCTION("IFERROR(VLOOKUP(A674,IMPORTRANGE(""1QaxxyUjrDq2kgz300C1Bq1tacFk6e-xX218cSXCQUK0"",""Form Responses 1!B:C""),2,FALSE),)"),"")</f>
        <v/>
      </c>
      <c r="F674" s="70" t="str">
        <f>IFERROR(__xludf.DUMMYFUNCTION("IFERROR(VLOOKUP(A674,IMPORTRANGE(""1fn2ECph_y8Uz78DhjLaiXcwgt6kh3oe-0Le36Uw0noE"",""Form Responses 1!B:C""),2,FALSE),)"),"")</f>
        <v/>
      </c>
      <c r="G674" s="70"/>
      <c r="H674" s="70"/>
      <c r="I674" s="70"/>
      <c r="J674" s="70"/>
      <c r="K674" s="70"/>
      <c r="L674" s="70"/>
      <c r="M674" s="70"/>
      <c r="N674" s="70"/>
      <c r="O674" s="70"/>
      <c r="P674" s="70"/>
      <c r="Q674" s="70" t="str">
        <f>IFERROR(__xludf.DUMMYFUNCTION("IFERROR(IF(COUNTIF(IMPORTRANGE(""1WjiLR_MTMxI_IZUKuvPO4Sg2rTSIqBzP3edakSRXbOA"",""Form Responses 1!B:B""),F674)&gt;0,10,),0)"),"")</f>
        <v/>
      </c>
      <c r="R674" s="70" t="str">
        <f>IFERROR(__xludf.DUMMYFUNCTION("IFERROR(VLOOKUP(F674,IMPORTRANGE(""1Ixzbal5tEbtWhozsFEppQzOYE6ZSrkNXHg_HW5k3Wt4"",""Form Responses 1!B:C""),2,FALSE),)"),"")</f>
        <v/>
      </c>
      <c r="S674" s="70" t="str">
        <f>IFERROR(__xludf.DUMMYFUNCTION("IFERROR(VLOOKUP(F674,IMPORTRANGE(""1zxjtEKGvVIJPIDqZdnxENwVpPXYa88EihzyI44hcQUo"",""Form Responses 1!B:C""),2,FALSE),)"),"")</f>
        <v/>
      </c>
      <c r="T674" s="70" t="str">
        <f>IFERROR(__xludf.DUMMYFUNCTION("IFERROR(VLOOKUP(F674,IMPORTRANGE(""1H3cO01obd5zFULYqaT5NAqecZBFFIHeDFn4CeQLZF3w"",""Form Responses 1!B:C""),2,FALSE),)"),"")</f>
        <v/>
      </c>
      <c r="U674" s="70" t="str">
        <f>IFERROR(__xludf.DUMMYFUNCTION("IFERROR(IF(COUNTIF(IMPORTRANGE(""1IG9qoa6PeLdDDFzKpW39lxXshN0-M8Z25a_R1EpsYyg"",""Form Responses 1!B:B""),F674)&gt;0,10,),0)"),"")</f>
        <v/>
      </c>
      <c r="V674" s="70"/>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row>
    <row r="675">
      <c r="B675" s="70" t="str">
        <f>IFERROR(__xludf.DUMMYFUNCTION("IFERROR(IF(COUNTIF(IMPORTRANGE(""1RTcwEJsI_0aJRebhNwO_H_AoKl9r46k7hWYbtciIyM4"",""Form Responses 1!B:B""),A675)&gt;0,10,),0)"),"")</f>
        <v/>
      </c>
      <c r="C675" s="70" t="str">
        <f>IFERROR(__xludf.DUMMYFUNCTION("IFERROR(VLOOKUP(A675,IMPORTRANGE(""11i8IUhq_U6RRKRV3CBWIKqYed_fMvFgNUHTq1YDJfp8"",""Form Responses 1!B:C""),2,FALSE),)"),"")</f>
        <v/>
      </c>
      <c r="D675" s="70" t="str">
        <f>IFERROR(__xludf.DUMMYFUNCTION("IFERROR(VLOOKUP(A675,IMPORTRANGE(""1StiHxuxrFhYdrq5WLR2JMORicW0TbnJf3J-oTHeMRtM"",""Form Responses 1!B:C""),2,FALSE),)"),"")</f>
        <v/>
      </c>
      <c r="E675" s="70" t="str">
        <f>IFERROR(__xludf.DUMMYFUNCTION("IFERROR(VLOOKUP(A675,IMPORTRANGE(""1QaxxyUjrDq2kgz300C1Bq1tacFk6e-xX218cSXCQUK0"",""Form Responses 1!B:C""),2,FALSE),)"),"")</f>
        <v/>
      </c>
      <c r="F675" s="70" t="str">
        <f>IFERROR(__xludf.DUMMYFUNCTION("IFERROR(VLOOKUP(A675,IMPORTRANGE(""1fn2ECph_y8Uz78DhjLaiXcwgt6kh3oe-0Le36Uw0noE"",""Form Responses 1!B:C""),2,FALSE),)"),"")</f>
        <v/>
      </c>
      <c r="G675" s="70"/>
      <c r="H675" s="70"/>
      <c r="I675" s="70"/>
      <c r="J675" s="70"/>
      <c r="K675" s="70"/>
      <c r="L675" s="70"/>
      <c r="M675" s="70"/>
      <c r="N675" s="70"/>
      <c r="O675" s="70"/>
      <c r="P675" s="70"/>
      <c r="Q675" s="70" t="str">
        <f>IFERROR(__xludf.DUMMYFUNCTION("IFERROR(IF(COUNTIF(IMPORTRANGE(""1WjiLR_MTMxI_IZUKuvPO4Sg2rTSIqBzP3edakSRXbOA"",""Form Responses 1!B:B""),F675)&gt;0,10,),0)"),"")</f>
        <v/>
      </c>
      <c r="R675" s="70" t="str">
        <f>IFERROR(__xludf.DUMMYFUNCTION("IFERROR(VLOOKUP(F675,IMPORTRANGE(""1Ixzbal5tEbtWhozsFEppQzOYE6ZSrkNXHg_HW5k3Wt4"",""Form Responses 1!B:C""),2,FALSE),)"),"")</f>
        <v/>
      </c>
      <c r="S675" s="70" t="str">
        <f>IFERROR(__xludf.DUMMYFUNCTION("IFERROR(VLOOKUP(F675,IMPORTRANGE(""1zxjtEKGvVIJPIDqZdnxENwVpPXYa88EihzyI44hcQUo"",""Form Responses 1!B:C""),2,FALSE),)"),"")</f>
        <v/>
      </c>
      <c r="T675" s="70" t="str">
        <f>IFERROR(__xludf.DUMMYFUNCTION("IFERROR(VLOOKUP(F675,IMPORTRANGE(""1H3cO01obd5zFULYqaT5NAqecZBFFIHeDFn4CeQLZF3w"",""Form Responses 1!B:C""),2,FALSE),)"),"")</f>
        <v/>
      </c>
      <c r="U675" s="70" t="str">
        <f>IFERROR(__xludf.DUMMYFUNCTION("IFERROR(IF(COUNTIF(IMPORTRANGE(""1IG9qoa6PeLdDDFzKpW39lxXshN0-M8Z25a_R1EpsYyg"",""Form Responses 1!B:B""),F675)&gt;0,10,),0)"),"")</f>
        <v/>
      </c>
      <c r="V675" s="70"/>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row>
    <row r="676">
      <c r="B676" s="70" t="str">
        <f>IFERROR(__xludf.DUMMYFUNCTION("IFERROR(IF(COUNTIF(IMPORTRANGE(""1RTcwEJsI_0aJRebhNwO_H_AoKl9r46k7hWYbtciIyM4"",""Form Responses 1!B:B""),A676)&gt;0,10,),0)"),"")</f>
        <v/>
      </c>
      <c r="C676" s="70" t="str">
        <f>IFERROR(__xludf.DUMMYFUNCTION("IFERROR(VLOOKUP(A676,IMPORTRANGE(""11i8IUhq_U6RRKRV3CBWIKqYed_fMvFgNUHTq1YDJfp8"",""Form Responses 1!B:C""),2,FALSE),)"),"")</f>
        <v/>
      </c>
      <c r="D676" s="70" t="str">
        <f>IFERROR(__xludf.DUMMYFUNCTION("IFERROR(VLOOKUP(A676,IMPORTRANGE(""1StiHxuxrFhYdrq5WLR2JMORicW0TbnJf3J-oTHeMRtM"",""Form Responses 1!B:C""),2,FALSE),)"),"")</f>
        <v/>
      </c>
      <c r="E676" s="70" t="str">
        <f>IFERROR(__xludf.DUMMYFUNCTION("IFERROR(VLOOKUP(A676,IMPORTRANGE(""1QaxxyUjrDq2kgz300C1Bq1tacFk6e-xX218cSXCQUK0"",""Form Responses 1!B:C""),2,FALSE),)"),"")</f>
        <v/>
      </c>
      <c r="F676" s="70" t="str">
        <f>IFERROR(__xludf.DUMMYFUNCTION("IFERROR(VLOOKUP(A676,IMPORTRANGE(""1fn2ECph_y8Uz78DhjLaiXcwgt6kh3oe-0Le36Uw0noE"",""Form Responses 1!B:C""),2,FALSE),)"),"")</f>
        <v/>
      </c>
      <c r="G676" s="70"/>
      <c r="H676" s="70"/>
      <c r="I676" s="70"/>
      <c r="J676" s="70"/>
      <c r="K676" s="70"/>
      <c r="L676" s="70"/>
      <c r="M676" s="70"/>
      <c r="N676" s="70"/>
      <c r="O676" s="70"/>
      <c r="P676" s="70"/>
      <c r="Q676" s="70" t="str">
        <f>IFERROR(__xludf.DUMMYFUNCTION("IFERROR(IF(COUNTIF(IMPORTRANGE(""1WjiLR_MTMxI_IZUKuvPO4Sg2rTSIqBzP3edakSRXbOA"",""Form Responses 1!B:B""),F676)&gt;0,10,),0)"),"")</f>
        <v/>
      </c>
      <c r="R676" s="70" t="str">
        <f>IFERROR(__xludf.DUMMYFUNCTION("IFERROR(VLOOKUP(F676,IMPORTRANGE(""1Ixzbal5tEbtWhozsFEppQzOYE6ZSrkNXHg_HW5k3Wt4"",""Form Responses 1!B:C""),2,FALSE),)"),"")</f>
        <v/>
      </c>
      <c r="S676" s="70" t="str">
        <f>IFERROR(__xludf.DUMMYFUNCTION("IFERROR(VLOOKUP(F676,IMPORTRANGE(""1zxjtEKGvVIJPIDqZdnxENwVpPXYa88EihzyI44hcQUo"",""Form Responses 1!B:C""),2,FALSE),)"),"")</f>
        <v/>
      </c>
      <c r="T676" s="70" t="str">
        <f>IFERROR(__xludf.DUMMYFUNCTION("IFERROR(VLOOKUP(F676,IMPORTRANGE(""1H3cO01obd5zFULYqaT5NAqecZBFFIHeDFn4CeQLZF3w"",""Form Responses 1!B:C""),2,FALSE),)"),"")</f>
        <v/>
      </c>
      <c r="U676" s="70" t="str">
        <f>IFERROR(__xludf.DUMMYFUNCTION("IFERROR(IF(COUNTIF(IMPORTRANGE(""1IG9qoa6PeLdDDFzKpW39lxXshN0-M8Z25a_R1EpsYyg"",""Form Responses 1!B:B""),F676)&gt;0,10,),0)"),"")</f>
        <v/>
      </c>
      <c r="V676" s="70"/>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row>
    <row r="677">
      <c r="B677" s="70" t="str">
        <f>IFERROR(__xludf.DUMMYFUNCTION("IFERROR(IF(COUNTIF(IMPORTRANGE(""1RTcwEJsI_0aJRebhNwO_H_AoKl9r46k7hWYbtciIyM4"",""Form Responses 1!B:B""),A677)&gt;0,10,),0)"),"")</f>
        <v/>
      </c>
      <c r="C677" s="70" t="str">
        <f>IFERROR(__xludf.DUMMYFUNCTION("IFERROR(VLOOKUP(A677,IMPORTRANGE(""11i8IUhq_U6RRKRV3CBWIKqYed_fMvFgNUHTq1YDJfp8"",""Form Responses 1!B:C""),2,FALSE),)"),"")</f>
        <v/>
      </c>
      <c r="D677" s="70" t="str">
        <f>IFERROR(__xludf.DUMMYFUNCTION("IFERROR(VLOOKUP(A677,IMPORTRANGE(""1StiHxuxrFhYdrq5WLR2JMORicW0TbnJf3J-oTHeMRtM"",""Form Responses 1!B:C""),2,FALSE),)"),"")</f>
        <v/>
      </c>
      <c r="E677" s="70" t="str">
        <f>IFERROR(__xludf.DUMMYFUNCTION("IFERROR(VLOOKUP(A677,IMPORTRANGE(""1QaxxyUjrDq2kgz300C1Bq1tacFk6e-xX218cSXCQUK0"",""Form Responses 1!B:C""),2,FALSE),)"),"")</f>
        <v/>
      </c>
      <c r="F677" s="70" t="str">
        <f>IFERROR(__xludf.DUMMYFUNCTION("IFERROR(VLOOKUP(A677,IMPORTRANGE(""1fn2ECph_y8Uz78DhjLaiXcwgt6kh3oe-0Le36Uw0noE"",""Form Responses 1!B:C""),2,FALSE),)"),"")</f>
        <v/>
      </c>
      <c r="G677" s="70"/>
      <c r="H677" s="70"/>
      <c r="I677" s="70"/>
      <c r="J677" s="70"/>
      <c r="K677" s="70"/>
      <c r="L677" s="70"/>
      <c r="M677" s="70"/>
      <c r="N677" s="70"/>
      <c r="O677" s="70"/>
      <c r="P677" s="70"/>
      <c r="Q677" s="70" t="str">
        <f>IFERROR(__xludf.DUMMYFUNCTION("IFERROR(IF(COUNTIF(IMPORTRANGE(""1WjiLR_MTMxI_IZUKuvPO4Sg2rTSIqBzP3edakSRXbOA"",""Form Responses 1!B:B""),F677)&gt;0,10,),0)"),"")</f>
        <v/>
      </c>
      <c r="R677" s="70" t="str">
        <f>IFERROR(__xludf.DUMMYFUNCTION("IFERROR(VLOOKUP(F677,IMPORTRANGE(""1Ixzbal5tEbtWhozsFEppQzOYE6ZSrkNXHg_HW5k3Wt4"",""Form Responses 1!B:C""),2,FALSE),)"),"")</f>
        <v/>
      </c>
      <c r="S677" s="70" t="str">
        <f>IFERROR(__xludf.DUMMYFUNCTION("IFERROR(VLOOKUP(F677,IMPORTRANGE(""1zxjtEKGvVIJPIDqZdnxENwVpPXYa88EihzyI44hcQUo"",""Form Responses 1!B:C""),2,FALSE),)"),"")</f>
        <v/>
      </c>
      <c r="T677" s="70" t="str">
        <f>IFERROR(__xludf.DUMMYFUNCTION("IFERROR(VLOOKUP(F677,IMPORTRANGE(""1H3cO01obd5zFULYqaT5NAqecZBFFIHeDFn4CeQLZF3w"",""Form Responses 1!B:C""),2,FALSE),)"),"")</f>
        <v/>
      </c>
      <c r="U677" s="70" t="str">
        <f>IFERROR(__xludf.DUMMYFUNCTION("IFERROR(IF(COUNTIF(IMPORTRANGE(""1IG9qoa6PeLdDDFzKpW39lxXshN0-M8Z25a_R1EpsYyg"",""Form Responses 1!B:B""),F677)&gt;0,10,),0)"),"")</f>
        <v/>
      </c>
      <c r="V677" s="70"/>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row>
    <row r="678">
      <c r="B678" s="70" t="str">
        <f>IFERROR(__xludf.DUMMYFUNCTION("IFERROR(IF(COUNTIF(IMPORTRANGE(""1RTcwEJsI_0aJRebhNwO_H_AoKl9r46k7hWYbtciIyM4"",""Form Responses 1!B:B""),A678)&gt;0,10,),0)"),"")</f>
        <v/>
      </c>
      <c r="C678" s="70" t="str">
        <f>IFERROR(__xludf.DUMMYFUNCTION("IFERROR(VLOOKUP(A678,IMPORTRANGE(""11i8IUhq_U6RRKRV3CBWIKqYed_fMvFgNUHTq1YDJfp8"",""Form Responses 1!B:C""),2,FALSE),)"),"")</f>
        <v/>
      </c>
      <c r="D678" s="70" t="str">
        <f>IFERROR(__xludf.DUMMYFUNCTION("IFERROR(VLOOKUP(A678,IMPORTRANGE(""1StiHxuxrFhYdrq5WLR2JMORicW0TbnJf3J-oTHeMRtM"",""Form Responses 1!B:C""),2,FALSE),)"),"")</f>
        <v/>
      </c>
      <c r="E678" s="70" t="str">
        <f>IFERROR(__xludf.DUMMYFUNCTION("IFERROR(VLOOKUP(A678,IMPORTRANGE(""1QaxxyUjrDq2kgz300C1Bq1tacFk6e-xX218cSXCQUK0"",""Form Responses 1!B:C""),2,FALSE),)"),"")</f>
        <v/>
      </c>
      <c r="F678" s="70" t="str">
        <f>IFERROR(__xludf.DUMMYFUNCTION("IFERROR(VLOOKUP(A678,IMPORTRANGE(""1fn2ECph_y8Uz78DhjLaiXcwgt6kh3oe-0Le36Uw0noE"",""Form Responses 1!B:C""),2,FALSE),)"),"")</f>
        <v/>
      </c>
      <c r="G678" s="70"/>
      <c r="H678" s="70"/>
      <c r="I678" s="70"/>
      <c r="J678" s="70"/>
      <c r="K678" s="70"/>
      <c r="L678" s="70"/>
      <c r="M678" s="70"/>
      <c r="N678" s="70"/>
      <c r="O678" s="70"/>
      <c r="P678" s="70"/>
      <c r="Q678" s="70" t="str">
        <f>IFERROR(__xludf.DUMMYFUNCTION("IFERROR(IF(COUNTIF(IMPORTRANGE(""1WjiLR_MTMxI_IZUKuvPO4Sg2rTSIqBzP3edakSRXbOA"",""Form Responses 1!B:B""),F678)&gt;0,10,),0)"),"")</f>
        <v/>
      </c>
      <c r="R678" s="70" t="str">
        <f>IFERROR(__xludf.DUMMYFUNCTION("IFERROR(VLOOKUP(F678,IMPORTRANGE(""1Ixzbal5tEbtWhozsFEppQzOYE6ZSrkNXHg_HW5k3Wt4"",""Form Responses 1!B:C""),2,FALSE),)"),"")</f>
        <v/>
      </c>
      <c r="S678" s="70" t="str">
        <f>IFERROR(__xludf.DUMMYFUNCTION("IFERROR(VLOOKUP(F678,IMPORTRANGE(""1zxjtEKGvVIJPIDqZdnxENwVpPXYa88EihzyI44hcQUo"",""Form Responses 1!B:C""),2,FALSE),)"),"")</f>
        <v/>
      </c>
      <c r="T678" s="70" t="str">
        <f>IFERROR(__xludf.DUMMYFUNCTION("IFERROR(VLOOKUP(F678,IMPORTRANGE(""1H3cO01obd5zFULYqaT5NAqecZBFFIHeDFn4CeQLZF3w"",""Form Responses 1!B:C""),2,FALSE),)"),"")</f>
        <v/>
      </c>
      <c r="U678" s="70" t="str">
        <f>IFERROR(__xludf.DUMMYFUNCTION("IFERROR(IF(COUNTIF(IMPORTRANGE(""1IG9qoa6PeLdDDFzKpW39lxXshN0-M8Z25a_R1EpsYyg"",""Form Responses 1!B:B""),F678)&gt;0,10,),0)"),"")</f>
        <v/>
      </c>
      <c r="V678" s="70"/>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row>
    <row r="679">
      <c r="B679" s="70" t="str">
        <f>IFERROR(__xludf.DUMMYFUNCTION("IFERROR(IF(COUNTIF(IMPORTRANGE(""1RTcwEJsI_0aJRebhNwO_H_AoKl9r46k7hWYbtciIyM4"",""Form Responses 1!B:B""),A679)&gt;0,10,),0)"),"")</f>
        <v/>
      </c>
      <c r="C679" s="70" t="str">
        <f>IFERROR(__xludf.DUMMYFUNCTION("IFERROR(VLOOKUP(A679,IMPORTRANGE(""11i8IUhq_U6RRKRV3CBWIKqYed_fMvFgNUHTq1YDJfp8"",""Form Responses 1!B:C""),2,FALSE),)"),"")</f>
        <v/>
      </c>
      <c r="D679" s="70" t="str">
        <f>IFERROR(__xludf.DUMMYFUNCTION("IFERROR(VLOOKUP(A679,IMPORTRANGE(""1StiHxuxrFhYdrq5WLR2JMORicW0TbnJf3J-oTHeMRtM"",""Form Responses 1!B:C""),2,FALSE),)"),"")</f>
        <v/>
      </c>
      <c r="E679" s="70" t="str">
        <f>IFERROR(__xludf.DUMMYFUNCTION("IFERROR(VLOOKUP(A679,IMPORTRANGE(""1QaxxyUjrDq2kgz300C1Bq1tacFk6e-xX218cSXCQUK0"",""Form Responses 1!B:C""),2,FALSE),)"),"")</f>
        <v/>
      </c>
      <c r="F679" s="70" t="str">
        <f>IFERROR(__xludf.DUMMYFUNCTION("IFERROR(VLOOKUP(A679,IMPORTRANGE(""1fn2ECph_y8Uz78DhjLaiXcwgt6kh3oe-0Le36Uw0noE"",""Form Responses 1!B:C""),2,FALSE),)"),"")</f>
        <v/>
      </c>
      <c r="G679" s="70"/>
      <c r="H679" s="70"/>
      <c r="I679" s="70"/>
      <c r="J679" s="70"/>
      <c r="K679" s="70"/>
      <c r="L679" s="70"/>
      <c r="M679" s="70"/>
      <c r="N679" s="70"/>
      <c r="O679" s="70"/>
      <c r="P679" s="70"/>
      <c r="Q679" s="70" t="str">
        <f>IFERROR(__xludf.DUMMYFUNCTION("IFERROR(IF(COUNTIF(IMPORTRANGE(""1WjiLR_MTMxI_IZUKuvPO4Sg2rTSIqBzP3edakSRXbOA"",""Form Responses 1!B:B""),F679)&gt;0,10,),0)"),"")</f>
        <v/>
      </c>
      <c r="R679" s="70" t="str">
        <f>IFERROR(__xludf.DUMMYFUNCTION("IFERROR(VLOOKUP(F679,IMPORTRANGE(""1Ixzbal5tEbtWhozsFEppQzOYE6ZSrkNXHg_HW5k3Wt4"",""Form Responses 1!B:C""),2,FALSE),)"),"")</f>
        <v/>
      </c>
      <c r="S679" s="70" t="str">
        <f>IFERROR(__xludf.DUMMYFUNCTION("IFERROR(VLOOKUP(F679,IMPORTRANGE(""1zxjtEKGvVIJPIDqZdnxENwVpPXYa88EihzyI44hcQUo"",""Form Responses 1!B:C""),2,FALSE),)"),"")</f>
        <v/>
      </c>
      <c r="T679" s="70" t="str">
        <f>IFERROR(__xludf.DUMMYFUNCTION("IFERROR(VLOOKUP(F679,IMPORTRANGE(""1H3cO01obd5zFULYqaT5NAqecZBFFIHeDFn4CeQLZF3w"",""Form Responses 1!B:C""),2,FALSE),)"),"")</f>
        <v/>
      </c>
      <c r="U679" s="70" t="str">
        <f>IFERROR(__xludf.DUMMYFUNCTION("IFERROR(IF(COUNTIF(IMPORTRANGE(""1IG9qoa6PeLdDDFzKpW39lxXshN0-M8Z25a_R1EpsYyg"",""Form Responses 1!B:B""),F679)&gt;0,10,),0)"),"")</f>
        <v/>
      </c>
      <c r="V679" s="70"/>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row>
    <row r="680">
      <c r="B680" s="70" t="str">
        <f>IFERROR(__xludf.DUMMYFUNCTION("IFERROR(IF(COUNTIF(IMPORTRANGE(""1RTcwEJsI_0aJRebhNwO_H_AoKl9r46k7hWYbtciIyM4"",""Form Responses 1!B:B""),A680)&gt;0,10,),0)"),"")</f>
        <v/>
      </c>
      <c r="C680" s="70" t="str">
        <f>IFERROR(__xludf.DUMMYFUNCTION("IFERROR(VLOOKUP(A680,IMPORTRANGE(""11i8IUhq_U6RRKRV3CBWIKqYed_fMvFgNUHTq1YDJfp8"",""Form Responses 1!B:C""),2,FALSE),)"),"")</f>
        <v/>
      </c>
      <c r="D680" s="70" t="str">
        <f>IFERROR(__xludf.DUMMYFUNCTION("IFERROR(VLOOKUP(A680,IMPORTRANGE(""1StiHxuxrFhYdrq5WLR2JMORicW0TbnJf3J-oTHeMRtM"",""Form Responses 1!B:C""),2,FALSE),)"),"")</f>
        <v/>
      </c>
      <c r="E680" s="70" t="str">
        <f>IFERROR(__xludf.DUMMYFUNCTION("IFERROR(VLOOKUP(A680,IMPORTRANGE(""1QaxxyUjrDq2kgz300C1Bq1tacFk6e-xX218cSXCQUK0"",""Form Responses 1!B:C""),2,FALSE),)"),"")</f>
        <v/>
      </c>
      <c r="F680" s="70" t="str">
        <f>IFERROR(__xludf.DUMMYFUNCTION("IFERROR(VLOOKUP(A680,IMPORTRANGE(""1fn2ECph_y8Uz78DhjLaiXcwgt6kh3oe-0Le36Uw0noE"",""Form Responses 1!B:C""),2,FALSE),)"),"")</f>
        <v/>
      </c>
      <c r="G680" s="70"/>
      <c r="H680" s="70"/>
      <c r="I680" s="70"/>
      <c r="J680" s="70"/>
      <c r="K680" s="70"/>
      <c r="L680" s="70"/>
      <c r="M680" s="70"/>
      <c r="N680" s="70"/>
      <c r="O680" s="70"/>
      <c r="P680" s="70"/>
      <c r="Q680" s="70" t="str">
        <f>IFERROR(__xludf.DUMMYFUNCTION("IFERROR(IF(COUNTIF(IMPORTRANGE(""1WjiLR_MTMxI_IZUKuvPO4Sg2rTSIqBzP3edakSRXbOA"",""Form Responses 1!B:B""),F680)&gt;0,10,),0)"),"")</f>
        <v/>
      </c>
      <c r="R680" s="70" t="str">
        <f>IFERROR(__xludf.DUMMYFUNCTION("IFERROR(VLOOKUP(F680,IMPORTRANGE(""1Ixzbal5tEbtWhozsFEppQzOYE6ZSrkNXHg_HW5k3Wt4"",""Form Responses 1!B:C""),2,FALSE),)"),"")</f>
        <v/>
      </c>
      <c r="S680" s="70" t="str">
        <f>IFERROR(__xludf.DUMMYFUNCTION("IFERROR(VLOOKUP(F680,IMPORTRANGE(""1zxjtEKGvVIJPIDqZdnxENwVpPXYa88EihzyI44hcQUo"",""Form Responses 1!B:C""),2,FALSE),)"),"")</f>
        <v/>
      </c>
      <c r="T680" s="70" t="str">
        <f>IFERROR(__xludf.DUMMYFUNCTION("IFERROR(VLOOKUP(F680,IMPORTRANGE(""1H3cO01obd5zFULYqaT5NAqecZBFFIHeDFn4CeQLZF3w"",""Form Responses 1!B:C""),2,FALSE),)"),"")</f>
        <v/>
      </c>
      <c r="U680" s="70" t="str">
        <f>IFERROR(__xludf.DUMMYFUNCTION("IFERROR(IF(COUNTIF(IMPORTRANGE(""1IG9qoa6PeLdDDFzKpW39lxXshN0-M8Z25a_R1EpsYyg"",""Form Responses 1!B:B""),F680)&gt;0,10,),0)"),"")</f>
        <v/>
      </c>
      <c r="V680" s="70"/>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row>
    <row r="681">
      <c r="B681" s="70" t="str">
        <f>IFERROR(__xludf.DUMMYFUNCTION("IFERROR(IF(COUNTIF(IMPORTRANGE(""1RTcwEJsI_0aJRebhNwO_H_AoKl9r46k7hWYbtciIyM4"",""Form Responses 1!B:B""),A681)&gt;0,10,),0)"),"")</f>
        <v/>
      </c>
      <c r="C681" s="70" t="str">
        <f>IFERROR(__xludf.DUMMYFUNCTION("IFERROR(VLOOKUP(A681,IMPORTRANGE(""11i8IUhq_U6RRKRV3CBWIKqYed_fMvFgNUHTq1YDJfp8"",""Form Responses 1!B:C""),2,FALSE),)"),"")</f>
        <v/>
      </c>
      <c r="D681" s="70" t="str">
        <f>IFERROR(__xludf.DUMMYFUNCTION("IFERROR(VLOOKUP(A681,IMPORTRANGE(""1StiHxuxrFhYdrq5WLR2JMORicW0TbnJf3J-oTHeMRtM"",""Form Responses 1!B:C""),2,FALSE),)"),"")</f>
        <v/>
      </c>
      <c r="E681" s="70" t="str">
        <f>IFERROR(__xludf.DUMMYFUNCTION("IFERROR(VLOOKUP(A681,IMPORTRANGE(""1QaxxyUjrDq2kgz300C1Bq1tacFk6e-xX218cSXCQUK0"",""Form Responses 1!B:C""),2,FALSE),)"),"")</f>
        <v/>
      </c>
      <c r="F681" s="70" t="str">
        <f>IFERROR(__xludf.DUMMYFUNCTION("IFERROR(VLOOKUP(A681,IMPORTRANGE(""1fn2ECph_y8Uz78DhjLaiXcwgt6kh3oe-0Le36Uw0noE"",""Form Responses 1!B:C""),2,FALSE),)"),"")</f>
        <v/>
      </c>
      <c r="G681" s="70"/>
      <c r="H681" s="70"/>
      <c r="I681" s="70"/>
      <c r="J681" s="70"/>
      <c r="K681" s="70"/>
      <c r="L681" s="70"/>
      <c r="M681" s="70"/>
      <c r="N681" s="70"/>
      <c r="O681" s="70"/>
      <c r="P681" s="70"/>
      <c r="Q681" s="70" t="str">
        <f>IFERROR(__xludf.DUMMYFUNCTION("IFERROR(IF(COUNTIF(IMPORTRANGE(""1WjiLR_MTMxI_IZUKuvPO4Sg2rTSIqBzP3edakSRXbOA"",""Form Responses 1!B:B""),F681)&gt;0,10,),0)"),"")</f>
        <v/>
      </c>
      <c r="R681" s="70" t="str">
        <f>IFERROR(__xludf.DUMMYFUNCTION("IFERROR(VLOOKUP(F681,IMPORTRANGE(""1Ixzbal5tEbtWhozsFEppQzOYE6ZSrkNXHg_HW5k3Wt4"",""Form Responses 1!B:C""),2,FALSE),)"),"")</f>
        <v/>
      </c>
      <c r="S681" s="70" t="str">
        <f>IFERROR(__xludf.DUMMYFUNCTION("IFERROR(VLOOKUP(F681,IMPORTRANGE(""1zxjtEKGvVIJPIDqZdnxENwVpPXYa88EihzyI44hcQUo"",""Form Responses 1!B:C""),2,FALSE),)"),"")</f>
        <v/>
      </c>
      <c r="T681" s="70" t="str">
        <f>IFERROR(__xludf.DUMMYFUNCTION("IFERROR(VLOOKUP(F681,IMPORTRANGE(""1H3cO01obd5zFULYqaT5NAqecZBFFIHeDFn4CeQLZF3w"",""Form Responses 1!B:C""),2,FALSE),)"),"")</f>
        <v/>
      </c>
      <c r="U681" s="70" t="str">
        <f>IFERROR(__xludf.DUMMYFUNCTION("IFERROR(IF(COUNTIF(IMPORTRANGE(""1IG9qoa6PeLdDDFzKpW39lxXshN0-M8Z25a_R1EpsYyg"",""Form Responses 1!B:B""),F681)&gt;0,10,),0)"),"")</f>
        <v/>
      </c>
      <c r="V681" s="70"/>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row>
    <row r="682">
      <c r="B682" s="70" t="str">
        <f>IFERROR(__xludf.DUMMYFUNCTION("IFERROR(IF(COUNTIF(IMPORTRANGE(""1RTcwEJsI_0aJRebhNwO_H_AoKl9r46k7hWYbtciIyM4"",""Form Responses 1!B:B""),A682)&gt;0,10,),0)"),"")</f>
        <v/>
      </c>
      <c r="C682" s="70" t="str">
        <f>IFERROR(__xludf.DUMMYFUNCTION("IFERROR(VLOOKUP(A682,IMPORTRANGE(""11i8IUhq_U6RRKRV3CBWIKqYed_fMvFgNUHTq1YDJfp8"",""Form Responses 1!B:C""),2,FALSE),)"),"")</f>
        <v/>
      </c>
      <c r="D682" s="70" t="str">
        <f>IFERROR(__xludf.DUMMYFUNCTION("IFERROR(VLOOKUP(A682,IMPORTRANGE(""1StiHxuxrFhYdrq5WLR2JMORicW0TbnJf3J-oTHeMRtM"",""Form Responses 1!B:C""),2,FALSE),)"),"")</f>
        <v/>
      </c>
      <c r="E682" s="70" t="str">
        <f>IFERROR(__xludf.DUMMYFUNCTION("IFERROR(VLOOKUP(A682,IMPORTRANGE(""1QaxxyUjrDq2kgz300C1Bq1tacFk6e-xX218cSXCQUK0"",""Form Responses 1!B:C""),2,FALSE),)"),"")</f>
        <v/>
      </c>
      <c r="F682" s="70" t="str">
        <f>IFERROR(__xludf.DUMMYFUNCTION("IFERROR(VLOOKUP(A682,IMPORTRANGE(""1fn2ECph_y8Uz78DhjLaiXcwgt6kh3oe-0Le36Uw0noE"",""Form Responses 1!B:C""),2,FALSE),)"),"")</f>
        <v/>
      </c>
      <c r="G682" s="70"/>
      <c r="H682" s="70"/>
      <c r="I682" s="70"/>
      <c r="J682" s="70"/>
      <c r="K682" s="70"/>
      <c r="L682" s="70"/>
      <c r="M682" s="70"/>
      <c r="N682" s="70"/>
      <c r="O682" s="70"/>
      <c r="P682" s="70"/>
      <c r="Q682" s="70" t="str">
        <f>IFERROR(__xludf.DUMMYFUNCTION("IFERROR(IF(COUNTIF(IMPORTRANGE(""1WjiLR_MTMxI_IZUKuvPO4Sg2rTSIqBzP3edakSRXbOA"",""Form Responses 1!B:B""),F682)&gt;0,10,),0)"),"")</f>
        <v/>
      </c>
      <c r="R682" s="70" t="str">
        <f>IFERROR(__xludf.DUMMYFUNCTION("IFERROR(VLOOKUP(F682,IMPORTRANGE(""1Ixzbal5tEbtWhozsFEppQzOYE6ZSrkNXHg_HW5k3Wt4"",""Form Responses 1!B:C""),2,FALSE),)"),"")</f>
        <v/>
      </c>
      <c r="S682" s="70" t="str">
        <f>IFERROR(__xludf.DUMMYFUNCTION("IFERROR(VLOOKUP(F682,IMPORTRANGE(""1zxjtEKGvVIJPIDqZdnxENwVpPXYa88EihzyI44hcQUo"",""Form Responses 1!B:C""),2,FALSE),)"),"")</f>
        <v/>
      </c>
      <c r="T682" s="70" t="str">
        <f>IFERROR(__xludf.DUMMYFUNCTION("IFERROR(VLOOKUP(F682,IMPORTRANGE(""1H3cO01obd5zFULYqaT5NAqecZBFFIHeDFn4CeQLZF3w"",""Form Responses 1!B:C""),2,FALSE),)"),"")</f>
        <v/>
      </c>
      <c r="U682" s="70" t="str">
        <f>IFERROR(__xludf.DUMMYFUNCTION("IFERROR(IF(COUNTIF(IMPORTRANGE(""1IG9qoa6PeLdDDFzKpW39lxXshN0-M8Z25a_R1EpsYyg"",""Form Responses 1!B:B""),F682)&gt;0,10,),0)"),"")</f>
        <v/>
      </c>
      <c r="V682" s="70"/>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row>
    <row r="683">
      <c r="B683" s="70" t="str">
        <f>IFERROR(__xludf.DUMMYFUNCTION("IFERROR(IF(COUNTIF(IMPORTRANGE(""1RTcwEJsI_0aJRebhNwO_H_AoKl9r46k7hWYbtciIyM4"",""Form Responses 1!B:B""),A683)&gt;0,10,),0)"),"")</f>
        <v/>
      </c>
      <c r="C683" s="70" t="str">
        <f>IFERROR(__xludf.DUMMYFUNCTION("IFERROR(VLOOKUP(A683,IMPORTRANGE(""11i8IUhq_U6RRKRV3CBWIKqYed_fMvFgNUHTq1YDJfp8"",""Form Responses 1!B:C""),2,FALSE),)"),"")</f>
        <v/>
      </c>
      <c r="D683" s="70" t="str">
        <f>IFERROR(__xludf.DUMMYFUNCTION("IFERROR(VLOOKUP(A683,IMPORTRANGE(""1StiHxuxrFhYdrq5WLR2JMORicW0TbnJf3J-oTHeMRtM"",""Form Responses 1!B:C""),2,FALSE),)"),"")</f>
        <v/>
      </c>
      <c r="E683" s="70" t="str">
        <f>IFERROR(__xludf.DUMMYFUNCTION("IFERROR(VLOOKUP(A683,IMPORTRANGE(""1QaxxyUjrDq2kgz300C1Bq1tacFk6e-xX218cSXCQUK0"",""Form Responses 1!B:C""),2,FALSE),)"),"")</f>
        <v/>
      </c>
      <c r="F683" s="70" t="str">
        <f>IFERROR(__xludf.DUMMYFUNCTION("IFERROR(VLOOKUP(A683,IMPORTRANGE(""1fn2ECph_y8Uz78DhjLaiXcwgt6kh3oe-0Le36Uw0noE"",""Form Responses 1!B:C""),2,FALSE),)"),"")</f>
        <v/>
      </c>
      <c r="G683" s="70"/>
      <c r="H683" s="70"/>
      <c r="I683" s="70"/>
      <c r="J683" s="70"/>
      <c r="K683" s="70"/>
      <c r="L683" s="70"/>
      <c r="M683" s="70"/>
      <c r="N683" s="70"/>
      <c r="O683" s="70"/>
      <c r="P683" s="70"/>
      <c r="Q683" s="70" t="str">
        <f>IFERROR(__xludf.DUMMYFUNCTION("IFERROR(IF(COUNTIF(IMPORTRANGE(""1WjiLR_MTMxI_IZUKuvPO4Sg2rTSIqBzP3edakSRXbOA"",""Form Responses 1!B:B""),F683)&gt;0,10,),0)"),"")</f>
        <v/>
      </c>
      <c r="R683" s="70" t="str">
        <f>IFERROR(__xludf.DUMMYFUNCTION("IFERROR(VLOOKUP(F683,IMPORTRANGE(""1Ixzbal5tEbtWhozsFEppQzOYE6ZSrkNXHg_HW5k3Wt4"",""Form Responses 1!B:C""),2,FALSE),)"),"")</f>
        <v/>
      </c>
      <c r="S683" s="70" t="str">
        <f>IFERROR(__xludf.DUMMYFUNCTION("IFERROR(VLOOKUP(F683,IMPORTRANGE(""1zxjtEKGvVIJPIDqZdnxENwVpPXYa88EihzyI44hcQUo"",""Form Responses 1!B:C""),2,FALSE),)"),"")</f>
        <v/>
      </c>
      <c r="T683" s="70" t="str">
        <f>IFERROR(__xludf.DUMMYFUNCTION("IFERROR(VLOOKUP(F683,IMPORTRANGE(""1H3cO01obd5zFULYqaT5NAqecZBFFIHeDFn4CeQLZF3w"",""Form Responses 1!B:C""),2,FALSE),)"),"")</f>
        <v/>
      </c>
      <c r="U683" s="70" t="str">
        <f>IFERROR(__xludf.DUMMYFUNCTION("IFERROR(IF(COUNTIF(IMPORTRANGE(""1IG9qoa6PeLdDDFzKpW39lxXshN0-M8Z25a_R1EpsYyg"",""Form Responses 1!B:B""),F683)&gt;0,10,),0)"),"")</f>
        <v/>
      </c>
      <c r="V683" s="70"/>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row>
    <row r="684">
      <c r="B684" s="70" t="str">
        <f>IFERROR(__xludf.DUMMYFUNCTION("IFERROR(IF(COUNTIF(IMPORTRANGE(""1RTcwEJsI_0aJRebhNwO_H_AoKl9r46k7hWYbtciIyM4"",""Form Responses 1!B:B""),A684)&gt;0,10,),0)"),"")</f>
        <v/>
      </c>
      <c r="C684" s="70" t="str">
        <f>IFERROR(__xludf.DUMMYFUNCTION("IFERROR(VLOOKUP(A684,IMPORTRANGE(""11i8IUhq_U6RRKRV3CBWIKqYed_fMvFgNUHTq1YDJfp8"",""Form Responses 1!B:C""),2,FALSE),)"),"")</f>
        <v/>
      </c>
      <c r="D684" s="70" t="str">
        <f>IFERROR(__xludf.DUMMYFUNCTION("IFERROR(VLOOKUP(A684,IMPORTRANGE(""1StiHxuxrFhYdrq5WLR2JMORicW0TbnJf3J-oTHeMRtM"",""Form Responses 1!B:C""),2,FALSE),)"),"")</f>
        <v/>
      </c>
      <c r="E684" s="70" t="str">
        <f>IFERROR(__xludf.DUMMYFUNCTION("IFERROR(VLOOKUP(A684,IMPORTRANGE(""1QaxxyUjrDq2kgz300C1Bq1tacFk6e-xX218cSXCQUK0"",""Form Responses 1!B:C""),2,FALSE),)"),"")</f>
        <v/>
      </c>
      <c r="F684" s="70" t="str">
        <f>IFERROR(__xludf.DUMMYFUNCTION("IFERROR(VLOOKUP(A684,IMPORTRANGE(""1fn2ECph_y8Uz78DhjLaiXcwgt6kh3oe-0Le36Uw0noE"",""Form Responses 1!B:C""),2,FALSE),)"),"")</f>
        <v/>
      </c>
      <c r="G684" s="70"/>
      <c r="H684" s="70"/>
      <c r="I684" s="70"/>
      <c r="J684" s="70"/>
      <c r="K684" s="70"/>
      <c r="L684" s="70"/>
      <c r="M684" s="70"/>
      <c r="N684" s="70"/>
      <c r="O684" s="70"/>
      <c r="P684" s="70"/>
      <c r="Q684" s="70" t="str">
        <f>IFERROR(__xludf.DUMMYFUNCTION("IFERROR(IF(COUNTIF(IMPORTRANGE(""1WjiLR_MTMxI_IZUKuvPO4Sg2rTSIqBzP3edakSRXbOA"",""Form Responses 1!B:B""),F684)&gt;0,10,),0)"),"")</f>
        <v/>
      </c>
      <c r="R684" s="70" t="str">
        <f>IFERROR(__xludf.DUMMYFUNCTION("IFERROR(VLOOKUP(F684,IMPORTRANGE(""1Ixzbal5tEbtWhozsFEppQzOYE6ZSrkNXHg_HW5k3Wt4"",""Form Responses 1!B:C""),2,FALSE),)"),"")</f>
        <v/>
      </c>
      <c r="S684" s="70" t="str">
        <f>IFERROR(__xludf.DUMMYFUNCTION("IFERROR(VLOOKUP(F684,IMPORTRANGE(""1zxjtEKGvVIJPIDqZdnxENwVpPXYa88EihzyI44hcQUo"",""Form Responses 1!B:C""),2,FALSE),)"),"")</f>
        <v/>
      </c>
      <c r="T684" s="70" t="str">
        <f>IFERROR(__xludf.DUMMYFUNCTION("IFERROR(VLOOKUP(F684,IMPORTRANGE(""1H3cO01obd5zFULYqaT5NAqecZBFFIHeDFn4CeQLZF3w"",""Form Responses 1!B:C""),2,FALSE),)"),"")</f>
        <v/>
      </c>
      <c r="U684" s="70" t="str">
        <f>IFERROR(__xludf.DUMMYFUNCTION("IFERROR(IF(COUNTIF(IMPORTRANGE(""1IG9qoa6PeLdDDFzKpW39lxXshN0-M8Z25a_R1EpsYyg"",""Form Responses 1!B:B""),F684)&gt;0,10,),0)"),"")</f>
        <v/>
      </c>
      <c r="V684" s="70"/>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row>
    <row r="685">
      <c r="B685" s="70" t="str">
        <f>IFERROR(__xludf.DUMMYFUNCTION("IFERROR(IF(COUNTIF(IMPORTRANGE(""1RTcwEJsI_0aJRebhNwO_H_AoKl9r46k7hWYbtciIyM4"",""Form Responses 1!B:B""),A685)&gt;0,10,),0)"),"")</f>
        <v/>
      </c>
      <c r="C685" s="70" t="str">
        <f>IFERROR(__xludf.DUMMYFUNCTION("IFERROR(VLOOKUP(A685,IMPORTRANGE(""11i8IUhq_U6RRKRV3CBWIKqYed_fMvFgNUHTq1YDJfp8"",""Form Responses 1!B:C""),2,FALSE),)"),"")</f>
        <v/>
      </c>
      <c r="D685" s="70" t="str">
        <f>IFERROR(__xludf.DUMMYFUNCTION("IFERROR(VLOOKUP(A685,IMPORTRANGE(""1StiHxuxrFhYdrq5WLR2JMORicW0TbnJf3J-oTHeMRtM"",""Form Responses 1!B:C""),2,FALSE),)"),"")</f>
        <v/>
      </c>
      <c r="E685" s="70" t="str">
        <f>IFERROR(__xludf.DUMMYFUNCTION("IFERROR(VLOOKUP(A685,IMPORTRANGE(""1QaxxyUjrDq2kgz300C1Bq1tacFk6e-xX218cSXCQUK0"",""Form Responses 1!B:C""),2,FALSE),)"),"")</f>
        <v/>
      </c>
      <c r="F685" s="70" t="str">
        <f>IFERROR(__xludf.DUMMYFUNCTION("IFERROR(VLOOKUP(A685,IMPORTRANGE(""1fn2ECph_y8Uz78DhjLaiXcwgt6kh3oe-0Le36Uw0noE"",""Form Responses 1!B:C""),2,FALSE),)"),"")</f>
        <v/>
      </c>
      <c r="G685" s="70"/>
      <c r="H685" s="70"/>
      <c r="I685" s="70"/>
      <c r="J685" s="70"/>
      <c r="K685" s="70"/>
      <c r="L685" s="70"/>
      <c r="M685" s="70"/>
      <c r="N685" s="70"/>
      <c r="O685" s="70"/>
      <c r="P685" s="70"/>
      <c r="Q685" s="70" t="str">
        <f>IFERROR(__xludf.DUMMYFUNCTION("IFERROR(IF(COUNTIF(IMPORTRANGE(""1WjiLR_MTMxI_IZUKuvPO4Sg2rTSIqBzP3edakSRXbOA"",""Form Responses 1!B:B""),F685)&gt;0,10,),0)"),"")</f>
        <v/>
      </c>
      <c r="R685" s="70" t="str">
        <f>IFERROR(__xludf.DUMMYFUNCTION("IFERROR(VLOOKUP(F685,IMPORTRANGE(""1Ixzbal5tEbtWhozsFEppQzOYE6ZSrkNXHg_HW5k3Wt4"",""Form Responses 1!B:C""),2,FALSE),)"),"")</f>
        <v/>
      </c>
      <c r="S685" s="70" t="str">
        <f>IFERROR(__xludf.DUMMYFUNCTION("IFERROR(VLOOKUP(F685,IMPORTRANGE(""1zxjtEKGvVIJPIDqZdnxENwVpPXYa88EihzyI44hcQUo"",""Form Responses 1!B:C""),2,FALSE),)"),"")</f>
        <v/>
      </c>
      <c r="T685" s="70" t="str">
        <f>IFERROR(__xludf.DUMMYFUNCTION("IFERROR(VLOOKUP(F685,IMPORTRANGE(""1H3cO01obd5zFULYqaT5NAqecZBFFIHeDFn4CeQLZF3w"",""Form Responses 1!B:C""),2,FALSE),)"),"")</f>
        <v/>
      </c>
      <c r="U685" s="70" t="str">
        <f>IFERROR(__xludf.DUMMYFUNCTION("IFERROR(IF(COUNTIF(IMPORTRANGE(""1IG9qoa6PeLdDDFzKpW39lxXshN0-M8Z25a_R1EpsYyg"",""Form Responses 1!B:B""),F685)&gt;0,10,),0)"),"")</f>
        <v/>
      </c>
      <c r="V685" s="70"/>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row>
    <row r="686">
      <c r="B686" s="70" t="str">
        <f>IFERROR(__xludf.DUMMYFUNCTION("IFERROR(IF(COUNTIF(IMPORTRANGE(""1RTcwEJsI_0aJRebhNwO_H_AoKl9r46k7hWYbtciIyM4"",""Form Responses 1!B:B""),A686)&gt;0,10,),0)"),"")</f>
        <v/>
      </c>
      <c r="C686" s="70" t="str">
        <f>IFERROR(__xludf.DUMMYFUNCTION("IFERROR(VLOOKUP(A686,IMPORTRANGE(""11i8IUhq_U6RRKRV3CBWIKqYed_fMvFgNUHTq1YDJfp8"",""Form Responses 1!B:C""),2,FALSE),)"),"")</f>
        <v/>
      </c>
      <c r="D686" s="70" t="str">
        <f>IFERROR(__xludf.DUMMYFUNCTION("IFERROR(VLOOKUP(A686,IMPORTRANGE(""1StiHxuxrFhYdrq5WLR2JMORicW0TbnJf3J-oTHeMRtM"",""Form Responses 1!B:C""),2,FALSE),)"),"")</f>
        <v/>
      </c>
      <c r="E686" s="70" t="str">
        <f>IFERROR(__xludf.DUMMYFUNCTION("IFERROR(VLOOKUP(A686,IMPORTRANGE(""1QaxxyUjrDq2kgz300C1Bq1tacFk6e-xX218cSXCQUK0"",""Form Responses 1!B:C""),2,FALSE),)"),"")</f>
        <v/>
      </c>
      <c r="F686" s="70" t="str">
        <f>IFERROR(__xludf.DUMMYFUNCTION("IFERROR(VLOOKUP(A686,IMPORTRANGE(""1fn2ECph_y8Uz78DhjLaiXcwgt6kh3oe-0Le36Uw0noE"",""Form Responses 1!B:C""),2,FALSE),)"),"")</f>
        <v/>
      </c>
      <c r="G686" s="70"/>
      <c r="H686" s="70"/>
      <c r="I686" s="70"/>
      <c r="J686" s="70"/>
      <c r="K686" s="70"/>
      <c r="L686" s="70"/>
      <c r="M686" s="70"/>
      <c r="N686" s="70"/>
      <c r="O686" s="70"/>
      <c r="P686" s="70"/>
      <c r="Q686" s="70" t="str">
        <f>IFERROR(__xludf.DUMMYFUNCTION("IFERROR(IF(COUNTIF(IMPORTRANGE(""1WjiLR_MTMxI_IZUKuvPO4Sg2rTSIqBzP3edakSRXbOA"",""Form Responses 1!B:B""),F686)&gt;0,10,),0)"),"")</f>
        <v/>
      </c>
      <c r="R686" s="70" t="str">
        <f>IFERROR(__xludf.DUMMYFUNCTION("IFERROR(VLOOKUP(F686,IMPORTRANGE(""1Ixzbal5tEbtWhozsFEppQzOYE6ZSrkNXHg_HW5k3Wt4"",""Form Responses 1!B:C""),2,FALSE),)"),"")</f>
        <v/>
      </c>
      <c r="S686" s="70" t="str">
        <f>IFERROR(__xludf.DUMMYFUNCTION("IFERROR(VLOOKUP(F686,IMPORTRANGE(""1zxjtEKGvVIJPIDqZdnxENwVpPXYa88EihzyI44hcQUo"",""Form Responses 1!B:C""),2,FALSE),)"),"")</f>
        <v/>
      </c>
      <c r="T686" s="70" t="str">
        <f>IFERROR(__xludf.DUMMYFUNCTION("IFERROR(VLOOKUP(F686,IMPORTRANGE(""1H3cO01obd5zFULYqaT5NAqecZBFFIHeDFn4CeQLZF3w"",""Form Responses 1!B:C""),2,FALSE),)"),"")</f>
        <v/>
      </c>
      <c r="U686" s="70" t="str">
        <f>IFERROR(__xludf.DUMMYFUNCTION("IFERROR(IF(COUNTIF(IMPORTRANGE(""1IG9qoa6PeLdDDFzKpW39lxXshN0-M8Z25a_R1EpsYyg"",""Form Responses 1!B:B""),F686)&gt;0,10,),0)"),"")</f>
        <v/>
      </c>
      <c r="V686" s="70"/>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row>
    <row r="687">
      <c r="B687" s="70" t="str">
        <f>IFERROR(__xludf.DUMMYFUNCTION("IFERROR(IF(COUNTIF(IMPORTRANGE(""1RTcwEJsI_0aJRebhNwO_H_AoKl9r46k7hWYbtciIyM4"",""Form Responses 1!B:B""),A687)&gt;0,10,),0)"),"")</f>
        <v/>
      </c>
      <c r="C687" s="70" t="str">
        <f>IFERROR(__xludf.DUMMYFUNCTION("IFERROR(VLOOKUP(A687,IMPORTRANGE(""11i8IUhq_U6RRKRV3CBWIKqYed_fMvFgNUHTq1YDJfp8"",""Form Responses 1!B:C""),2,FALSE),)"),"")</f>
        <v/>
      </c>
      <c r="D687" s="70" t="str">
        <f>IFERROR(__xludf.DUMMYFUNCTION("IFERROR(VLOOKUP(A687,IMPORTRANGE(""1StiHxuxrFhYdrq5WLR2JMORicW0TbnJf3J-oTHeMRtM"",""Form Responses 1!B:C""),2,FALSE),)"),"")</f>
        <v/>
      </c>
      <c r="E687" s="70" t="str">
        <f>IFERROR(__xludf.DUMMYFUNCTION("IFERROR(VLOOKUP(A687,IMPORTRANGE(""1QaxxyUjrDq2kgz300C1Bq1tacFk6e-xX218cSXCQUK0"",""Form Responses 1!B:C""),2,FALSE),)"),"")</f>
        <v/>
      </c>
      <c r="F687" s="70" t="str">
        <f>IFERROR(__xludf.DUMMYFUNCTION("IFERROR(VLOOKUP(A687,IMPORTRANGE(""1fn2ECph_y8Uz78DhjLaiXcwgt6kh3oe-0Le36Uw0noE"",""Form Responses 1!B:C""),2,FALSE),)"),"")</f>
        <v/>
      </c>
      <c r="G687" s="70"/>
      <c r="H687" s="70"/>
      <c r="I687" s="70"/>
      <c r="J687" s="70"/>
      <c r="K687" s="70"/>
      <c r="L687" s="70"/>
      <c r="M687" s="70"/>
      <c r="N687" s="70"/>
      <c r="O687" s="70"/>
      <c r="P687" s="70"/>
      <c r="Q687" s="70" t="str">
        <f>IFERROR(__xludf.DUMMYFUNCTION("IFERROR(IF(COUNTIF(IMPORTRANGE(""1WjiLR_MTMxI_IZUKuvPO4Sg2rTSIqBzP3edakSRXbOA"",""Form Responses 1!B:B""),F687)&gt;0,10,),0)"),"")</f>
        <v/>
      </c>
      <c r="R687" s="70" t="str">
        <f>IFERROR(__xludf.DUMMYFUNCTION("IFERROR(VLOOKUP(F687,IMPORTRANGE(""1Ixzbal5tEbtWhozsFEppQzOYE6ZSrkNXHg_HW5k3Wt4"",""Form Responses 1!B:C""),2,FALSE),)"),"")</f>
        <v/>
      </c>
      <c r="S687" s="70" t="str">
        <f>IFERROR(__xludf.DUMMYFUNCTION("IFERROR(VLOOKUP(F687,IMPORTRANGE(""1zxjtEKGvVIJPIDqZdnxENwVpPXYa88EihzyI44hcQUo"",""Form Responses 1!B:C""),2,FALSE),)"),"")</f>
        <v/>
      </c>
      <c r="T687" s="70" t="str">
        <f>IFERROR(__xludf.DUMMYFUNCTION("IFERROR(VLOOKUP(F687,IMPORTRANGE(""1H3cO01obd5zFULYqaT5NAqecZBFFIHeDFn4CeQLZF3w"",""Form Responses 1!B:C""),2,FALSE),)"),"")</f>
        <v/>
      </c>
      <c r="U687" s="70" t="str">
        <f>IFERROR(__xludf.DUMMYFUNCTION("IFERROR(IF(COUNTIF(IMPORTRANGE(""1IG9qoa6PeLdDDFzKpW39lxXshN0-M8Z25a_R1EpsYyg"",""Form Responses 1!B:B""),F687)&gt;0,10,),0)"),"")</f>
        <v/>
      </c>
      <c r="V687" s="70"/>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row>
    <row r="688">
      <c r="B688" s="70" t="str">
        <f>IFERROR(__xludf.DUMMYFUNCTION("IFERROR(IF(COUNTIF(IMPORTRANGE(""1RTcwEJsI_0aJRebhNwO_H_AoKl9r46k7hWYbtciIyM4"",""Form Responses 1!B:B""),A688)&gt;0,10,),0)"),"")</f>
        <v/>
      </c>
      <c r="C688" s="70" t="str">
        <f>IFERROR(__xludf.DUMMYFUNCTION("IFERROR(VLOOKUP(A688,IMPORTRANGE(""11i8IUhq_U6RRKRV3CBWIKqYed_fMvFgNUHTq1YDJfp8"",""Form Responses 1!B:C""),2,FALSE),)"),"")</f>
        <v/>
      </c>
      <c r="D688" s="70" t="str">
        <f>IFERROR(__xludf.DUMMYFUNCTION("IFERROR(VLOOKUP(A688,IMPORTRANGE(""1StiHxuxrFhYdrq5WLR2JMORicW0TbnJf3J-oTHeMRtM"",""Form Responses 1!B:C""),2,FALSE),)"),"")</f>
        <v/>
      </c>
      <c r="E688" s="70" t="str">
        <f>IFERROR(__xludf.DUMMYFUNCTION("IFERROR(VLOOKUP(A688,IMPORTRANGE(""1QaxxyUjrDq2kgz300C1Bq1tacFk6e-xX218cSXCQUK0"",""Form Responses 1!B:C""),2,FALSE),)"),"")</f>
        <v/>
      </c>
      <c r="F688" s="70" t="str">
        <f>IFERROR(__xludf.DUMMYFUNCTION("IFERROR(VLOOKUP(A688,IMPORTRANGE(""1fn2ECph_y8Uz78DhjLaiXcwgt6kh3oe-0Le36Uw0noE"",""Form Responses 1!B:C""),2,FALSE),)"),"")</f>
        <v/>
      </c>
      <c r="G688" s="70"/>
      <c r="H688" s="70"/>
      <c r="I688" s="70"/>
      <c r="J688" s="70"/>
      <c r="K688" s="70"/>
      <c r="L688" s="70"/>
      <c r="M688" s="70"/>
      <c r="N688" s="70"/>
      <c r="O688" s="70"/>
      <c r="P688" s="70"/>
      <c r="Q688" s="70" t="str">
        <f>IFERROR(__xludf.DUMMYFUNCTION("IFERROR(IF(COUNTIF(IMPORTRANGE(""1WjiLR_MTMxI_IZUKuvPO4Sg2rTSIqBzP3edakSRXbOA"",""Form Responses 1!B:B""),F688)&gt;0,10,),0)"),"")</f>
        <v/>
      </c>
      <c r="R688" s="70" t="str">
        <f>IFERROR(__xludf.DUMMYFUNCTION("IFERROR(VLOOKUP(F688,IMPORTRANGE(""1Ixzbal5tEbtWhozsFEppQzOYE6ZSrkNXHg_HW5k3Wt4"",""Form Responses 1!B:C""),2,FALSE),)"),"")</f>
        <v/>
      </c>
      <c r="S688" s="70" t="str">
        <f>IFERROR(__xludf.DUMMYFUNCTION("IFERROR(VLOOKUP(F688,IMPORTRANGE(""1zxjtEKGvVIJPIDqZdnxENwVpPXYa88EihzyI44hcQUo"",""Form Responses 1!B:C""),2,FALSE),)"),"")</f>
        <v/>
      </c>
      <c r="T688" s="70" t="str">
        <f>IFERROR(__xludf.DUMMYFUNCTION("IFERROR(VLOOKUP(F688,IMPORTRANGE(""1H3cO01obd5zFULYqaT5NAqecZBFFIHeDFn4CeQLZF3w"",""Form Responses 1!B:C""),2,FALSE),)"),"")</f>
        <v/>
      </c>
      <c r="U688" s="70" t="str">
        <f>IFERROR(__xludf.DUMMYFUNCTION("IFERROR(IF(COUNTIF(IMPORTRANGE(""1IG9qoa6PeLdDDFzKpW39lxXshN0-M8Z25a_R1EpsYyg"",""Form Responses 1!B:B""),F688)&gt;0,10,),0)"),"")</f>
        <v/>
      </c>
      <c r="V688" s="70"/>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row>
    <row r="689">
      <c r="B689" s="70" t="str">
        <f>IFERROR(__xludf.DUMMYFUNCTION("IFERROR(IF(COUNTIF(IMPORTRANGE(""1RTcwEJsI_0aJRebhNwO_H_AoKl9r46k7hWYbtciIyM4"",""Form Responses 1!B:B""),A689)&gt;0,10,),0)"),"")</f>
        <v/>
      </c>
      <c r="C689" s="70" t="str">
        <f>IFERROR(__xludf.DUMMYFUNCTION("IFERROR(VLOOKUP(A689,IMPORTRANGE(""11i8IUhq_U6RRKRV3CBWIKqYed_fMvFgNUHTq1YDJfp8"",""Form Responses 1!B:C""),2,FALSE),)"),"")</f>
        <v/>
      </c>
      <c r="D689" s="70" t="str">
        <f>IFERROR(__xludf.DUMMYFUNCTION("IFERROR(VLOOKUP(A689,IMPORTRANGE(""1StiHxuxrFhYdrq5WLR2JMORicW0TbnJf3J-oTHeMRtM"",""Form Responses 1!B:C""),2,FALSE),)"),"")</f>
        <v/>
      </c>
      <c r="E689" s="70" t="str">
        <f>IFERROR(__xludf.DUMMYFUNCTION("IFERROR(VLOOKUP(A689,IMPORTRANGE(""1QaxxyUjrDq2kgz300C1Bq1tacFk6e-xX218cSXCQUK0"",""Form Responses 1!B:C""),2,FALSE),)"),"")</f>
        <v/>
      </c>
      <c r="F689" s="70" t="str">
        <f>IFERROR(__xludf.DUMMYFUNCTION("IFERROR(VLOOKUP(A689,IMPORTRANGE(""1fn2ECph_y8Uz78DhjLaiXcwgt6kh3oe-0Le36Uw0noE"",""Form Responses 1!B:C""),2,FALSE),)"),"")</f>
        <v/>
      </c>
      <c r="G689" s="70"/>
      <c r="H689" s="70"/>
      <c r="I689" s="70"/>
      <c r="J689" s="70"/>
      <c r="K689" s="70"/>
      <c r="L689" s="70"/>
      <c r="M689" s="70"/>
      <c r="N689" s="70"/>
      <c r="O689" s="70"/>
      <c r="P689" s="70"/>
      <c r="Q689" s="70" t="str">
        <f>IFERROR(__xludf.DUMMYFUNCTION("IFERROR(IF(COUNTIF(IMPORTRANGE(""1WjiLR_MTMxI_IZUKuvPO4Sg2rTSIqBzP3edakSRXbOA"",""Form Responses 1!B:B""),F689)&gt;0,10,),0)"),"")</f>
        <v/>
      </c>
      <c r="R689" s="70" t="str">
        <f>IFERROR(__xludf.DUMMYFUNCTION("IFERROR(VLOOKUP(F689,IMPORTRANGE(""1Ixzbal5tEbtWhozsFEppQzOYE6ZSrkNXHg_HW5k3Wt4"",""Form Responses 1!B:C""),2,FALSE),)"),"")</f>
        <v/>
      </c>
      <c r="S689" s="70" t="str">
        <f>IFERROR(__xludf.DUMMYFUNCTION("IFERROR(VLOOKUP(F689,IMPORTRANGE(""1zxjtEKGvVIJPIDqZdnxENwVpPXYa88EihzyI44hcQUo"",""Form Responses 1!B:C""),2,FALSE),)"),"")</f>
        <v/>
      </c>
      <c r="T689" s="70" t="str">
        <f>IFERROR(__xludf.DUMMYFUNCTION("IFERROR(VLOOKUP(F689,IMPORTRANGE(""1H3cO01obd5zFULYqaT5NAqecZBFFIHeDFn4CeQLZF3w"",""Form Responses 1!B:C""),2,FALSE),)"),"")</f>
        <v/>
      </c>
      <c r="U689" s="70" t="str">
        <f>IFERROR(__xludf.DUMMYFUNCTION("IFERROR(IF(COUNTIF(IMPORTRANGE(""1IG9qoa6PeLdDDFzKpW39lxXshN0-M8Z25a_R1EpsYyg"",""Form Responses 1!B:B""),F689)&gt;0,10,),0)"),"")</f>
        <v/>
      </c>
      <c r="V689" s="70"/>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row>
    <row r="690">
      <c r="B690" s="70" t="str">
        <f>IFERROR(__xludf.DUMMYFUNCTION("IFERROR(IF(COUNTIF(IMPORTRANGE(""1RTcwEJsI_0aJRebhNwO_H_AoKl9r46k7hWYbtciIyM4"",""Form Responses 1!B:B""),A690)&gt;0,10,),0)"),"")</f>
        <v/>
      </c>
      <c r="C690" s="70" t="str">
        <f>IFERROR(__xludf.DUMMYFUNCTION("IFERROR(VLOOKUP(A690,IMPORTRANGE(""11i8IUhq_U6RRKRV3CBWIKqYed_fMvFgNUHTq1YDJfp8"",""Form Responses 1!B:C""),2,FALSE),)"),"")</f>
        <v/>
      </c>
      <c r="D690" s="70" t="str">
        <f>IFERROR(__xludf.DUMMYFUNCTION("IFERROR(VLOOKUP(A690,IMPORTRANGE(""1StiHxuxrFhYdrq5WLR2JMORicW0TbnJf3J-oTHeMRtM"",""Form Responses 1!B:C""),2,FALSE),)"),"")</f>
        <v/>
      </c>
      <c r="E690" s="70" t="str">
        <f>IFERROR(__xludf.DUMMYFUNCTION("IFERROR(VLOOKUP(A690,IMPORTRANGE(""1QaxxyUjrDq2kgz300C1Bq1tacFk6e-xX218cSXCQUK0"",""Form Responses 1!B:C""),2,FALSE),)"),"")</f>
        <v/>
      </c>
      <c r="F690" s="70" t="str">
        <f>IFERROR(__xludf.DUMMYFUNCTION("IFERROR(VLOOKUP(A690,IMPORTRANGE(""1fn2ECph_y8Uz78DhjLaiXcwgt6kh3oe-0Le36Uw0noE"",""Form Responses 1!B:C""),2,FALSE),)"),"")</f>
        <v/>
      </c>
      <c r="G690" s="70"/>
      <c r="H690" s="70"/>
      <c r="I690" s="70"/>
      <c r="J690" s="70"/>
      <c r="K690" s="70"/>
      <c r="L690" s="70"/>
      <c r="M690" s="70"/>
      <c r="N690" s="70"/>
      <c r="O690" s="70"/>
      <c r="P690" s="70"/>
      <c r="Q690" s="70" t="str">
        <f>IFERROR(__xludf.DUMMYFUNCTION("IFERROR(IF(COUNTIF(IMPORTRANGE(""1WjiLR_MTMxI_IZUKuvPO4Sg2rTSIqBzP3edakSRXbOA"",""Form Responses 1!B:B""),F690)&gt;0,10,),0)"),"")</f>
        <v/>
      </c>
      <c r="R690" s="70" t="str">
        <f>IFERROR(__xludf.DUMMYFUNCTION("IFERROR(VLOOKUP(F690,IMPORTRANGE(""1Ixzbal5tEbtWhozsFEppQzOYE6ZSrkNXHg_HW5k3Wt4"",""Form Responses 1!B:C""),2,FALSE),)"),"")</f>
        <v/>
      </c>
      <c r="S690" s="70" t="str">
        <f>IFERROR(__xludf.DUMMYFUNCTION("IFERROR(VLOOKUP(F690,IMPORTRANGE(""1zxjtEKGvVIJPIDqZdnxENwVpPXYa88EihzyI44hcQUo"",""Form Responses 1!B:C""),2,FALSE),)"),"")</f>
        <v/>
      </c>
      <c r="T690" s="70" t="str">
        <f>IFERROR(__xludf.DUMMYFUNCTION("IFERROR(VLOOKUP(F690,IMPORTRANGE(""1H3cO01obd5zFULYqaT5NAqecZBFFIHeDFn4CeQLZF3w"",""Form Responses 1!B:C""),2,FALSE),)"),"")</f>
        <v/>
      </c>
      <c r="U690" s="70" t="str">
        <f>IFERROR(__xludf.DUMMYFUNCTION("IFERROR(IF(COUNTIF(IMPORTRANGE(""1IG9qoa6PeLdDDFzKpW39lxXshN0-M8Z25a_R1EpsYyg"",""Form Responses 1!B:B""),F690)&gt;0,10,),0)"),"")</f>
        <v/>
      </c>
      <c r="V690" s="70"/>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row>
    <row r="691">
      <c r="B691" s="70" t="str">
        <f>IFERROR(__xludf.DUMMYFUNCTION("IFERROR(IF(COUNTIF(IMPORTRANGE(""1RTcwEJsI_0aJRebhNwO_H_AoKl9r46k7hWYbtciIyM4"",""Form Responses 1!B:B""),A691)&gt;0,10,),0)"),"")</f>
        <v/>
      </c>
      <c r="C691" s="70" t="str">
        <f>IFERROR(__xludf.DUMMYFUNCTION("IFERROR(VLOOKUP(A691,IMPORTRANGE(""11i8IUhq_U6RRKRV3CBWIKqYed_fMvFgNUHTq1YDJfp8"",""Form Responses 1!B:C""),2,FALSE),)"),"")</f>
        <v/>
      </c>
      <c r="D691" s="70" t="str">
        <f>IFERROR(__xludf.DUMMYFUNCTION("IFERROR(VLOOKUP(A691,IMPORTRANGE(""1StiHxuxrFhYdrq5WLR2JMORicW0TbnJf3J-oTHeMRtM"",""Form Responses 1!B:C""),2,FALSE),)"),"")</f>
        <v/>
      </c>
      <c r="E691" s="70" t="str">
        <f>IFERROR(__xludf.DUMMYFUNCTION("IFERROR(VLOOKUP(A691,IMPORTRANGE(""1QaxxyUjrDq2kgz300C1Bq1tacFk6e-xX218cSXCQUK0"",""Form Responses 1!B:C""),2,FALSE),)"),"")</f>
        <v/>
      </c>
      <c r="F691" s="70" t="str">
        <f>IFERROR(__xludf.DUMMYFUNCTION("IFERROR(VLOOKUP(A691,IMPORTRANGE(""1fn2ECph_y8Uz78DhjLaiXcwgt6kh3oe-0Le36Uw0noE"",""Form Responses 1!B:C""),2,FALSE),)"),"")</f>
        <v/>
      </c>
      <c r="G691" s="70"/>
      <c r="H691" s="70"/>
      <c r="I691" s="70"/>
      <c r="J691" s="70"/>
      <c r="K691" s="70"/>
      <c r="L691" s="70"/>
      <c r="M691" s="70"/>
      <c r="N691" s="70"/>
      <c r="O691" s="70"/>
      <c r="P691" s="70"/>
      <c r="Q691" s="70" t="str">
        <f>IFERROR(__xludf.DUMMYFUNCTION("IFERROR(IF(COUNTIF(IMPORTRANGE(""1WjiLR_MTMxI_IZUKuvPO4Sg2rTSIqBzP3edakSRXbOA"",""Form Responses 1!B:B""),F691)&gt;0,10,),0)"),"")</f>
        <v/>
      </c>
      <c r="R691" s="70" t="str">
        <f>IFERROR(__xludf.DUMMYFUNCTION("IFERROR(VLOOKUP(F691,IMPORTRANGE(""1Ixzbal5tEbtWhozsFEppQzOYE6ZSrkNXHg_HW5k3Wt4"",""Form Responses 1!B:C""),2,FALSE),)"),"")</f>
        <v/>
      </c>
      <c r="S691" s="70" t="str">
        <f>IFERROR(__xludf.DUMMYFUNCTION("IFERROR(VLOOKUP(F691,IMPORTRANGE(""1zxjtEKGvVIJPIDqZdnxENwVpPXYa88EihzyI44hcQUo"",""Form Responses 1!B:C""),2,FALSE),)"),"")</f>
        <v/>
      </c>
      <c r="T691" s="70" t="str">
        <f>IFERROR(__xludf.DUMMYFUNCTION("IFERROR(VLOOKUP(F691,IMPORTRANGE(""1H3cO01obd5zFULYqaT5NAqecZBFFIHeDFn4CeQLZF3w"",""Form Responses 1!B:C""),2,FALSE),)"),"")</f>
        <v/>
      </c>
      <c r="U691" s="70" t="str">
        <f>IFERROR(__xludf.DUMMYFUNCTION("IFERROR(IF(COUNTIF(IMPORTRANGE(""1IG9qoa6PeLdDDFzKpW39lxXshN0-M8Z25a_R1EpsYyg"",""Form Responses 1!B:B""),F691)&gt;0,10,),0)"),"")</f>
        <v/>
      </c>
      <c r="V691" s="70"/>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row>
    <row r="692">
      <c r="B692" s="70" t="str">
        <f>IFERROR(__xludf.DUMMYFUNCTION("IFERROR(IF(COUNTIF(IMPORTRANGE(""1RTcwEJsI_0aJRebhNwO_H_AoKl9r46k7hWYbtciIyM4"",""Form Responses 1!B:B""),A692)&gt;0,10,),0)"),"")</f>
        <v/>
      </c>
      <c r="C692" s="70" t="str">
        <f>IFERROR(__xludf.DUMMYFUNCTION("IFERROR(VLOOKUP(A692,IMPORTRANGE(""11i8IUhq_U6RRKRV3CBWIKqYed_fMvFgNUHTq1YDJfp8"",""Form Responses 1!B:C""),2,FALSE),)"),"")</f>
        <v/>
      </c>
      <c r="D692" s="70" t="str">
        <f>IFERROR(__xludf.DUMMYFUNCTION("IFERROR(VLOOKUP(A692,IMPORTRANGE(""1StiHxuxrFhYdrq5WLR2JMORicW0TbnJf3J-oTHeMRtM"",""Form Responses 1!B:C""),2,FALSE),)"),"")</f>
        <v/>
      </c>
      <c r="E692" s="70" t="str">
        <f>IFERROR(__xludf.DUMMYFUNCTION("IFERROR(VLOOKUP(A692,IMPORTRANGE(""1QaxxyUjrDq2kgz300C1Bq1tacFk6e-xX218cSXCQUK0"",""Form Responses 1!B:C""),2,FALSE),)"),"")</f>
        <v/>
      </c>
      <c r="F692" s="70" t="str">
        <f>IFERROR(__xludf.DUMMYFUNCTION("IFERROR(VLOOKUP(A692,IMPORTRANGE(""1fn2ECph_y8Uz78DhjLaiXcwgt6kh3oe-0Le36Uw0noE"",""Form Responses 1!B:C""),2,FALSE),)"),"")</f>
        <v/>
      </c>
      <c r="G692" s="70"/>
      <c r="H692" s="70"/>
      <c r="I692" s="70"/>
      <c r="J692" s="70"/>
      <c r="K692" s="70"/>
      <c r="L692" s="70"/>
      <c r="M692" s="70"/>
      <c r="N692" s="70"/>
      <c r="O692" s="70"/>
      <c r="P692" s="70"/>
      <c r="Q692" s="70" t="str">
        <f>IFERROR(__xludf.DUMMYFUNCTION("IFERROR(IF(COUNTIF(IMPORTRANGE(""1WjiLR_MTMxI_IZUKuvPO4Sg2rTSIqBzP3edakSRXbOA"",""Form Responses 1!B:B""),F692)&gt;0,10,),0)"),"")</f>
        <v/>
      </c>
      <c r="R692" s="70" t="str">
        <f>IFERROR(__xludf.DUMMYFUNCTION("IFERROR(VLOOKUP(F692,IMPORTRANGE(""1Ixzbal5tEbtWhozsFEppQzOYE6ZSrkNXHg_HW5k3Wt4"",""Form Responses 1!B:C""),2,FALSE),)"),"")</f>
        <v/>
      </c>
      <c r="S692" s="70" t="str">
        <f>IFERROR(__xludf.DUMMYFUNCTION("IFERROR(VLOOKUP(F692,IMPORTRANGE(""1zxjtEKGvVIJPIDqZdnxENwVpPXYa88EihzyI44hcQUo"",""Form Responses 1!B:C""),2,FALSE),)"),"")</f>
        <v/>
      </c>
      <c r="T692" s="70" t="str">
        <f>IFERROR(__xludf.DUMMYFUNCTION("IFERROR(VLOOKUP(F692,IMPORTRANGE(""1H3cO01obd5zFULYqaT5NAqecZBFFIHeDFn4CeQLZF3w"",""Form Responses 1!B:C""),2,FALSE),)"),"")</f>
        <v/>
      </c>
      <c r="U692" s="70" t="str">
        <f>IFERROR(__xludf.DUMMYFUNCTION("IFERROR(IF(COUNTIF(IMPORTRANGE(""1IG9qoa6PeLdDDFzKpW39lxXshN0-M8Z25a_R1EpsYyg"",""Form Responses 1!B:B""),F692)&gt;0,10,),0)"),"")</f>
        <v/>
      </c>
      <c r="V692" s="70"/>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row>
    <row r="693">
      <c r="B693" s="70" t="str">
        <f>IFERROR(__xludf.DUMMYFUNCTION("IFERROR(IF(COUNTIF(IMPORTRANGE(""1RTcwEJsI_0aJRebhNwO_H_AoKl9r46k7hWYbtciIyM4"",""Form Responses 1!B:B""),A693)&gt;0,10,),0)"),"")</f>
        <v/>
      </c>
      <c r="C693" s="70" t="str">
        <f>IFERROR(__xludf.DUMMYFUNCTION("IFERROR(VLOOKUP(A693,IMPORTRANGE(""11i8IUhq_U6RRKRV3CBWIKqYed_fMvFgNUHTq1YDJfp8"",""Form Responses 1!B:C""),2,FALSE),)"),"")</f>
        <v/>
      </c>
      <c r="D693" s="70" t="str">
        <f>IFERROR(__xludf.DUMMYFUNCTION("IFERROR(VLOOKUP(A693,IMPORTRANGE(""1StiHxuxrFhYdrq5WLR2JMORicW0TbnJf3J-oTHeMRtM"",""Form Responses 1!B:C""),2,FALSE),)"),"")</f>
        <v/>
      </c>
      <c r="E693" s="70" t="str">
        <f>IFERROR(__xludf.DUMMYFUNCTION("IFERROR(VLOOKUP(A693,IMPORTRANGE(""1QaxxyUjrDq2kgz300C1Bq1tacFk6e-xX218cSXCQUK0"",""Form Responses 1!B:C""),2,FALSE),)"),"")</f>
        <v/>
      </c>
      <c r="F693" s="70" t="str">
        <f>IFERROR(__xludf.DUMMYFUNCTION("IFERROR(VLOOKUP(A693,IMPORTRANGE(""1fn2ECph_y8Uz78DhjLaiXcwgt6kh3oe-0Le36Uw0noE"",""Form Responses 1!B:C""),2,FALSE),)"),"")</f>
        <v/>
      </c>
      <c r="G693" s="70"/>
      <c r="H693" s="70"/>
      <c r="I693" s="70"/>
      <c r="J693" s="70"/>
      <c r="K693" s="70"/>
      <c r="L693" s="70"/>
      <c r="M693" s="70"/>
      <c r="N693" s="70"/>
      <c r="O693" s="70"/>
      <c r="P693" s="70"/>
      <c r="Q693" s="70" t="str">
        <f>IFERROR(__xludf.DUMMYFUNCTION("IFERROR(IF(COUNTIF(IMPORTRANGE(""1WjiLR_MTMxI_IZUKuvPO4Sg2rTSIqBzP3edakSRXbOA"",""Form Responses 1!B:B""),F693)&gt;0,10,),0)"),"")</f>
        <v/>
      </c>
      <c r="R693" s="70" t="str">
        <f>IFERROR(__xludf.DUMMYFUNCTION("IFERROR(VLOOKUP(F693,IMPORTRANGE(""1Ixzbal5tEbtWhozsFEppQzOYE6ZSrkNXHg_HW5k3Wt4"",""Form Responses 1!B:C""),2,FALSE),)"),"")</f>
        <v/>
      </c>
      <c r="S693" s="70" t="str">
        <f>IFERROR(__xludf.DUMMYFUNCTION("IFERROR(VLOOKUP(F693,IMPORTRANGE(""1zxjtEKGvVIJPIDqZdnxENwVpPXYa88EihzyI44hcQUo"",""Form Responses 1!B:C""),2,FALSE),)"),"")</f>
        <v/>
      </c>
      <c r="T693" s="70" t="str">
        <f>IFERROR(__xludf.DUMMYFUNCTION("IFERROR(VLOOKUP(F693,IMPORTRANGE(""1H3cO01obd5zFULYqaT5NAqecZBFFIHeDFn4CeQLZF3w"",""Form Responses 1!B:C""),2,FALSE),)"),"")</f>
        <v/>
      </c>
      <c r="U693" s="70" t="str">
        <f>IFERROR(__xludf.DUMMYFUNCTION("IFERROR(IF(COUNTIF(IMPORTRANGE(""1IG9qoa6PeLdDDFzKpW39lxXshN0-M8Z25a_R1EpsYyg"",""Form Responses 1!B:B""),F693)&gt;0,10,),0)"),"")</f>
        <v/>
      </c>
      <c r="V693" s="70"/>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row>
    <row r="694">
      <c r="B694" s="70" t="str">
        <f>IFERROR(__xludf.DUMMYFUNCTION("IFERROR(IF(COUNTIF(IMPORTRANGE(""1RTcwEJsI_0aJRebhNwO_H_AoKl9r46k7hWYbtciIyM4"",""Form Responses 1!B:B""),A694)&gt;0,10,),0)"),"")</f>
        <v/>
      </c>
      <c r="C694" s="70" t="str">
        <f>IFERROR(__xludf.DUMMYFUNCTION("IFERROR(VLOOKUP(A694,IMPORTRANGE(""11i8IUhq_U6RRKRV3CBWIKqYed_fMvFgNUHTq1YDJfp8"",""Form Responses 1!B:C""),2,FALSE),)"),"")</f>
        <v/>
      </c>
      <c r="D694" s="70" t="str">
        <f>IFERROR(__xludf.DUMMYFUNCTION("IFERROR(VLOOKUP(A694,IMPORTRANGE(""1StiHxuxrFhYdrq5WLR2JMORicW0TbnJf3J-oTHeMRtM"",""Form Responses 1!B:C""),2,FALSE),)"),"")</f>
        <v/>
      </c>
      <c r="E694" s="70" t="str">
        <f>IFERROR(__xludf.DUMMYFUNCTION("IFERROR(VLOOKUP(A694,IMPORTRANGE(""1QaxxyUjrDq2kgz300C1Bq1tacFk6e-xX218cSXCQUK0"",""Form Responses 1!B:C""),2,FALSE),)"),"")</f>
        <v/>
      </c>
      <c r="F694" s="70" t="str">
        <f>IFERROR(__xludf.DUMMYFUNCTION("IFERROR(VLOOKUP(A694,IMPORTRANGE(""1fn2ECph_y8Uz78DhjLaiXcwgt6kh3oe-0Le36Uw0noE"",""Form Responses 1!B:C""),2,FALSE),)"),"")</f>
        <v/>
      </c>
      <c r="G694" s="70"/>
      <c r="H694" s="70"/>
      <c r="I694" s="70"/>
      <c r="J694" s="70"/>
      <c r="K694" s="70"/>
      <c r="L694" s="70"/>
      <c r="M694" s="70"/>
      <c r="N694" s="70"/>
      <c r="O694" s="70"/>
      <c r="P694" s="70"/>
      <c r="Q694" s="70" t="str">
        <f>IFERROR(__xludf.DUMMYFUNCTION("IFERROR(IF(COUNTIF(IMPORTRANGE(""1WjiLR_MTMxI_IZUKuvPO4Sg2rTSIqBzP3edakSRXbOA"",""Form Responses 1!B:B""),F694)&gt;0,10,),0)"),"")</f>
        <v/>
      </c>
      <c r="R694" s="70" t="str">
        <f>IFERROR(__xludf.DUMMYFUNCTION("IFERROR(VLOOKUP(F694,IMPORTRANGE(""1Ixzbal5tEbtWhozsFEppQzOYE6ZSrkNXHg_HW5k3Wt4"",""Form Responses 1!B:C""),2,FALSE),)"),"")</f>
        <v/>
      </c>
      <c r="S694" s="70" t="str">
        <f>IFERROR(__xludf.DUMMYFUNCTION("IFERROR(VLOOKUP(F694,IMPORTRANGE(""1zxjtEKGvVIJPIDqZdnxENwVpPXYa88EihzyI44hcQUo"",""Form Responses 1!B:C""),2,FALSE),)"),"")</f>
        <v/>
      </c>
      <c r="T694" s="70" t="str">
        <f>IFERROR(__xludf.DUMMYFUNCTION("IFERROR(VLOOKUP(F694,IMPORTRANGE(""1H3cO01obd5zFULYqaT5NAqecZBFFIHeDFn4CeQLZF3w"",""Form Responses 1!B:C""),2,FALSE),)"),"")</f>
        <v/>
      </c>
      <c r="U694" s="70" t="str">
        <f>IFERROR(__xludf.DUMMYFUNCTION("IFERROR(IF(COUNTIF(IMPORTRANGE(""1IG9qoa6PeLdDDFzKpW39lxXshN0-M8Z25a_R1EpsYyg"",""Form Responses 1!B:B""),F694)&gt;0,10,),0)"),"")</f>
        <v/>
      </c>
      <c r="V694" s="70"/>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row>
    <row r="695">
      <c r="B695" s="70" t="str">
        <f>IFERROR(__xludf.DUMMYFUNCTION("IFERROR(IF(COUNTIF(IMPORTRANGE(""1RTcwEJsI_0aJRebhNwO_H_AoKl9r46k7hWYbtciIyM4"",""Form Responses 1!B:B""),A695)&gt;0,10,),0)"),"")</f>
        <v/>
      </c>
      <c r="C695" s="70" t="str">
        <f>IFERROR(__xludf.DUMMYFUNCTION("IFERROR(VLOOKUP(A695,IMPORTRANGE(""11i8IUhq_U6RRKRV3CBWIKqYed_fMvFgNUHTq1YDJfp8"",""Form Responses 1!B:C""),2,FALSE),)"),"")</f>
        <v/>
      </c>
      <c r="D695" s="70" t="str">
        <f>IFERROR(__xludf.DUMMYFUNCTION("IFERROR(VLOOKUP(A695,IMPORTRANGE(""1StiHxuxrFhYdrq5WLR2JMORicW0TbnJf3J-oTHeMRtM"",""Form Responses 1!B:C""),2,FALSE),)"),"")</f>
        <v/>
      </c>
      <c r="E695" s="70" t="str">
        <f>IFERROR(__xludf.DUMMYFUNCTION("IFERROR(VLOOKUP(A695,IMPORTRANGE(""1QaxxyUjrDq2kgz300C1Bq1tacFk6e-xX218cSXCQUK0"",""Form Responses 1!B:C""),2,FALSE),)"),"")</f>
        <v/>
      </c>
      <c r="F695" s="70" t="str">
        <f>IFERROR(__xludf.DUMMYFUNCTION("IFERROR(VLOOKUP(A695,IMPORTRANGE(""1fn2ECph_y8Uz78DhjLaiXcwgt6kh3oe-0Le36Uw0noE"",""Form Responses 1!B:C""),2,FALSE),)"),"")</f>
        <v/>
      </c>
      <c r="G695" s="70"/>
      <c r="H695" s="70"/>
      <c r="I695" s="70"/>
      <c r="J695" s="70"/>
      <c r="K695" s="70"/>
      <c r="L695" s="70"/>
      <c r="M695" s="70"/>
      <c r="N695" s="70"/>
      <c r="O695" s="70"/>
      <c r="P695" s="70"/>
      <c r="Q695" s="70" t="str">
        <f>IFERROR(__xludf.DUMMYFUNCTION("IFERROR(IF(COUNTIF(IMPORTRANGE(""1WjiLR_MTMxI_IZUKuvPO4Sg2rTSIqBzP3edakSRXbOA"",""Form Responses 1!B:B""),F695)&gt;0,10,),0)"),"")</f>
        <v/>
      </c>
      <c r="R695" s="70" t="str">
        <f>IFERROR(__xludf.DUMMYFUNCTION("IFERROR(VLOOKUP(F695,IMPORTRANGE(""1Ixzbal5tEbtWhozsFEppQzOYE6ZSrkNXHg_HW5k3Wt4"",""Form Responses 1!B:C""),2,FALSE),)"),"")</f>
        <v/>
      </c>
      <c r="S695" s="70" t="str">
        <f>IFERROR(__xludf.DUMMYFUNCTION("IFERROR(VLOOKUP(F695,IMPORTRANGE(""1zxjtEKGvVIJPIDqZdnxENwVpPXYa88EihzyI44hcQUo"",""Form Responses 1!B:C""),2,FALSE),)"),"")</f>
        <v/>
      </c>
      <c r="T695" s="70" t="str">
        <f>IFERROR(__xludf.DUMMYFUNCTION("IFERROR(VLOOKUP(F695,IMPORTRANGE(""1H3cO01obd5zFULYqaT5NAqecZBFFIHeDFn4CeQLZF3w"",""Form Responses 1!B:C""),2,FALSE),)"),"")</f>
        <v/>
      </c>
      <c r="U695" s="70" t="str">
        <f>IFERROR(__xludf.DUMMYFUNCTION("IFERROR(IF(COUNTIF(IMPORTRANGE(""1IG9qoa6PeLdDDFzKpW39lxXshN0-M8Z25a_R1EpsYyg"",""Form Responses 1!B:B""),F695)&gt;0,10,),0)"),"")</f>
        <v/>
      </c>
      <c r="V695" s="70"/>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row>
    <row r="696">
      <c r="B696" s="70" t="str">
        <f>IFERROR(__xludf.DUMMYFUNCTION("IFERROR(IF(COUNTIF(IMPORTRANGE(""1RTcwEJsI_0aJRebhNwO_H_AoKl9r46k7hWYbtciIyM4"",""Form Responses 1!B:B""),A696)&gt;0,10,),0)"),"")</f>
        <v/>
      </c>
      <c r="C696" s="70" t="str">
        <f>IFERROR(__xludf.DUMMYFUNCTION("IFERROR(VLOOKUP(A696,IMPORTRANGE(""11i8IUhq_U6RRKRV3CBWIKqYed_fMvFgNUHTq1YDJfp8"",""Form Responses 1!B:C""),2,FALSE),)"),"")</f>
        <v/>
      </c>
      <c r="D696" s="70" t="str">
        <f>IFERROR(__xludf.DUMMYFUNCTION("IFERROR(VLOOKUP(A696,IMPORTRANGE(""1StiHxuxrFhYdrq5WLR2JMORicW0TbnJf3J-oTHeMRtM"",""Form Responses 1!B:C""),2,FALSE),)"),"")</f>
        <v/>
      </c>
      <c r="E696" s="70" t="str">
        <f>IFERROR(__xludf.DUMMYFUNCTION("IFERROR(VLOOKUP(A696,IMPORTRANGE(""1QaxxyUjrDq2kgz300C1Bq1tacFk6e-xX218cSXCQUK0"",""Form Responses 1!B:C""),2,FALSE),)"),"")</f>
        <v/>
      </c>
      <c r="F696" s="70" t="str">
        <f>IFERROR(__xludf.DUMMYFUNCTION("IFERROR(VLOOKUP(A696,IMPORTRANGE(""1fn2ECph_y8Uz78DhjLaiXcwgt6kh3oe-0Le36Uw0noE"",""Form Responses 1!B:C""),2,FALSE),)"),"")</f>
        <v/>
      </c>
      <c r="G696" s="70"/>
      <c r="H696" s="70"/>
      <c r="I696" s="70"/>
      <c r="J696" s="70"/>
      <c r="K696" s="70"/>
      <c r="L696" s="70"/>
      <c r="M696" s="70"/>
      <c r="N696" s="70"/>
      <c r="O696" s="70"/>
      <c r="P696" s="70"/>
      <c r="Q696" s="70" t="str">
        <f>IFERROR(__xludf.DUMMYFUNCTION("IFERROR(IF(COUNTIF(IMPORTRANGE(""1WjiLR_MTMxI_IZUKuvPO4Sg2rTSIqBzP3edakSRXbOA"",""Form Responses 1!B:B""),F696)&gt;0,10,),0)"),"")</f>
        <v/>
      </c>
      <c r="R696" s="70" t="str">
        <f>IFERROR(__xludf.DUMMYFUNCTION("IFERROR(VLOOKUP(F696,IMPORTRANGE(""1Ixzbal5tEbtWhozsFEppQzOYE6ZSrkNXHg_HW5k3Wt4"",""Form Responses 1!B:C""),2,FALSE),)"),"")</f>
        <v/>
      </c>
      <c r="S696" s="70" t="str">
        <f>IFERROR(__xludf.DUMMYFUNCTION("IFERROR(VLOOKUP(F696,IMPORTRANGE(""1zxjtEKGvVIJPIDqZdnxENwVpPXYa88EihzyI44hcQUo"",""Form Responses 1!B:C""),2,FALSE),)"),"")</f>
        <v/>
      </c>
      <c r="T696" s="70" t="str">
        <f>IFERROR(__xludf.DUMMYFUNCTION("IFERROR(VLOOKUP(F696,IMPORTRANGE(""1H3cO01obd5zFULYqaT5NAqecZBFFIHeDFn4CeQLZF3w"",""Form Responses 1!B:C""),2,FALSE),)"),"")</f>
        <v/>
      </c>
      <c r="U696" s="70" t="str">
        <f>IFERROR(__xludf.DUMMYFUNCTION("IFERROR(IF(COUNTIF(IMPORTRANGE(""1IG9qoa6PeLdDDFzKpW39lxXshN0-M8Z25a_R1EpsYyg"",""Form Responses 1!B:B""),F696)&gt;0,10,),0)"),"")</f>
        <v/>
      </c>
      <c r="V696" s="70"/>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row>
    <row r="697">
      <c r="B697" s="70" t="str">
        <f>IFERROR(__xludf.DUMMYFUNCTION("IFERROR(IF(COUNTIF(IMPORTRANGE(""1RTcwEJsI_0aJRebhNwO_H_AoKl9r46k7hWYbtciIyM4"",""Form Responses 1!B:B""),A697)&gt;0,10,),0)"),"")</f>
        <v/>
      </c>
      <c r="C697" s="70" t="str">
        <f>IFERROR(__xludf.DUMMYFUNCTION("IFERROR(VLOOKUP(A697,IMPORTRANGE(""11i8IUhq_U6RRKRV3CBWIKqYed_fMvFgNUHTq1YDJfp8"",""Form Responses 1!B:C""),2,FALSE),)"),"")</f>
        <v/>
      </c>
      <c r="D697" s="70" t="str">
        <f>IFERROR(__xludf.DUMMYFUNCTION("IFERROR(VLOOKUP(A697,IMPORTRANGE(""1StiHxuxrFhYdrq5WLR2JMORicW0TbnJf3J-oTHeMRtM"",""Form Responses 1!B:C""),2,FALSE),)"),"")</f>
        <v/>
      </c>
      <c r="E697" s="70" t="str">
        <f>IFERROR(__xludf.DUMMYFUNCTION("IFERROR(VLOOKUP(A697,IMPORTRANGE(""1QaxxyUjrDq2kgz300C1Bq1tacFk6e-xX218cSXCQUK0"",""Form Responses 1!B:C""),2,FALSE),)"),"")</f>
        <v/>
      </c>
      <c r="F697" s="70" t="str">
        <f>IFERROR(__xludf.DUMMYFUNCTION("IFERROR(VLOOKUP(A697,IMPORTRANGE(""1fn2ECph_y8Uz78DhjLaiXcwgt6kh3oe-0Le36Uw0noE"",""Form Responses 1!B:C""),2,FALSE),)"),"")</f>
        <v/>
      </c>
      <c r="G697" s="70"/>
      <c r="H697" s="70"/>
      <c r="I697" s="70"/>
      <c r="J697" s="70"/>
      <c r="K697" s="70"/>
      <c r="L697" s="70"/>
      <c r="M697" s="70"/>
      <c r="N697" s="70"/>
      <c r="O697" s="70"/>
      <c r="P697" s="70"/>
      <c r="Q697" s="70" t="str">
        <f>IFERROR(__xludf.DUMMYFUNCTION("IFERROR(IF(COUNTIF(IMPORTRANGE(""1WjiLR_MTMxI_IZUKuvPO4Sg2rTSIqBzP3edakSRXbOA"",""Form Responses 1!B:B""),F697)&gt;0,10,),0)"),"")</f>
        <v/>
      </c>
      <c r="R697" s="70" t="str">
        <f>IFERROR(__xludf.DUMMYFUNCTION("IFERROR(VLOOKUP(F697,IMPORTRANGE(""1Ixzbal5tEbtWhozsFEppQzOYE6ZSrkNXHg_HW5k3Wt4"",""Form Responses 1!B:C""),2,FALSE),)"),"")</f>
        <v/>
      </c>
      <c r="S697" s="70" t="str">
        <f>IFERROR(__xludf.DUMMYFUNCTION("IFERROR(VLOOKUP(F697,IMPORTRANGE(""1zxjtEKGvVIJPIDqZdnxENwVpPXYa88EihzyI44hcQUo"",""Form Responses 1!B:C""),2,FALSE),)"),"")</f>
        <v/>
      </c>
      <c r="T697" s="70" t="str">
        <f>IFERROR(__xludf.DUMMYFUNCTION("IFERROR(VLOOKUP(F697,IMPORTRANGE(""1H3cO01obd5zFULYqaT5NAqecZBFFIHeDFn4CeQLZF3w"",""Form Responses 1!B:C""),2,FALSE),)"),"")</f>
        <v/>
      </c>
      <c r="U697" s="70" t="str">
        <f>IFERROR(__xludf.DUMMYFUNCTION("IFERROR(IF(COUNTIF(IMPORTRANGE(""1IG9qoa6PeLdDDFzKpW39lxXshN0-M8Z25a_R1EpsYyg"",""Form Responses 1!B:B""),F697)&gt;0,10,),0)"),"")</f>
        <v/>
      </c>
      <c r="V697" s="70"/>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row>
    <row r="698">
      <c r="B698" s="70" t="str">
        <f>IFERROR(__xludf.DUMMYFUNCTION("IFERROR(IF(COUNTIF(IMPORTRANGE(""1RTcwEJsI_0aJRebhNwO_H_AoKl9r46k7hWYbtciIyM4"",""Form Responses 1!B:B""),A698)&gt;0,10,),0)"),"")</f>
        <v/>
      </c>
      <c r="C698" s="70" t="str">
        <f>IFERROR(__xludf.DUMMYFUNCTION("IFERROR(VLOOKUP(A698,IMPORTRANGE(""11i8IUhq_U6RRKRV3CBWIKqYed_fMvFgNUHTq1YDJfp8"",""Form Responses 1!B:C""),2,FALSE),)"),"")</f>
        <v/>
      </c>
      <c r="D698" s="70" t="str">
        <f>IFERROR(__xludf.DUMMYFUNCTION("IFERROR(VLOOKUP(A698,IMPORTRANGE(""1StiHxuxrFhYdrq5WLR2JMORicW0TbnJf3J-oTHeMRtM"",""Form Responses 1!B:C""),2,FALSE),)"),"")</f>
        <v/>
      </c>
      <c r="E698" s="70" t="str">
        <f>IFERROR(__xludf.DUMMYFUNCTION("IFERROR(VLOOKUP(A698,IMPORTRANGE(""1QaxxyUjrDq2kgz300C1Bq1tacFk6e-xX218cSXCQUK0"",""Form Responses 1!B:C""),2,FALSE),)"),"")</f>
        <v/>
      </c>
      <c r="F698" s="70" t="str">
        <f>IFERROR(__xludf.DUMMYFUNCTION("IFERROR(VLOOKUP(A698,IMPORTRANGE(""1fn2ECph_y8Uz78DhjLaiXcwgt6kh3oe-0Le36Uw0noE"",""Form Responses 1!B:C""),2,FALSE),)"),"")</f>
        <v/>
      </c>
      <c r="G698" s="70"/>
      <c r="H698" s="70"/>
      <c r="I698" s="70"/>
      <c r="J698" s="70"/>
      <c r="K698" s="70"/>
      <c r="L698" s="70"/>
      <c r="M698" s="70"/>
      <c r="N698" s="70"/>
      <c r="O698" s="70"/>
      <c r="P698" s="70"/>
      <c r="Q698" s="70" t="str">
        <f>IFERROR(__xludf.DUMMYFUNCTION("IFERROR(IF(COUNTIF(IMPORTRANGE(""1WjiLR_MTMxI_IZUKuvPO4Sg2rTSIqBzP3edakSRXbOA"",""Form Responses 1!B:B""),F698)&gt;0,10,),0)"),"")</f>
        <v/>
      </c>
      <c r="R698" s="70" t="str">
        <f>IFERROR(__xludf.DUMMYFUNCTION("IFERROR(VLOOKUP(F698,IMPORTRANGE(""1Ixzbal5tEbtWhozsFEppQzOYE6ZSrkNXHg_HW5k3Wt4"",""Form Responses 1!B:C""),2,FALSE),)"),"")</f>
        <v/>
      </c>
      <c r="S698" s="70" t="str">
        <f>IFERROR(__xludf.DUMMYFUNCTION("IFERROR(VLOOKUP(F698,IMPORTRANGE(""1zxjtEKGvVIJPIDqZdnxENwVpPXYa88EihzyI44hcQUo"",""Form Responses 1!B:C""),2,FALSE),)"),"")</f>
        <v/>
      </c>
      <c r="T698" s="70" t="str">
        <f>IFERROR(__xludf.DUMMYFUNCTION("IFERROR(VLOOKUP(F698,IMPORTRANGE(""1H3cO01obd5zFULYqaT5NAqecZBFFIHeDFn4CeQLZF3w"",""Form Responses 1!B:C""),2,FALSE),)"),"")</f>
        <v/>
      </c>
      <c r="U698" s="70" t="str">
        <f>IFERROR(__xludf.DUMMYFUNCTION("IFERROR(IF(COUNTIF(IMPORTRANGE(""1IG9qoa6PeLdDDFzKpW39lxXshN0-M8Z25a_R1EpsYyg"",""Form Responses 1!B:B""),F698)&gt;0,10,),0)"),"")</f>
        <v/>
      </c>
      <c r="V698" s="70"/>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c r="AU698" s="70"/>
    </row>
    <row r="699">
      <c r="B699" s="70" t="str">
        <f>IFERROR(__xludf.DUMMYFUNCTION("IFERROR(IF(COUNTIF(IMPORTRANGE(""1RTcwEJsI_0aJRebhNwO_H_AoKl9r46k7hWYbtciIyM4"",""Form Responses 1!B:B""),A699)&gt;0,10,),0)"),"")</f>
        <v/>
      </c>
      <c r="C699" s="70" t="str">
        <f>IFERROR(__xludf.DUMMYFUNCTION("IFERROR(VLOOKUP(A699,IMPORTRANGE(""11i8IUhq_U6RRKRV3CBWIKqYed_fMvFgNUHTq1YDJfp8"",""Form Responses 1!B:C""),2,FALSE),)"),"")</f>
        <v/>
      </c>
      <c r="D699" s="70" t="str">
        <f>IFERROR(__xludf.DUMMYFUNCTION("IFERROR(VLOOKUP(A699,IMPORTRANGE(""1StiHxuxrFhYdrq5WLR2JMORicW0TbnJf3J-oTHeMRtM"",""Form Responses 1!B:C""),2,FALSE),)"),"")</f>
        <v/>
      </c>
      <c r="E699" s="70" t="str">
        <f>IFERROR(__xludf.DUMMYFUNCTION("IFERROR(VLOOKUP(A699,IMPORTRANGE(""1QaxxyUjrDq2kgz300C1Bq1tacFk6e-xX218cSXCQUK0"",""Form Responses 1!B:C""),2,FALSE),)"),"")</f>
        <v/>
      </c>
      <c r="F699" s="70" t="str">
        <f>IFERROR(__xludf.DUMMYFUNCTION("IFERROR(VLOOKUP(A699,IMPORTRANGE(""1fn2ECph_y8Uz78DhjLaiXcwgt6kh3oe-0Le36Uw0noE"",""Form Responses 1!B:C""),2,FALSE),)"),"")</f>
        <v/>
      </c>
      <c r="G699" s="70"/>
      <c r="H699" s="70"/>
      <c r="I699" s="70"/>
      <c r="J699" s="70"/>
      <c r="K699" s="70"/>
      <c r="L699" s="70"/>
      <c r="M699" s="70"/>
      <c r="N699" s="70"/>
      <c r="O699" s="70"/>
      <c r="P699" s="70"/>
      <c r="Q699" s="70" t="str">
        <f>IFERROR(__xludf.DUMMYFUNCTION("IFERROR(IF(COUNTIF(IMPORTRANGE(""1WjiLR_MTMxI_IZUKuvPO4Sg2rTSIqBzP3edakSRXbOA"",""Form Responses 1!B:B""),F699)&gt;0,10,),0)"),"")</f>
        <v/>
      </c>
      <c r="R699" s="70" t="str">
        <f>IFERROR(__xludf.DUMMYFUNCTION("IFERROR(VLOOKUP(F699,IMPORTRANGE(""1Ixzbal5tEbtWhozsFEppQzOYE6ZSrkNXHg_HW5k3Wt4"",""Form Responses 1!B:C""),2,FALSE),)"),"")</f>
        <v/>
      </c>
      <c r="S699" s="70" t="str">
        <f>IFERROR(__xludf.DUMMYFUNCTION("IFERROR(VLOOKUP(F699,IMPORTRANGE(""1zxjtEKGvVIJPIDqZdnxENwVpPXYa88EihzyI44hcQUo"",""Form Responses 1!B:C""),2,FALSE),)"),"")</f>
        <v/>
      </c>
      <c r="T699" s="70" t="str">
        <f>IFERROR(__xludf.DUMMYFUNCTION("IFERROR(VLOOKUP(F699,IMPORTRANGE(""1H3cO01obd5zFULYqaT5NAqecZBFFIHeDFn4CeQLZF3w"",""Form Responses 1!B:C""),2,FALSE),)"),"")</f>
        <v/>
      </c>
      <c r="U699" s="70" t="str">
        <f>IFERROR(__xludf.DUMMYFUNCTION("IFERROR(IF(COUNTIF(IMPORTRANGE(""1IG9qoa6PeLdDDFzKpW39lxXshN0-M8Z25a_R1EpsYyg"",""Form Responses 1!B:B""),F699)&gt;0,10,),0)"),"")</f>
        <v/>
      </c>
      <c r="V699" s="70"/>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c r="AU699" s="70"/>
    </row>
    <row r="700">
      <c r="B700" s="70" t="str">
        <f>IFERROR(__xludf.DUMMYFUNCTION("IFERROR(IF(COUNTIF(IMPORTRANGE(""1RTcwEJsI_0aJRebhNwO_H_AoKl9r46k7hWYbtciIyM4"",""Form Responses 1!B:B""),A700)&gt;0,10,),0)"),"")</f>
        <v/>
      </c>
      <c r="C700" s="70" t="str">
        <f>IFERROR(__xludf.DUMMYFUNCTION("IFERROR(VLOOKUP(A700,IMPORTRANGE(""11i8IUhq_U6RRKRV3CBWIKqYed_fMvFgNUHTq1YDJfp8"",""Form Responses 1!B:C""),2,FALSE),)"),"")</f>
        <v/>
      </c>
      <c r="D700" s="70" t="str">
        <f>IFERROR(__xludf.DUMMYFUNCTION("IFERROR(VLOOKUP(A700,IMPORTRANGE(""1StiHxuxrFhYdrq5WLR2JMORicW0TbnJf3J-oTHeMRtM"",""Form Responses 1!B:C""),2,FALSE),)"),"")</f>
        <v/>
      </c>
      <c r="E700" s="70" t="str">
        <f>IFERROR(__xludf.DUMMYFUNCTION("IFERROR(VLOOKUP(A700,IMPORTRANGE(""1QaxxyUjrDq2kgz300C1Bq1tacFk6e-xX218cSXCQUK0"",""Form Responses 1!B:C""),2,FALSE),)"),"")</f>
        <v/>
      </c>
      <c r="F700" s="70" t="str">
        <f>IFERROR(__xludf.DUMMYFUNCTION("IFERROR(VLOOKUP(A700,IMPORTRANGE(""1fn2ECph_y8Uz78DhjLaiXcwgt6kh3oe-0Le36Uw0noE"",""Form Responses 1!B:C""),2,FALSE),)"),"")</f>
        <v/>
      </c>
      <c r="G700" s="70"/>
      <c r="H700" s="70"/>
      <c r="I700" s="70"/>
      <c r="J700" s="70"/>
      <c r="K700" s="70"/>
      <c r="L700" s="70"/>
      <c r="M700" s="70"/>
      <c r="N700" s="70"/>
      <c r="O700" s="70"/>
      <c r="P700" s="70"/>
      <c r="Q700" s="70" t="str">
        <f>IFERROR(__xludf.DUMMYFUNCTION("IFERROR(IF(COUNTIF(IMPORTRANGE(""1WjiLR_MTMxI_IZUKuvPO4Sg2rTSIqBzP3edakSRXbOA"",""Form Responses 1!B:B""),F700)&gt;0,10,),0)"),"")</f>
        <v/>
      </c>
      <c r="R700" s="70" t="str">
        <f>IFERROR(__xludf.DUMMYFUNCTION("IFERROR(VLOOKUP(F700,IMPORTRANGE(""1Ixzbal5tEbtWhozsFEppQzOYE6ZSrkNXHg_HW5k3Wt4"",""Form Responses 1!B:C""),2,FALSE),)"),"")</f>
        <v/>
      </c>
      <c r="S700" s="70" t="str">
        <f>IFERROR(__xludf.DUMMYFUNCTION("IFERROR(VLOOKUP(F700,IMPORTRANGE(""1zxjtEKGvVIJPIDqZdnxENwVpPXYa88EihzyI44hcQUo"",""Form Responses 1!B:C""),2,FALSE),)"),"")</f>
        <v/>
      </c>
      <c r="T700" s="70" t="str">
        <f>IFERROR(__xludf.DUMMYFUNCTION("IFERROR(VLOOKUP(F700,IMPORTRANGE(""1H3cO01obd5zFULYqaT5NAqecZBFFIHeDFn4CeQLZF3w"",""Form Responses 1!B:C""),2,FALSE),)"),"")</f>
        <v/>
      </c>
      <c r="U700" s="70" t="str">
        <f>IFERROR(__xludf.DUMMYFUNCTION("IFERROR(IF(COUNTIF(IMPORTRANGE(""1IG9qoa6PeLdDDFzKpW39lxXshN0-M8Z25a_R1EpsYyg"",""Form Responses 1!B:B""),F700)&gt;0,10,),0)"),"")</f>
        <v/>
      </c>
      <c r="V700" s="70"/>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c r="AU700" s="70"/>
    </row>
    <row r="701">
      <c r="B701" s="70" t="str">
        <f>IFERROR(__xludf.DUMMYFUNCTION("IFERROR(IF(COUNTIF(IMPORTRANGE(""1RTcwEJsI_0aJRebhNwO_H_AoKl9r46k7hWYbtciIyM4"",""Form Responses 1!B:B""),A701)&gt;0,10,),0)"),"")</f>
        <v/>
      </c>
      <c r="C701" s="70" t="str">
        <f>IFERROR(__xludf.DUMMYFUNCTION("IFERROR(VLOOKUP(A701,IMPORTRANGE(""11i8IUhq_U6RRKRV3CBWIKqYed_fMvFgNUHTq1YDJfp8"",""Form Responses 1!B:C""),2,FALSE),)"),"")</f>
        <v/>
      </c>
      <c r="D701" s="70" t="str">
        <f>IFERROR(__xludf.DUMMYFUNCTION("IFERROR(VLOOKUP(A701,IMPORTRANGE(""1StiHxuxrFhYdrq5WLR2JMORicW0TbnJf3J-oTHeMRtM"",""Form Responses 1!B:C""),2,FALSE),)"),"")</f>
        <v/>
      </c>
      <c r="E701" s="70" t="str">
        <f>IFERROR(__xludf.DUMMYFUNCTION("IFERROR(VLOOKUP(A701,IMPORTRANGE(""1QaxxyUjrDq2kgz300C1Bq1tacFk6e-xX218cSXCQUK0"",""Form Responses 1!B:C""),2,FALSE),)"),"")</f>
        <v/>
      </c>
      <c r="F701" s="70" t="str">
        <f>IFERROR(__xludf.DUMMYFUNCTION("IFERROR(VLOOKUP(A701,IMPORTRANGE(""1fn2ECph_y8Uz78DhjLaiXcwgt6kh3oe-0Le36Uw0noE"",""Form Responses 1!B:C""),2,FALSE),)"),"")</f>
        <v/>
      </c>
      <c r="G701" s="70"/>
      <c r="H701" s="70"/>
      <c r="I701" s="70"/>
      <c r="J701" s="70"/>
      <c r="K701" s="70"/>
      <c r="L701" s="70"/>
      <c r="M701" s="70"/>
      <c r="N701" s="70"/>
      <c r="O701" s="70"/>
      <c r="P701" s="70"/>
      <c r="Q701" s="70" t="str">
        <f>IFERROR(__xludf.DUMMYFUNCTION("IFERROR(IF(COUNTIF(IMPORTRANGE(""1WjiLR_MTMxI_IZUKuvPO4Sg2rTSIqBzP3edakSRXbOA"",""Form Responses 1!B:B""),F701)&gt;0,10,),0)"),"")</f>
        <v/>
      </c>
      <c r="R701" s="70" t="str">
        <f>IFERROR(__xludf.DUMMYFUNCTION("IFERROR(VLOOKUP(F701,IMPORTRANGE(""1Ixzbal5tEbtWhozsFEppQzOYE6ZSrkNXHg_HW5k3Wt4"",""Form Responses 1!B:C""),2,FALSE),)"),"")</f>
        <v/>
      </c>
      <c r="S701" s="70" t="str">
        <f>IFERROR(__xludf.DUMMYFUNCTION("IFERROR(VLOOKUP(F701,IMPORTRANGE(""1zxjtEKGvVIJPIDqZdnxENwVpPXYa88EihzyI44hcQUo"",""Form Responses 1!B:C""),2,FALSE),)"),"")</f>
        <v/>
      </c>
      <c r="T701" s="70" t="str">
        <f>IFERROR(__xludf.DUMMYFUNCTION("IFERROR(VLOOKUP(F701,IMPORTRANGE(""1H3cO01obd5zFULYqaT5NAqecZBFFIHeDFn4CeQLZF3w"",""Form Responses 1!B:C""),2,FALSE),)"),"")</f>
        <v/>
      </c>
      <c r="U701" s="70" t="str">
        <f>IFERROR(__xludf.DUMMYFUNCTION("IFERROR(IF(COUNTIF(IMPORTRANGE(""1IG9qoa6PeLdDDFzKpW39lxXshN0-M8Z25a_R1EpsYyg"",""Form Responses 1!B:B""),F701)&gt;0,10,),0)"),"")</f>
        <v/>
      </c>
      <c r="V701" s="70"/>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row>
    <row r="702">
      <c r="B702" s="70" t="str">
        <f>IFERROR(__xludf.DUMMYFUNCTION("IFERROR(IF(COUNTIF(IMPORTRANGE(""1RTcwEJsI_0aJRebhNwO_H_AoKl9r46k7hWYbtciIyM4"",""Form Responses 1!B:B""),A702)&gt;0,10,),0)"),"")</f>
        <v/>
      </c>
      <c r="C702" s="70" t="str">
        <f>IFERROR(__xludf.DUMMYFUNCTION("IFERROR(VLOOKUP(A702,IMPORTRANGE(""11i8IUhq_U6RRKRV3CBWIKqYed_fMvFgNUHTq1YDJfp8"",""Form Responses 1!B:C""),2,FALSE),)"),"")</f>
        <v/>
      </c>
      <c r="D702" s="70" t="str">
        <f>IFERROR(__xludf.DUMMYFUNCTION("IFERROR(VLOOKUP(A702,IMPORTRANGE(""1StiHxuxrFhYdrq5WLR2JMORicW0TbnJf3J-oTHeMRtM"",""Form Responses 1!B:C""),2,FALSE),)"),"")</f>
        <v/>
      </c>
      <c r="E702" s="70" t="str">
        <f>IFERROR(__xludf.DUMMYFUNCTION("IFERROR(VLOOKUP(A702,IMPORTRANGE(""1QaxxyUjrDq2kgz300C1Bq1tacFk6e-xX218cSXCQUK0"",""Form Responses 1!B:C""),2,FALSE),)"),"")</f>
        <v/>
      </c>
      <c r="F702" s="70" t="str">
        <f>IFERROR(__xludf.DUMMYFUNCTION("IFERROR(VLOOKUP(A702,IMPORTRANGE(""1fn2ECph_y8Uz78DhjLaiXcwgt6kh3oe-0Le36Uw0noE"",""Form Responses 1!B:C""),2,FALSE),)"),"")</f>
        <v/>
      </c>
      <c r="G702" s="70"/>
      <c r="H702" s="70"/>
      <c r="I702" s="70"/>
      <c r="J702" s="70"/>
      <c r="K702" s="70"/>
      <c r="L702" s="70"/>
      <c r="M702" s="70"/>
      <c r="N702" s="70"/>
      <c r="O702" s="70"/>
      <c r="P702" s="70"/>
      <c r="Q702" s="70" t="str">
        <f>IFERROR(__xludf.DUMMYFUNCTION("IFERROR(IF(COUNTIF(IMPORTRANGE(""1WjiLR_MTMxI_IZUKuvPO4Sg2rTSIqBzP3edakSRXbOA"",""Form Responses 1!B:B""),F702)&gt;0,10,),0)"),"")</f>
        <v/>
      </c>
      <c r="R702" s="70" t="str">
        <f>IFERROR(__xludf.DUMMYFUNCTION("IFERROR(VLOOKUP(F702,IMPORTRANGE(""1Ixzbal5tEbtWhozsFEppQzOYE6ZSrkNXHg_HW5k3Wt4"",""Form Responses 1!B:C""),2,FALSE),)"),"")</f>
        <v/>
      </c>
      <c r="S702" s="70" t="str">
        <f>IFERROR(__xludf.DUMMYFUNCTION("IFERROR(VLOOKUP(F702,IMPORTRANGE(""1zxjtEKGvVIJPIDqZdnxENwVpPXYa88EihzyI44hcQUo"",""Form Responses 1!B:C""),2,FALSE),)"),"")</f>
        <v/>
      </c>
      <c r="T702" s="70" t="str">
        <f>IFERROR(__xludf.DUMMYFUNCTION("IFERROR(VLOOKUP(F702,IMPORTRANGE(""1H3cO01obd5zFULYqaT5NAqecZBFFIHeDFn4CeQLZF3w"",""Form Responses 1!B:C""),2,FALSE),)"),"")</f>
        <v/>
      </c>
      <c r="U702" s="70" t="str">
        <f>IFERROR(__xludf.DUMMYFUNCTION("IFERROR(IF(COUNTIF(IMPORTRANGE(""1IG9qoa6PeLdDDFzKpW39lxXshN0-M8Z25a_R1EpsYyg"",""Form Responses 1!B:B""),F702)&gt;0,10,),0)"),"")</f>
        <v/>
      </c>
      <c r="V702" s="70"/>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row>
    <row r="703">
      <c r="B703" s="70" t="str">
        <f>IFERROR(__xludf.DUMMYFUNCTION("IFERROR(IF(COUNTIF(IMPORTRANGE(""1RTcwEJsI_0aJRebhNwO_H_AoKl9r46k7hWYbtciIyM4"",""Form Responses 1!B:B""),A703)&gt;0,10,),0)"),"")</f>
        <v/>
      </c>
      <c r="C703" s="70" t="str">
        <f>IFERROR(__xludf.DUMMYFUNCTION("IFERROR(VLOOKUP(A703,IMPORTRANGE(""11i8IUhq_U6RRKRV3CBWIKqYed_fMvFgNUHTq1YDJfp8"",""Form Responses 1!B:C""),2,FALSE),)"),"")</f>
        <v/>
      </c>
      <c r="D703" s="70" t="str">
        <f>IFERROR(__xludf.DUMMYFUNCTION("IFERROR(VLOOKUP(A703,IMPORTRANGE(""1StiHxuxrFhYdrq5WLR2JMORicW0TbnJf3J-oTHeMRtM"",""Form Responses 1!B:C""),2,FALSE),)"),"")</f>
        <v/>
      </c>
      <c r="E703" s="70" t="str">
        <f>IFERROR(__xludf.DUMMYFUNCTION("IFERROR(VLOOKUP(A703,IMPORTRANGE(""1QaxxyUjrDq2kgz300C1Bq1tacFk6e-xX218cSXCQUK0"",""Form Responses 1!B:C""),2,FALSE),)"),"")</f>
        <v/>
      </c>
      <c r="F703" s="70" t="str">
        <f>IFERROR(__xludf.DUMMYFUNCTION("IFERROR(VLOOKUP(A703,IMPORTRANGE(""1fn2ECph_y8Uz78DhjLaiXcwgt6kh3oe-0Le36Uw0noE"",""Form Responses 1!B:C""),2,FALSE),)"),"")</f>
        <v/>
      </c>
      <c r="G703" s="70"/>
      <c r="H703" s="70"/>
      <c r="I703" s="70"/>
      <c r="J703" s="70"/>
      <c r="K703" s="70"/>
      <c r="L703" s="70"/>
      <c r="M703" s="70"/>
      <c r="N703" s="70"/>
      <c r="O703" s="70"/>
      <c r="P703" s="70"/>
      <c r="Q703" s="70" t="str">
        <f>IFERROR(__xludf.DUMMYFUNCTION("IFERROR(IF(COUNTIF(IMPORTRANGE(""1WjiLR_MTMxI_IZUKuvPO4Sg2rTSIqBzP3edakSRXbOA"",""Form Responses 1!B:B""),F703)&gt;0,10,),0)"),"")</f>
        <v/>
      </c>
      <c r="R703" s="70" t="str">
        <f>IFERROR(__xludf.DUMMYFUNCTION("IFERROR(VLOOKUP(F703,IMPORTRANGE(""1Ixzbal5tEbtWhozsFEppQzOYE6ZSrkNXHg_HW5k3Wt4"",""Form Responses 1!B:C""),2,FALSE),)"),"")</f>
        <v/>
      </c>
      <c r="S703" s="70" t="str">
        <f>IFERROR(__xludf.DUMMYFUNCTION("IFERROR(VLOOKUP(F703,IMPORTRANGE(""1zxjtEKGvVIJPIDqZdnxENwVpPXYa88EihzyI44hcQUo"",""Form Responses 1!B:C""),2,FALSE),)"),"")</f>
        <v/>
      </c>
      <c r="T703" s="70" t="str">
        <f>IFERROR(__xludf.DUMMYFUNCTION("IFERROR(VLOOKUP(F703,IMPORTRANGE(""1H3cO01obd5zFULYqaT5NAqecZBFFIHeDFn4CeQLZF3w"",""Form Responses 1!B:C""),2,FALSE),)"),"")</f>
        <v/>
      </c>
      <c r="U703" s="70" t="str">
        <f>IFERROR(__xludf.DUMMYFUNCTION("IFERROR(IF(COUNTIF(IMPORTRANGE(""1IG9qoa6PeLdDDFzKpW39lxXshN0-M8Z25a_R1EpsYyg"",""Form Responses 1!B:B""),F703)&gt;0,10,),0)"),"")</f>
        <v/>
      </c>
      <c r="V703" s="70"/>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row>
    <row r="704">
      <c r="B704" s="70" t="str">
        <f>IFERROR(__xludf.DUMMYFUNCTION("IFERROR(IF(COUNTIF(IMPORTRANGE(""1RTcwEJsI_0aJRebhNwO_H_AoKl9r46k7hWYbtciIyM4"",""Form Responses 1!B:B""),A704)&gt;0,10,),0)"),"")</f>
        <v/>
      </c>
      <c r="C704" s="70" t="str">
        <f>IFERROR(__xludf.DUMMYFUNCTION("IFERROR(VLOOKUP(A704,IMPORTRANGE(""11i8IUhq_U6RRKRV3CBWIKqYed_fMvFgNUHTq1YDJfp8"",""Form Responses 1!B:C""),2,FALSE),)"),"")</f>
        <v/>
      </c>
      <c r="D704" s="70" t="str">
        <f>IFERROR(__xludf.DUMMYFUNCTION("IFERROR(VLOOKUP(A704,IMPORTRANGE(""1StiHxuxrFhYdrq5WLR2JMORicW0TbnJf3J-oTHeMRtM"",""Form Responses 1!B:C""),2,FALSE),)"),"")</f>
        <v/>
      </c>
      <c r="E704" s="70" t="str">
        <f>IFERROR(__xludf.DUMMYFUNCTION("IFERROR(VLOOKUP(A704,IMPORTRANGE(""1QaxxyUjrDq2kgz300C1Bq1tacFk6e-xX218cSXCQUK0"",""Form Responses 1!B:C""),2,FALSE),)"),"")</f>
        <v/>
      </c>
      <c r="F704" s="70" t="str">
        <f>IFERROR(__xludf.DUMMYFUNCTION("IFERROR(VLOOKUP(A704,IMPORTRANGE(""1fn2ECph_y8Uz78DhjLaiXcwgt6kh3oe-0Le36Uw0noE"",""Form Responses 1!B:C""),2,FALSE),)"),"")</f>
        <v/>
      </c>
      <c r="G704" s="70"/>
      <c r="H704" s="70"/>
      <c r="I704" s="70"/>
      <c r="J704" s="70"/>
      <c r="K704" s="70"/>
      <c r="L704" s="70"/>
      <c r="M704" s="70"/>
      <c r="N704" s="70"/>
      <c r="O704" s="70"/>
      <c r="P704" s="70"/>
      <c r="Q704" s="70" t="str">
        <f>IFERROR(__xludf.DUMMYFUNCTION("IFERROR(IF(COUNTIF(IMPORTRANGE(""1WjiLR_MTMxI_IZUKuvPO4Sg2rTSIqBzP3edakSRXbOA"",""Form Responses 1!B:B""),F704)&gt;0,10,),0)"),"")</f>
        <v/>
      </c>
      <c r="R704" s="70" t="str">
        <f>IFERROR(__xludf.DUMMYFUNCTION("IFERROR(VLOOKUP(F704,IMPORTRANGE(""1Ixzbal5tEbtWhozsFEppQzOYE6ZSrkNXHg_HW5k3Wt4"",""Form Responses 1!B:C""),2,FALSE),)"),"")</f>
        <v/>
      </c>
      <c r="S704" s="70" t="str">
        <f>IFERROR(__xludf.DUMMYFUNCTION("IFERROR(VLOOKUP(F704,IMPORTRANGE(""1zxjtEKGvVIJPIDqZdnxENwVpPXYa88EihzyI44hcQUo"",""Form Responses 1!B:C""),2,FALSE),)"),"")</f>
        <v/>
      </c>
      <c r="T704" s="70" t="str">
        <f>IFERROR(__xludf.DUMMYFUNCTION("IFERROR(VLOOKUP(F704,IMPORTRANGE(""1H3cO01obd5zFULYqaT5NAqecZBFFIHeDFn4CeQLZF3w"",""Form Responses 1!B:C""),2,FALSE),)"),"")</f>
        <v/>
      </c>
      <c r="U704" s="70" t="str">
        <f>IFERROR(__xludf.DUMMYFUNCTION("IFERROR(IF(COUNTIF(IMPORTRANGE(""1IG9qoa6PeLdDDFzKpW39lxXshN0-M8Z25a_R1EpsYyg"",""Form Responses 1!B:B""),F704)&gt;0,10,),0)"),"")</f>
        <v/>
      </c>
      <c r="V704" s="70"/>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row>
    <row r="705">
      <c r="B705" s="70" t="str">
        <f>IFERROR(__xludf.DUMMYFUNCTION("IFERROR(IF(COUNTIF(IMPORTRANGE(""1RTcwEJsI_0aJRebhNwO_H_AoKl9r46k7hWYbtciIyM4"",""Form Responses 1!B:B""),A705)&gt;0,10,),0)"),"")</f>
        <v/>
      </c>
      <c r="C705" s="70" t="str">
        <f>IFERROR(__xludf.DUMMYFUNCTION("IFERROR(VLOOKUP(A705,IMPORTRANGE(""11i8IUhq_U6RRKRV3CBWIKqYed_fMvFgNUHTq1YDJfp8"",""Form Responses 1!B:C""),2,FALSE),)"),"")</f>
        <v/>
      </c>
      <c r="D705" s="70" t="str">
        <f>IFERROR(__xludf.DUMMYFUNCTION("IFERROR(VLOOKUP(A705,IMPORTRANGE(""1StiHxuxrFhYdrq5WLR2JMORicW0TbnJf3J-oTHeMRtM"",""Form Responses 1!B:C""),2,FALSE),)"),"")</f>
        <v/>
      </c>
      <c r="E705" s="70" t="str">
        <f>IFERROR(__xludf.DUMMYFUNCTION("IFERROR(VLOOKUP(A705,IMPORTRANGE(""1QaxxyUjrDq2kgz300C1Bq1tacFk6e-xX218cSXCQUK0"",""Form Responses 1!B:C""),2,FALSE),)"),"")</f>
        <v/>
      </c>
      <c r="F705" s="70" t="str">
        <f>IFERROR(__xludf.DUMMYFUNCTION("IFERROR(VLOOKUP(A705,IMPORTRANGE(""1fn2ECph_y8Uz78DhjLaiXcwgt6kh3oe-0Le36Uw0noE"",""Form Responses 1!B:C""),2,FALSE),)"),"")</f>
        <v/>
      </c>
      <c r="G705" s="70"/>
      <c r="H705" s="70"/>
      <c r="I705" s="70"/>
      <c r="J705" s="70"/>
      <c r="K705" s="70"/>
      <c r="L705" s="70"/>
      <c r="M705" s="70"/>
      <c r="N705" s="70"/>
      <c r="O705" s="70"/>
      <c r="P705" s="70"/>
      <c r="Q705" s="70" t="str">
        <f>IFERROR(__xludf.DUMMYFUNCTION("IFERROR(IF(COUNTIF(IMPORTRANGE(""1WjiLR_MTMxI_IZUKuvPO4Sg2rTSIqBzP3edakSRXbOA"",""Form Responses 1!B:B""),F705)&gt;0,10,),0)"),"")</f>
        <v/>
      </c>
      <c r="R705" s="70" t="str">
        <f>IFERROR(__xludf.DUMMYFUNCTION("IFERROR(VLOOKUP(F705,IMPORTRANGE(""1Ixzbal5tEbtWhozsFEppQzOYE6ZSrkNXHg_HW5k3Wt4"",""Form Responses 1!B:C""),2,FALSE),)"),"")</f>
        <v/>
      </c>
      <c r="S705" s="70" t="str">
        <f>IFERROR(__xludf.DUMMYFUNCTION("IFERROR(VLOOKUP(F705,IMPORTRANGE(""1zxjtEKGvVIJPIDqZdnxENwVpPXYa88EihzyI44hcQUo"",""Form Responses 1!B:C""),2,FALSE),)"),"")</f>
        <v/>
      </c>
      <c r="T705" s="70" t="str">
        <f>IFERROR(__xludf.DUMMYFUNCTION("IFERROR(VLOOKUP(F705,IMPORTRANGE(""1H3cO01obd5zFULYqaT5NAqecZBFFIHeDFn4CeQLZF3w"",""Form Responses 1!B:C""),2,FALSE),)"),"")</f>
        <v/>
      </c>
      <c r="U705" s="70" t="str">
        <f>IFERROR(__xludf.DUMMYFUNCTION("IFERROR(IF(COUNTIF(IMPORTRANGE(""1IG9qoa6PeLdDDFzKpW39lxXshN0-M8Z25a_R1EpsYyg"",""Form Responses 1!B:B""),F705)&gt;0,10,),0)"),"")</f>
        <v/>
      </c>
      <c r="V705" s="70"/>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row>
    <row r="706">
      <c r="B706" s="70" t="str">
        <f>IFERROR(__xludf.DUMMYFUNCTION("IFERROR(IF(COUNTIF(IMPORTRANGE(""1RTcwEJsI_0aJRebhNwO_H_AoKl9r46k7hWYbtciIyM4"",""Form Responses 1!B:B""),A706)&gt;0,10,),0)"),"")</f>
        <v/>
      </c>
      <c r="C706" s="70" t="str">
        <f>IFERROR(__xludf.DUMMYFUNCTION("IFERROR(VLOOKUP(A706,IMPORTRANGE(""11i8IUhq_U6RRKRV3CBWIKqYed_fMvFgNUHTq1YDJfp8"",""Form Responses 1!B:C""),2,FALSE),)"),"")</f>
        <v/>
      </c>
      <c r="D706" s="70" t="str">
        <f>IFERROR(__xludf.DUMMYFUNCTION("IFERROR(VLOOKUP(A706,IMPORTRANGE(""1StiHxuxrFhYdrq5WLR2JMORicW0TbnJf3J-oTHeMRtM"",""Form Responses 1!B:C""),2,FALSE),)"),"")</f>
        <v/>
      </c>
      <c r="E706" s="70" t="str">
        <f>IFERROR(__xludf.DUMMYFUNCTION("IFERROR(VLOOKUP(A706,IMPORTRANGE(""1QaxxyUjrDq2kgz300C1Bq1tacFk6e-xX218cSXCQUK0"",""Form Responses 1!B:C""),2,FALSE),)"),"")</f>
        <v/>
      </c>
      <c r="F706" s="70" t="str">
        <f>IFERROR(__xludf.DUMMYFUNCTION("IFERROR(VLOOKUP(A706,IMPORTRANGE(""1fn2ECph_y8Uz78DhjLaiXcwgt6kh3oe-0Le36Uw0noE"",""Form Responses 1!B:C""),2,FALSE),)"),"")</f>
        <v/>
      </c>
      <c r="G706" s="70"/>
      <c r="H706" s="70"/>
      <c r="I706" s="70"/>
      <c r="J706" s="70"/>
      <c r="K706" s="70"/>
      <c r="L706" s="70"/>
      <c r="M706" s="70"/>
      <c r="N706" s="70"/>
      <c r="O706" s="70"/>
      <c r="P706" s="70"/>
      <c r="Q706" s="70" t="str">
        <f>IFERROR(__xludf.DUMMYFUNCTION("IFERROR(IF(COUNTIF(IMPORTRANGE(""1WjiLR_MTMxI_IZUKuvPO4Sg2rTSIqBzP3edakSRXbOA"",""Form Responses 1!B:B""),F706)&gt;0,10,),0)"),"")</f>
        <v/>
      </c>
      <c r="R706" s="70" t="str">
        <f>IFERROR(__xludf.DUMMYFUNCTION("IFERROR(VLOOKUP(F706,IMPORTRANGE(""1Ixzbal5tEbtWhozsFEppQzOYE6ZSrkNXHg_HW5k3Wt4"",""Form Responses 1!B:C""),2,FALSE),)"),"")</f>
        <v/>
      </c>
      <c r="S706" s="70" t="str">
        <f>IFERROR(__xludf.DUMMYFUNCTION("IFERROR(VLOOKUP(F706,IMPORTRANGE(""1zxjtEKGvVIJPIDqZdnxENwVpPXYa88EihzyI44hcQUo"",""Form Responses 1!B:C""),2,FALSE),)"),"")</f>
        <v/>
      </c>
      <c r="T706" s="70" t="str">
        <f>IFERROR(__xludf.DUMMYFUNCTION("IFERROR(VLOOKUP(F706,IMPORTRANGE(""1H3cO01obd5zFULYqaT5NAqecZBFFIHeDFn4CeQLZF3w"",""Form Responses 1!B:C""),2,FALSE),)"),"")</f>
        <v/>
      </c>
      <c r="U706" s="70" t="str">
        <f>IFERROR(__xludf.DUMMYFUNCTION("IFERROR(IF(COUNTIF(IMPORTRANGE(""1IG9qoa6PeLdDDFzKpW39lxXshN0-M8Z25a_R1EpsYyg"",""Form Responses 1!B:B""),F706)&gt;0,10,),0)"),"")</f>
        <v/>
      </c>
      <c r="V706" s="70"/>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row>
    <row r="707">
      <c r="B707" s="70" t="str">
        <f>IFERROR(__xludf.DUMMYFUNCTION("IFERROR(IF(COUNTIF(IMPORTRANGE(""1RTcwEJsI_0aJRebhNwO_H_AoKl9r46k7hWYbtciIyM4"",""Form Responses 1!B:B""),A707)&gt;0,10,),0)"),"")</f>
        <v/>
      </c>
      <c r="C707" s="70" t="str">
        <f>IFERROR(__xludf.DUMMYFUNCTION("IFERROR(VLOOKUP(A707,IMPORTRANGE(""11i8IUhq_U6RRKRV3CBWIKqYed_fMvFgNUHTq1YDJfp8"",""Form Responses 1!B:C""),2,FALSE),)"),"")</f>
        <v/>
      </c>
      <c r="D707" s="70" t="str">
        <f>IFERROR(__xludf.DUMMYFUNCTION("IFERROR(VLOOKUP(A707,IMPORTRANGE(""1StiHxuxrFhYdrq5WLR2JMORicW0TbnJf3J-oTHeMRtM"",""Form Responses 1!B:C""),2,FALSE),)"),"")</f>
        <v/>
      </c>
      <c r="E707" s="70" t="str">
        <f>IFERROR(__xludf.DUMMYFUNCTION("IFERROR(VLOOKUP(A707,IMPORTRANGE(""1QaxxyUjrDq2kgz300C1Bq1tacFk6e-xX218cSXCQUK0"",""Form Responses 1!B:C""),2,FALSE),)"),"")</f>
        <v/>
      </c>
      <c r="F707" s="70" t="str">
        <f>IFERROR(__xludf.DUMMYFUNCTION("IFERROR(VLOOKUP(A707,IMPORTRANGE(""1fn2ECph_y8Uz78DhjLaiXcwgt6kh3oe-0Le36Uw0noE"",""Form Responses 1!B:C""),2,FALSE),)"),"")</f>
        <v/>
      </c>
      <c r="G707" s="70"/>
      <c r="H707" s="70"/>
      <c r="I707" s="70"/>
      <c r="J707" s="70"/>
      <c r="K707" s="70"/>
      <c r="L707" s="70"/>
      <c r="M707" s="70"/>
      <c r="N707" s="70"/>
      <c r="O707" s="70"/>
      <c r="P707" s="70"/>
      <c r="Q707" s="70" t="str">
        <f>IFERROR(__xludf.DUMMYFUNCTION("IFERROR(IF(COUNTIF(IMPORTRANGE(""1WjiLR_MTMxI_IZUKuvPO4Sg2rTSIqBzP3edakSRXbOA"",""Form Responses 1!B:B""),F707)&gt;0,10,),0)"),"")</f>
        <v/>
      </c>
      <c r="R707" s="70" t="str">
        <f>IFERROR(__xludf.DUMMYFUNCTION("IFERROR(VLOOKUP(F707,IMPORTRANGE(""1Ixzbal5tEbtWhozsFEppQzOYE6ZSrkNXHg_HW5k3Wt4"",""Form Responses 1!B:C""),2,FALSE),)"),"")</f>
        <v/>
      </c>
      <c r="S707" s="70" t="str">
        <f>IFERROR(__xludf.DUMMYFUNCTION("IFERROR(VLOOKUP(F707,IMPORTRANGE(""1zxjtEKGvVIJPIDqZdnxENwVpPXYa88EihzyI44hcQUo"",""Form Responses 1!B:C""),2,FALSE),)"),"")</f>
        <v/>
      </c>
      <c r="T707" s="70" t="str">
        <f>IFERROR(__xludf.DUMMYFUNCTION("IFERROR(VLOOKUP(F707,IMPORTRANGE(""1H3cO01obd5zFULYqaT5NAqecZBFFIHeDFn4CeQLZF3w"",""Form Responses 1!B:C""),2,FALSE),)"),"")</f>
        <v/>
      </c>
      <c r="U707" s="70" t="str">
        <f>IFERROR(__xludf.DUMMYFUNCTION("IFERROR(IF(COUNTIF(IMPORTRANGE(""1IG9qoa6PeLdDDFzKpW39lxXshN0-M8Z25a_R1EpsYyg"",""Form Responses 1!B:B""),F707)&gt;0,10,),0)"),"")</f>
        <v/>
      </c>
      <c r="V707" s="70"/>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row>
    <row r="708">
      <c r="B708" s="70" t="str">
        <f>IFERROR(__xludf.DUMMYFUNCTION("IFERROR(IF(COUNTIF(IMPORTRANGE(""1RTcwEJsI_0aJRebhNwO_H_AoKl9r46k7hWYbtciIyM4"",""Form Responses 1!B:B""),A708)&gt;0,10,),0)"),"")</f>
        <v/>
      </c>
      <c r="C708" s="70" t="str">
        <f>IFERROR(__xludf.DUMMYFUNCTION("IFERROR(VLOOKUP(A708,IMPORTRANGE(""11i8IUhq_U6RRKRV3CBWIKqYed_fMvFgNUHTq1YDJfp8"",""Form Responses 1!B:C""),2,FALSE),)"),"")</f>
        <v/>
      </c>
      <c r="D708" s="70" t="str">
        <f>IFERROR(__xludf.DUMMYFUNCTION("IFERROR(VLOOKUP(A708,IMPORTRANGE(""1StiHxuxrFhYdrq5WLR2JMORicW0TbnJf3J-oTHeMRtM"",""Form Responses 1!B:C""),2,FALSE),)"),"")</f>
        <v/>
      </c>
      <c r="E708" s="70" t="str">
        <f>IFERROR(__xludf.DUMMYFUNCTION("IFERROR(VLOOKUP(A708,IMPORTRANGE(""1QaxxyUjrDq2kgz300C1Bq1tacFk6e-xX218cSXCQUK0"",""Form Responses 1!B:C""),2,FALSE),)"),"")</f>
        <v/>
      </c>
      <c r="F708" s="70" t="str">
        <f>IFERROR(__xludf.DUMMYFUNCTION("IFERROR(VLOOKUP(A708,IMPORTRANGE(""1fn2ECph_y8Uz78DhjLaiXcwgt6kh3oe-0Le36Uw0noE"",""Form Responses 1!B:C""),2,FALSE),)"),"")</f>
        <v/>
      </c>
      <c r="G708" s="70"/>
      <c r="H708" s="70"/>
      <c r="I708" s="70"/>
      <c r="J708" s="70"/>
      <c r="K708" s="70"/>
      <c r="L708" s="70"/>
      <c r="M708" s="70"/>
      <c r="N708" s="70"/>
      <c r="O708" s="70"/>
      <c r="P708" s="70"/>
      <c r="Q708" s="70" t="str">
        <f>IFERROR(__xludf.DUMMYFUNCTION("IFERROR(IF(COUNTIF(IMPORTRANGE(""1WjiLR_MTMxI_IZUKuvPO4Sg2rTSIqBzP3edakSRXbOA"",""Form Responses 1!B:B""),F708)&gt;0,10,),0)"),"")</f>
        <v/>
      </c>
      <c r="R708" s="70" t="str">
        <f>IFERROR(__xludf.DUMMYFUNCTION("IFERROR(VLOOKUP(F708,IMPORTRANGE(""1Ixzbal5tEbtWhozsFEppQzOYE6ZSrkNXHg_HW5k3Wt4"",""Form Responses 1!B:C""),2,FALSE),)"),"")</f>
        <v/>
      </c>
      <c r="S708" s="70" t="str">
        <f>IFERROR(__xludf.DUMMYFUNCTION("IFERROR(VLOOKUP(F708,IMPORTRANGE(""1zxjtEKGvVIJPIDqZdnxENwVpPXYa88EihzyI44hcQUo"",""Form Responses 1!B:C""),2,FALSE),)"),"")</f>
        <v/>
      </c>
      <c r="T708" s="70" t="str">
        <f>IFERROR(__xludf.DUMMYFUNCTION("IFERROR(VLOOKUP(F708,IMPORTRANGE(""1H3cO01obd5zFULYqaT5NAqecZBFFIHeDFn4CeQLZF3w"",""Form Responses 1!B:C""),2,FALSE),)"),"")</f>
        <v/>
      </c>
      <c r="U708" s="70" t="str">
        <f>IFERROR(__xludf.DUMMYFUNCTION("IFERROR(IF(COUNTIF(IMPORTRANGE(""1IG9qoa6PeLdDDFzKpW39lxXshN0-M8Z25a_R1EpsYyg"",""Form Responses 1!B:B""),F708)&gt;0,10,),0)"),"")</f>
        <v/>
      </c>
      <c r="V708" s="70"/>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row>
    <row r="709">
      <c r="B709" s="70" t="str">
        <f>IFERROR(__xludf.DUMMYFUNCTION("IFERROR(IF(COUNTIF(IMPORTRANGE(""1RTcwEJsI_0aJRebhNwO_H_AoKl9r46k7hWYbtciIyM4"",""Form Responses 1!B:B""),A709)&gt;0,10,),0)"),"")</f>
        <v/>
      </c>
      <c r="C709" s="70" t="str">
        <f>IFERROR(__xludf.DUMMYFUNCTION("IFERROR(VLOOKUP(A709,IMPORTRANGE(""11i8IUhq_U6RRKRV3CBWIKqYed_fMvFgNUHTq1YDJfp8"",""Form Responses 1!B:C""),2,FALSE),)"),"")</f>
        <v/>
      </c>
      <c r="D709" s="70" t="str">
        <f>IFERROR(__xludf.DUMMYFUNCTION("IFERROR(VLOOKUP(A709,IMPORTRANGE(""1StiHxuxrFhYdrq5WLR2JMORicW0TbnJf3J-oTHeMRtM"",""Form Responses 1!B:C""),2,FALSE),)"),"")</f>
        <v/>
      </c>
      <c r="E709" s="70" t="str">
        <f>IFERROR(__xludf.DUMMYFUNCTION("IFERROR(VLOOKUP(A709,IMPORTRANGE(""1QaxxyUjrDq2kgz300C1Bq1tacFk6e-xX218cSXCQUK0"",""Form Responses 1!B:C""),2,FALSE),)"),"")</f>
        <v/>
      </c>
      <c r="F709" s="70" t="str">
        <f>IFERROR(__xludf.DUMMYFUNCTION("IFERROR(VLOOKUP(A709,IMPORTRANGE(""1fn2ECph_y8Uz78DhjLaiXcwgt6kh3oe-0Le36Uw0noE"",""Form Responses 1!B:C""),2,FALSE),)"),"")</f>
        <v/>
      </c>
      <c r="G709" s="70"/>
      <c r="H709" s="70"/>
      <c r="I709" s="70"/>
      <c r="J709" s="70"/>
      <c r="K709" s="70"/>
      <c r="L709" s="70"/>
      <c r="M709" s="70"/>
      <c r="N709" s="70"/>
      <c r="O709" s="70"/>
      <c r="P709" s="70"/>
      <c r="Q709" s="70" t="str">
        <f>IFERROR(__xludf.DUMMYFUNCTION("IFERROR(IF(COUNTIF(IMPORTRANGE(""1WjiLR_MTMxI_IZUKuvPO4Sg2rTSIqBzP3edakSRXbOA"",""Form Responses 1!B:B""),F709)&gt;0,10,),0)"),"")</f>
        <v/>
      </c>
      <c r="R709" s="70" t="str">
        <f>IFERROR(__xludf.DUMMYFUNCTION("IFERROR(VLOOKUP(F709,IMPORTRANGE(""1Ixzbal5tEbtWhozsFEppQzOYE6ZSrkNXHg_HW5k3Wt4"",""Form Responses 1!B:C""),2,FALSE),)"),"")</f>
        <v/>
      </c>
      <c r="S709" s="70" t="str">
        <f>IFERROR(__xludf.DUMMYFUNCTION("IFERROR(VLOOKUP(F709,IMPORTRANGE(""1zxjtEKGvVIJPIDqZdnxENwVpPXYa88EihzyI44hcQUo"",""Form Responses 1!B:C""),2,FALSE),)"),"")</f>
        <v/>
      </c>
      <c r="T709" s="70" t="str">
        <f>IFERROR(__xludf.DUMMYFUNCTION("IFERROR(VLOOKUP(F709,IMPORTRANGE(""1H3cO01obd5zFULYqaT5NAqecZBFFIHeDFn4CeQLZF3w"",""Form Responses 1!B:C""),2,FALSE),)"),"")</f>
        <v/>
      </c>
      <c r="U709" s="70" t="str">
        <f>IFERROR(__xludf.DUMMYFUNCTION("IFERROR(IF(COUNTIF(IMPORTRANGE(""1IG9qoa6PeLdDDFzKpW39lxXshN0-M8Z25a_R1EpsYyg"",""Form Responses 1!B:B""),F709)&gt;0,10,),0)"),"")</f>
        <v/>
      </c>
      <c r="V709" s="70"/>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row>
    <row r="710">
      <c r="B710" s="70" t="str">
        <f>IFERROR(__xludf.DUMMYFUNCTION("IFERROR(IF(COUNTIF(IMPORTRANGE(""1RTcwEJsI_0aJRebhNwO_H_AoKl9r46k7hWYbtciIyM4"",""Form Responses 1!B:B""),A710)&gt;0,10,),0)"),"")</f>
        <v/>
      </c>
      <c r="C710" s="70" t="str">
        <f>IFERROR(__xludf.DUMMYFUNCTION("IFERROR(VLOOKUP(A710,IMPORTRANGE(""11i8IUhq_U6RRKRV3CBWIKqYed_fMvFgNUHTq1YDJfp8"",""Form Responses 1!B:C""),2,FALSE),)"),"")</f>
        <v/>
      </c>
      <c r="D710" s="70" t="str">
        <f>IFERROR(__xludf.DUMMYFUNCTION("IFERROR(VLOOKUP(A710,IMPORTRANGE(""1StiHxuxrFhYdrq5WLR2JMORicW0TbnJf3J-oTHeMRtM"",""Form Responses 1!B:C""),2,FALSE),)"),"")</f>
        <v/>
      </c>
      <c r="E710" s="70" t="str">
        <f>IFERROR(__xludf.DUMMYFUNCTION("IFERROR(VLOOKUP(A710,IMPORTRANGE(""1QaxxyUjrDq2kgz300C1Bq1tacFk6e-xX218cSXCQUK0"",""Form Responses 1!B:C""),2,FALSE),)"),"")</f>
        <v/>
      </c>
      <c r="F710" s="70" t="str">
        <f>IFERROR(__xludf.DUMMYFUNCTION("IFERROR(VLOOKUP(A710,IMPORTRANGE(""1fn2ECph_y8Uz78DhjLaiXcwgt6kh3oe-0Le36Uw0noE"",""Form Responses 1!B:C""),2,FALSE),)"),"")</f>
        <v/>
      </c>
      <c r="G710" s="70"/>
      <c r="H710" s="70"/>
      <c r="I710" s="70"/>
      <c r="J710" s="70"/>
      <c r="K710" s="70"/>
      <c r="L710" s="70"/>
      <c r="M710" s="70"/>
      <c r="N710" s="70"/>
      <c r="O710" s="70"/>
      <c r="P710" s="70"/>
      <c r="Q710" s="70" t="str">
        <f>IFERROR(__xludf.DUMMYFUNCTION("IFERROR(IF(COUNTIF(IMPORTRANGE(""1WjiLR_MTMxI_IZUKuvPO4Sg2rTSIqBzP3edakSRXbOA"",""Form Responses 1!B:B""),F710)&gt;0,10,),0)"),"")</f>
        <v/>
      </c>
      <c r="R710" s="70" t="str">
        <f>IFERROR(__xludf.DUMMYFUNCTION("IFERROR(VLOOKUP(F710,IMPORTRANGE(""1Ixzbal5tEbtWhozsFEppQzOYE6ZSrkNXHg_HW5k3Wt4"",""Form Responses 1!B:C""),2,FALSE),)"),"")</f>
        <v/>
      </c>
      <c r="S710" s="70" t="str">
        <f>IFERROR(__xludf.DUMMYFUNCTION("IFERROR(VLOOKUP(F710,IMPORTRANGE(""1zxjtEKGvVIJPIDqZdnxENwVpPXYa88EihzyI44hcQUo"",""Form Responses 1!B:C""),2,FALSE),)"),"")</f>
        <v/>
      </c>
      <c r="T710" s="70" t="str">
        <f>IFERROR(__xludf.DUMMYFUNCTION("IFERROR(VLOOKUP(F710,IMPORTRANGE(""1H3cO01obd5zFULYqaT5NAqecZBFFIHeDFn4CeQLZF3w"",""Form Responses 1!B:C""),2,FALSE),)"),"")</f>
        <v/>
      </c>
      <c r="U710" s="70" t="str">
        <f>IFERROR(__xludf.DUMMYFUNCTION("IFERROR(IF(COUNTIF(IMPORTRANGE(""1IG9qoa6PeLdDDFzKpW39lxXshN0-M8Z25a_R1EpsYyg"",""Form Responses 1!B:B""),F710)&gt;0,10,),0)"),"")</f>
        <v/>
      </c>
      <c r="V710" s="70"/>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row>
    <row r="711">
      <c r="B711" s="70" t="str">
        <f>IFERROR(__xludf.DUMMYFUNCTION("IFERROR(IF(COUNTIF(IMPORTRANGE(""1RTcwEJsI_0aJRebhNwO_H_AoKl9r46k7hWYbtciIyM4"",""Form Responses 1!B:B""),A711)&gt;0,10,),0)"),"")</f>
        <v/>
      </c>
      <c r="C711" s="70" t="str">
        <f>IFERROR(__xludf.DUMMYFUNCTION("IFERROR(VLOOKUP(A711,IMPORTRANGE(""11i8IUhq_U6RRKRV3CBWIKqYed_fMvFgNUHTq1YDJfp8"",""Form Responses 1!B:C""),2,FALSE),)"),"")</f>
        <v/>
      </c>
      <c r="D711" s="70" t="str">
        <f>IFERROR(__xludf.DUMMYFUNCTION("IFERROR(VLOOKUP(A711,IMPORTRANGE(""1StiHxuxrFhYdrq5WLR2JMORicW0TbnJf3J-oTHeMRtM"",""Form Responses 1!B:C""),2,FALSE),)"),"")</f>
        <v/>
      </c>
      <c r="E711" s="70" t="str">
        <f>IFERROR(__xludf.DUMMYFUNCTION("IFERROR(VLOOKUP(A711,IMPORTRANGE(""1QaxxyUjrDq2kgz300C1Bq1tacFk6e-xX218cSXCQUK0"",""Form Responses 1!B:C""),2,FALSE),)"),"")</f>
        <v/>
      </c>
      <c r="F711" s="70" t="str">
        <f>IFERROR(__xludf.DUMMYFUNCTION("IFERROR(VLOOKUP(A711,IMPORTRANGE(""1fn2ECph_y8Uz78DhjLaiXcwgt6kh3oe-0Le36Uw0noE"",""Form Responses 1!B:C""),2,FALSE),)"),"")</f>
        <v/>
      </c>
      <c r="G711" s="70"/>
      <c r="H711" s="70"/>
      <c r="I711" s="70"/>
      <c r="J711" s="70"/>
      <c r="K711" s="70"/>
      <c r="L711" s="70"/>
      <c r="M711" s="70"/>
      <c r="N711" s="70"/>
      <c r="O711" s="70"/>
      <c r="P711" s="70"/>
      <c r="Q711" s="70" t="str">
        <f>IFERROR(__xludf.DUMMYFUNCTION("IFERROR(IF(COUNTIF(IMPORTRANGE(""1WjiLR_MTMxI_IZUKuvPO4Sg2rTSIqBzP3edakSRXbOA"",""Form Responses 1!B:B""),F711)&gt;0,10,),0)"),"")</f>
        <v/>
      </c>
      <c r="R711" s="70" t="str">
        <f>IFERROR(__xludf.DUMMYFUNCTION("IFERROR(VLOOKUP(F711,IMPORTRANGE(""1Ixzbal5tEbtWhozsFEppQzOYE6ZSrkNXHg_HW5k3Wt4"",""Form Responses 1!B:C""),2,FALSE),)"),"")</f>
        <v/>
      </c>
      <c r="S711" s="70" t="str">
        <f>IFERROR(__xludf.DUMMYFUNCTION("IFERROR(VLOOKUP(F711,IMPORTRANGE(""1zxjtEKGvVIJPIDqZdnxENwVpPXYa88EihzyI44hcQUo"",""Form Responses 1!B:C""),2,FALSE),)"),"")</f>
        <v/>
      </c>
      <c r="T711" s="70" t="str">
        <f>IFERROR(__xludf.DUMMYFUNCTION("IFERROR(VLOOKUP(F711,IMPORTRANGE(""1H3cO01obd5zFULYqaT5NAqecZBFFIHeDFn4CeQLZF3w"",""Form Responses 1!B:C""),2,FALSE),)"),"")</f>
        <v/>
      </c>
      <c r="U711" s="70" t="str">
        <f>IFERROR(__xludf.DUMMYFUNCTION("IFERROR(IF(COUNTIF(IMPORTRANGE(""1IG9qoa6PeLdDDFzKpW39lxXshN0-M8Z25a_R1EpsYyg"",""Form Responses 1!B:B""),F711)&gt;0,10,),0)"),"")</f>
        <v/>
      </c>
      <c r="V711" s="70"/>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row>
    <row r="712">
      <c r="B712" s="70" t="str">
        <f>IFERROR(__xludf.DUMMYFUNCTION("IFERROR(IF(COUNTIF(IMPORTRANGE(""1RTcwEJsI_0aJRebhNwO_H_AoKl9r46k7hWYbtciIyM4"",""Form Responses 1!B:B""),A712)&gt;0,10,),0)"),"")</f>
        <v/>
      </c>
      <c r="C712" s="70" t="str">
        <f>IFERROR(__xludf.DUMMYFUNCTION("IFERROR(VLOOKUP(A712,IMPORTRANGE(""11i8IUhq_U6RRKRV3CBWIKqYed_fMvFgNUHTq1YDJfp8"",""Form Responses 1!B:C""),2,FALSE),)"),"")</f>
        <v/>
      </c>
      <c r="D712" s="70" t="str">
        <f>IFERROR(__xludf.DUMMYFUNCTION("IFERROR(VLOOKUP(A712,IMPORTRANGE(""1StiHxuxrFhYdrq5WLR2JMORicW0TbnJf3J-oTHeMRtM"",""Form Responses 1!B:C""),2,FALSE),)"),"")</f>
        <v/>
      </c>
      <c r="E712" s="70" t="str">
        <f>IFERROR(__xludf.DUMMYFUNCTION("IFERROR(VLOOKUP(A712,IMPORTRANGE(""1QaxxyUjrDq2kgz300C1Bq1tacFk6e-xX218cSXCQUK0"",""Form Responses 1!B:C""),2,FALSE),)"),"")</f>
        <v/>
      </c>
      <c r="F712" s="70" t="str">
        <f>IFERROR(__xludf.DUMMYFUNCTION("IFERROR(VLOOKUP(A712,IMPORTRANGE(""1fn2ECph_y8Uz78DhjLaiXcwgt6kh3oe-0Le36Uw0noE"",""Form Responses 1!B:C""),2,FALSE),)"),"")</f>
        <v/>
      </c>
      <c r="G712" s="70"/>
      <c r="H712" s="70"/>
      <c r="I712" s="70"/>
      <c r="J712" s="70"/>
      <c r="K712" s="70"/>
      <c r="L712" s="70"/>
      <c r="M712" s="70"/>
      <c r="N712" s="70"/>
      <c r="O712" s="70"/>
      <c r="P712" s="70"/>
      <c r="Q712" s="70" t="str">
        <f>IFERROR(__xludf.DUMMYFUNCTION("IFERROR(IF(COUNTIF(IMPORTRANGE(""1WjiLR_MTMxI_IZUKuvPO4Sg2rTSIqBzP3edakSRXbOA"",""Form Responses 1!B:B""),F712)&gt;0,10,),0)"),"")</f>
        <v/>
      </c>
      <c r="R712" s="70" t="str">
        <f>IFERROR(__xludf.DUMMYFUNCTION("IFERROR(VLOOKUP(F712,IMPORTRANGE(""1Ixzbal5tEbtWhozsFEppQzOYE6ZSrkNXHg_HW5k3Wt4"",""Form Responses 1!B:C""),2,FALSE),)"),"")</f>
        <v/>
      </c>
      <c r="S712" s="70" t="str">
        <f>IFERROR(__xludf.DUMMYFUNCTION("IFERROR(VLOOKUP(F712,IMPORTRANGE(""1zxjtEKGvVIJPIDqZdnxENwVpPXYa88EihzyI44hcQUo"",""Form Responses 1!B:C""),2,FALSE),)"),"")</f>
        <v/>
      </c>
      <c r="T712" s="70" t="str">
        <f>IFERROR(__xludf.DUMMYFUNCTION("IFERROR(VLOOKUP(F712,IMPORTRANGE(""1H3cO01obd5zFULYqaT5NAqecZBFFIHeDFn4CeQLZF3w"",""Form Responses 1!B:C""),2,FALSE),)"),"")</f>
        <v/>
      </c>
      <c r="U712" s="70" t="str">
        <f>IFERROR(__xludf.DUMMYFUNCTION("IFERROR(IF(COUNTIF(IMPORTRANGE(""1IG9qoa6PeLdDDFzKpW39lxXshN0-M8Z25a_R1EpsYyg"",""Form Responses 1!B:B""),F712)&gt;0,10,),0)"),"")</f>
        <v/>
      </c>
      <c r="V712" s="70"/>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row>
    <row r="713">
      <c r="B713" s="70" t="str">
        <f>IFERROR(__xludf.DUMMYFUNCTION("IFERROR(IF(COUNTIF(IMPORTRANGE(""1RTcwEJsI_0aJRebhNwO_H_AoKl9r46k7hWYbtciIyM4"",""Form Responses 1!B:B""),A713)&gt;0,10,),0)"),"")</f>
        <v/>
      </c>
      <c r="C713" s="70" t="str">
        <f>IFERROR(__xludf.DUMMYFUNCTION("IFERROR(VLOOKUP(A713,IMPORTRANGE(""11i8IUhq_U6RRKRV3CBWIKqYed_fMvFgNUHTq1YDJfp8"",""Form Responses 1!B:C""),2,FALSE),)"),"")</f>
        <v/>
      </c>
      <c r="D713" s="70" t="str">
        <f>IFERROR(__xludf.DUMMYFUNCTION("IFERROR(VLOOKUP(A713,IMPORTRANGE(""1StiHxuxrFhYdrq5WLR2JMORicW0TbnJf3J-oTHeMRtM"",""Form Responses 1!B:C""),2,FALSE),)"),"")</f>
        <v/>
      </c>
      <c r="E713" s="70" t="str">
        <f>IFERROR(__xludf.DUMMYFUNCTION("IFERROR(VLOOKUP(A713,IMPORTRANGE(""1QaxxyUjrDq2kgz300C1Bq1tacFk6e-xX218cSXCQUK0"",""Form Responses 1!B:C""),2,FALSE),)"),"")</f>
        <v/>
      </c>
      <c r="F713" s="70" t="str">
        <f>IFERROR(__xludf.DUMMYFUNCTION("IFERROR(VLOOKUP(A713,IMPORTRANGE(""1fn2ECph_y8Uz78DhjLaiXcwgt6kh3oe-0Le36Uw0noE"",""Form Responses 1!B:C""),2,FALSE),)"),"")</f>
        <v/>
      </c>
      <c r="G713" s="70"/>
      <c r="H713" s="70"/>
      <c r="I713" s="70"/>
      <c r="J713" s="70"/>
      <c r="K713" s="70"/>
      <c r="L713" s="70"/>
      <c r="M713" s="70"/>
      <c r="N713" s="70"/>
      <c r="O713" s="70"/>
      <c r="P713" s="70"/>
      <c r="Q713" s="70" t="str">
        <f>IFERROR(__xludf.DUMMYFUNCTION("IFERROR(IF(COUNTIF(IMPORTRANGE(""1WjiLR_MTMxI_IZUKuvPO4Sg2rTSIqBzP3edakSRXbOA"",""Form Responses 1!B:B""),F713)&gt;0,10,),0)"),"")</f>
        <v/>
      </c>
      <c r="R713" s="70" t="str">
        <f>IFERROR(__xludf.DUMMYFUNCTION("IFERROR(VLOOKUP(F713,IMPORTRANGE(""1Ixzbal5tEbtWhozsFEppQzOYE6ZSrkNXHg_HW5k3Wt4"",""Form Responses 1!B:C""),2,FALSE),)"),"")</f>
        <v/>
      </c>
      <c r="S713" s="70" t="str">
        <f>IFERROR(__xludf.DUMMYFUNCTION("IFERROR(VLOOKUP(F713,IMPORTRANGE(""1zxjtEKGvVIJPIDqZdnxENwVpPXYa88EihzyI44hcQUo"",""Form Responses 1!B:C""),2,FALSE),)"),"")</f>
        <v/>
      </c>
      <c r="T713" s="70" t="str">
        <f>IFERROR(__xludf.DUMMYFUNCTION("IFERROR(VLOOKUP(F713,IMPORTRANGE(""1H3cO01obd5zFULYqaT5NAqecZBFFIHeDFn4CeQLZF3w"",""Form Responses 1!B:C""),2,FALSE),)"),"")</f>
        <v/>
      </c>
      <c r="U713" s="70" t="str">
        <f>IFERROR(__xludf.DUMMYFUNCTION("IFERROR(IF(COUNTIF(IMPORTRANGE(""1IG9qoa6PeLdDDFzKpW39lxXshN0-M8Z25a_R1EpsYyg"",""Form Responses 1!B:B""),F713)&gt;0,10,),0)"),"")</f>
        <v/>
      </c>
      <c r="V713" s="70"/>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row>
    <row r="714">
      <c r="B714" s="70" t="str">
        <f>IFERROR(__xludf.DUMMYFUNCTION("IFERROR(IF(COUNTIF(IMPORTRANGE(""1RTcwEJsI_0aJRebhNwO_H_AoKl9r46k7hWYbtciIyM4"",""Form Responses 1!B:B""),A714)&gt;0,10,),0)"),"")</f>
        <v/>
      </c>
      <c r="C714" s="70" t="str">
        <f>IFERROR(__xludf.DUMMYFUNCTION("IFERROR(VLOOKUP(A714,IMPORTRANGE(""11i8IUhq_U6RRKRV3CBWIKqYed_fMvFgNUHTq1YDJfp8"",""Form Responses 1!B:C""),2,FALSE),)"),"")</f>
        <v/>
      </c>
      <c r="D714" s="70" t="str">
        <f>IFERROR(__xludf.DUMMYFUNCTION("IFERROR(VLOOKUP(A714,IMPORTRANGE(""1StiHxuxrFhYdrq5WLR2JMORicW0TbnJf3J-oTHeMRtM"",""Form Responses 1!B:C""),2,FALSE),)"),"")</f>
        <v/>
      </c>
      <c r="E714" s="70" t="str">
        <f>IFERROR(__xludf.DUMMYFUNCTION("IFERROR(VLOOKUP(A714,IMPORTRANGE(""1QaxxyUjrDq2kgz300C1Bq1tacFk6e-xX218cSXCQUK0"",""Form Responses 1!B:C""),2,FALSE),)"),"")</f>
        <v/>
      </c>
      <c r="F714" s="70" t="str">
        <f>IFERROR(__xludf.DUMMYFUNCTION("IFERROR(VLOOKUP(A714,IMPORTRANGE(""1fn2ECph_y8Uz78DhjLaiXcwgt6kh3oe-0Le36Uw0noE"",""Form Responses 1!B:C""),2,FALSE),)"),"")</f>
        <v/>
      </c>
      <c r="G714" s="70"/>
      <c r="H714" s="70"/>
      <c r="I714" s="70"/>
      <c r="J714" s="70"/>
      <c r="K714" s="70"/>
      <c r="L714" s="70"/>
      <c r="M714" s="70"/>
      <c r="N714" s="70"/>
      <c r="O714" s="70"/>
      <c r="P714" s="70"/>
      <c r="Q714" s="70" t="str">
        <f>IFERROR(__xludf.DUMMYFUNCTION("IFERROR(IF(COUNTIF(IMPORTRANGE(""1WjiLR_MTMxI_IZUKuvPO4Sg2rTSIqBzP3edakSRXbOA"",""Form Responses 1!B:B""),F714)&gt;0,10,),0)"),"")</f>
        <v/>
      </c>
      <c r="R714" s="70" t="str">
        <f>IFERROR(__xludf.DUMMYFUNCTION("IFERROR(VLOOKUP(F714,IMPORTRANGE(""1Ixzbal5tEbtWhozsFEppQzOYE6ZSrkNXHg_HW5k3Wt4"",""Form Responses 1!B:C""),2,FALSE),)"),"")</f>
        <v/>
      </c>
      <c r="S714" s="70" t="str">
        <f>IFERROR(__xludf.DUMMYFUNCTION("IFERROR(VLOOKUP(F714,IMPORTRANGE(""1zxjtEKGvVIJPIDqZdnxENwVpPXYa88EihzyI44hcQUo"",""Form Responses 1!B:C""),2,FALSE),)"),"")</f>
        <v/>
      </c>
      <c r="T714" s="70" t="str">
        <f>IFERROR(__xludf.DUMMYFUNCTION("IFERROR(VLOOKUP(F714,IMPORTRANGE(""1H3cO01obd5zFULYqaT5NAqecZBFFIHeDFn4CeQLZF3w"",""Form Responses 1!B:C""),2,FALSE),)"),"")</f>
        <v/>
      </c>
      <c r="U714" s="70" t="str">
        <f>IFERROR(__xludf.DUMMYFUNCTION("IFERROR(IF(COUNTIF(IMPORTRANGE(""1IG9qoa6PeLdDDFzKpW39lxXshN0-M8Z25a_R1EpsYyg"",""Form Responses 1!B:B""),F714)&gt;0,10,),0)"),"")</f>
        <v/>
      </c>
      <c r="V714" s="70"/>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row>
    <row r="715">
      <c r="B715" s="70" t="str">
        <f>IFERROR(__xludf.DUMMYFUNCTION("IFERROR(IF(COUNTIF(IMPORTRANGE(""1RTcwEJsI_0aJRebhNwO_H_AoKl9r46k7hWYbtciIyM4"",""Form Responses 1!B:B""),A715)&gt;0,10,),0)"),"")</f>
        <v/>
      </c>
      <c r="C715" s="70" t="str">
        <f>IFERROR(__xludf.DUMMYFUNCTION("IFERROR(VLOOKUP(A715,IMPORTRANGE(""11i8IUhq_U6RRKRV3CBWIKqYed_fMvFgNUHTq1YDJfp8"",""Form Responses 1!B:C""),2,FALSE),)"),"")</f>
        <v/>
      </c>
      <c r="D715" s="70" t="str">
        <f>IFERROR(__xludf.DUMMYFUNCTION("IFERROR(VLOOKUP(A715,IMPORTRANGE(""1StiHxuxrFhYdrq5WLR2JMORicW0TbnJf3J-oTHeMRtM"",""Form Responses 1!B:C""),2,FALSE),)"),"")</f>
        <v/>
      </c>
      <c r="E715" s="70" t="str">
        <f>IFERROR(__xludf.DUMMYFUNCTION("IFERROR(VLOOKUP(A715,IMPORTRANGE(""1QaxxyUjrDq2kgz300C1Bq1tacFk6e-xX218cSXCQUK0"",""Form Responses 1!B:C""),2,FALSE),)"),"")</f>
        <v/>
      </c>
      <c r="F715" s="70" t="str">
        <f>IFERROR(__xludf.DUMMYFUNCTION("IFERROR(VLOOKUP(A715,IMPORTRANGE(""1fn2ECph_y8Uz78DhjLaiXcwgt6kh3oe-0Le36Uw0noE"",""Form Responses 1!B:C""),2,FALSE),)"),"")</f>
        <v/>
      </c>
      <c r="G715" s="70"/>
      <c r="H715" s="70"/>
      <c r="I715" s="70"/>
      <c r="J715" s="70"/>
      <c r="K715" s="70"/>
      <c r="L715" s="70"/>
      <c r="M715" s="70"/>
      <c r="N715" s="70"/>
      <c r="O715" s="70"/>
      <c r="P715" s="70"/>
      <c r="Q715" s="70" t="str">
        <f>IFERROR(__xludf.DUMMYFUNCTION("IFERROR(IF(COUNTIF(IMPORTRANGE(""1WjiLR_MTMxI_IZUKuvPO4Sg2rTSIqBzP3edakSRXbOA"",""Form Responses 1!B:B""),F715)&gt;0,10,),0)"),"")</f>
        <v/>
      </c>
      <c r="R715" s="70" t="str">
        <f>IFERROR(__xludf.DUMMYFUNCTION("IFERROR(VLOOKUP(F715,IMPORTRANGE(""1Ixzbal5tEbtWhozsFEppQzOYE6ZSrkNXHg_HW5k3Wt4"",""Form Responses 1!B:C""),2,FALSE),)"),"")</f>
        <v/>
      </c>
      <c r="S715" s="70" t="str">
        <f>IFERROR(__xludf.DUMMYFUNCTION("IFERROR(VLOOKUP(F715,IMPORTRANGE(""1zxjtEKGvVIJPIDqZdnxENwVpPXYa88EihzyI44hcQUo"",""Form Responses 1!B:C""),2,FALSE),)"),"")</f>
        <v/>
      </c>
      <c r="T715" s="70" t="str">
        <f>IFERROR(__xludf.DUMMYFUNCTION("IFERROR(VLOOKUP(F715,IMPORTRANGE(""1H3cO01obd5zFULYqaT5NAqecZBFFIHeDFn4CeQLZF3w"",""Form Responses 1!B:C""),2,FALSE),)"),"")</f>
        <v/>
      </c>
      <c r="U715" s="70" t="str">
        <f>IFERROR(__xludf.DUMMYFUNCTION("IFERROR(IF(COUNTIF(IMPORTRANGE(""1IG9qoa6PeLdDDFzKpW39lxXshN0-M8Z25a_R1EpsYyg"",""Form Responses 1!B:B""),F715)&gt;0,10,),0)"),"")</f>
        <v/>
      </c>
      <c r="V715" s="70"/>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row>
    <row r="716">
      <c r="B716" s="70" t="str">
        <f>IFERROR(__xludf.DUMMYFUNCTION("IFERROR(IF(COUNTIF(IMPORTRANGE(""1RTcwEJsI_0aJRebhNwO_H_AoKl9r46k7hWYbtciIyM4"",""Form Responses 1!B:B""),A716)&gt;0,10,),0)"),"")</f>
        <v/>
      </c>
      <c r="C716" s="70" t="str">
        <f>IFERROR(__xludf.DUMMYFUNCTION("IFERROR(VLOOKUP(A716,IMPORTRANGE(""11i8IUhq_U6RRKRV3CBWIKqYed_fMvFgNUHTq1YDJfp8"",""Form Responses 1!B:C""),2,FALSE),)"),"")</f>
        <v/>
      </c>
      <c r="D716" s="70" t="str">
        <f>IFERROR(__xludf.DUMMYFUNCTION("IFERROR(VLOOKUP(A716,IMPORTRANGE(""1StiHxuxrFhYdrq5WLR2JMORicW0TbnJf3J-oTHeMRtM"",""Form Responses 1!B:C""),2,FALSE),)"),"")</f>
        <v/>
      </c>
      <c r="E716" s="70" t="str">
        <f>IFERROR(__xludf.DUMMYFUNCTION("IFERROR(VLOOKUP(A716,IMPORTRANGE(""1QaxxyUjrDq2kgz300C1Bq1tacFk6e-xX218cSXCQUK0"",""Form Responses 1!B:C""),2,FALSE),)"),"")</f>
        <v/>
      </c>
      <c r="F716" s="70" t="str">
        <f>IFERROR(__xludf.DUMMYFUNCTION("IFERROR(VLOOKUP(A716,IMPORTRANGE(""1fn2ECph_y8Uz78DhjLaiXcwgt6kh3oe-0Le36Uw0noE"",""Form Responses 1!B:C""),2,FALSE),)"),"")</f>
        <v/>
      </c>
      <c r="G716" s="70"/>
      <c r="H716" s="70"/>
      <c r="I716" s="70"/>
      <c r="J716" s="70"/>
      <c r="K716" s="70"/>
      <c r="L716" s="70"/>
      <c r="M716" s="70"/>
      <c r="N716" s="70"/>
      <c r="O716" s="70"/>
      <c r="P716" s="70"/>
      <c r="Q716" s="70" t="str">
        <f>IFERROR(__xludf.DUMMYFUNCTION("IFERROR(IF(COUNTIF(IMPORTRANGE(""1WjiLR_MTMxI_IZUKuvPO4Sg2rTSIqBzP3edakSRXbOA"",""Form Responses 1!B:B""),F716)&gt;0,10,),0)"),"")</f>
        <v/>
      </c>
      <c r="R716" s="70" t="str">
        <f>IFERROR(__xludf.DUMMYFUNCTION("IFERROR(VLOOKUP(F716,IMPORTRANGE(""1Ixzbal5tEbtWhozsFEppQzOYE6ZSrkNXHg_HW5k3Wt4"",""Form Responses 1!B:C""),2,FALSE),)"),"")</f>
        <v/>
      </c>
      <c r="S716" s="70" t="str">
        <f>IFERROR(__xludf.DUMMYFUNCTION("IFERROR(VLOOKUP(F716,IMPORTRANGE(""1zxjtEKGvVIJPIDqZdnxENwVpPXYa88EihzyI44hcQUo"",""Form Responses 1!B:C""),2,FALSE),)"),"")</f>
        <v/>
      </c>
      <c r="T716" s="70" t="str">
        <f>IFERROR(__xludf.DUMMYFUNCTION("IFERROR(VLOOKUP(F716,IMPORTRANGE(""1H3cO01obd5zFULYqaT5NAqecZBFFIHeDFn4CeQLZF3w"",""Form Responses 1!B:C""),2,FALSE),)"),"")</f>
        <v/>
      </c>
      <c r="U716" s="70" t="str">
        <f>IFERROR(__xludf.DUMMYFUNCTION("IFERROR(IF(COUNTIF(IMPORTRANGE(""1IG9qoa6PeLdDDFzKpW39lxXshN0-M8Z25a_R1EpsYyg"",""Form Responses 1!B:B""),F716)&gt;0,10,),0)"),"")</f>
        <v/>
      </c>
      <c r="V716" s="70"/>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row>
    <row r="717">
      <c r="B717" s="70" t="str">
        <f>IFERROR(__xludf.DUMMYFUNCTION("IFERROR(IF(COUNTIF(IMPORTRANGE(""1RTcwEJsI_0aJRebhNwO_H_AoKl9r46k7hWYbtciIyM4"",""Form Responses 1!B:B""),A717)&gt;0,10,),0)"),"")</f>
        <v/>
      </c>
      <c r="C717" s="70" t="str">
        <f>IFERROR(__xludf.DUMMYFUNCTION("IFERROR(VLOOKUP(A717,IMPORTRANGE(""11i8IUhq_U6RRKRV3CBWIKqYed_fMvFgNUHTq1YDJfp8"",""Form Responses 1!B:C""),2,FALSE),)"),"")</f>
        <v/>
      </c>
      <c r="D717" s="70" t="str">
        <f>IFERROR(__xludf.DUMMYFUNCTION("IFERROR(VLOOKUP(A717,IMPORTRANGE(""1StiHxuxrFhYdrq5WLR2JMORicW0TbnJf3J-oTHeMRtM"",""Form Responses 1!B:C""),2,FALSE),)"),"")</f>
        <v/>
      </c>
      <c r="E717" s="70" t="str">
        <f>IFERROR(__xludf.DUMMYFUNCTION("IFERROR(VLOOKUP(A717,IMPORTRANGE(""1QaxxyUjrDq2kgz300C1Bq1tacFk6e-xX218cSXCQUK0"",""Form Responses 1!B:C""),2,FALSE),)"),"")</f>
        <v/>
      </c>
      <c r="F717" s="70" t="str">
        <f>IFERROR(__xludf.DUMMYFUNCTION("IFERROR(VLOOKUP(A717,IMPORTRANGE(""1fn2ECph_y8Uz78DhjLaiXcwgt6kh3oe-0Le36Uw0noE"",""Form Responses 1!B:C""),2,FALSE),)"),"")</f>
        <v/>
      </c>
      <c r="G717" s="70"/>
      <c r="H717" s="70"/>
      <c r="I717" s="70"/>
      <c r="J717" s="70"/>
      <c r="K717" s="70"/>
      <c r="L717" s="70"/>
      <c r="M717" s="70"/>
      <c r="N717" s="70"/>
      <c r="O717" s="70"/>
      <c r="P717" s="70"/>
      <c r="Q717" s="70" t="str">
        <f>IFERROR(__xludf.DUMMYFUNCTION("IFERROR(IF(COUNTIF(IMPORTRANGE(""1WjiLR_MTMxI_IZUKuvPO4Sg2rTSIqBzP3edakSRXbOA"",""Form Responses 1!B:B""),F717)&gt;0,10,),0)"),"")</f>
        <v/>
      </c>
      <c r="R717" s="70" t="str">
        <f>IFERROR(__xludf.DUMMYFUNCTION("IFERROR(VLOOKUP(F717,IMPORTRANGE(""1Ixzbal5tEbtWhozsFEppQzOYE6ZSrkNXHg_HW5k3Wt4"",""Form Responses 1!B:C""),2,FALSE),)"),"")</f>
        <v/>
      </c>
      <c r="S717" s="70" t="str">
        <f>IFERROR(__xludf.DUMMYFUNCTION("IFERROR(VLOOKUP(F717,IMPORTRANGE(""1zxjtEKGvVIJPIDqZdnxENwVpPXYa88EihzyI44hcQUo"",""Form Responses 1!B:C""),2,FALSE),)"),"")</f>
        <v/>
      </c>
      <c r="T717" s="70" t="str">
        <f>IFERROR(__xludf.DUMMYFUNCTION("IFERROR(VLOOKUP(F717,IMPORTRANGE(""1H3cO01obd5zFULYqaT5NAqecZBFFIHeDFn4CeQLZF3w"",""Form Responses 1!B:C""),2,FALSE),)"),"")</f>
        <v/>
      </c>
      <c r="U717" s="70" t="str">
        <f>IFERROR(__xludf.DUMMYFUNCTION("IFERROR(IF(COUNTIF(IMPORTRANGE(""1IG9qoa6PeLdDDFzKpW39lxXshN0-M8Z25a_R1EpsYyg"",""Form Responses 1!B:B""),F717)&gt;0,10,),0)"),"")</f>
        <v/>
      </c>
      <c r="V717" s="70"/>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row>
    <row r="718">
      <c r="B718" s="70" t="str">
        <f>IFERROR(__xludf.DUMMYFUNCTION("IFERROR(IF(COUNTIF(IMPORTRANGE(""1RTcwEJsI_0aJRebhNwO_H_AoKl9r46k7hWYbtciIyM4"",""Form Responses 1!B:B""),A718)&gt;0,10,),0)"),"")</f>
        <v/>
      </c>
      <c r="C718" s="70" t="str">
        <f>IFERROR(__xludf.DUMMYFUNCTION("IFERROR(VLOOKUP(A718,IMPORTRANGE(""11i8IUhq_U6RRKRV3CBWIKqYed_fMvFgNUHTq1YDJfp8"",""Form Responses 1!B:C""),2,FALSE),)"),"")</f>
        <v/>
      </c>
      <c r="D718" s="70" t="str">
        <f>IFERROR(__xludf.DUMMYFUNCTION("IFERROR(VLOOKUP(A718,IMPORTRANGE(""1StiHxuxrFhYdrq5WLR2JMORicW0TbnJf3J-oTHeMRtM"",""Form Responses 1!B:C""),2,FALSE),)"),"")</f>
        <v/>
      </c>
      <c r="E718" s="70" t="str">
        <f>IFERROR(__xludf.DUMMYFUNCTION("IFERROR(VLOOKUP(A718,IMPORTRANGE(""1QaxxyUjrDq2kgz300C1Bq1tacFk6e-xX218cSXCQUK0"",""Form Responses 1!B:C""),2,FALSE),)"),"")</f>
        <v/>
      </c>
      <c r="F718" s="70" t="str">
        <f>IFERROR(__xludf.DUMMYFUNCTION("IFERROR(VLOOKUP(A718,IMPORTRANGE(""1fn2ECph_y8Uz78DhjLaiXcwgt6kh3oe-0Le36Uw0noE"",""Form Responses 1!B:C""),2,FALSE),)"),"")</f>
        <v/>
      </c>
      <c r="G718" s="70"/>
      <c r="H718" s="70"/>
      <c r="I718" s="70"/>
      <c r="J718" s="70"/>
      <c r="K718" s="70"/>
      <c r="L718" s="70"/>
      <c r="M718" s="70"/>
      <c r="N718" s="70"/>
      <c r="O718" s="70"/>
      <c r="P718" s="70"/>
      <c r="Q718" s="70" t="str">
        <f>IFERROR(__xludf.DUMMYFUNCTION("IFERROR(IF(COUNTIF(IMPORTRANGE(""1WjiLR_MTMxI_IZUKuvPO4Sg2rTSIqBzP3edakSRXbOA"",""Form Responses 1!B:B""),F718)&gt;0,10,),0)"),"")</f>
        <v/>
      </c>
      <c r="R718" s="70" t="str">
        <f>IFERROR(__xludf.DUMMYFUNCTION("IFERROR(VLOOKUP(F718,IMPORTRANGE(""1Ixzbal5tEbtWhozsFEppQzOYE6ZSrkNXHg_HW5k3Wt4"",""Form Responses 1!B:C""),2,FALSE),)"),"")</f>
        <v/>
      </c>
      <c r="S718" s="70" t="str">
        <f>IFERROR(__xludf.DUMMYFUNCTION("IFERROR(VLOOKUP(F718,IMPORTRANGE(""1zxjtEKGvVIJPIDqZdnxENwVpPXYa88EihzyI44hcQUo"",""Form Responses 1!B:C""),2,FALSE),)"),"")</f>
        <v/>
      </c>
      <c r="T718" s="70" t="str">
        <f>IFERROR(__xludf.DUMMYFUNCTION("IFERROR(VLOOKUP(F718,IMPORTRANGE(""1H3cO01obd5zFULYqaT5NAqecZBFFIHeDFn4CeQLZF3w"",""Form Responses 1!B:C""),2,FALSE),)"),"")</f>
        <v/>
      </c>
      <c r="U718" s="70" t="str">
        <f>IFERROR(__xludf.DUMMYFUNCTION("IFERROR(IF(COUNTIF(IMPORTRANGE(""1IG9qoa6PeLdDDFzKpW39lxXshN0-M8Z25a_R1EpsYyg"",""Form Responses 1!B:B""),F718)&gt;0,10,),0)"),"")</f>
        <v/>
      </c>
      <c r="V718" s="70"/>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row>
    <row r="719">
      <c r="B719" s="70" t="str">
        <f>IFERROR(__xludf.DUMMYFUNCTION("IFERROR(IF(COUNTIF(IMPORTRANGE(""1RTcwEJsI_0aJRebhNwO_H_AoKl9r46k7hWYbtciIyM4"",""Form Responses 1!B:B""),A719)&gt;0,10,),0)"),"")</f>
        <v/>
      </c>
      <c r="C719" s="70" t="str">
        <f>IFERROR(__xludf.DUMMYFUNCTION("IFERROR(VLOOKUP(A719,IMPORTRANGE(""11i8IUhq_U6RRKRV3CBWIKqYed_fMvFgNUHTq1YDJfp8"",""Form Responses 1!B:C""),2,FALSE),)"),"")</f>
        <v/>
      </c>
      <c r="D719" s="70" t="str">
        <f>IFERROR(__xludf.DUMMYFUNCTION("IFERROR(VLOOKUP(A719,IMPORTRANGE(""1StiHxuxrFhYdrq5WLR2JMORicW0TbnJf3J-oTHeMRtM"",""Form Responses 1!B:C""),2,FALSE),)"),"")</f>
        <v/>
      </c>
      <c r="E719" s="70" t="str">
        <f>IFERROR(__xludf.DUMMYFUNCTION("IFERROR(VLOOKUP(A719,IMPORTRANGE(""1QaxxyUjrDq2kgz300C1Bq1tacFk6e-xX218cSXCQUK0"",""Form Responses 1!B:C""),2,FALSE),)"),"")</f>
        <v/>
      </c>
      <c r="F719" s="70" t="str">
        <f>IFERROR(__xludf.DUMMYFUNCTION("IFERROR(VLOOKUP(A719,IMPORTRANGE(""1fn2ECph_y8Uz78DhjLaiXcwgt6kh3oe-0Le36Uw0noE"",""Form Responses 1!B:C""),2,FALSE),)"),"")</f>
        <v/>
      </c>
      <c r="G719" s="70"/>
      <c r="H719" s="70"/>
      <c r="I719" s="70"/>
      <c r="J719" s="70"/>
      <c r="K719" s="70"/>
      <c r="L719" s="70"/>
      <c r="M719" s="70"/>
      <c r="N719" s="70"/>
      <c r="O719" s="70"/>
      <c r="P719" s="70"/>
      <c r="Q719" s="70" t="str">
        <f>IFERROR(__xludf.DUMMYFUNCTION("IFERROR(IF(COUNTIF(IMPORTRANGE(""1WjiLR_MTMxI_IZUKuvPO4Sg2rTSIqBzP3edakSRXbOA"",""Form Responses 1!B:B""),F719)&gt;0,10,),0)"),"")</f>
        <v/>
      </c>
      <c r="R719" s="70" t="str">
        <f>IFERROR(__xludf.DUMMYFUNCTION("IFERROR(VLOOKUP(F719,IMPORTRANGE(""1Ixzbal5tEbtWhozsFEppQzOYE6ZSrkNXHg_HW5k3Wt4"",""Form Responses 1!B:C""),2,FALSE),)"),"")</f>
        <v/>
      </c>
      <c r="S719" s="70" t="str">
        <f>IFERROR(__xludf.DUMMYFUNCTION("IFERROR(VLOOKUP(F719,IMPORTRANGE(""1zxjtEKGvVIJPIDqZdnxENwVpPXYa88EihzyI44hcQUo"",""Form Responses 1!B:C""),2,FALSE),)"),"")</f>
        <v/>
      </c>
      <c r="T719" s="70" t="str">
        <f>IFERROR(__xludf.DUMMYFUNCTION("IFERROR(VLOOKUP(F719,IMPORTRANGE(""1H3cO01obd5zFULYqaT5NAqecZBFFIHeDFn4CeQLZF3w"",""Form Responses 1!B:C""),2,FALSE),)"),"")</f>
        <v/>
      </c>
      <c r="U719" s="70" t="str">
        <f>IFERROR(__xludf.DUMMYFUNCTION("IFERROR(IF(COUNTIF(IMPORTRANGE(""1IG9qoa6PeLdDDFzKpW39lxXshN0-M8Z25a_R1EpsYyg"",""Form Responses 1!B:B""),F719)&gt;0,10,),0)"),"")</f>
        <v/>
      </c>
      <c r="V719" s="70"/>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row>
    <row r="720">
      <c r="B720" s="70" t="str">
        <f>IFERROR(__xludf.DUMMYFUNCTION("IFERROR(IF(COUNTIF(IMPORTRANGE(""1RTcwEJsI_0aJRebhNwO_H_AoKl9r46k7hWYbtciIyM4"",""Form Responses 1!B:B""),A720)&gt;0,10,),0)"),"")</f>
        <v/>
      </c>
      <c r="C720" s="70" t="str">
        <f>IFERROR(__xludf.DUMMYFUNCTION("IFERROR(VLOOKUP(A720,IMPORTRANGE(""11i8IUhq_U6RRKRV3CBWIKqYed_fMvFgNUHTq1YDJfp8"",""Form Responses 1!B:C""),2,FALSE),)"),"")</f>
        <v/>
      </c>
      <c r="D720" s="70" t="str">
        <f>IFERROR(__xludf.DUMMYFUNCTION("IFERROR(VLOOKUP(A720,IMPORTRANGE(""1StiHxuxrFhYdrq5WLR2JMORicW0TbnJf3J-oTHeMRtM"",""Form Responses 1!B:C""),2,FALSE),)"),"")</f>
        <v/>
      </c>
      <c r="E720" s="70" t="str">
        <f>IFERROR(__xludf.DUMMYFUNCTION("IFERROR(VLOOKUP(A720,IMPORTRANGE(""1QaxxyUjrDq2kgz300C1Bq1tacFk6e-xX218cSXCQUK0"",""Form Responses 1!B:C""),2,FALSE),)"),"")</f>
        <v/>
      </c>
      <c r="F720" s="70" t="str">
        <f>IFERROR(__xludf.DUMMYFUNCTION("IFERROR(VLOOKUP(A720,IMPORTRANGE(""1fn2ECph_y8Uz78DhjLaiXcwgt6kh3oe-0Le36Uw0noE"",""Form Responses 1!B:C""),2,FALSE),)"),"")</f>
        <v/>
      </c>
      <c r="G720" s="70"/>
      <c r="H720" s="70"/>
      <c r="I720" s="70"/>
      <c r="J720" s="70"/>
      <c r="K720" s="70"/>
      <c r="L720" s="70"/>
      <c r="M720" s="70"/>
      <c r="N720" s="70"/>
      <c r="O720" s="70"/>
      <c r="P720" s="70"/>
      <c r="Q720" s="70" t="str">
        <f>IFERROR(__xludf.DUMMYFUNCTION("IFERROR(IF(COUNTIF(IMPORTRANGE(""1WjiLR_MTMxI_IZUKuvPO4Sg2rTSIqBzP3edakSRXbOA"",""Form Responses 1!B:B""),F720)&gt;0,10,),0)"),"")</f>
        <v/>
      </c>
      <c r="R720" s="70" t="str">
        <f>IFERROR(__xludf.DUMMYFUNCTION("IFERROR(VLOOKUP(F720,IMPORTRANGE(""1Ixzbal5tEbtWhozsFEppQzOYE6ZSrkNXHg_HW5k3Wt4"",""Form Responses 1!B:C""),2,FALSE),)"),"")</f>
        <v/>
      </c>
      <c r="S720" s="70" t="str">
        <f>IFERROR(__xludf.DUMMYFUNCTION("IFERROR(VLOOKUP(F720,IMPORTRANGE(""1zxjtEKGvVIJPIDqZdnxENwVpPXYa88EihzyI44hcQUo"",""Form Responses 1!B:C""),2,FALSE),)"),"")</f>
        <v/>
      </c>
      <c r="T720" s="70" t="str">
        <f>IFERROR(__xludf.DUMMYFUNCTION("IFERROR(VLOOKUP(F720,IMPORTRANGE(""1H3cO01obd5zFULYqaT5NAqecZBFFIHeDFn4CeQLZF3w"",""Form Responses 1!B:C""),2,FALSE),)"),"")</f>
        <v/>
      </c>
      <c r="U720" s="70" t="str">
        <f>IFERROR(__xludf.DUMMYFUNCTION("IFERROR(IF(COUNTIF(IMPORTRANGE(""1IG9qoa6PeLdDDFzKpW39lxXshN0-M8Z25a_R1EpsYyg"",""Form Responses 1!B:B""),F720)&gt;0,10,),0)"),"")</f>
        <v/>
      </c>
      <c r="V720" s="70"/>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row>
    <row r="721">
      <c r="B721" s="70" t="str">
        <f>IFERROR(__xludf.DUMMYFUNCTION("IFERROR(IF(COUNTIF(IMPORTRANGE(""1RTcwEJsI_0aJRebhNwO_H_AoKl9r46k7hWYbtciIyM4"",""Form Responses 1!B:B""),A721)&gt;0,10,),0)"),"")</f>
        <v/>
      </c>
      <c r="C721" s="70" t="str">
        <f>IFERROR(__xludf.DUMMYFUNCTION("IFERROR(VLOOKUP(A721,IMPORTRANGE(""11i8IUhq_U6RRKRV3CBWIKqYed_fMvFgNUHTq1YDJfp8"",""Form Responses 1!B:C""),2,FALSE),)"),"")</f>
        <v/>
      </c>
      <c r="D721" s="70" t="str">
        <f>IFERROR(__xludf.DUMMYFUNCTION("IFERROR(VLOOKUP(A721,IMPORTRANGE(""1StiHxuxrFhYdrq5WLR2JMORicW0TbnJf3J-oTHeMRtM"",""Form Responses 1!B:C""),2,FALSE),)"),"")</f>
        <v/>
      </c>
      <c r="E721" s="70" t="str">
        <f>IFERROR(__xludf.DUMMYFUNCTION("IFERROR(VLOOKUP(A721,IMPORTRANGE(""1QaxxyUjrDq2kgz300C1Bq1tacFk6e-xX218cSXCQUK0"",""Form Responses 1!B:C""),2,FALSE),)"),"")</f>
        <v/>
      </c>
      <c r="F721" s="70" t="str">
        <f>IFERROR(__xludf.DUMMYFUNCTION("IFERROR(VLOOKUP(A721,IMPORTRANGE(""1fn2ECph_y8Uz78DhjLaiXcwgt6kh3oe-0Le36Uw0noE"",""Form Responses 1!B:C""),2,FALSE),)"),"")</f>
        <v/>
      </c>
      <c r="G721" s="70"/>
      <c r="H721" s="70"/>
      <c r="I721" s="70"/>
      <c r="J721" s="70"/>
      <c r="K721" s="70"/>
      <c r="L721" s="70"/>
      <c r="M721" s="70"/>
      <c r="N721" s="70"/>
      <c r="O721" s="70"/>
      <c r="P721" s="70"/>
      <c r="Q721" s="70" t="str">
        <f>IFERROR(__xludf.DUMMYFUNCTION("IFERROR(IF(COUNTIF(IMPORTRANGE(""1WjiLR_MTMxI_IZUKuvPO4Sg2rTSIqBzP3edakSRXbOA"",""Form Responses 1!B:B""),F721)&gt;0,10,),0)"),"")</f>
        <v/>
      </c>
      <c r="R721" s="70" t="str">
        <f>IFERROR(__xludf.DUMMYFUNCTION("IFERROR(VLOOKUP(F721,IMPORTRANGE(""1Ixzbal5tEbtWhozsFEppQzOYE6ZSrkNXHg_HW5k3Wt4"",""Form Responses 1!B:C""),2,FALSE),)"),"")</f>
        <v/>
      </c>
      <c r="S721" s="70" t="str">
        <f>IFERROR(__xludf.DUMMYFUNCTION("IFERROR(VLOOKUP(F721,IMPORTRANGE(""1zxjtEKGvVIJPIDqZdnxENwVpPXYa88EihzyI44hcQUo"",""Form Responses 1!B:C""),2,FALSE),)"),"")</f>
        <v/>
      </c>
      <c r="T721" s="70" t="str">
        <f>IFERROR(__xludf.DUMMYFUNCTION("IFERROR(VLOOKUP(F721,IMPORTRANGE(""1H3cO01obd5zFULYqaT5NAqecZBFFIHeDFn4CeQLZF3w"",""Form Responses 1!B:C""),2,FALSE),)"),"")</f>
        <v/>
      </c>
      <c r="U721" s="70" t="str">
        <f>IFERROR(__xludf.DUMMYFUNCTION("IFERROR(IF(COUNTIF(IMPORTRANGE(""1IG9qoa6PeLdDDFzKpW39lxXshN0-M8Z25a_R1EpsYyg"",""Form Responses 1!B:B""),F721)&gt;0,10,),0)"),"")</f>
        <v/>
      </c>
      <c r="V721" s="70"/>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row>
    <row r="722">
      <c r="B722" s="70" t="str">
        <f>IFERROR(__xludf.DUMMYFUNCTION("IFERROR(IF(COUNTIF(IMPORTRANGE(""1RTcwEJsI_0aJRebhNwO_H_AoKl9r46k7hWYbtciIyM4"",""Form Responses 1!B:B""),A722)&gt;0,10,),0)"),"")</f>
        <v/>
      </c>
      <c r="C722" s="70" t="str">
        <f>IFERROR(__xludf.DUMMYFUNCTION("IFERROR(VLOOKUP(A722,IMPORTRANGE(""11i8IUhq_U6RRKRV3CBWIKqYed_fMvFgNUHTq1YDJfp8"",""Form Responses 1!B:C""),2,FALSE),)"),"")</f>
        <v/>
      </c>
      <c r="D722" s="70" t="str">
        <f>IFERROR(__xludf.DUMMYFUNCTION("IFERROR(VLOOKUP(A722,IMPORTRANGE(""1StiHxuxrFhYdrq5WLR2JMORicW0TbnJf3J-oTHeMRtM"",""Form Responses 1!B:C""),2,FALSE),)"),"")</f>
        <v/>
      </c>
      <c r="E722" s="70" t="str">
        <f>IFERROR(__xludf.DUMMYFUNCTION("IFERROR(VLOOKUP(A722,IMPORTRANGE(""1QaxxyUjrDq2kgz300C1Bq1tacFk6e-xX218cSXCQUK0"",""Form Responses 1!B:C""),2,FALSE),)"),"")</f>
        <v/>
      </c>
      <c r="F722" s="70" t="str">
        <f>IFERROR(__xludf.DUMMYFUNCTION("IFERROR(VLOOKUP(A722,IMPORTRANGE(""1fn2ECph_y8Uz78DhjLaiXcwgt6kh3oe-0Le36Uw0noE"",""Form Responses 1!B:C""),2,FALSE),)"),"")</f>
        <v/>
      </c>
      <c r="G722" s="70"/>
      <c r="H722" s="70"/>
      <c r="I722" s="70"/>
      <c r="J722" s="70"/>
      <c r="K722" s="70"/>
      <c r="L722" s="70"/>
      <c r="M722" s="70"/>
      <c r="N722" s="70"/>
      <c r="O722" s="70"/>
      <c r="P722" s="70"/>
      <c r="Q722" s="70" t="str">
        <f>IFERROR(__xludf.DUMMYFUNCTION("IFERROR(IF(COUNTIF(IMPORTRANGE(""1WjiLR_MTMxI_IZUKuvPO4Sg2rTSIqBzP3edakSRXbOA"",""Form Responses 1!B:B""),F722)&gt;0,10,),0)"),"")</f>
        <v/>
      </c>
      <c r="R722" s="70" t="str">
        <f>IFERROR(__xludf.DUMMYFUNCTION("IFERROR(VLOOKUP(F722,IMPORTRANGE(""1Ixzbal5tEbtWhozsFEppQzOYE6ZSrkNXHg_HW5k3Wt4"",""Form Responses 1!B:C""),2,FALSE),)"),"")</f>
        <v/>
      </c>
      <c r="S722" s="70" t="str">
        <f>IFERROR(__xludf.DUMMYFUNCTION("IFERROR(VLOOKUP(F722,IMPORTRANGE(""1zxjtEKGvVIJPIDqZdnxENwVpPXYa88EihzyI44hcQUo"",""Form Responses 1!B:C""),2,FALSE),)"),"")</f>
        <v/>
      </c>
      <c r="T722" s="70" t="str">
        <f>IFERROR(__xludf.DUMMYFUNCTION("IFERROR(VLOOKUP(F722,IMPORTRANGE(""1H3cO01obd5zFULYqaT5NAqecZBFFIHeDFn4CeQLZF3w"",""Form Responses 1!B:C""),2,FALSE),)"),"")</f>
        <v/>
      </c>
      <c r="U722" s="70" t="str">
        <f>IFERROR(__xludf.DUMMYFUNCTION("IFERROR(IF(COUNTIF(IMPORTRANGE(""1IG9qoa6PeLdDDFzKpW39lxXshN0-M8Z25a_R1EpsYyg"",""Form Responses 1!B:B""),F722)&gt;0,10,),0)"),"")</f>
        <v/>
      </c>
      <c r="V722" s="70"/>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row>
    <row r="723">
      <c r="B723" s="70" t="str">
        <f>IFERROR(__xludf.DUMMYFUNCTION("IFERROR(IF(COUNTIF(IMPORTRANGE(""1RTcwEJsI_0aJRebhNwO_H_AoKl9r46k7hWYbtciIyM4"",""Form Responses 1!B:B""),A723)&gt;0,10,),0)"),"")</f>
        <v/>
      </c>
      <c r="C723" s="70" t="str">
        <f>IFERROR(__xludf.DUMMYFUNCTION("IFERROR(VLOOKUP(A723,IMPORTRANGE(""11i8IUhq_U6RRKRV3CBWIKqYed_fMvFgNUHTq1YDJfp8"",""Form Responses 1!B:C""),2,FALSE),)"),"")</f>
        <v/>
      </c>
      <c r="D723" s="70" t="str">
        <f>IFERROR(__xludf.DUMMYFUNCTION("IFERROR(VLOOKUP(A723,IMPORTRANGE(""1StiHxuxrFhYdrq5WLR2JMORicW0TbnJf3J-oTHeMRtM"",""Form Responses 1!B:C""),2,FALSE),)"),"")</f>
        <v/>
      </c>
      <c r="E723" s="70" t="str">
        <f>IFERROR(__xludf.DUMMYFUNCTION("IFERROR(VLOOKUP(A723,IMPORTRANGE(""1QaxxyUjrDq2kgz300C1Bq1tacFk6e-xX218cSXCQUK0"",""Form Responses 1!B:C""),2,FALSE),)"),"")</f>
        <v/>
      </c>
      <c r="F723" s="70" t="str">
        <f>IFERROR(__xludf.DUMMYFUNCTION("IFERROR(VLOOKUP(A723,IMPORTRANGE(""1fn2ECph_y8Uz78DhjLaiXcwgt6kh3oe-0Le36Uw0noE"",""Form Responses 1!B:C""),2,FALSE),)"),"")</f>
        <v/>
      </c>
      <c r="G723" s="70"/>
      <c r="H723" s="70"/>
      <c r="I723" s="70"/>
      <c r="J723" s="70"/>
      <c r="K723" s="70"/>
      <c r="L723" s="70"/>
      <c r="M723" s="70"/>
      <c r="N723" s="70"/>
      <c r="O723" s="70"/>
      <c r="P723" s="70"/>
      <c r="Q723" s="70" t="str">
        <f>IFERROR(__xludf.DUMMYFUNCTION("IFERROR(IF(COUNTIF(IMPORTRANGE(""1WjiLR_MTMxI_IZUKuvPO4Sg2rTSIqBzP3edakSRXbOA"",""Form Responses 1!B:B""),F723)&gt;0,10,),0)"),"")</f>
        <v/>
      </c>
      <c r="R723" s="70" t="str">
        <f>IFERROR(__xludf.DUMMYFUNCTION("IFERROR(VLOOKUP(F723,IMPORTRANGE(""1Ixzbal5tEbtWhozsFEppQzOYE6ZSrkNXHg_HW5k3Wt4"",""Form Responses 1!B:C""),2,FALSE),)"),"")</f>
        <v/>
      </c>
      <c r="S723" s="70" t="str">
        <f>IFERROR(__xludf.DUMMYFUNCTION("IFERROR(VLOOKUP(F723,IMPORTRANGE(""1zxjtEKGvVIJPIDqZdnxENwVpPXYa88EihzyI44hcQUo"",""Form Responses 1!B:C""),2,FALSE),)"),"")</f>
        <v/>
      </c>
      <c r="T723" s="70" t="str">
        <f>IFERROR(__xludf.DUMMYFUNCTION("IFERROR(VLOOKUP(F723,IMPORTRANGE(""1H3cO01obd5zFULYqaT5NAqecZBFFIHeDFn4CeQLZF3w"",""Form Responses 1!B:C""),2,FALSE),)"),"")</f>
        <v/>
      </c>
      <c r="U723" s="70" t="str">
        <f>IFERROR(__xludf.DUMMYFUNCTION("IFERROR(IF(COUNTIF(IMPORTRANGE(""1IG9qoa6PeLdDDFzKpW39lxXshN0-M8Z25a_R1EpsYyg"",""Form Responses 1!B:B""),F723)&gt;0,10,),0)"),"")</f>
        <v/>
      </c>
      <c r="V723" s="70"/>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row>
    <row r="724">
      <c r="B724" s="70" t="str">
        <f>IFERROR(__xludf.DUMMYFUNCTION("IFERROR(IF(COUNTIF(IMPORTRANGE(""1RTcwEJsI_0aJRebhNwO_H_AoKl9r46k7hWYbtciIyM4"",""Form Responses 1!B:B""),A724)&gt;0,10,),0)"),"")</f>
        <v/>
      </c>
      <c r="C724" s="70" t="str">
        <f>IFERROR(__xludf.DUMMYFUNCTION("IFERROR(VLOOKUP(A724,IMPORTRANGE(""11i8IUhq_U6RRKRV3CBWIKqYed_fMvFgNUHTq1YDJfp8"",""Form Responses 1!B:C""),2,FALSE),)"),"")</f>
        <v/>
      </c>
      <c r="D724" s="70" t="str">
        <f>IFERROR(__xludf.DUMMYFUNCTION("IFERROR(VLOOKUP(A724,IMPORTRANGE(""1StiHxuxrFhYdrq5WLR2JMORicW0TbnJf3J-oTHeMRtM"",""Form Responses 1!B:C""),2,FALSE),)"),"")</f>
        <v/>
      </c>
      <c r="E724" s="70" t="str">
        <f>IFERROR(__xludf.DUMMYFUNCTION("IFERROR(VLOOKUP(A724,IMPORTRANGE(""1QaxxyUjrDq2kgz300C1Bq1tacFk6e-xX218cSXCQUK0"",""Form Responses 1!B:C""),2,FALSE),)"),"")</f>
        <v/>
      </c>
      <c r="F724" s="70" t="str">
        <f>IFERROR(__xludf.DUMMYFUNCTION("IFERROR(VLOOKUP(A724,IMPORTRANGE(""1fn2ECph_y8Uz78DhjLaiXcwgt6kh3oe-0Le36Uw0noE"",""Form Responses 1!B:C""),2,FALSE),)"),"")</f>
        <v/>
      </c>
      <c r="G724" s="70"/>
      <c r="H724" s="70"/>
      <c r="I724" s="70"/>
      <c r="J724" s="70"/>
      <c r="K724" s="70"/>
      <c r="L724" s="70"/>
      <c r="M724" s="70"/>
      <c r="N724" s="70"/>
      <c r="O724" s="70"/>
      <c r="P724" s="70"/>
      <c r="Q724" s="70" t="str">
        <f>IFERROR(__xludf.DUMMYFUNCTION("IFERROR(IF(COUNTIF(IMPORTRANGE(""1WjiLR_MTMxI_IZUKuvPO4Sg2rTSIqBzP3edakSRXbOA"",""Form Responses 1!B:B""),F724)&gt;0,10,),0)"),"")</f>
        <v/>
      </c>
      <c r="R724" s="70" t="str">
        <f>IFERROR(__xludf.DUMMYFUNCTION("IFERROR(VLOOKUP(F724,IMPORTRANGE(""1Ixzbal5tEbtWhozsFEppQzOYE6ZSrkNXHg_HW5k3Wt4"",""Form Responses 1!B:C""),2,FALSE),)"),"")</f>
        <v/>
      </c>
      <c r="S724" s="70" t="str">
        <f>IFERROR(__xludf.DUMMYFUNCTION("IFERROR(VLOOKUP(F724,IMPORTRANGE(""1zxjtEKGvVIJPIDqZdnxENwVpPXYa88EihzyI44hcQUo"",""Form Responses 1!B:C""),2,FALSE),)"),"")</f>
        <v/>
      </c>
      <c r="T724" s="70" t="str">
        <f>IFERROR(__xludf.DUMMYFUNCTION("IFERROR(VLOOKUP(F724,IMPORTRANGE(""1H3cO01obd5zFULYqaT5NAqecZBFFIHeDFn4CeQLZF3w"",""Form Responses 1!B:C""),2,FALSE),)"),"")</f>
        <v/>
      </c>
      <c r="U724" s="70" t="str">
        <f>IFERROR(__xludf.DUMMYFUNCTION("IFERROR(IF(COUNTIF(IMPORTRANGE(""1IG9qoa6PeLdDDFzKpW39lxXshN0-M8Z25a_R1EpsYyg"",""Form Responses 1!B:B""),F724)&gt;0,10,),0)"),"")</f>
        <v/>
      </c>
      <c r="V724" s="70"/>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row>
    <row r="725">
      <c r="B725" s="70" t="str">
        <f>IFERROR(__xludf.DUMMYFUNCTION("IFERROR(IF(COUNTIF(IMPORTRANGE(""1RTcwEJsI_0aJRebhNwO_H_AoKl9r46k7hWYbtciIyM4"",""Form Responses 1!B:B""),A725)&gt;0,10,),0)"),"")</f>
        <v/>
      </c>
      <c r="C725" s="70" t="str">
        <f>IFERROR(__xludf.DUMMYFUNCTION("IFERROR(VLOOKUP(A725,IMPORTRANGE(""11i8IUhq_U6RRKRV3CBWIKqYed_fMvFgNUHTq1YDJfp8"",""Form Responses 1!B:C""),2,FALSE),)"),"")</f>
        <v/>
      </c>
      <c r="D725" s="70" t="str">
        <f>IFERROR(__xludf.DUMMYFUNCTION("IFERROR(VLOOKUP(A725,IMPORTRANGE(""1StiHxuxrFhYdrq5WLR2JMORicW0TbnJf3J-oTHeMRtM"",""Form Responses 1!B:C""),2,FALSE),)"),"")</f>
        <v/>
      </c>
      <c r="E725" s="70" t="str">
        <f>IFERROR(__xludf.DUMMYFUNCTION("IFERROR(VLOOKUP(A725,IMPORTRANGE(""1QaxxyUjrDq2kgz300C1Bq1tacFk6e-xX218cSXCQUK0"",""Form Responses 1!B:C""),2,FALSE),)"),"")</f>
        <v/>
      </c>
      <c r="F725" s="70" t="str">
        <f>IFERROR(__xludf.DUMMYFUNCTION("IFERROR(VLOOKUP(A725,IMPORTRANGE(""1fn2ECph_y8Uz78DhjLaiXcwgt6kh3oe-0Le36Uw0noE"",""Form Responses 1!B:C""),2,FALSE),)"),"")</f>
        <v/>
      </c>
      <c r="G725" s="70"/>
      <c r="H725" s="70"/>
      <c r="I725" s="70"/>
      <c r="J725" s="70"/>
      <c r="K725" s="70"/>
      <c r="L725" s="70"/>
      <c r="M725" s="70"/>
      <c r="N725" s="70"/>
      <c r="O725" s="70"/>
      <c r="P725" s="70"/>
      <c r="Q725" s="70" t="str">
        <f>IFERROR(__xludf.DUMMYFUNCTION("IFERROR(IF(COUNTIF(IMPORTRANGE(""1WjiLR_MTMxI_IZUKuvPO4Sg2rTSIqBzP3edakSRXbOA"",""Form Responses 1!B:B""),F725)&gt;0,10,),0)"),"")</f>
        <v/>
      </c>
      <c r="R725" s="70" t="str">
        <f>IFERROR(__xludf.DUMMYFUNCTION("IFERROR(VLOOKUP(F725,IMPORTRANGE(""1Ixzbal5tEbtWhozsFEppQzOYE6ZSrkNXHg_HW5k3Wt4"",""Form Responses 1!B:C""),2,FALSE),)"),"")</f>
        <v/>
      </c>
      <c r="S725" s="70" t="str">
        <f>IFERROR(__xludf.DUMMYFUNCTION("IFERROR(VLOOKUP(F725,IMPORTRANGE(""1zxjtEKGvVIJPIDqZdnxENwVpPXYa88EihzyI44hcQUo"",""Form Responses 1!B:C""),2,FALSE),)"),"")</f>
        <v/>
      </c>
      <c r="T725" s="70" t="str">
        <f>IFERROR(__xludf.DUMMYFUNCTION("IFERROR(VLOOKUP(F725,IMPORTRANGE(""1H3cO01obd5zFULYqaT5NAqecZBFFIHeDFn4CeQLZF3w"",""Form Responses 1!B:C""),2,FALSE),)"),"")</f>
        <v/>
      </c>
      <c r="U725" s="70" t="str">
        <f>IFERROR(__xludf.DUMMYFUNCTION("IFERROR(IF(COUNTIF(IMPORTRANGE(""1IG9qoa6PeLdDDFzKpW39lxXshN0-M8Z25a_R1EpsYyg"",""Form Responses 1!B:B""),F725)&gt;0,10,),0)"),"")</f>
        <v/>
      </c>
      <c r="V725" s="70"/>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row>
    <row r="726">
      <c r="B726" s="70" t="str">
        <f>IFERROR(__xludf.DUMMYFUNCTION("IFERROR(IF(COUNTIF(IMPORTRANGE(""1RTcwEJsI_0aJRebhNwO_H_AoKl9r46k7hWYbtciIyM4"",""Form Responses 1!B:B""),A726)&gt;0,10,),0)"),"")</f>
        <v/>
      </c>
      <c r="C726" s="70" t="str">
        <f>IFERROR(__xludf.DUMMYFUNCTION("IFERROR(VLOOKUP(A726,IMPORTRANGE(""11i8IUhq_U6RRKRV3CBWIKqYed_fMvFgNUHTq1YDJfp8"",""Form Responses 1!B:C""),2,FALSE),)"),"")</f>
        <v/>
      </c>
      <c r="D726" s="70" t="str">
        <f>IFERROR(__xludf.DUMMYFUNCTION("IFERROR(VLOOKUP(A726,IMPORTRANGE(""1StiHxuxrFhYdrq5WLR2JMORicW0TbnJf3J-oTHeMRtM"",""Form Responses 1!B:C""),2,FALSE),)"),"")</f>
        <v/>
      </c>
      <c r="E726" s="70" t="str">
        <f>IFERROR(__xludf.DUMMYFUNCTION("IFERROR(VLOOKUP(A726,IMPORTRANGE(""1QaxxyUjrDq2kgz300C1Bq1tacFk6e-xX218cSXCQUK0"",""Form Responses 1!B:C""),2,FALSE),)"),"")</f>
        <v/>
      </c>
      <c r="F726" s="70" t="str">
        <f>IFERROR(__xludf.DUMMYFUNCTION("IFERROR(VLOOKUP(A726,IMPORTRANGE(""1fn2ECph_y8Uz78DhjLaiXcwgt6kh3oe-0Le36Uw0noE"",""Form Responses 1!B:C""),2,FALSE),)"),"")</f>
        <v/>
      </c>
      <c r="G726" s="70"/>
      <c r="H726" s="70"/>
      <c r="I726" s="70"/>
      <c r="J726" s="70"/>
      <c r="K726" s="70"/>
      <c r="L726" s="70"/>
      <c r="M726" s="70"/>
      <c r="N726" s="70"/>
      <c r="O726" s="70"/>
      <c r="P726" s="70"/>
      <c r="Q726" s="70" t="str">
        <f>IFERROR(__xludf.DUMMYFUNCTION("IFERROR(IF(COUNTIF(IMPORTRANGE(""1WjiLR_MTMxI_IZUKuvPO4Sg2rTSIqBzP3edakSRXbOA"",""Form Responses 1!B:B""),F726)&gt;0,10,),0)"),"")</f>
        <v/>
      </c>
      <c r="R726" s="70" t="str">
        <f>IFERROR(__xludf.DUMMYFUNCTION("IFERROR(VLOOKUP(F726,IMPORTRANGE(""1Ixzbal5tEbtWhozsFEppQzOYE6ZSrkNXHg_HW5k3Wt4"",""Form Responses 1!B:C""),2,FALSE),)"),"")</f>
        <v/>
      </c>
      <c r="S726" s="70" t="str">
        <f>IFERROR(__xludf.DUMMYFUNCTION("IFERROR(VLOOKUP(F726,IMPORTRANGE(""1zxjtEKGvVIJPIDqZdnxENwVpPXYa88EihzyI44hcQUo"",""Form Responses 1!B:C""),2,FALSE),)"),"")</f>
        <v/>
      </c>
      <c r="T726" s="70" t="str">
        <f>IFERROR(__xludf.DUMMYFUNCTION("IFERROR(VLOOKUP(F726,IMPORTRANGE(""1H3cO01obd5zFULYqaT5NAqecZBFFIHeDFn4CeQLZF3w"",""Form Responses 1!B:C""),2,FALSE),)"),"")</f>
        <v/>
      </c>
      <c r="U726" s="70" t="str">
        <f>IFERROR(__xludf.DUMMYFUNCTION("IFERROR(IF(COUNTIF(IMPORTRANGE(""1IG9qoa6PeLdDDFzKpW39lxXshN0-M8Z25a_R1EpsYyg"",""Form Responses 1!B:B""),F726)&gt;0,10,),0)"),"")</f>
        <v/>
      </c>
      <c r="V726" s="70"/>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row>
    <row r="727">
      <c r="B727" s="70" t="str">
        <f>IFERROR(__xludf.DUMMYFUNCTION("IFERROR(IF(COUNTIF(IMPORTRANGE(""1RTcwEJsI_0aJRebhNwO_H_AoKl9r46k7hWYbtciIyM4"",""Form Responses 1!B:B""),A727)&gt;0,10,),0)"),"")</f>
        <v/>
      </c>
      <c r="C727" s="70" t="str">
        <f>IFERROR(__xludf.DUMMYFUNCTION("IFERROR(VLOOKUP(A727,IMPORTRANGE(""11i8IUhq_U6RRKRV3CBWIKqYed_fMvFgNUHTq1YDJfp8"",""Form Responses 1!B:C""),2,FALSE),)"),"")</f>
        <v/>
      </c>
      <c r="D727" s="70" t="str">
        <f>IFERROR(__xludf.DUMMYFUNCTION("IFERROR(VLOOKUP(A727,IMPORTRANGE(""1StiHxuxrFhYdrq5WLR2JMORicW0TbnJf3J-oTHeMRtM"",""Form Responses 1!B:C""),2,FALSE),)"),"")</f>
        <v/>
      </c>
      <c r="E727" s="70" t="str">
        <f>IFERROR(__xludf.DUMMYFUNCTION("IFERROR(VLOOKUP(A727,IMPORTRANGE(""1QaxxyUjrDq2kgz300C1Bq1tacFk6e-xX218cSXCQUK0"",""Form Responses 1!B:C""),2,FALSE),)"),"")</f>
        <v/>
      </c>
      <c r="F727" s="70" t="str">
        <f>IFERROR(__xludf.DUMMYFUNCTION("IFERROR(VLOOKUP(A727,IMPORTRANGE(""1fn2ECph_y8Uz78DhjLaiXcwgt6kh3oe-0Le36Uw0noE"",""Form Responses 1!B:C""),2,FALSE),)"),"")</f>
        <v/>
      </c>
      <c r="G727" s="70"/>
      <c r="H727" s="70"/>
      <c r="I727" s="70"/>
      <c r="J727" s="70"/>
      <c r="K727" s="70"/>
      <c r="L727" s="70"/>
      <c r="M727" s="70"/>
      <c r="N727" s="70"/>
      <c r="O727" s="70"/>
      <c r="P727" s="70"/>
      <c r="Q727" s="70" t="str">
        <f>IFERROR(__xludf.DUMMYFUNCTION("IFERROR(IF(COUNTIF(IMPORTRANGE(""1WjiLR_MTMxI_IZUKuvPO4Sg2rTSIqBzP3edakSRXbOA"",""Form Responses 1!B:B""),F727)&gt;0,10,),0)"),"")</f>
        <v/>
      </c>
      <c r="R727" s="70" t="str">
        <f>IFERROR(__xludf.DUMMYFUNCTION("IFERROR(VLOOKUP(F727,IMPORTRANGE(""1Ixzbal5tEbtWhozsFEppQzOYE6ZSrkNXHg_HW5k3Wt4"",""Form Responses 1!B:C""),2,FALSE),)"),"")</f>
        <v/>
      </c>
      <c r="S727" s="70" t="str">
        <f>IFERROR(__xludf.DUMMYFUNCTION("IFERROR(VLOOKUP(F727,IMPORTRANGE(""1zxjtEKGvVIJPIDqZdnxENwVpPXYa88EihzyI44hcQUo"",""Form Responses 1!B:C""),2,FALSE),)"),"")</f>
        <v/>
      </c>
      <c r="T727" s="70" t="str">
        <f>IFERROR(__xludf.DUMMYFUNCTION("IFERROR(VLOOKUP(F727,IMPORTRANGE(""1H3cO01obd5zFULYqaT5NAqecZBFFIHeDFn4CeQLZF3w"",""Form Responses 1!B:C""),2,FALSE),)"),"")</f>
        <v/>
      </c>
      <c r="U727" s="70" t="str">
        <f>IFERROR(__xludf.DUMMYFUNCTION("IFERROR(IF(COUNTIF(IMPORTRANGE(""1IG9qoa6PeLdDDFzKpW39lxXshN0-M8Z25a_R1EpsYyg"",""Form Responses 1!B:B""),F727)&gt;0,10,),0)"),"")</f>
        <v/>
      </c>
      <c r="V727" s="70"/>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row>
    <row r="728">
      <c r="B728" s="70" t="str">
        <f>IFERROR(__xludf.DUMMYFUNCTION("IFERROR(IF(COUNTIF(IMPORTRANGE(""1RTcwEJsI_0aJRebhNwO_H_AoKl9r46k7hWYbtciIyM4"",""Form Responses 1!B:B""),A728)&gt;0,10,),0)"),"")</f>
        <v/>
      </c>
      <c r="C728" s="70" t="str">
        <f>IFERROR(__xludf.DUMMYFUNCTION("IFERROR(VLOOKUP(A728,IMPORTRANGE(""11i8IUhq_U6RRKRV3CBWIKqYed_fMvFgNUHTq1YDJfp8"",""Form Responses 1!B:C""),2,FALSE),)"),"")</f>
        <v/>
      </c>
      <c r="D728" s="70" t="str">
        <f>IFERROR(__xludf.DUMMYFUNCTION("IFERROR(VLOOKUP(A728,IMPORTRANGE(""1StiHxuxrFhYdrq5WLR2JMORicW0TbnJf3J-oTHeMRtM"",""Form Responses 1!B:C""),2,FALSE),)"),"")</f>
        <v/>
      </c>
      <c r="E728" s="70" t="str">
        <f>IFERROR(__xludf.DUMMYFUNCTION("IFERROR(VLOOKUP(A728,IMPORTRANGE(""1QaxxyUjrDq2kgz300C1Bq1tacFk6e-xX218cSXCQUK0"",""Form Responses 1!B:C""),2,FALSE),)"),"")</f>
        <v/>
      </c>
      <c r="F728" s="70" t="str">
        <f>IFERROR(__xludf.DUMMYFUNCTION("IFERROR(VLOOKUP(A728,IMPORTRANGE(""1fn2ECph_y8Uz78DhjLaiXcwgt6kh3oe-0Le36Uw0noE"",""Form Responses 1!B:C""),2,FALSE),)"),"")</f>
        <v/>
      </c>
      <c r="G728" s="70"/>
      <c r="H728" s="70"/>
      <c r="I728" s="70"/>
      <c r="J728" s="70"/>
      <c r="K728" s="70"/>
      <c r="L728" s="70"/>
      <c r="M728" s="70"/>
      <c r="N728" s="70"/>
      <c r="O728" s="70"/>
      <c r="P728" s="70"/>
      <c r="Q728" s="70" t="str">
        <f>IFERROR(__xludf.DUMMYFUNCTION("IFERROR(IF(COUNTIF(IMPORTRANGE(""1WjiLR_MTMxI_IZUKuvPO4Sg2rTSIqBzP3edakSRXbOA"",""Form Responses 1!B:B""),F728)&gt;0,10,),0)"),"")</f>
        <v/>
      </c>
      <c r="R728" s="70" t="str">
        <f>IFERROR(__xludf.DUMMYFUNCTION("IFERROR(VLOOKUP(F728,IMPORTRANGE(""1Ixzbal5tEbtWhozsFEppQzOYE6ZSrkNXHg_HW5k3Wt4"",""Form Responses 1!B:C""),2,FALSE),)"),"")</f>
        <v/>
      </c>
      <c r="S728" s="70" t="str">
        <f>IFERROR(__xludf.DUMMYFUNCTION("IFERROR(VLOOKUP(F728,IMPORTRANGE(""1zxjtEKGvVIJPIDqZdnxENwVpPXYa88EihzyI44hcQUo"",""Form Responses 1!B:C""),2,FALSE),)"),"")</f>
        <v/>
      </c>
      <c r="T728" s="70" t="str">
        <f>IFERROR(__xludf.DUMMYFUNCTION("IFERROR(VLOOKUP(F728,IMPORTRANGE(""1H3cO01obd5zFULYqaT5NAqecZBFFIHeDFn4CeQLZF3w"",""Form Responses 1!B:C""),2,FALSE),)"),"")</f>
        <v/>
      </c>
      <c r="U728" s="70" t="str">
        <f>IFERROR(__xludf.DUMMYFUNCTION("IFERROR(IF(COUNTIF(IMPORTRANGE(""1IG9qoa6PeLdDDFzKpW39lxXshN0-M8Z25a_R1EpsYyg"",""Form Responses 1!B:B""),F728)&gt;0,10,),0)"),"")</f>
        <v/>
      </c>
      <c r="V728" s="70"/>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row>
    <row r="729">
      <c r="B729" s="70" t="str">
        <f>IFERROR(__xludf.DUMMYFUNCTION("IFERROR(IF(COUNTIF(IMPORTRANGE(""1RTcwEJsI_0aJRebhNwO_H_AoKl9r46k7hWYbtciIyM4"",""Form Responses 1!B:B""),A729)&gt;0,10,),0)"),"")</f>
        <v/>
      </c>
      <c r="C729" s="70" t="str">
        <f>IFERROR(__xludf.DUMMYFUNCTION("IFERROR(VLOOKUP(A729,IMPORTRANGE(""11i8IUhq_U6RRKRV3CBWIKqYed_fMvFgNUHTq1YDJfp8"",""Form Responses 1!B:C""),2,FALSE),)"),"")</f>
        <v/>
      </c>
      <c r="D729" s="70" t="str">
        <f>IFERROR(__xludf.DUMMYFUNCTION("IFERROR(VLOOKUP(A729,IMPORTRANGE(""1StiHxuxrFhYdrq5WLR2JMORicW0TbnJf3J-oTHeMRtM"",""Form Responses 1!B:C""),2,FALSE),)"),"")</f>
        <v/>
      </c>
      <c r="E729" s="70" t="str">
        <f>IFERROR(__xludf.DUMMYFUNCTION("IFERROR(VLOOKUP(A729,IMPORTRANGE(""1QaxxyUjrDq2kgz300C1Bq1tacFk6e-xX218cSXCQUK0"",""Form Responses 1!B:C""),2,FALSE),)"),"")</f>
        <v/>
      </c>
      <c r="F729" s="70" t="str">
        <f>IFERROR(__xludf.DUMMYFUNCTION("IFERROR(VLOOKUP(A729,IMPORTRANGE(""1fn2ECph_y8Uz78DhjLaiXcwgt6kh3oe-0Le36Uw0noE"",""Form Responses 1!B:C""),2,FALSE),)"),"")</f>
        <v/>
      </c>
      <c r="G729" s="70"/>
      <c r="H729" s="70"/>
      <c r="I729" s="70"/>
      <c r="J729" s="70"/>
      <c r="K729" s="70"/>
      <c r="L729" s="70"/>
      <c r="M729" s="70"/>
      <c r="N729" s="70"/>
      <c r="O729" s="70"/>
      <c r="P729" s="70"/>
      <c r="Q729" s="70" t="str">
        <f>IFERROR(__xludf.DUMMYFUNCTION("IFERROR(IF(COUNTIF(IMPORTRANGE(""1WjiLR_MTMxI_IZUKuvPO4Sg2rTSIqBzP3edakSRXbOA"",""Form Responses 1!B:B""),F729)&gt;0,10,),0)"),"")</f>
        <v/>
      </c>
      <c r="R729" s="70" t="str">
        <f>IFERROR(__xludf.DUMMYFUNCTION("IFERROR(VLOOKUP(F729,IMPORTRANGE(""1Ixzbal5tEbtWhozsFEppQzOYE6ZSrkNXHg_HW5k3Wt4"",""Form Responses 1!B:C""),2,FALSE),)"),"")</f>
        <v/>
      </c>
      <c r="S729" s="70" t="str">
        <f>IFERROR(__xludf.DUMMYFUNCTION("IFERROR(VLOOKUP(F729,IMPORTRANGE(""1zxjtEKGvVIJPIDqZdnxENwVpPXYa88EihzyI44hcQUo"",""Form Responses 1!B:C""),2,FALSE),)"),"")</f>
        <v/>
      </c>
      <c r="T729" s="70" t="str">
        <f>IFERROR(__xludf.DUMMYFUNCTION("IFERROR(VLOOKUP(F729,IMPORTRANGE(""1H3cO01obd5zFULYqaT5NAqecZBFFIHeDFn4CeQLZF3w"",""Form Responses 1!B:C""),2,FALSE),)"),"")</f>
        <v/>
      </c>
      <c r="U729" s="70" t="str">
        <f>IFERROR(__xludf.DUMMYFUNCTION("IFERROR(IF(COUNTIF(IMPORTRANGE(""1IG9qoa6PeLdDDFzKpW39lxXshN0-M8Z25a_R1EpsYyg"",""Form Responses 1!B:B""),F729)&gt;0,10,),0)"),"")</f>
        <v/>
      </c>
      <c r="V729" s="70"/>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row>
    <row r="730">
      <c r="B730" s="70" t="str">
        <f>IFERROR(__xludf.DUMMYFUNCTION("IFERROR(IF(COUNTIF(IMPORTRANGE(""1RTcwEJsI_0aJRebhNwO_H_AoKl9r46k7hWYbtciIyM4"",""Form Responses 1!B:B""),A730)&gt;0,10,),0)"),"")</f>
        <v/>
      </c>
      <c r="C730" s="70" t="str">
        <f>IFERROR(__xludf.DUMMYFUNCTION("IFERROR(VLOOKUP(A730,IMPORTRANGE(""11i8IUhq_U6RRKRV3CBWIKqYed_fMvFgNUHTq1YDJfp8"",""Form Responses 1!B:C""),2,FALSE),)"),"")</f>
        <v/>
      </c>
      <c r="D730" s="70" t="str">
        <f>IFERROR(__xludf.DUMMYFUNCTION("IFERROR(VLOOKUP(A730,IMPORTRANGE(""1StiHxuxrFhYdrq5WLR2JMORicW0TbnJf3J-oTHeMRtM"",""Form Responses 1!B:C""),2,FALSE),)"),"")</f>
        <v/>
      </c>
      <c r="E730" s="70" t="str">
        <f>IFERROR(__xludf.DUMMYFUNCTION("IFERROR(VLOOKUP(A730,IMPORTRANGE(""1QaxxyUjrDq2kgz300C1Bq1tacFk6e-xX218cSXCQUK0"",""Form Responses 1!B:C""),2,FALSE),)"),"")</f>
        <v/>
      </c>
      <c r="F730" s="70" t="str">
        <f>IFERROR(__xludf.DUMMYFUNCTION("IFERROR(VLOOKUP(A730,IMPORTRANGE(""1fn2ECph_y8Uz78DhjLaiXcwgt6kh3oe-0Le36Uw0noE"",""Form Responses 1!B:C""),2,FALSE),)"),"")</f>
        <v/>
      </c>
      <c r="G730" s="70"/>
      <c r="H730" s="70"/>
      <c r="I730" s="70"/>
      <c r="J730" s="70"/>
      <c r="K730" s="70"/>
      <c r="L730" s="70"/>
      <c r="M730" s="70"/>
      <c r="N730" s="70"/>
      <c r="O730" s="70"/>
      <c r="P730" s="70"/>
      <c r="Q730" s="70" t="str">
        <f>IFERROR(__xludf.DUMMYFUNCTION("IFERROR(IF(COUNTIF(IMPORTRANGE(""1WjiLR_MTMxI_IZUKuvPO4Sg2rTSIqBzP3edakSRXbOA"",""Form Responses 1!B:B""),F730)&gt;0,10,),0)"),"")</f>
        <v/>
      </c>
      <c r="R730" s="70" t="str">
        <f>IFERROR(__xludf.DUMMYFUNCTION("IFERROR(VLOOKUP(F730,IMPORTRANGE(""1Ixzbal5tEbtWhozsFEppQzOYE6ZSrkNXHg_HW5k3Wt4"",""Form Responses 1!B:C""),2,FALSE),)"),"")</f>
        <v/>
      </c>
      <c r="S730" s="70" t="str">
        <f>IFERROR(__xludf.DUMMYFUNCTION("IFERROR(VLOOKUP(F730,IMPORTRANGE(""1zxjtEKGvVIJPIDqZdnxENwVpPXYa88EihzyI44hcQUo"",""Form Responses 1!B:C""),2,FALSE),)"),"")</f>
        <v/>
      </c>
      <c r="T730" s="70" t="str">
        <f>IFERROR(__xludf.DUMMYFUNCTION("IFERROR(VLOOKUP(F730,IMPORTRANGE(""1H3cO01obd5zFULYqaT5NAqecZBFFIHeDFn4CeQLZF3w"",""Form Responses 1!B:C""),2,FALSE),)"),"")</f>
        <v/>
      </c>
      <c r="U730" s="70" t="str">
        <f>IFERROR(__xludf.DUMMYFUNCTION("IFERROR(IF(COUNTIF(IMPORTRANGE(""1IG9qoa6PeLdDDFzKpW39lxXshN0-M8Z25a_R1EpsYyg"",""Form Responses 1!B:B""),F730)&gt;0,10,),0)"),"")</f>
        <v/>
      </c>
      <c r="V730" s="70"/>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row>
    <row r="731">
      <c r="B731" s="70" t="str">
        <f>IFERROR(__xludf.DUMMYFUNCTION("IFERROR(IF(COUNTIF(IMPORTRANGE(""1RTcwEJsI_0aJRebhNwO_H_AoKl9r46k7hWYbtciIyM4"",""Form Responses 1!B:B""),A731)&gt;0,10,),0)"),"")</f>
        <v/>
      </c>
      <c r="C731" s="70" t="str">
        <f>IFERROR(__xludf.DUMMYFUNCTION("IFERROR(VLOOKUP(A731,IMPORTRANGE(""11i8IUhq_U6RRKRV3CBWIKqYed_fMvFgNUHTq1YDJfp8"",""Form Responses 1!B:C""),2,FALSE),)"),"")</f>
        <v/>
      </c>
      <c r="D731" s="70" t="str">
        <f>IFERROR(__xludf.DUMMYFUNCTION("IFERROR(VLOOKUP(A731,IMPORTRANGE(""1StiHxuxrFhYdrq5WLR2JMORicW0TbnJf3J-oTHeMRtM"",""Form Responses 1!B:C""),2,FALSE),)"),"")</f>
        <v/>
      </c>
      <c r="E731" s="70" t="str">
        <f>IFERROR(__xludf.DUMMYFUNCTION("IFERROR(VLOOKUP(A731,IMPORTRANGE(""1QaxxyUjrDq2kgz300C1Bq1tacFk6e-xX218cSXCQUK0"",""Form Responses 1!B:C""),2,FALSE),)"),"")</f>
        <v/>
      </c>
      <c r="F731" s="70" t="str">
        <f>IFERROR(__xludf.DUMMYFUNCTION("IFERROR(VLOOKUP(A731,IMPORTRANGE(""1fn2ECph_y8Uz78DhjLaiXcwgt6kh3oe-0Le36Uw0noE"",""Form Responses 1!B:C""),2,FALSE),)"),"")</f>
        <v/>
      </c>
      <c r="G731" s="70"/>
      <c r="H731" s="70"/>
      <c r="I731" s="70"/>
      <c r="J731" s="70"/>
      <c r="K731" s="70"/>
      <c r="L731" s="70"/>
      <c r="M731" s="70"/>
      <c r="N731" s="70"/>
      <c r="O731" s="70"/>
      <c r="P731" s="70"/>
      <c r="Q731" s="70" t="str">
        <f>IFERROR(__xludf.DUMMYFUNCTION("IFERROR(IF(COUNTIF(IMPORTRANGE(""1WjiLR_MTMxI_IZUKuvPO4Sg2rTSIqBzP3edakSRXbOA"",""Form Responses 1!B:B""),F731)&gt;0,10,),0)"),"")</f>
        <v/>
      </c>
      <c r="R731" s="70" t="str">
        <f>IFERROR(__xludf.DUMMYFUNCTION("IFERROR(VLOOKUP(F731,IMPORTRANGE(""1Ixzbal5tEbtWhozsFEppQzOYE6ZSrkNXHg_HW5k3Wt4"",""Form Responses 1!B:C""),2,FALSE),)"),"")</f>
        <v/>
      </c>
      <c r="S731" s="70" t="str">
        <f>IFERROR(__xludf.DUMMYFUNCTION("IFERROR(VLOOKUP(F731,IMPORTRANGE(""1zxjtEKGvVIJPIDqZdnxENwVpPXYa88EihzyI44hcQUo"",""Form Responses 1!B:C""),2,FALSE),)"),"")</f>
        <v/>
      </c>
      <c r="T731" s="70" t="str">
        <f>IFERROR(__xludf.DUMMYFUNCTION("IFERROR(VLOOKUP(F731,IMPORTRANGE(""1H3cO01obd5zFULYqaT5NAqecZBFFIHeDFn4CeQLZF3w"",""Form Responses 1!B:C""),2,FALSE),)"),"")</f>
        <v/>
      </c>
      <c r="U731" s="70" t="str">
        <f>IFERROR(__xludf.DUMMYFUNCTION("IFERROR(IF(COUNTIF(IMPORTRANGE(""1IG9qoa6PeLdDDFzKpW39lxXshN0-M8Z25a_R1EpsYyg"",""Form Responses 1!B:B""),F731)&gt;0,10,),0)"),"")</f>
        <v/>
      </c>
      <c r="V731" s="70"/>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row>
    <row r="732">
      <c r="B732" s="70" t="str">
        <f>IFERROR(__xludf.DUMMYFUNCTION("IFERROR(IF(COUNTIF(IMPORTRANGE(""1RTcwEJsI_0aJRebhNwO_H_AoKl9r46k7hWYbtciIyM4"",""Form Responses 1!B:B""),A732)&gt;0,10,),0)"),"")</f>
        <v/>
      </c>
      <c r="C732" s="70" t="str">
        <f>IFERROR(__xludf.DUMMYFUNCTION("IFERROR(VLOOKUP(A732,IMPORTRANGE(""11i8IUhq_U6RRKRV3CBWIKqYed_fMvFgNUHTq1YDJfp8"",""Form Responses 1!B:C""),2,FALSE),)"),"")</f>
        <v/>
      </c>
      <c r="D732" s="70" t="str">
        <f>IFERROR(__xludf.DUMMYFUNCTION("IFERROR(VLOOKUP(A732,IMPORTRANGE(""1StiHxuxrFhYdrq5WLR2JMORicW0TbnJf3J-oTHeMRtM"",""Form Responses 1!B:C""),2,FALSE),)"),"")</f>
        <v/>
      </c>
      <c r="E732" s="70" t="str">
        <f>IFERROR(__xludf.DUMMYFUNCTION("IFERROR(VLOOKUP(A732,IMPORTRANGE(""1QaxxyUjrDq2kgz300C1Bq1tacFk6e-xX218cSXCQUK0"",""Form Responses 1!B:C""),2,FALSE),)"),"")</f>
        <v/>
      </c>
      <c r="F732" s="70" t="str">
        <f>IFERROR(__xludf.DUMMYFUNCTION("IFERROR(VLOOKUP(A732,IMPORTRANGE(""1fn2ECph_y8Uz78DhjLaiXcwgt6kh3oe-0Le36Uw0noE"",""Form Responses 1!B:C""),2,FALSE),)"),"")</f>
        <v/>
      </c>
      <c r="G732" s="70"/>
      <c r="H732" s="70"/>
      <c r="I732" s="70"/>
      <c r="J732" s="70"/>
      <c r="K732" s="70"/>
      <c r="L732" s="70"/>
      <c r="M732" s="70"/>
      <c r="N732" s="70"/>
      <c r="O732" s="70"/>
      <c r="P732" s="70"/>
      <c r="Q732" s="70" t="str">
        <f>IFERROR(__xludf.DUMMYFUNCTION("IFERROR(IF(COUNTIF(IMPORTRANGE(""1WjiLR_MTMxI_IZUKuvPO4Sg2rTSIqBzP3edakSRXbOA"",""Form Responses 1!B:B""),F732)&gt;0,10,),0)"),"")</f>
        <v/>
      </c>
      <c r="R732" s="70" t="str">
        <f>IFERROR(__xludf.DUMMYFUNCTION("IFERROR(VLOOKUP(F732,IMPORTRANGE(""1Ixzbal5tEbtWhozsFEppQzOYE6ZSrkNXHg_HW5k3Wt4"",""Form Responses 1!B:C""),2,FALSE),)"),"")</f>
        <v/>
      </c>
      <c r="S732" s="70" t="str">
        <f>IFERROR(__xludf.DUMMYFUNCTION("IFERROR(VLOOKUP(F732,IMPORTRANGE(""1zxjtEKGvVIJPIDqZdnxENwVpPXYa88EihzyI44hcQUo"",""Form Responses 1!B:C""),2,FALSE),)"),"")</f>
        <v/>
      </c>
      <c r="T732" s="70" t="str">
        <f>IFERROR(__xludf.DUMMYFUNCTION("IFERROR(VLOOKUP(F732,IMPORTRANGE(""1H3cO01obd5zFULYqaT5NAqecZBFFIHeDFn4CeQLZF3w"",""Form Responses 1!B:C""),2,FALSE),)"),"")</f>
        <v/>
      </c>
      <c r="U732" s="70" t="str">
        <f>IFERROR(__xludf.DUMMYFUNCTION("IFERROR(IF(COUNTIF(IMPORTRANGE(""1IG9qoa6PeLdDDFzKpW39lxXshN0-M8Z25a_R1EpsYyg"",""Form Responses 1!B:B""),F732)&gt;0,10,),0)"),"")</f>
        <v/>
      </c>
      <c r="V732" s="70"/>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row>
    <row r="733">
      <c r="B733" s="70" t="str">
        <f>IFERROR(__xludf.DUMMYFUNCTION("IFERROR(IF(COUNTIF(IMPORTRANGE(""1RTcwEJsI_0aJRebhNwO_H_AoKl9r46k7hWYbtciIyM4"",""Form Responses 1!B:B""),A733)&gt;0,10,),0)"),"")</f>
        <v/>
      </c>
      <c r="C733" s="70" t="str">
        <f>IFERROR(__xludf.DUMMYFUNCTION("IFERROR(VLOOKUP(A733,IMPORTRANGE(""11i8IUhq_U6RRKRV3CBWIKqYed_fMvFgNUHTq1YDJfp8"",""Form Responses 1!B:C""),2,FALSE),)"),"")</f>
        <v/>
      </c>
      <c r="D733" s="70" t="str">
        <f>IFERROR(__xludf.DUMMYFUNCTION("IFERROR(VLOOKUP(A733,IMPORTRANGE(""1StiHxuxrFhYdrq5WLR2JMORicW0TbnJf3J-oTHeMRtM"",""Form Responses 1!B:C""),2,FALSE),)"),"")</f>
        <v/>
      </c>
      <c r="E733" s="70" t="str">
        <f>IFERROR(__xludf.DUMMYFUNCTION("IFERROR(VLOOKUP(A733,IMPORTRANGE(""1QaxxyUjrDq2kgz300C1Bq1tacFk6e-xX218cSXCQUK0"",""Form Responses 1!B:C""),2,FALSE),)"),"")</f>
        <v/>
      </c>
      <c r="F733" s="70" t="str">
        <f>IFERROR(__xludf.DUMMYFUNCTION("IFERROR(VLOOKUP(A733,IMPORTRANGE(""1fn2ECph_y8Uz78DhjLaiXcwgt6kh3oe-0Le36Uw0noE"",""Form Responses 1!B:C""),2,FALSE),)"),"")</f>
        <v/>
      </c>
      <c r="G733" s="70"/>
      <c r="H733" s="70"/>
      <c r="I733" s="70"/>
      <c r="J733" s="70"/>
      <c r="K733" s="70"/>
      <c r="L733" s="70"/>
      <c r="M733" s="70"/>
      <c r="N733" s="70"/>
      <c r="O733" s="70"/>
      <c r="P733" s="70"/>
      <c r="Q733" s="70" t="str">
        <f>IFERROR(__xludf.DUMMYFUNCTION("IFERROR(IF(COUNTIF(IMPORTRANGE(""1WjiLR_MTMxI_IZUKuvPO4Sg2rTSIqBzP3edakSRXbOA"",""Form Responses 1!B:B""),F733)&gt;0,10,),0)"),"")</f>
        <v/>
      </c>
      <c r="R733" s="70" t="str">
        <f>IFERROR(__xludf.DUMMYFUNCTION("IFERROR(VLOOKUP(F733,IMPORTRANGE(""1Ixzbal5tEbtWhozsFEppQzOYE6ZSrkNXHg_HW5k3Wt4"",""Form Responses 1!B:C""),2,FALSE),)"),"")</f>
        <v/>
      </c>
      <c r="S733" s="70" t="str">
        <f>IFERROR(__xludf.DUMMYFUNCTION("IFERROR(VLOOKUP(F733,IMPORTRANGE(""1zxjtEKGvVIJPIDqZdnxENwVpPXYa88EihzyI44hcQUo"",""Form Responses 1!B:C""),2,FALSE),)"),"")</f>
        <v/>
      </c>
      <c r="T733" s="70" t="str">
        <f>IFERROR(__xludf.DUMMYFUNCTION("IFERROR(VLOOKUP(F733,IMPORTRANGE(""1H3cO01obd5zFULYqaT5NAqecZBFFIHeDFn4CeQLZF3w"",""Form Responses 1!B:C""),2,FALSE),)"),"")</f>
        <v/>
      </c>
      <c r="U733" s="70" t="str">
        <f>IFERROR(__xludf.DUMMYFUNCTION("IFERROR(IF(COUNTIF(IMPORTRANGE(""1IG9qoa6PeLdDDFzKpW39lxXshN0-M8Z25a_R1EpsYyg"",""Form Responses 1!B:B""),F733)&gt;0,10,),0)"),"")</f>
        <v/>
      </c>
      <c r="V733" s="70"/>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row>
    <row r="734">
      <c r="B734" s="70" t="str">
        <f>IFERROR(__xludf.DUMMYFUNCTION("IFERROR(IF(COUNTIF(IMPORTRANGE(""1RTcwEJsI_0aJRebhNwO_H_AoKl9r46k7hWYbtciIyM4"",""Form Responses 1!B:B""),A734)&gt;0,10,),0)"),"")</f>
        <v/>
      </c>
      <c r="C734" s="70" t="str">
        <f>IFERROR(__xludf.DUMMYFUNCTION("IFERROR(VLOOKUP(A734,IMPORTRANGE(""11i8IUhq_U6RRKRV3CBWIKqYed_fMvFgNUHTq1YDJfp8"",""Form Responses 1!B:C""),2,FALSE),)"),"")</f>
        <v/>
      </c>
      <c r="D734" s="70" t="str">
        <f>IFERROR(__xludf.DUMMYFUNCTION("IFERROR(VLOOKUP(A734,IMPORTRANGE(""1StiHxuxrFhYdrq5WLR2JMORicW0TbnJf3J-oTHeMRtM"",""Form Responses 1!B:C""),2,FALSE),)"),"")</f>
        <v/>
      </c>
      <c r="E734" s="70" t="str">
        <f>IFERROR(__xludf.DUMMYFUNCTION("IFERROR(VLOOKUP(A734,IMPORTRANGE(""1QaxxyUjrDq2kgz300C1Bq1tacFk6e-xX218cSXCQUK0"",""Form Responses 1!B:C""),2,FALSE),)"),"")</f>
        <v/>
      </c>
      <c r="F734" s="70" t="str">
        <f>IFERROR(__xludf.DUMMYFUNCTION("IFERROR(VLOOKUP(A734,IMPORTRANGE(""1fn2ECph_y8Uz78DhjLaiXcwgt6kh3oe-0Le36Uw0noE"",""Form Responses 1!B:C""),2,FALSE),)"),"")</f>
        <v/>
      </c>
      <c r="G734" s="70"/>
      <c r="H734" s="70"/>
      <c r="I734" s="70"/>
      <c r="J734" s="70"/>
      <c r="K734" s="70"/>
      <c r="L734" s="70"/>
      <c r="M734" s="70"/>
      <c r="N734" s="70"/>
      <c r="O734" s="70"/>
      <c r="P734" s="70"/>
      <c r="Q734" s="70" t="str">
        <f>IFERROR(__xludf.DUMMYFUNCTION("IFERROR(IF(COUNTIF(IMPORTRANGE(""1WjiLR_MTMxI_IZUKuvPO4Sg2rTSIqBzP3edakSRXbOA"",""Form Responses 1!B:B""),F734)&gt;0,10,),0)"),"")</f>
        <v/>
      </c>
      <c r="R734" s="70" t="str">
        <f>IFERROR(__xludf.DUMMYFUNCTION("IFERROR(VLOOKUP(F734,IMPORTRANGE(""1Ixzbal5tEbtWhozsFEppQzOYE6ZSrkNXHg_HW5k3Wt4"",""Form Responses 1!B:C""),2,FALSE),)"),"")</f>
        <v/>
      </c>
      <c r="S734" s="70" t="str">
        <f>IFERROR(__xludf.DUMMYFUNCTION("IFERROR(VLOOKUP(F734,IMPORTRANGE(""1zxjtEKGvVIJPIDqZdnxENwVpPXYa88EihzyI44hcQUo"",""Form Responses 1!B:C""),2,FALSE),)"),"")</f>
        <v/>
      </c>
      <c r="T734" s="70" t="str">
        <f>IFERROR(__xludf.DUMMYFUNCTION("IFERROR(VLOOKUP(F734,IMPORTRANGE(""1H3cO01obd5zFULYqaT5NAqecZBFFIHeDFn4CeQLZF3w"",""Form Responses 1!B:C""),2,FALSE),)"),"")</f>
        <v/>
      </c>
      <c r="U734" s="70" t="str">
        <f>IFERROR(__xludf.DUMMYFUNCTION("IFERROR(IF(COUNTIF(IMPORTRANGE(""1IG9qoa6PeLdDDFzKpW39lxXshN0-M8Z25a_R1EpsYyg"",""Form Responses 1!B:B""),F734)&gt;0,10,),0)"),"")</f>
        <v/>
      </c>
      <c r="V734" s="70"/>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row>
    <row r="735">
      <c r="B735" s="70" t="str">
        <f>IFERROR(__xludf.DUMMYFUNCTION("IFERROR(IF(COUNTIF(IMPORTRANGE(""1RTcwEJsI_0aJRebhNwO_H_AoKl9r46k7hWYbtciIyM4"",""Form Responses 1!B:B""),A735)&gt;0,10,),0)"),"")</f>
        <v/>
      </c>
      <c r="C735" s="70" t="str">
        <f>IFERROR(__xludf.DUMMYFUNCTION("IFERROR(VLOOKUP(A735,IMPORTRANGE(""11i8IUhq_U6RRKRV3CBWIKqYed_fMvFgNUHTq1YDJfp8"",""Form Responses 1!B:C""),2,FALSE),)"),"")</f>
        <v/>
      </c>
      <c r="D735" s="70" t="str">
        <f>IFERROR(__xludf.DUMMYFUNCTION("IFERROR(VLOOKUP(A735,IMPORTRANGE(""1StiHxuxrFhYdrq5WLR2JMORicW0TbnJf3J-oTHeMRtM"",""Form Responses 1!B:C""),2,FALSE),)"),"")</f>
        <v/>
      </c>
      <c r="E735" s="70" t="str">
        <f>IFERROR(__xludf.DUMMYFUNCTION("IFERROR(VLOOKUP(A735,IMPORTRANGE(""1QaxxyUjrDq2kgz300C1Bq1tacFk6e-xX218cSXCQUK0"",""Form Responses 1!B:C""),2,FALSE),)"),"")</f>
        <v/>
      </c>
      <c r="F735" s="70" t="str">
        <f>IFERROR(__xludf.DUMMYFUNCTION("IFERROR(VLOOKUP(A735,IMPORTRANGE(""1fn2ECph_y8Uz78DhjLaiXcwgt6kh3oe-0Le36Uw0noE"",""Form Responses 1!B:C""),2,FALSE),)"),"")</f>
        <v/>
      </c>
      <c r="G735" s="70"/>
      <c r="H735" s="70"/>
      <c r="I735" s="70"/>
      <c r="J735" s="70"/>
      <c r="K735" s="70"/>
      <c r="L735" s="70"/>
      <c r="M735" s="70"/>
      <c r="N735" s="70"/>
      <c r="O735" s="70"/>
      <c r="P735" s="70"/>
      <c r="Q735" s="70" t="str">
        <f>IFERROR(__xludf.DUMMYFUNCTION("IFERROR(IF(COUNTIF(IMPORTRANGE(""1WjiLR_MTMxI_IZUKuvPO4Sg2rTSIqBzP3edakSRXbOA"",""Form Responses 1!B:B""),F735)&gt;0,10,),0)"),"")</f>
        <v/>
      </c>
      <c r="R735" s="70" t="str">
        <f>IFERROR(__xludf.DUMMYFUNCTION("IFERROR(VLOOKUP(F735,IMPORTRANGE(""1Ixzbal5tEbtWhozsFEppQzOYE6ZSrkNXHg_HW5k3Wt4"",""Form Responses 1!B:C""),2,FALSE),)"),"")</f>
        <v/>
      </c>
      <c r="S735" s="70" t="str">
        <f>IFERROR(__xludf.DUMMYFUNCTION("IFERROR(VLOOKUP(F735,IMPORTRANGE(""1zxjtEKGvVIJPIDqZdnxENwVpPXYa88EihzyI44hcQUo"",""Form Responses 1!B:C""),2,FALSE),)"),"")</f>
        <v/>
      </c>
      <c r="T735" s="70" t="str">
        <f>IFERROR(__xludf.DUMMYFUNCTION("IFERROR(VLOOKUP(F735,IMPORTRANGE(""1H3cO01obd5zFULYqaT5NAqecZBFFIHeDFn4CeQLZF3w"",""Form Responses 1!B:C""),2,FALSE),)"),"")</f>
        <v/>
      </c>
      <c r="U735" s="70" t="str">
        <f>IFERROR(__xludf.DUMMYFUNCTION("IFERROR(IF(COUNTIF(IMPORTRANGE(""1IG9qoa6PeLdDDFzKpW39lxXshN0-M8Z25a_R1EpsYyg"",""Form Responses 1!B:B""),F735)&gt;0,10,),0)"),"")</f>
        <v/>
      </c>
      <c r="V735" s="70"/>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row>
    <row r="736">
      <c r="B736" s="70" t="str">
        <f>IFERROR(__xludf.DUMMYFUNCTION("IFERROR(IF(COUNTIF(IMPORTRANGE(""1RTcwEJsI_0aJRebhNwO_H_AoKl9r46k7hWYbtciIyM4"",""Form Responses 1!B:B""),A736)&gt;0,10,),0)"),"")</f>
        <v/>
      </c>
      <c r="C736" s="70" t="str">
        <f>IFERROR(__xludf.DUMMYFUNCTION("IFERROR(VLOOKUP(A736,IMPORTRANGE(""11i8IUhq_U6RRKRV3CBWIKqYed_fMvFgNUHTq1YDJfp8"",""Form Responses 1!B:C""),2,FALSE),)"),"")</f>
        <v/>
      </c>
      <c r="D736" s="70" t="str">
        <f>IFERROR(__xludf.DUMMYFUNCTION("IFERROR(VLOOKUP(A736,IMPORTRANGE(""1StiHxuxrFhYdrq5WLR2JMORicW0TbnJf3J-oTHeMRtM"",""Form Responses 1!B:C""),2,FALSE),)"),"")</f>
        <v/>
      </c>
      <c r="E736" s="70" t="str">
        <f>IFERROR(__xludf.DUMMYFUNCTION("IFERROR(VLOOKUP(A736,IMPORTRANGE(""1QaxxyUjrDq2kgz300C1Bq1tacFk6e-xX218cSXCQUK0"",""Form Responses 1!B:C""),2,FALSE),)"),"")</f>
        <v/>
      </c>
      <c r="F736" s="70" t="str">
        <f>IFERROR(__xludf.DUMMYFUNCTION("IFERROR(VLOOKUP(A736,IMPORTRANGE(""1fn2ECph_y8Uz78DhjLaiXcwgt6kh3oe-0Le36Uw0noE"",""Form Responses 1!B:C""),2,FALSE),)"),"")</f>
        <v/>
      </c>
      <c r="G736" s="70"/>
      <c r="H736" s="70"/>
      <c r="I736" s="70"/>
      <c r="J736" s="70"/>
      <c r="K736" s="70"/>
      <c r="L736" s="70"/>
      <c r="M736" s="70"/>
      <c r="N736" s="70"/>
      <c r="O736" s="70"/>
      <c r="P736" s="70"/>
      <c r="Q736" s="70" t="str">
        <f>IFERROR(__xludf.DUMMYFUNCTION("IFERROR(IF(COUNTIF(IMPORTRANGE(""1WjiLR_MTMxI_IZUKuvPO4Sg2rTSIqBzP3edakSRXbOA"",""Form Responses 1!B:B""),F736)&gt;0,10,),0)"),"")</f>
        <v/>
      </c>
      <c r="R736" s="70" t="str">
        <f>IFERROR(__xludf.DUMMYFUNCTION("IFERROR(VLOOKUP(F736,IMPORTRANGE(""1Ixzbal5tEbtWhozsFEppQzOYE6ZSrkNXHg_HW5k3Wt4"",""Form Responses 1!B:C""),2,FALSE),)"),"")</f>
        <v/>
      </c>
      <c r="S736" s="70" t="str">
        <f>IFERROR(__xludf.DUMMYFUNCTION("IFERROR(VLOOKUP(F736,IMPORTRANGE(""1zxjtEKGvVIJPIDqZdnxENwVpPXYa88EihzyI44hcQUo"",""Form Responses 1!B:C""),2,FALSE),)"),"")</f>
        <v/>
      </c>
      <c r="T736" s="70" t="str">
        <f>IFERROR(__xludf.DUMMYFUNCTION("IFERROR(VLOOKUP(F736,IMPORTRANGE(""1H3cO01obd5zFULYqaT5NAqecZBFFIHeDFn4CeQLZF3w"",""Form Responses 1!B:C""),2,FALSE),)"),"")</f>
        <v/>
      </c>
      <c r="U736" s="70" t="str">
        <f>IFERROR(__xludf.DUMMYFUNCTION("IFERROR(IF(COUNTIF(IMPORTRANGE(""1IG9qoa6PeLdDDFzKpW39lxXshN0-M8Z25a_R1EpsYyg"",""Form Responses 1!B:B""),F736)&gt;0,10,),0)"),"")</f>
        <v/>
      </c>
      <c r="V736" s="70"/>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row>
    <row r="737">
      <c r="B737" s="70" t="str">
        <f>IFERROR(__xludf.DUMMYFUNCTION("IFERROR(IF(COUNTIF(IMPORTRANGE(""1RTcwEJsI_0aJRebhNwO_H_AoKl9r46k7hWYbtciIyM4"",""Form Responses 1!B:B""),A737)&gt;0,10,),0)"),"")</f>
        <v/>
      </c>
      <c r="C737" s="70" t="str">
        <f>IFERROR(__xludf.DUMMYFUNCTION("IFERROR(VLOOKUP(A737,IMPORTRANGE(""11i8IUhq_U6RRKRV3CBWIKqYed_fMvFgNUHTq1YDJfp8"",""Form Responses 1!B:C""),2,FALSE),)"),"")</f>
        <v/>
      </c>
      <c r="D737" s="70" t="str">
        <f>IFERROR(__xludf.DUMMYFUNCTION("IFERROR(VLOOKUP(A737,IMPORTRANGE(""1StiHxuxrFhYdrq5WLR2JMORicW0TbnJf3J-oTHeMRtM"",""Form Responses 1!B:C""),2,FALSE),)"),"")</f>
        <v/>
      </c>
      <c r="E737" s="70" t="str">
        <f>IFERROR(__xludf.DUMMYFUNCTION("IFERROR(VLOOKUP(A737,IMPORTRANGE(""1QaxxyUjrDq2kgz300C1Bq1tacFk6e-xX218cSXCQUK0"",""Form Responses 1!B:C""),2,FALSE),)"),"")</f>
        <v/>
      </c>
      <c r="F737" s="70" t="str">
        <f>IFERROR(__xludf.DUMMYFUNCTION("IFERROR(VLOOKUP(A737,IMPORTRANGE(""1fn2ECph_y8Uz78DhjLaiXcwgt6kh3oe-0Le36Uw0noE"",""Form Responses 1!B:C""),2,FALSE),)"),"")</f>
        <v/>
      </c>
      <c r="G737" s="70"/>
      <c r="H737" s="70"/>
      <c r="I737" s="70"/>
      <c r="J737" s="70"/>
      <c r="K737" s="70"/>
      <c r="L737" s="70"/>
      <c r="M737" s="70"/>
      <c r="N737" s="70"/>
      <c r="O737" s="70"/>
      <c r="P737" s="70"/>
      <c r="Q737" s="70" t="str">
        <f>IFERROR(__xludf.DUMMYFUNCTION("IFERROR(IF(COUNTIF(IMPORTRANGE(""1WjiLR_MTMxI_IZUKuvPO4Sg2rTSIqBzP3edakSRXbOA"",""Form Responses 1!B:B""),F737)&gt;0,10,),0)"),"")</f>
        <v/>
      </c>
      <c r="R737" s="70" t="str">
        <f>IFERROR(__xludf.DUMMYFUNCTION("IFERROR(VLOOKUP(F737,IMPORTRANGE(""1Ixzbal5tEbtWhozsFEppQzOYE6ZSrkNXHg_HW5k3Wt4"",""Form Responses 1!B:C""),2,FALSE),)"),"")</f>
        <v/>
      </c>
      <c r="S737" s="70" t="str">
        <f>IFERROR(__xludf.DUMMYFUNCTION("IFERROR(VLOOKUP(F737,IMPORTRANGE(""1zxjtEKGvVIJPIDqZdnxENwVpPXYa88EihzyI44hcQUo"",""Form Responses 1!B:C""),2,FALSE),)"),"")</f>
        <v/>
      </c>
      <c r="T737" s="70" t="str">
        <f>IFERROR(__xludf.DUMMYFUNCTION("IFERROR(VLOOKUP(F737,IMPORTRANGE(""1H3cO01obd5zFULYqaT5NAqecZBFFIHeDFn4CeQLZF3w"",""Form Responses 1!B:C""),2,FALSE),)"),"")</f>
        <v/>
      </c>
      <c r="U737" s="70" t="str">
        <f>IFERROR(__xludf.DUMMYFUNCTION("IFERROR(IF(COUNTIF(IMPORTRANGE(""1IG9qoa6PeLdDDFzKpW39lxXshN0-M8Z25a_R1EpsYyg"",""Form Responses 1!B:B""),F737)&gt;0,10,),0)"),"")</f>
        <v/>
      </c>
      <c r="V737" s="70"/>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row>
    <row r="738">
      <c r="B738" s="70" t="str">
        <f>IFERROR(__xludf.DUMMYFUNCTION("IFERROR(IF(COUNTIF(IMPORTRANGE(""1RTcwEJsI_0aJRebhNwO_H_AoKl9r46k7hWYbtciIyM4"",""Form Responses 1!B:B""),A738)&gt;0,10,),0)"),"")</f>
        <v/>
      </c>
      <c r="C738" s="70" t="str">
        <f>IFERROR(__xludf.DUMMYFUNCTION("IFERROR(VLOOKUP(A738,IMPORTRANGE(""11i8IUhq_U6RRKRV3CBWIKqYed_fMvFgNUHTq1YDJfp8"",""Form Responses 1!B:C""),2,FALSE),)"),"")</f>
        <v/>
      </c>
      <c r="D738" s="70" t="str">
        <f>IFERROR(__xludf.DUMMYFUNCTION("IFERROR(VLOOKUP(A738,IMPORTRANGE(""1StiHxuxrFhYdrq5WLR2JMORicW0TbnJf3J-oTHeMRtM"",""Form Responses 1!B:C""),2,FALSE),)"),"")</f>
        <v/>
      </c>
      <c r="E738" s="70" t="str">
        <f>IFERROR(__xludf.DUMMYFUNCTION("IFERROR(VLOOKUP(A738,IMPORTRANGE(""1QaxxyUjrDq2kgz300C1Bq1tacFk6e-xX218cSXCQUK0"",""Form Responses 1!B:C""),2,FALSE),)"),"")</f>
        <v/>
      </c>
      <c r="F738" s="70" t="str">
        <f>IFERROR(__xludf.DUMMYFUNCTION("IFERROR(VLOOKUP(A738,IMPORTRANGE(""1fn2ECph_y8Uz78DhjLaiXcwgt6kh3oe-0Le36Uw0noE"",""Form Responses 1!B:C""),2,FALSE),)"),"")</f>
        <v/>
      </c>
      <c r="G738" s="70"/>
      <c r="H738" s="70"/>
      <c r="I738" s="70"/>
      <c r="J738" s="70"/>
      <c r="K738" s="70"/>
      <c r="L738" s="70"/>
      <c r="M738" s="70"/>
      <c r="N738" s="70"/>
      <c r="O738" s="70"/>
      <c r="P738" s="70"/>
      <c r="Q738" s="70" t="str">
        <f>IFERROR(__xludf.DUMMYFUNCTION("IFERROR(IF(COUNTIF(IMPORTRANGE(""1WjiLR_MTMxI_IZUKuvPO4Sg2rTSIqBzP3edakSRXbOA"",""Form Responses 1!B:B""),F738)&gt;0,10,),0)"),"")</f>
        <v/>
      </c>
      <c r="R738" s="70" t="str">
        <f>IFERROR(__xludf.DUMMYFUNCTION("IFERROR(VLOOKUP(F738,IMPORTRANGE(""1Ixzbal5tEbtWhozsFEppQzOYE6ZSrkNXHg_HW5k3Wt4"",""Form Responses 1!B:C""),2,FALSE),)"),"")</f>
        <v/>
      </c>
      <c r="S738" s="70" t="str">
        <f>IFERROR(__xludf.DUMMYFUNCTION("IFERROR(VLOOKUP(F738,IMPORTRANGE(""1zxjtEKGvVIJPIDqZdnxENwVpPXYa88EihzyI44hcQUo"",""Form Responses 1!B:C""),2,FALSE),)"),"")</f>
        <v/>
      </c>
      <c r="T738" s="70" t="str">
        <f>IFERROR(__xludf.DUMMYFUNCTION("IFERROR(VLOOKUP(F738,IMPORTRANGE(""1H3cO01obd5zFULYqaT5NAqecZBFFIHeDFn4CeQLZF3w"",""Form Responses 1!B:C""),2,FALSE),)"),"")</f>
        <v/>
      </c>
      <c r="U738" s="70" t="str">
        <f>IFERROR(__xludf.DUMMYFUNCTION("IFERROR(IF(COUNTIF(IMPORTRANGE(""1IG9qoa6PeLdDDFzKpW39lxXshN0-M8Z25a_R1EpsYyg"",""Form Responses 1!B:B""),F738)&gt;0,10,),0)"),"")</f>
        <v/>
      </c>
      <c r="V738" s="70"/>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row>
    <row r="739">
      <c r="B739" s="70" t="str">
        <f>IFERROR(__xludf.DUMMYFUNCTION("IFERROR(IF(COUNTIF(IMPORTRANGE(""1RTcwEJsI_0aJRebhNwO_H_AoKl9r46k7hWYbtciIyM4"",""Form Responses 1!B:B""),A739)&gt;0,10,),0)"),"")</f>
        <v/>
      </c>
      <c r="C739" s="70" t="str">
        <f>IFERROR(__xludf.DUMMYFUNCTION("IFERROR(VLOOKUP(A739,IMPORTRANGE(""11i8IUhq_U6RRKRV3CBWIKqYed_fMvFgNUHTq1YDJfp8"",""Form Responses 1!B:C""),2,FALSE),)"),"")</f>
        <v/>
      </c>
      <c r="D739" s="70" t="str">
        <f>IFERROR(__xludf.DUMMYFUNCTION("IFERROR(VLOOKUP(A739,IMPORTRANGE(""1StiHxuxrFhYdrq5WLR2JMORicW0TbnJf3J-oTHeMRtM"",""Form Responses 1!B:C""),2,FALSE),)"),"")</f>
        <v/>
      </c>
      <c r="E739" s="70" t="str">
        <f>IFERROR(__xludf.DUMMYFUNCTION("IFERROR(VLOOKUP(A739,IMPORTRANGE(""1QaxxyUjrDq2kgz300C1Bq1tacFk6e-xX218cSXCQUK0"",""Form Responses 1!B:C""),2,FALSE),)"),"")</f>
        <v/>
      </c>
      <c r="F739" s="70" t="str">
        <f>IFERROR(__xludf.DUMMYFUNCTION("IFERROR(VLOOKUP(A739,IMPORTRANGE(""1fn2ECph_y8Uz78DhjLaiXcwgt6kh3oe-0Le36Uw0noE"",""Form Responses 1!B:C""),2,FALSE),)"),"")</f>
        <v/>
      </c>
      <c r="G739" s="70"/>
      <c r="H739" s="70"/>
      <c r="I739" s="70"/>
      <c r="J739" s="70"/>
      <c r="K739" s="70"/>
      <c r="L739" s="70"/>
      <c r="M739" s="70"/>
      <c r="N739" s="70"/>
      <c r="O739" s="70"/>
      <c r="P739" s="70"/>
      <c r="Q739" s="70" t="str">
        <f>IFERROR(__xludf.DUMMYFUNCTION("IFERROR(IF(COUNTIF(IMPORTRANGE(""1WjiLR_MTMxI_IZUKuvPO4Sg2rTSIqBzP3edakSRXbOA"",""Form Responses 1!B:B""),F739)&gt;0,10,),0)"),"")</f>
        <v/>
      </c>
      <c r="R739" s="70" t="str">
        <f>IFERROR(__xludf.DUMMYFUNCTION("IFERROR(VLOOKUP(F739,IMPORTRANGE(""1Ixzbal5tEbtWhozsFEppQzOYE6ZSrkNXHg_HW5k3Wt4"",""Form Responses 1!B:C""),2,FALSE),)"),"")</f>
        <v/>
      </c>
      <c r="S739" s="70" t="str">
        <f>IFERROR(__xludf.DUMMYFUNCTION("IFERROR(VLOOKUP(F739,IMPORTRANGE(""1zxjtEKGvVIJPIDqZdnxENwVpPXYa88EihzyI44hcQUo"",""Form Responses 1!B:C""),2,FALSE),)"),"")</f>
        <v/>
      </c>
      <c r="T739" s="70" t="str">
        <f>IFERROR(__xludf.DUMMYFUNCTION("IFERROR(VLOOKUP(F739,IMPORTRANGE(""1H3cO01obd5zFULYqaT5NAqecZBFFIHeDFn4CeQLZF3w"",""Form Responses 1!B:C""),2,FALSE),)"),"")</f>
        <v/>
      </c>
      <c r="U739" s="70" t="str">
        <f>IFERROR(__xludf.DUMMYFUNCTION("IFERROR(IF(COUNTIF(IMPORTRANGE(""1IG9qoa6PeLdDDFzKpW39lxXshN0-M8Z25a_R1EpsYyg"",""Form Responses 1!B:B""),F739)&gt;0,10,),0)"),"")</f>
        <v/>
      </c>
      <c r="V739" s="70"/>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row>
    <row r="740">
      <c r="B740" s="70" t="str">
        <f>IFERROR(__xludf.DUMMYFUNCTION("IFERROR(IF(COUNTIF(IMPORTRANGE(""1RTcwEJsI_0aJRebhNwO_H_AoKl9r46k7hWYbtciIyM4"",""Form Responses 1!B:B""),A740)&gt;0,10,),0)"),"")</f>
        <v/>
      </c>
      <c r="C740" s="70" t="str">
        <f>IFERROR(__xludf.DUMMYFUNCTION("IFERROR(VLOOKUP(A740,IMPORTRANGE(""11i8IUhq_U6RRKRV3CBWIKqYed_fMvFgNUHTq1YDJfp8"",""Form Responses 1!B:C""),2,FALSE),)"),"")</f>
        <v/>
      </c>
      <c r="D740" s="70" t="str">
        <f>IFERROR(__xludf.DUMMYFUNCTION("IFERROR(VLOOKUP(A740,IMPORTRANGE(""1StiHxuxrFhYdrq5WLR2JMORicW0TbnJf3J-oTHeMRtM"",""Form Responses 1!B:C""),2,FALSE),)"),"")</f>
        <v/>
      </c>
      <c r="E740" s="70" t="str">
        <f>IFERROR(__xludf.DUMMYFUNCTION("IFERROR(VLOOKUP(A740,IMPORTRANGE(""1QaxxyUjrDq2kgz300C1Bq1tacFk6e-xX218cSXCQUK0"",""Form Responses 1!B:C""),2,FALSE),)"),"")</f>
        <v/>
      </c>
      <c r="F740" s="70" t="str">
        <f>IFERROR(__xludf.DUMMYFUNCTION("IFERROR(VLOOKUP(A740,IMPORTRANGE(""1fn2ECph_y8Uz78DhjLaiXcwgt6kh3oe-0Le36Uw0noE"",""Form Responses 1!B:C""),2,FALSE),)"),"")</f>
        <v/>
      </c>
      <c r="G740" s="70"/>
      <c r="H740" s="70"/>
      <c r="I740" s="70"/>
      <c r="J740" s="70"/>
      <c r="K740" s="70"/>
      <c r="L740" s="70"/>
      <c r="M740" s="70"/>
      <c r="N740" s="70"/>
      <c r="O740" s="70"/>
      <c r="P740" s="70"/>
      <c r="Q740" s="70" t="str">
        <f>IFERROR(__xludf.DUMMYFUNCTION("IFERROR(IF(COUNTIF(IMPORTRANGE(""1WjiLR_MTMxI_IZUKuvPO4Sg2rTSIqBzP3edakSRXbOA"",""Form Responses 1!B:B""),F740)&gt;0,10,),0)"),"")</f>
        <v/>
      </c>
      <c r="R740" s="70" t="str">
        <f>IFERROR(__xludf.DUMMYFUNCTION("IFERROR(VLOOKUP(F740,IMPORTRANGE(""1Ixzbal5tEbtWhozsFEppQzOYE6ZSrkNXHg_HW5k3Wt4"",""Form Responses 1!B:C""),2,FALSE),)"),"")</f>
        <v/>
      </c>
      <c r="S740" s="70" t="str">
        <f>IFERROR(__xludf.DUMMYFUNCTION("IFERROR(VLOOKUP(F740,IMPORTRANGE(""1zxjtEKGvVIJPIDqZdnxENwVpPXYa88EihzyI44hcQUo"",""Form Responses 1!B:C""),2,FALSE),)"),"")</f>
        <v/>
      </c>
      <c r="T740" s="70" t="str">
        <f>IFERROR(__xludf.DUMMYFUNCTION("IFERROR(VLOOKUP(F740,IMPORTRANGE(""1H3cO01obd5zFULYqaT5NAqecZBFFIHeDFn4CeQLZF3w"",""Form Responses 1!B:C""),2,FALSE),)"),"")</f>
        <v/>
      </c>
      <c r="U740" s="70" t="str">
        <f>IFERROR(__xludf.DUMMYFUNCTION("IFERROR(IF(COUNTIF(IMPORTRANGE(""1IG9qoa6PeLdDDFzKpW39lxXshN0-M8Z25a_R1EpsYyg"",""Form Responses 1!B:B""),F740)&gt;0,10,),0)"),"")</f>
        <v/>
      </c>
      <c r="V740" s="70"/>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row>
    <row r="741">
      <c r="B741" s="70" t="str">
        <f>IFERROR(__xludf.DUMMYFUNCTION("IFERROR(IF(COUNTIF(IMPORTRANGE(""1RTcwEJsI_0aJRebhNwO_H_AoKl9r46k7hWYbtciIyM4"",""Form Responses 1!B:B""),A741)&gt;0,10,),0)"),"")</f>
        <v/>
      </c>
      <c r="C741" s="70" t="str">
        <f>IFERROR(__xludf.DUMMYFUNCTION("IFERROR(VLOOKUP(A741,IMPORTRANGE(""11i8IUhq_U6RRKRV3CBWIKqYed_fMvFgNUHTq1YDJfp8"",""Form Responses 1!B:C""),2,FALSE),)"),"")</f>
        <v/>
      </c>
      <c r="D741" s="70" t="str">
        <f>IFERROR(__xludf.DUMMYFUNCTION("IFERROR(VLOOKUP(A741,IMPORTRANGE(""1StiHxuxrFhYdrq5WLR2JMORicW0TbnJf3J-oTHeMRtM"",""Form Responses 1!B:C""),2,FALSE),)"),"")</f>
        <v/>
      </c>
      <c r="E741" s="70" t="str">
        <f>IFERROR(__xludf.DUMMYFUNCTION("IFERROR(VLOOKUP(A741,IMPORTRANGE(""1QaxxyUjrDq2kgz300C1Bq1tacFk6e-xX218cSXCQUK0"",""Form Responses 1!B:C""),2,FALSE),)"),"")</f>
        <v/>
      </c>
      <c r="F741" s="70" t="str">
        <f>IFERROR(__xludf.DUMMYFUNCTION("IFERROR(VLOOKUP(A741,IMPORTRANGE(""1fn2ECph_y8Uz78DhjLaiXcwgt6kh3oe-0Le36Uw0noE"",""Form Responses 1!B:C""),2,FALSE),)"),"")</f>
        <v/>
      </c>
      <c r="G741" s="70"/>
      <c r="H741" s="70"/>
      <c r="I741" s="70"/>
      <c r="J741" s="70"/>
      <c r="K741" s="70"/>
      <c r="L741" s="70"/>
      <c r="M741" s="70"/>
      <c r="N741" s="70"/>
      <c r="O741" s="70"/>
      <c r="P741" s="70"/>
      <c r="Q741" s="70" t="str">
        <f>IFERROR(__xludf.DUMMYFUNCTION("IFERROR(IF(COUNTIF(IMPORTRANGE(""1WjiLR_MTMxI_IZUKuvPO4Sg2rTSIqBzP3edakSRXbOA"",""Form Responses 1!B:B""),F741)&gt;0,10,),0)"),"")</f>
        <v/>
      </c>
      <c r="R741" s="70" t="str">
        <f>IFERROR(__xludf.DUMMYFUNCTION("IFERROR(VLOOKUP(F741,IMPORTRANGE(""1Ixzbal5tEbtWhozsFEppQzOYE6ZSrkNXHg_HW5k3Wt4"",""Form Responses 1!B:C""),2,FALSE),)"),"")</f>
        <v/>
      </c>
      <c r="S741" s="70" t="str">
        <f>IFERROR(__xludf.DUMMYFUNCTION("IFERROR(VLOOKUP(F741,IMPORTRANGE(""1zxjtEKGvVIJPIDqZdnxENwVpPXYa88EihzyI44hcQUo"",""Form Responses 1!B:C""),2,FALSE),)"),"")</f>
        <v/>
      </c>
      <c r="T741" s="70" t="str">
        <f>IFERROR(__xludf.DUMMYFUNCTION("IFERROR(VLOOKUP(F741,IMPORTRANGE(""1H3cO01obd5zFULYqaT5NAqecZBFFIHeDFn4CeQLZF3w"",""Form Responses 1!B:C""),2,FALSE),)"),"")</f>
        <v/>
      </c>
      <c r="U741" s="70" t="str">
        <f>IFERROR(__xludf.DUMMYFUNCTION("IFERROR(IF(COUNTIF(IMPORTRANGE(""1IG9qoa6PeLdDDFzKpW39lxXshN0-M8Z25a_R1EpsYyg"",""Form Responses 1!B:B""),F741)&gt;0,10,),0)"),"")</f>
        <v/>
      </c>
      <c r="V741" s="70"/>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row>
    <row r="742">
      <c r="B742" s="70" t="str">
        <f>IFERROR(__xludf.DUMMYFUNCTION("IFERROR(IF(COUNTIF(IMPORTRANGE(""1RTcwEJsI_0aJRebhNwO_H_AoKl9r46k7hWYbtciIyM4"",""Form Responses 1!B:B""),A742)&gt;0,10,),0)"),"")</f>
        <v/>
      </c>
      <c r="C742" s="70" t="str">
        <f>IFERROR(__xludf.DUMMYFUNCTION("IFERROR(VLOOKUP(A742,IMPORTRANGE(""11i8IUhq_U6RRKRV3CBWIKqYed_fMvFgNUHTq1YDJfp8"",""Form Responses 1!B:C""),2,FALSE),)"),"")</f>
        <v/>
      </c>
      <c r="D742" s="70" t="str">
        <f>IFERROR(__xludf.DUMMYFUNCTION("IFERROR(VLOOKUP(A742,IMPORTRANGE(""1StiHxuxrFhYdrq5WLR2JMORicW0TbnJf3J-oTHeMRtM"",""Form Responses 1!B:C""),2,FALSE),)"),"")</f>
        <v/>
      </c>
      <c r="E742" s="70" t="str">
        <f>IFERROR(__xludf.DUMMYFUNCTION("IFERROR(VLOOKUP(A742,IMPORTRANGE(""1QaxxyUjrDq2kgz300C1Bq1tacFk6e-xX218cSXCQUK0"",""Form Responses 1!B:C""),2,FALSE),)"),"")</f>
        <v/>
      </c>
      <c r="F742" s="70" t="str">
        <f>IFERROR(__xludf.DUMMYFUNCTION("IFERROR(VLOOKUP(A742,IMPORTRANGE(""1fn2ECph_y8Uz78DhjLaiXcwgt6kh3oe-0Le36Uw0noE"",""Form Responses 1!B:C""),2,FALSE),)"),"")</f>
        <v/>
      </c>
      <c r="G742" s="70"/>
      <c r="H742" s="70"/>
      <c r="I742" s="70"/>
      <c r="J742" s="70"/>
      <c r="K742" s="70"/>
      <c r="L742" s="70"/>
      <c r="M742" s="70"/>
      <c r="N742" s="70"/>
      <c r="O742" s="70"/>
      <c r="P742" s="70"/>
      <c r="Q742" s="70" t="str">
        <f>IFERROR(__xludf.DUMMYFUNCTION("IFERROR(IF(COUNTIF(IMPORTRANGE(""1WjiLR_MTMxI_IZUKuvPO4Sg2rTSIqBzP3edakSRXbOA"",""Form Responses 1!B:B""),F742)&gt;0,10,),0)"),"")</f>
        <v/>
      </c>
      <c r="R742" s="70" t="str">
        <f>IFERROR(__xludf.DUMMYFUNCTION("IFERROR(VLOOKUP(F742,IMPORTRANGE(""1Ixzbal5tEbtWhozsFEppQzOYE6ZSrkNXHg_HW5k3Wt4"",""Form Responses 1!B:C""),2,FALSE),)"),"")</f>
        <v/>
      </c>
      <c r="S742" s="70" t="str">
        <f>IFERROR(__xludf.DUMMYFUNCTION("IFERROR(VLOOKUP(F742,IMPORTRANGE(""1zxjtEKGvVIJPIDqZdnxENwVpPXYa88EihzyI44hcQUo"",""Form Responses 1!B:C""),2,FALSE),)"),"")</f>
        <v/>
      </c>
      <c r="T742" s="70" t="str">
        <f>IFERROR(__xludf.DUMMYFUNCTION("IFERROR(VLOOKUP(F742,IMPORTRANGE(""1H3cO01obd5zFULYqaT5NAqecZBFFIHeDFn4CeQLZF3w"",""Form Responses 1!B:C""),2,FALSE),)"),"")</f>
        <v/>
      </c>
      <c r="U742" s="70" t="str">
        <f>IFERROR(__xludf.DUMMYFUNCTION("IFERROR(IF(COUNTIF(IMPORTRANGE(""1IG9qoa6PeLdDDFzKpW39lxXshN0-M8Z25a_R1EpsYyg"",""Form Responses 1!B:B""),F742)&gt;0,10,),0)"),"")</f>
        <v/>
      </c>
      <c r="V742" s="70"/>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row>
    <row r="743">
      <c r="B743" s="70" t="str">
        <f>IFERROR(__xludf.DUMMYFUNCTION("IFERROR(IF(COUNTIF(IMPORTRANGE(""1RTcwEJsI_0aJRebhNwO_H_AoKl9r46k7hWYbtciIyM4"",""Form Responses 1!B:B""),A743)&gt;0,10,),0)"),"")</f>
        <v/>
      </c>
      <c r="C743" s="70" t="str">
        <f>IFERROR(__xludf.DUMMYFUNCTION("IFERROR(VLOOKUP(A743,IMPORTRANGE(""11i8IUhq_U6RRKRV3CBWIKqYed_fMvFgNUHTq1YDJfp8"",""Form Responses 1!B:C""),2,FALSE),)"),"")</f>
        <v/>
      </c>
      <c r="D743" s="70" t="str">
        <f>IFERROR(__xludf.DUMMYFUNCTION("IFERROR(VLOOKUP(A743,IMPORTRANGE(""1StiHxuxrFhYdrq5WLR2JMORicW0TbnJf3J-oTHeMRtM"",""Form Responses 1!B:C""),2,FALSE),)"),"")</f>
        <v/>
      </c>
      <c r="E743" s="70" t="str">
        <f>IFERROR(__xludf.DUMMYFUNCTION("IFERROR(VLOOKUP(A743,IMPORTRANGE(""1QaxxyUjrDq2kgz300C1Bq1tacFk6e-xX218cSXCQUK0"",""Form Responses 1!B:C""),2,FALSE),)"),"")</f>
        <v/>
      </c>
      <c r="F743" s="70" t="str">
        <f>IFERROR(__xludf.DUMMYFUNCTION("IFERROR(VLOOKUP(A743,IMPORTRANGE(""1fn2ECph_y8Uz78DhjLaiXcwgt6kh3oe-0Le36Uw0noE"",""Form Responses 1!B:C""),2,FALSE),)"),"")</f>
        <v/>
      </c>
      <c r="G743" s="70"/>
      <c r="H743" s="70"/>
      <c r="I743" s="70"/>
      <c r="J743" s="70"/>
      <c r="K743" s="70"/>
      <c r="L743" s="70"/>
      <c r="M743" s="70"/>
      <c r="N743" s="70"/>
      <c r="O743" s="70"/>
      <c r="P743" s="70"/>
      <c r="Q743" s="70" t="str">
        <f>IFERROR(__xludf.DUMMYFUNCTION("IFERROR(IF(COUNTIF(IMPORTRANGE(""1WjiLR_MTMxI_IZUKuvPO4Sg2rTSIqBzP3edakSRXbOA"",""Form Responses 1!B:B""),F743)&gt;0,10,),0)"),"")</f>
        <v/>
      </c>
      <c r="R743" s="70" t="str">
        <f>IFERROR(__xludf.DUMMYFUNCTION("IFERROR(VLOOKUP(F743,IMPORTRANGE(""1Ixzbal5tEbtWhozsFEppQzOYE6ZSrkNXHg_HW5k3Wt4"",""Form Responses 1!B:C""),2,FALSE),)"),"")</f>
        <v/>
      </c>
      <c r="S743" s="70" t="str">
        <f>IFERROR(__xludf.DUMMYFUNCTION("IFERROR(VLOOKUP(F743,IMPORTRANGE(""1zxjtEKGvVIJPIDqZdnxENwVpPXYa88EihzyI44hcQUo"",""Form Responses 1!B:C""),2,FALSE),)"),"")</f>
        <v/>
      </c>
      <c r="T743" s="70" t="str">
        <f>IFERROR(__xludf.DUMMYFUNCTION("IFERROR(VLOOKUP(F743,IMPORTRANGE(""1H3cO01obd5zFULYqaT5NAqecZBFFIHeDFn4CeQLZF3w"",""Form Responses 1!B:C""),2,FALSE),)"),"")</f>
        <v/>
      </c>
      <c r="U743" s="70" t="str">
        <f>IFERROR(__xludf.DUMMYFUNCTION("IFERROR(IF(COUNTIF(IMPORTRANGE(""1IG9qoa6PeLdDDFzKpW39lxXshN0-M8Z25a_R1EpsYyg"",""Form Responses 1!B:B""),F743)&gt;0,10,),0)"),"")</f>
        <v/>
      </c>
      <c r="V743" s="70"/>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row>
    <row r="744">
      <c r="B744" s="70" t="str">
        <f>IFERROR(__xludf.DUMMYFUNCTION("IFERROR(IF(COUNTIF(IMPORTRANGE(""1RTcwEJsI_0aJRebhNwO_H_AoKl9r46k7hWYbtciIyM4"",""Form Responses 1!B:B""),A744)&gt;0,10,),0)"),"")</f>
        <v/>
      </c>
      <c r="C744" s="70" t="str">
        <f>IFERROR(__xludf.DUMMYFUNCTION("IFERROR(VLOOKUP(A744,IMPORTRANGE(""11i8IUhq_U6RRKRV3CBWIKqYed_fMvFgNUHTq1YDJfp8"",""Form Responses 1!B:C""),2,FALSE),)"),"")</f>
        <v/>
      </c>
      <c r="D744" s="70" t="str">
        <f>IFERROR(__xludf.DUMMYFUNCTION("IFERROR(VLOOKUP(A744,IMPORTRANGE(""1StiHxuxrFhYdrq5WLR2JMORicW0TbnJf3J-oTHeMRtM"",""Form Responses 1!B:C""),2,FALSE),)"),"")</f>
        <v/>
      </c>
      <c r="E744" s="70" t="str">
        <f>IFERROR(__xludf.DUMMYFUNCTION("IFERROR(VLOOKUP(A744,IMPORTRANGE(""1QaxxyUjrDq2kgz300C1Bq1tacFk6e-xX218cSXCQUK0"",""Form Responses 1!B:C""),2,FALSE),)"),"")</f>
        <v/>
      </c>
      <c r="F744" s="70" t="str">
        <f>IFERROR(__xludf.DUMMYFUNCTION("IFERROR(VLOOKUP(A744,IMPORTRANGE(""1fn2ECph_y8Uz78DhjLaiXcwgt6kh3oe-0Le36Uw0noE"",""Form Responses 1!B:C""),2,FALSE),)"),"")</f>
        <v/>
      </c>
      <c r="G744" s="70"/>
      <c r="H744" s="70"/>
      <c r="I744" s="70"/>
      <c r="J744" s="70"/>
      <c r="K744" s="70"/>
      <c r="L744" s="70"/>
      <c r="M744" s="70"/>
      <c r="N744" s="70"/>
      <c r="O744" s="70"/>
      <c r="P744" s="70"/>
      <c r="Q744" s="70" t="str">
        <f>IFERROR(__xludf.DUMMYFUNCTION("IFERROR(IF(COUNTIF(IMPORTRANGE(""1WjiLR_MTMxI_IZUKuvPO4Sg2rTSIqBzP3edakSRXbOA"",""Form Responses 1!B:B""),F744)&gt;0,10,),0)"),"")</f>
        <v/>
      </c>
      <c r="R744" s="70" t="str">
        <f>IFERROR(__xludf.DUMMYFUNCTION("IFERROR(VLOOKUP(F744,IMPORTRANGE(""1Ixzbal5tEbtWhozsFEppQzOYE6ZSrkNXHg_HW5k3Wt4"",""Form Responses 1!B:C""),2,FALSE),)"),"")</f>
        <v/>
      </c>
      <c r="S744" s="70" t="str">
        <f>IFERROR(__xludf.DUMMYFUNCTION("IFERROR(VLOOKUP(F744,IMPORTRANGE(""1zxjtEKGvVIJPIDqZdnxENwVpPXYa88EihzyI44hcQUo"",""Form Responses 1!B:C""),2,FALSE),)"),"")</f>
        <v/>
      </c>
      <c r="T744" s="70" t="str">
        <f>IFERROR(__xludf.DUMMYFUNCTION("IFERROR(VLOOKUP(F744,IMPORTRANGE(""1H3cO01obd5zFULYqaT5NAqecZBFFIHeDFn4CeQLZF3w"",""Form Responses 1!B:C""),2,FALSE),)"),"")</f>
        <v/>
      </c>
      <c r="U744" s="70" t="str">
        <f>IFERROR(__xludf.DUMMYFUNCTION("IFERROR(IF(COUNTIF(IMPORTRANGE(""1IG9qoa6PeLdDDFzKpW39lxXshN0-M8Z25a_R1EpsYyg"",""Form Responses 1!B:B""),F744)&gt;0,10,),0)"),"")</f>
        <v/>
      </c>
      <c r="V744" s="70"/>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row>
    <row r="745">
      <c r="B745" s="70" t="str">
        <f>IFERROR(__xludf.DUMMYFUNCTION("IFERROR(IF(COUNTIF(IMPORTRANGE(""1RTcwEJsI_0aJRebhNwO_H_AoKl9r46k7hWYbtciIyM4"",""Form Responses 1!B:B""),A745)&gt;0,10,),0)"),"")</f>
        <v/>
      </c>
      <c r="C745" s="70" t="str">
        <f>IFERROR(__xludf.DUMMYFUNCTION("IFERROR(VLOOKUP(A745,IMPORTRANGE(""11i8IUhq_U6RRKRV3CBWIKqYed_fMvFgNUHTq1YDJfp8"",""Form Responses 1!B:C""),2,FALSE),)"),"")</f>
        <v/>
      </c>
      <c r="D745" s="70" t="str">
        <f>IFERROR(__xludf.DUMMYFUNCTION("IFERROR(VLOOKUP(A745,IMPORTRANGE(""1StiHxuxrFhYdrq5WLR2JMORicW0TbnJf3J-oTHeMRtM"",""Form Responses 1!B:C""),2,FALSE),)"),"")</f>
        <v/>
      </c>
      <c r="E745" s="70" t="str">
        <f>IFERROR(__xludf.DUMMYFUNCTION("IFERROR(VLOOKUP(A745,IMPORTRANGE(""1QaxxyUjrDq2kgz300C1Bq1tacFk6e-xX218cSXCQUK0"",""Form Responses 1!B:C""),2,FALSE),)"),"")</f>
        <v/>
      </c>
      <c r="F745" s="70" t="str">
        <f>IFERROR(__xludf.DUMMYFUNCTION("IFERROR(VLOOKUP(A745,IMPORTRANGE(""1fn2ECph_y8Uz78DhjLaiXcwgt6kh3oe-0Le36Uw0noE"",""Form Responses 1!B:C""),2,FALSE),)"),"")</f>
        <v/>
      </c>
      <c r="G745" s="70"/>
      <c r="H745" s="70"/>
      <c r="I745" s="70"/>
      <c r="J745" s="70"/>
      <c r="K745" s="70"/>
      <c r="L745" s="70"/>
      <c r="M745" s="70"/>
      <c r="N745" s="70"/>
      <c r="O745" s="70"/>
      <c r="P745" s="70"/>
      <c r="Q745" s="70" t="str">
        <f>IFERROR(__xludf.DUMMYFUNCTION("IFERROR(IF(COUNTIF(IMPORTRANGE(""1WjiLR_MTMxI_IZUKuvPO4Sg2rTSIqBzP3edakSRXbOA"",""Form Responses 1!B:B""),F745)&gt;0,10,),0)"),"")</f>
        <v/>
      </c>
      <c r="R745" s="70" t="str">
        <f>IFERROR(__xludf.DUMMYFUNCTION("IFERROR(VLOOKUP(F745,IMPORTRANGE(""1Ixzbal5tEbtWhozsFEppQzOYE6ZSrkNXHg_HW5k3Wt4"",""Form Responses 1!B:C""),2,FALSE),)"),"")</f>
        <v/>
      </c>
      <c r="S745" s="70" t="str">
        <f>IFERROR(__xludf.DUMMYFUNCTION("IFERROR(VLOOKUP(F745,IMPORTRANGE(""1zxjtEKGvVIJPIDqZdnxENwVpPXYa88EihzyI44hcQUo"",""Form Responses 1!B:C""),2,FALSE),)"),"")</f>
        <v/>
      </c>
      <c r="T745" s="70" t="str">
        <f>IFERROR(__xludf.DUMMYFUNCTION("IFERROR(VLOOKUP(F745,IMPORTRANGE(""1H3cO01obd5zFULYqaT5NAqecZBFFIHeDFn4CeQLZF3w"",""Form Responses 1!B:C""),2,FALSE),)"),"")</f>
        <v/>
      </c>
      <c r="U745" s="70" t="str">
        <f>IFERROR(__xludf.DUMMYFUNCTION("IFERROR(IF(COUNTIF(IMPORTRANGE(""1IG9qoa6PeLdDDFzKpW39lxXshN0-M8Z25a_R1EpsYyg"",""Form Responses 1!B:B""),F745)&gt;0,10,),0)"),"")</f>
        <v/>
      </c>
      <c r="V745" s="70"/>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row>
    <row r="746">
      <c r="B746" s="70" t="str">
        <f>IFERROR(__xludf.DUMMYFUNCTION("IFERROR(IF(COUNTIF(IMPORTRANGE(""1RTcwEJsI_0aJRebhNwO_H_AoKl9r46k7hWYbtciIyM4"",""Form Responses 1!B:B""),A746)&gt;0,10,),0)"),"")</f>
        <v/>
      </c>
      <c r="C746" s="70" t="str">
        <f>IFERROR(__xludf.DUMMYFUNCTION("IFERROR(VLOOKUP(A746,IMPORTRANGE(""11i8IUhq_U6RRKRV3CBWIKqYed_fMvFgNUHTq1YDJfp8"",""Form Responses 1!B:C""),2,FALSE),)"),"")</f>
        <v/>
      </c>
      <c r="D746" s="70" t="str">
        <f>IFERROR(__xludf.DUMMYFUNCTION("IFERROR(VLOOKUP(A746,IMPORTRANGE(""1StiHxuxrFhYdrq5WLR2JMORicW0TbnJf3J-oTHeMRtM"",""Form Responses 1!B:C""),2,FALSE),)"),"")</f>
        <v/>
      </c>
      <c r="E746" s="70" t="str">
        <f>IFERROR(__xludf.DUMMYFUNCTION("IFERROR(VLOOKUP(A746,IMPORTRANGE(""1QaxxyUjrDq2kgz300C1Bq1tacFk6e-xX218cSXCQUK0"",""Form Responses 1!B:C""),2,FALSE),)"),"")</f>
        <v/>
      </c>
      <c r="F746" s="70" t="str">
        <f>IFERROR(__xludf.DUMMYFUNCTION("IFERROR(VLOOKUP(A746,IMPORTRANGE(""1fn2ECph_y8Uz78DhjLaiXcwgt6kh3oe-0Le36Uw0noE"",""Form Responses 1!B:C""),2,FALSE),)"),"")</f>
        <v/>
      </c>
      <c r="G746" s="70"/>
      <c r="H746" s="70"/>
      <c r="I746" s="70"/>
      <c r="J746" s="70"/>
      <c r="K746" s="70"/>
      <c r="L746" s="70"/>
      <c r="M746" s="70"/>
      <c r="N746" s="70"/>
      <c r="O746" s="70"/>
      <c r="P746" s="70"/>
      <c r="Q746" s="70" t="str">
        <f>IFERROR(__xludf.DUMMYFUNCTION("IFERROR(IF(COUNTIF(IMPORTRANGE(""1WjiLR_MTMxI_IZUKuvPO4Sg2rTSIqBzP3edakSRXbOA"",""Form Responses 1!B:B""),F746)&gt;0,10,),0)"),"")</f>
        <v/>
      </c>
      <c r="R746" s="70" t="str">
        <f>IFERROR(__xludf.DUMMYFUNCTION("IFERROR(VLOOKUP(F746,IMPORTRANGE(""1Ixzbal5tEbtWhozsFEppQzOYE6ZSrkNXHg_HW5k3Wt4"",""Form Responses 1!B:C""),2,FALSE),)"),"")</f>
        <v/>
      </c>
      <c r="S746" s="70" t="str">
        <f>IFERROR(__xludf.DUMMYFUNCTION("IFERROR(VLOOKUP(F746,IMPORTRANGE(""1zxjtEKGvVIJPIDqZdnxENwVpPXYa88EihzyI44hcQUo"",""Form Responses 1!B:C""),2,FALSE),)"),"")</f>
        <v/>
      </c>
      <c r="T746" s="70" t="str">
        <f>IFERROR(__xludf.DUMMYFUNCTION("IFERROR(VLOOKUP(F746,IMPORTRANGE(""1H3cO01obd5zFULYqaT5NAqecZBFFIHeDFn4CeQLZF3w"",""Form Responses 1!B:C""),2,FALSE),)"),"")</f>
        <v/>
      </c>
      <c r="U746" s="70" t="str">
        <f>IFERROR(__xludf.DUMMYFUNCTION("IFERROR(IF(COUNTIF(IMPORTRANGE(""1IG9qoa6PeLdDDFzKpW39lxXshN0-M8Z25a_R1EpsYyg"",""Form Responses 1!B:B""),F746)&gt;0,10,),0)"),"")</f>
        <v/>
      </c>
      <c r="V746" s="70"/>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row>
    <row r="747">
      <c r="B747" s="70" t="str">
        <f>IFERROR(__xludf.DUMMYFUNCTION("IFERROR(IF(COUNTIF(IMPORTRANGE(""1RTcwEJsI_0aJRebhNwO_H_AoKl9r46k7hWYbtciIyM4"",""Form Responses 1!B:B""),A747)&gt;0,10,),0)"),"")</f>
        <v/>
      </c>
      <c r="C747" s="70" t="str">
        <f>IFERROR(__xludf.DUMMYFUNCTION("IFERROR(VLOOKUP(A747,IMPORTRANGE(""11i8IUhq_U6RRKRV3CBWIKqYed_fMvFgNUHTq1YDJfp8"",""Form Responses 1!B:C""),2,FALSE),)"),"")</f>
        <v/>
      </c>
      <c r="D747" s="70" t="str">
        <f>IFERROR(__xludf.DUMMYFUNCTION("IFERROR(VLOOKUP(A747,IMPORTRANGE(""1StiHxuxrFhYdrq5WLR2JMORicW0TbnJf3J-oTHeMRtM"",""Form Responses 1!B:C""),2,FALSE),)"),"")</f>
        <v/>
      </c>
      <c r="E747" s="70" t="str">
        <f>IFERROR(__xludf.DUMMYFUNCTION("IFERROR(VLOOKUP(A747,IMPORTRANGE(""1QaxxyUjrDq2kgz300C1Bq1tacFk6e-xX218cSXCQUK0"",""Form Responses 1!B:C""),2,FALSE),)"),"")</f>
        <v/>
      </c>
      <c r="F747" s="70" t="str">
        <f>IFERROR(__xludf.DUMMYFUNCTION("IFERROR(VLOOKUP(A747,IMPORTRANGE(""1fn2ECph_y8Uz78DhjLaiXcwgt6kh3oe-0Le36Uw0noE"",""Form Responses 1!B:C""),2,FALSE),)"),"")</f>
        <v/>
      </c>
      <c r="G747" s="70"/>
      <c r="H747" s="70"/>
      <c r="I747" s="70"/>
      <c r="J747" s="70"/>
      <c r="K747" s="70"/>
      <c r="L747" s="70"/>
      <c r="M747" s="70"/>
      <c r="N747" s="70"/>
      <c r="O747" s="70"/>
      <c r="P747" s="70"/>
      <c r="Q747" s="70" t="str">
        <f>IFERROR(__xludf.DUMMYFUNCTION("IFERROR(IF(COUNTIF(IMPORTRANGE(""1WjiLR_MTMxI_IZUKuvPO4Sg2rTSIqBzP3edakSRXbOA"",""Form Responses 1!B:B""),F747)&gt;0,10,),0)"),"")</f>
        <v/>
      </c>
      <c r="R747" s="70" t="str">
        <f>IFERROR(__xludf.DUMMYFUNCTION("IFERROR(VLOOKUP(F747,IMPORTRANGE(""1Ixzbal5tEbtWhozsFEppQzOYE6ZSrkNXHg_HW5k3Wt4"",""Form Responses 1!B:C""),2,FALSE),)"),"")</f>
        <v/>
      </c>
      <c r="S747" s="70" t="str">
        <f>IFERROR(__xludf.DUMMYFUNCTION("IFERROR(VLOOKUP(F747,IMPORTRANGE(""1zxjtEKGvVIJPIDqZdnxENwVpPXYa88EihzyI44hcQUo"",""Form Responses 1!B:C""),2,FALSE),)"),"")</f>
        <v/>
      </c>
      <c r="T747" s="70" t="str">
        <f>IFERROR(__xludf.DUMMYFUNCTION("IFERROR(VLOOKUP(F747,IMPORTRANGE(""1H3cO01obd5zFULYqaT5NAqecZBFFIHeDFn4CeQLZF3w"",""Form Responses 1!B:C""),2,FALSE),)"),"")</f>
        <v/>
      </c>
      <c r="U747" s="70" t="str">
        <f>IFERROR(__xludf.DUMMYFUNCTION("IFERROR(IF(COUNTIF(IMPORTRANGE(""1IG9qoa6PeLdDDFzKpW39lxXshN0-M8Z25a_R1EpsYyg"",""Form Responses 1!B:B""),F747)&gt;0,10,),0)"),"")</f>
        <v/>
      </c>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row>
    <row r="748">
      <c r="B748" s="70" t="str">
        <f>IFERROR(__xludf.DUMMYFUNCTION("IFERROR(IF(COUNTIF(IMPORTRANGE(""1RTcwEJsI_0aJRebhNwO_H_AoKl9r46k7hWYbtciIyM4"",""Form Responses 1!B:B""),A748)&gt;0,10,),0)"),"")</f>
        <v/>
      </c>
      <c r="C748" s="70" t="str">
        <f>IFERROR(__xludf.DUMMYFUNCTION("IFERROR(VLOOKUP(A748,IMPORTRANGE(""11i8IUhq_U6RRKRV3CBWIKqYed_fMvFgNUHTq1YDJfp8"",""Form Responses 1!B:C""),2,FALSE),)"),"")</f>
        <v/>
      </c>
      <c r="D748" s="70" t="str">
        <f>IFERROR(__xludf.DUMMYFUNCTION("IFERROR(VLOOKUP(A748,IMPORTRANGE(""1StiHxuxrFhYdrq5WLR2JMORicW0TbnJf3J-oTHeMRtM"",""Form Responses 1!B:C""),2,FALSE),)"),"")</f>
        <v/>
      </c>
      <c r="E748" s="70" t="str">
        <f>IFERROR(__xludf.DUMMYFUNCTION("IFERROR(VLOOKUP(A748,IMPORTRANGE(""1QaxxyUjrDq2kgz300C1Bq1tacFk6e-xX218cSXCQUK0"",""Form Responses 1!B:C""),2,FALSE),)"),"")</f>
        <v/>
      </c>
      <c r="F748" s="70" t="str">
        <f>IFERROR(__xludf.DUMMYFUNCTION("IFERROR(VLOOKUP(A748,IMPORTRANGE(""1fn2ECph_y8Uz78DhjLaiXcwgt6kh3oe-0Le36Uw0noE"",""Form Responses 1!B:C""),2,FALSE),)"),"")</f>
        <v/>
      </c>
      <c r="G748" s="70"/>
      <c r="H748" s="70"/>
      <c r="I748" s="70"/>
      <c r="J748" s="70"/>
      <c r="K748" s="70"/>
      <c r="L748" s="70"/>
      <c r="M748" s="70"/>
      <c r="N748" s="70"/>
      <c r="O748" s="70"/>
      <c r="P748" s="70"/>
      <c r="Q748" s="70" t="str">
        <f>IFERROR(__xludf.DUMMYFUNCTION("IFERROR(IF(COUNTIF(IMPORTRANGE(""1WjiLR_MTMxI_IZUKuvPO4Sg2rTSIqBzP3edakSRXbOA"",""Form Responses 1!B:B""),F748)&gt;0,10,),0)"),"")</f>
        <v/>
      </c>
      <c r="R748" s="70" t="str">
        <f>IFERROR(__xludf.DUMMYFUNCTION("IFERROR(VLOOKUP(F748,IMPORTRANGE(""1Ixzbal5tEbtWhozsFEppQzOYE6ZSrkNXHg_HW5k3Wt4"",""Form Responses 1!B:C""),2,FALSE),)"),"")</f>
        <v/>
      </c>
      <c r="S748" s="70" t="str">
        <f>IFERROR(__xludf.DUMMYFUNCTION("IFERROR(VLOOKUP(F748,IMPORTRANGE(""1zxjtEKGvVIJPIDqZdnxENwVpPXYa88EihzyI44hcQUo"",""Form Responses 1!B:C""),2,FALSE),)"),"")</f>
        <v/>
      </c>
      <c r="T748" s="70" t="str">
        <f>IFERROR(__xludf.DUMMYFUNCTION("IFERROR(VLOOKUP(F748,IMPORTRANGE(""1H3cO01obd5zFULYqaT5NAqecZBFFIHeDFn4CeQLZF3w"",""Form Responses 1!B:C""),2,FALSE),)"),"")</f>
        <v/>
      </c>
      <c r="U748" s="70" t="str">
        <f>IFERROR(__xludf.DUMMYFUNCTION("IFERROR(IF(COUNTIF(IMPORTRANGE(""1IG9qoa6PeLdDDFzKpW39lxXshN0-M8Z25a_R1EpsYyg"",""Form Responses 1!B:B""),F748)&gt;0,10,),0)"),"")</f>
        <v/>
      </c>
      <c r="V748" s="70"/>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row>
    <row r="749">
      <c r="B749" s="70" t="str">
        <f>IFERROR(__xludf.DUMMYFUNCTION("IFERROR(IF(COUNTIF(IMPORTRANGE(""1RTcwEJsI_0aJRebhNwO_H_AoKl9r46k7hWYbtciIyM4"",""Form Responses 1!B:B""),A749)&gt;0,10,),0)"),"")</f>
        <v/>
      </c>
      <c r="C749" s="70" t="str">
        <f>IFERROR(__xludf.DUMMYFUNCTION("IFERROR(VLOOKUP(A749,IMPORTRANGE(""11i8IUhq_U6RRKRV3CBWIKqYed_fMvFgNUHTq1YDJfp8"",""Form Responses 1!B:C""),2,FALSE),)"),"")</f>
        <v/>
      </c>
      <c r="D749" s="70" t="str">
        <f>IFERROR(__xludf.DUMMYFUNCTION("IFERROR(VLOOKUP(A749,IMPORTRANGE(""1StiHxuxrFhYdrq5WLR2JMORicW0TbnJf3J-oTHeMRtM"",""Form Responses 1!B:C""),2,FALSE),)"),"")</f>
        <v/>
      </c>
      <c r="E749" s="70" t="str">
        <f>IFERROR(__xludf.DUMMYFUNCTION("IFERROR(VLOOKUP(A749,IMPORTRANGE(""1QaxxyUjrDq2kgz300C1Bq1tacFk6e-xX218cSXCQUK0"",""Form Responses 1!B:C""),2,FALSE),)"),"")</f>
        <v/>
      </c>
      <c r="F749" s="70" t="str">
        <f>IFERROR(__xludf.DUMMYFUNCTION("IFERROR(VLOOKUP(A749,IMPORTRANGE(""1fn2ECph_y8Uz78DhjLaiXcwgt6kh3oe-0Le36Uw0noE"",""Form Responses 1!B:C""),2,FALSE),)"),"")</f>
        <v/>
      </c>
      <c r="G749" s="70"/>
      <c r="H749" s="70"/>
      <c r="I749" s="70"/>
      <c r="J749" s="70"/>
      <c r="K749" s="70"/>
      <c r="L749" s="70"/>
      <c r="M749" s="70"/>
      <c r="N749" s="70"/>
      <c r="O749" s="70"/>
      <c r="P749" s="70"/>
      <c r="Q749" s="70" t="str">
        <f>IFERROR(__xludf.DUMMYFUNCTION("IFERROR(IF(COUNTIF(IMPORTRANGE(""1WjiLR_MTMxI_IZUKuvPO4Sg2rTSIqBzP3edakSRXbOA"",""Form Responses 1!B:B""),F749)&gt;0,10,),0)"),"")</f>
        <v/>
      </c>
      <c r="R749" s="70" t="str">
        <f>IFERROR(__xludf.DUMMYFUNCTION("IFERROR(VLOOKUP(F749,IMPORTRANGE(""1Ixzbal5tEbtWhozsFEppQzOYE6ZSrkNXHg_HW5k3Wt4"",""Form Responses 1!B:C""),2,FALSE),)"),"")</f>
        <v/>
      </c>
      <c r="S749" s="70" t="str">
        <f>IFERROR(__xludf.DUMMYFUNCTION("IFERROR(VLOOKUP(F749,IMPORTRANGE(""1zxjtEKGvVIJPIDqZdnxENwVpPXYa88EihzyI44hcQUo"",""Form Responses 1!B:C""),2,FALSE),)"),"")</f>
        <v/>
      </c>
      <c r="T749" s="70" t="str">
        <f>IFERROR(__xludf.DUMMYFUNCTION("IFERROR(VLOOKUP(F749,IMPORTRANGE(""1H3cO01obd5zFULYqaT5NAqecZBFFIHeDFn4CeQLZF3w"",""Form Responses 1!B:C""),2,FALSE),)"),"")</f>
        <v/>
      </c>
      <c r="U749" s="70" t="str">
        <f>IFERROR(__xludf.DUMMYFUNCTION("IFERROR(IF(COUNTIF(IMPORTRANGE(""1IG9qoa6PeLdDDFzKpW39lxXshN0-M8Z25a_R1EpsYyg"",""Form Responses 1!B:B""),F749)&gt;0,10,),0)"),"")</f>
        <v/>
      </c>
      <c r="V749" s="70"/>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row>
    <row r="750">
      <c r="B750" s="70" t="str">
        <f>IFERROR(__xludf.DUMMYFUNCTION("IFERROR(IF(COUNTIF(IMPORTRANGE(""1RTcwEJsI_0aJRebhNwO_H_AoKl9r46k7hWYbtciIyM4"",""Form Responses 1!B:B""),A750)&gt;0,10,),0)"),"")</f>
        <v/>
      </c>
      <c r="C750" s="70" t="str">
        <f>IFERROR(__xludf.DUMMYFUNCTION("IFERROR(VLOOKUP(A750,IMPORTRANGE(""11i8IUhq_U6RRKRV3CBWIKqYed_fMvFgNUHTq1YDJfp8"",""Form Responses 1!B:C""),2,FALSE),)"),"")</f>
        <v/>
      </c>
      <c r="D750" s="70" t="str">
        <f>IFERROR(__xludf.DUMMYFUNCTION("IFERROR(VLOOKUP(A750,IMPORTRANGE(""1StiHxuxrFhYdrq5WLR2JMORicW0TbnJf3J-oTHeMRtM"",""Form Responses 1!B:C""),2,FALSE),)"),"")</f>
        <v/>
      </c>
      <c r="E750" s="70" t="str">
        <f>IFERROR(__xludf.DUMMYFUNCTION("IFERROR(VLOOKUP(A750,IMPORTRANGE(""1QaxxyUjrDq2kgz300C1Bq1tacFk6e-xX218cSXCQUK0"",""Form Responses 1!B:C""),2,FALSE),)"),"")</f>
        <v/>
      </c>
      <c r="F750" s="70" t="str">
        <f>IFERROR(__xludf.DUMMYFUNCTION("IFERROR(VLOOKUP(A750,IMPORTRANGE(""1fn2ECph_y8Uz78DhjLaiXcwgt6kh3oe-0Le36Uw0noE"",""Form Responses 1!B:C""),2,FALSE),)"),"")</f>
        <v/>
      </c>
      <c r="G750" s="70"/>
      <c r="H750" s="70"/>
      <c r="I750" s="70"/>
      <c r="J750" s="70"/>
      <c r="K750" s="70"/>
      <c r="L750" s="70"/>
      <c r="M750" s="70"/>
      <c r="N750" s="70"/>
      <c r="O750" s="70"/>
      <c r="P750" s="70"/>
      <c r="Q750" s="70" t="str">
        <f>IFERROR(__xludf.DUMMYFUNCTION("IFERROR(IF(COUNTIF(IMPORTRANGE(""1WjiLR_MTMxI_IZUKuvPO4Sg2rTSIqBzP3edakSRXbOA"",""Form Responses 1!B:B""),F750)&gt;0,10,),0)"),"")</f>
        <v/>
      </c>
      <c r="R750" s="70" t="str">
        <f>IFERROR(__xludf.DUMMYFUNCTION("IFERROR(VLOOKUP(F750,IMPORTRANGE(""1Ixzbal5tEbtWhozsFEppQzOYE6ZSrkNXHg_HW5k3Wt4"",""Form Responses 1!B:C""),2,FALSE),)"),"")</f>
        <v/>
      </c>
      <c r="S750" s="70" t="str">
        <f>IFERROR(__xludf.DUMMYFUNCTION("IFERROR(VLOOKUP(F750,IMPORTRANGE(""1zxjtEKGvVIJPIDqZdnxENwVpPXYa88EihzyI44hcQUo"",""Form Responses 1!B:C""),2,FALSE),)"),"")</f>
        <v/>
      </c>
      <c r="T750" s="70" t="str">
        <f>IFERROR(__xludf.DUMMYFUNCTION("IFERROR(VLOOKUP(F750,IMPORTRANGE(""1H3cO01obd5zFULYqaT5NAqecZBFFIHeDFn4CeQLZF3w"",""Form Responses 1!B:C""),2,FALSE),)"),"")</f>
        <v/>
      </c>
      <c r="U750" s="70" t="str">
        <f>IFERROR(__xludf.DUMMYFUNCTION("IFERROR(IF(COUNTIF(IMPORTRANGE(""1IG9qoa6PeLdDDFzKpW39lxXshN0-M8Z25a_R1EpsYyg"",""Form Responses 1!B:B""),F750)&gt;0,10,),0)"),"")</f>
        <v/>
      </c>
      <c r="V750" s="70"/>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row>
    <row r="751">
      <c r="B751" s="70" t="str">
        <f>IFERROR(__xludf.DUMMYFUNCTION("IFERROR(IF(COUNTIF(IMPORTRANGE(""1RTcwEJsI_0aJRebhNwO_H_AoKl9r46k7hWYbtciIyM4"",""Form Responses 1!B:B""),A751)&gt;0,10,),0)"),"")</f>
        <v/>
      </c>
      <c r="C751" s="70" t="str">
        <f>IFERROR(__xludf.DUMMYFUNCTION("IFERROR(VLOOKUP(A751,IMPORTRANGE(""11i8IUhq_U6RRKRV3CBWIKqYed_fMvFgNUHTq1YDJfp8"",""Form Responses 1!B:C""),2,FALSE),)"),"")</f>
        <v/>
      </c>
      <c r="D751" s="70" t="str">
        <f>IFERROR(__xludf.DUMMYFUNCTION("IFERROR(VLOOKUP(A751,IMPORTRANGE(""1StiHxuxrFhYdrq5WLR2JMORicW0TbnJf3J-oTHeMRtM"",""Form Responses 1!B:C""),2,FALSE),)"),"")</f>
        <v/>
      </c>
      <c r="E751" s="70" t="str">
        <f>IFERROR(__xludf.DUMMYFUNCTION("IFERROR(VLOOKUP(A751,IMPORTRANGE(""1QaxxyUjrDq2kgz300C1Bq1tacFk6e-xX218cSXCQUK0"",""Form Responses 1!B:C""),2,FALSE),)"),"")</f>
        <v/>
      </c>
      <c r="F751" s="70" t="str">
        <f>IFERROR(__xludf.DUMMYFUNCTION("IFERROR(VLOOKUP(A751,IMPORTRANGE(""1fn2ECph_y8Uz78DhjLaiXcwgt6kh3oe-0Le36Uw0noE"",""Form Responses 1!B:C""),2,FALSE),)"),"")</f>
        <v/>
      </c>
      <c r="G751" s="70"/>
      <c r="H751" s="70"/>
      <c r="I751" s="70"/>
      <c r="J751" s="70"/>
      <c r="K751" s="70"/>
      <c r="L751" s="70"/>
      <c r="M751" s="70"/>
      <c r="N751" s="70"/>
      <c r="O751" s="70"/>
      <c r="P751" s="70"/>
      <c r="Q751" s="70" t="str">
        <f>IFERROR(__xludf.DUMMYFUNCTION("IFERROR(IF(COUNTIF(IMPORTRANGE(""1WjiLR_MTMxI_IZUKuvPO4Sg2rTSIqBzP3edakSRXbOA"",""Form Responses 1!B:B""),F751)&gt;0,10,),0)"),"")</f>
        <v/>
      </c>
      <c r="R751" s="70" t="str">
        <f>IFERROR(__xludf.DUMMYFUNCTION("IFERROR(VLOOKUP(F751,IMPORTRANGE(""1Ixzbal5tEbtWhozsFEppQzOYE6ZSrkNXHg_HW5k3Wt4"",""Form Responses 1!B:C""),2,FALSE),)"),"")</f>
        <v/>
      </c>
      <c r="S751" s="70" t="str">
        <f>IFERROR(__xludf.DUMMYFUNCTION("IFERROR(VLOOKUP(F751,IMPORTRANGE(""1zxjtEKGvVIJPIDqZdnxENwVpPXYa88EihzyI44hcQUo"",""Form Responses 1!B:C""),2,FALSE),)"),"")</f>
        <v/>
      </c>
      <c r="T751" s="70" t="str">
        <f>IFERROR(__xludf.DUMMYFUNCTION("IFERROR(VLOOKUP(F751,IMPORTRANGE(""1H3cO01obd5zFULYqaT5NAqecZBFFIHeDFn4CeQLZF3w"",""Form Responses 1!B:C""),2,FALSE),)"),"")</f>
        <v/>
      </c>
      <c r="U751" s="70" t="str">
        <f>IFERROR(__xludf.DUMMYFUNCTION("IFERROR(IF(COUNTIF(IMPORTRANGE(""1IG9qoa6PeLdDDFzKpW39lxXshN0-M8Z25a_R1EpsYyg"",""Form Responses 1!B:B""),F751)&gt;0,10,),0)"),"")</f>
        <v/>
      </c>
      <c r="V751" s="70"/>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row>
    <row r="752">
      <c r="B752" s="70" t="str">
        <f>IFERROR(__xludf.DUMMYFUNCTION("IFERROR(IF(COUNTIF(IMPORTRANGE(""1RTcwEJsI_0aJRebhNwO_H_AoKl9r46k7hWYbtciIyM4"",""Form Responses 1!B:B""),A752)&gt;0,10,),0)"),"")</f>
        <v/>
      </c>
      <c r="C752" s="70" t="str">
        <f>IFERROR(__xludf.DUMMYFUNCTION("IFERROR(VLOOKUP(A752,IMPORTRANGE(""11i8IUhq_U6RRKRV3CBWIKqYed_fMvFgNUHTq1YDJfp8"",""Form Responses 1!B:C""),2,FALSE),)"),"")</f>
        <v/>
      </c>
      <c r="D752" s="70" t="str">
        <f>IFERROR(__xludf.DUMMYFUNCTION("IFERROR(VLOOKUP(A752,IMPORTRANGE(""1StiHxuxrFhYdrq5WLR2JMORicW0TbnJf3J-oTHeMRtM"",""Form Responses 1!B:C""),2,FALSE),)"),"")</f>
        <v/>
      </c>
      <c r="E752" s="70" t="str">
        <f>IFERROR(__xludf.DUMMYFUNCTION("IFERROR(VLOOKUP(A752,IMPORTRANGE(""1QaxxyUjrDq2kgz300C1Bq1tacFk6e-xX218cSXCQUK0"",""Form Responses 1!B:C""),2,FALSE),)"),"")</f>
        <v/>
      </c>
      <c r="F752" s="70" t="str">
        <f>IFERROR(__xludf.DUMMYFUNCTION("IFERROR(VLOOKUP(A752,IMPORTRANGE(""1fn2ECph_y8Uz78DhjLaiXcwgt6kh3oe-0Le36Uw0noE"",""Form Responses 1!B:C""),2,FALSE),)"),"")</f>
        <v/>
      </c>
      <c r="G752" s="70"/>
      <c r="H752" s="70"/>
      <c r="I752" s="70"/>
      <c r="J752" s="70"/>
      <c r="K752" s="70"/>
      <c r="L752" s="70"/>
      <c r="M752" s="70"/>
      <c r="N752" s="70"/>
      <c r="O752" s="70"/>
      <c r="P752" s="70"/>
      <c r="Q752" s="70" t="str">
        <f>IFERROR(__xludf.DUMMYFUNCTION("IFERROR(IF(COUNTIF(IMPORTRANGE(""1WjiLR_MTMxI_IZUKuvPO4Sg2rTSIqBzP3edakSRXbOA"",""Form Responses 1!B:B""),F752)&gt;0,10,),0)"),"")</f>
        <v/>
      </c>
      <c r="R752" s="70" t="str">
        <f>IFERROR(__xludf.DUMMYFUNCTION("IFERROR(VLOOKUP(F752,IMPORTRANGE(""1Ixzbal5tEbtWhozsFEppQzOYE6ZSrkNXHg_HW5k3Wt4"",""Form Responses 1!B:C""),2,FALSE),)"),"")</f>
        <v/>
      </c>
      <c r="S752" s="70" t="str">
        <f>IFERROR(__xludf.DUMMYFUNCTION("IFERROR(VLOOKUP(F752,IMPORTRANGE(""1zxjtEKGvVIJPIDqZdnxENwVpPXYa88EihzyI44hcQUo"",""Form Responses 1!B:C""),2,FALSE),)"),"")</f>
        <v/>
      </c>
      <c r="T752" s="70" t="str">
        <f>IFERROR(__xludf.DUMMYFUNCTION("IFERROR(VLOOKUP(F752,IMPORTRANGE(""1H3cO01obd5zFULYqaT5NAqecZBFFIHeDFn4CeQLZF3w"",""Form Responses 1!B:C""),2,FALSE),)"),"")</f>
        <v/>
      </c>
      <c r="U752" s="70" t="str">
        <f>IFERROR(__xludf.DUMMYFUNCTION("IFERROR(IF(COUNTIF(IMPORTRANGE(""1IG9qoa6PeLdDDFzKpW39lxXshN0-M8Z25a_R1EpsYyg"",""Form Responses 1!B:B""),F752)&gt;0,10,),0)"),"")</f>
        <v/>
      </c>
      <c r="V752" s="70"/>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row>
    <row r="753">
      <c r="B753" s="70" t="str">
        <f>IFERROR(__xludf.DUMMYFUNCTION("IFERROR(IF(COUNTIF(IMPORTRANGE(""1RTcwEJsI_0aJRebhNwO_H_AoKl9r46k7hWYbtciIyM4"",""Form Responses 1!B:B""),A753)&gt;0,10,),0)"),"")</f>
        <v/>
      </c>
      <c r="C753" s="70" t="str">
        <f>IFERROR(__xludf.DUMMYFUNCTION("IFERROR(VLOOKUP(A753,IMPORTRANGE(""11i8IUhq_U6RRKRV3CBWIKqYed_fMvFgNUHTq1YDJfp8"",""Form Responses 1!B:C""),2,FALSE),)"),"")</f>
        <v/>
      </c>
      <c r="D753" s="70" t="str">
        <f>IFERROR(__xludf.DUMMYFUNCTION("IFERROR(VLOOKUP(A753,IMPORTRANGE(""1StiHxuxrFhYdrq5WLR2JMORicW0TbnJf3J-oTHeMRtM"",""Form Responses 1!B:C""),2,FALSE),)"),"")</f>
        <v/>
      </c>
      <c r="E753" s="70" t="str">
        <f>IFERROR(__xludf.DUMMYFUNCTION("IFERROR(VLOOKUP(A753,IMPORTRANGE(""1QaxxyUjrDq2kgz300C1Bq1tacFk6e-xX218cSXCQUK0"",""Form Responses 1!B:C""),2,FALSE),)"),"")</f>
        <v/>
      </c>
      <c r="F753" s="70" t="str">
        <f>IFERROR(__xludf.DUMMYFUNCTION("IFERROR(VLOOKUP(A753,IMPORTRANGE(""1fn2ECph_y8Uz78DhjLaiXcwgt6kh3oe-0Le36Uw0noE"",""Form Responses 1!B:C""),2,FALSE),)"),"")</f>
        <v/>
      </c>
      <c r="G753" s="70"/>
      <c r="H753" s="70"/>
      <c r="I753" s="70"/>
      <c r="J753" s="70"/>
      <c r="K753" s="70"/>
      <c r="L753" s="70"/>
      <c r="M753" s="70"/>
      <c r="N753" s="70"/>
      <c r="O753" s="70"/>
      <c r="P753" s="70"/>
      <c r="Q753" s="70" t="str">
        <f>IFERROR(__xludf.DUMMYFUNCTION("IFERROR(IF(COUNTIF(IMPORTRANGE(""1WjiLR_MTMxI_IZUKuvPO4Sg2rTSIqBzP3edakSRXbOA"",""Form Responses 1!B:B""),F753)&gt;0,10,),0)"),"")</f>
        <v/>
      </c>
      <c r="R753" s="70" t="str">
        <f>IFERROR(__xludf.DUMMYFUNCTION("IFERROR(VLOOKUP(F753,IMPORTRANGE(""1Ixzbal5tEbtWhozsFEppQzOYE6ZSrkNXHg_HW5k3Wt4"",""Form Responses 1!B:C""),2,FALSE),)"),"")</f>
        <v/>
      </c>
      <c r="S753" s="70" t="str">
        <f>IFERROR(__xludf.DUMMYFUNCTION("IFERROR(VLOOKUP(F753,IMPORTRANGE(""1zxjtEKGvVIJPIDqZdnxENwVpPXYa88EihzyI44hcQUo"",""Form Responses 1!B:C""),2,FALSE),)"),"")</f>
        <v/>
      </c>
      <c r="T753" s="70" t="str">
        <f>IFERROR(__xludf.DUMMYFUNCTION("IFERROR(VLOOKUP(F753,IMPORTRANGE(""1H3cO01obd5zFULYqaT5NAqecZBFFIHeDFn4CeQLZF3w"",""Form Responses 1!B:C""),2,FALSE),)"),"")</f>
        <v/>
      </c>
      <c r="U753" s="70" t="str">
        <f>IFERROR(__xludf.DUMMYFUNCTION("IFERROR(IF(COUNTIF(IMPORTRANGE(""1IG9qoa6PeLdDDFzKpW39lxXshN0-M8Z25a_R1EpsYyg"",""Form Responses 1!B:B""),F753)&gt;0,10,),0)"),"")</f>
        <v/>
      </c>
      <c r="V753" s="70"/>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row>
    <row r="754">
      <c r="B754" s="70" t="str">
        <f>IFERROR(__xludf.DUMMYFUNCTION("IFERROR(IF(COUNTIF(IMPORTRANGE(""1RTcwEJsI_0aJRebhNwO_H_AoKl9r46k7hWYbtciIyM4"",""Form Responses 1!B:B""),A754)&gt;0,10,),0)"),"")</f>
        <v/>
      </c>
      <c r="C754" s="70" t="str">
        <f>IFERROR(__xludf.DUMMYFUNCTION("IFERROR(VLOOKUP(A754,IMPORTRANGE(""11i8IUhq_U6RRKRV3CBWIKqYed_fMvFgNUHTq1YDJfp8"",""Form Responses 1!B:C""),2,FALSE),)"),"")</f>
        <v/>
      </c>
      <c r="D754" s="70" t="str">
        <f>IFERROR(__xludf.DUMMYFUNCTION("IFERROR(VLOOKUP(A754,IMPORTRANGE(""1StiHxuxrFhYdrq5WLR2JMORicW0TbnJf3J-oTHeMRtM"",""Form Responses 1!B:C""),2,FALSE),)"),"")</f>
        <v/>
      </c>
      <c r="E754" s="70" t="str">
        <f>IFERROR(__xludf.DUMMYFUNCTION("IFERROR(VLOOKUP(A754,IMPORTRANGE(""1QaxxyUjrDq2kgz300C1Bq1tacFk6e-xX218cSXCQUK0"",""Form Responses 1!B:C""),2,FALSE),)"),"")</f>
        <v/>
      </c>
      <c r="F754" s="70" t="str">
        <f>IFERROR(__xludf.DUMMYFUNCTION("IFERROR(VLOOKUP(A754,IMPORTRANGE(""1fn2ECph_y8Uz78DhjLaiXcwgt6kh3oe-0Le36Uw0noE"",""Form Responses 1!B:C""),2,FALSE),)"),"")</f>
        <v/>
      </c>
      <c r="G754" s="70"/>
      <c r="H754" s="70"/>
      <c r="I754" s="70"/>
      <c r="J754" s="70"/>
      <c r="K754" s="70"/>
      <c r="L754" s="70"/>
      <c r="M754" s="70"/>
      <c r="N754" s="70"/>
      <c r="O754" s="70"/>
      <c r="P754" s="70"/>
      <c r="Q754" s="70" t="str">
        <f>IFERROR(__xludf.DUMMYFUNCTION("IFERROR(IF(COUNTIF(IMPORTRANGE(""1WjiLR_MTMxI_IZUKuvPO4Sg2rTSIqBzP3edakSRXbOA"",""Form Responses 1!B:B""),F754)&gt;0,10,),0)"),"")</f>
        <v/>
      </c>
      <c r="R754" s="70" t="str">
        <f>IFERROR(__xludf.DUMMYFUNCTION("IFERROR(VLOOKUP(F754,IMPORTRANGE(""1Ixzbal5tEbtWhozsFEppQzOYE6ZSrkNXHg_HW5k3Wt4"",""Form Responses 1!B:C""),2,FALSE),)"),"")</f>
        <v/>
      </c>
      <c r="S754" s="70" t="str">
        <f>IFERROR(__xludf.DUMMYFUNCTION("IFERROR(VLOOKUP(F754,IMPORTRANGE(""1zxjtEKGvVIJPIDqZdnxENwVpPXYa88EihzyI44hcQUo"",""Form Responses 1!B:C""),2,FALSE),)"),"")</f>
        <v/>
      </c>
      <c r="T754" s="70" t="str">
        <f>IFERROR(__xludf.DUMMYFUNCTION("IFERROR(VLOOKUP(F754,IMPORTRANGE(""1H3cO01obd5zFULYqaT5NAqecZBFFIHeDFn4CeQLZF3w"",""Form Responses 1!B:C""),2,FALSE),)"),"")</f>
        <v/>
      </c>
      <c r="U754" s="70" t="str">
        <f>IFERROR(__xludf.DUMMYFUNCTION("IFERROR(IF(COUNTIF(IMPORTRANGE(""1IG9qoa6PeLdDDFzKpW39lxXshN0-M8Z25a_R1EpsYyg"",""Form Responses 1!B:B""),F754)&gt;0,10,),0)"),"")</f>
        <v/>
      </c>
      <c r="V754" s="70"/>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row>
    <row r="755">
      <c r="B755" s="70" t="str">
        <f>IFERROR(__xludf.DUMMYFUNCTION("IFERROR(IF(COUNTIF(IMPORTRANGE(""1RTcwEJsI_0aJRebhNwO_H_AoKl9r46k7hWYbtciIyM4"",""Form Responses 1!B:B""),A755)&gt;0,10,),0)"),"")</f>
        <v/>
      </c>
      <c r="C755" s="70" t="str">
        <f>IFERROR(__xludf.DUMMYFUNCTION("IFERROR(VLOOKUP(A755,IMPORTRANGE(""11i8IUhq_U6RRKRV3CBWIKqYed_fMvFgNUHTq1YDJfp8"",""Form Responses 1!B:C""),2,FALSE),)"),"")</f>
        <v/>
      </c>
      <c r="D755" s="70" t="str">
        <f>IFERROR(__xludf.DUMMYFUNCTION("IFERROR(VLOOKUP(A755,IMPORTRANGE(""1StiHxuxrFhYdrq5WLR2JMORicW0TbnJf3J-oTHeMRtM"",""Form Responses 1!B:C""),2,FALSE),)"),"")</f>
        <v/>
      </c>
      <c r="E755" s="70" t="str">
        <f>IFERROR(__xludf.DUMMYFUNCTION("IFERROR(VLOOKUP(A755,IMPORTRANGE(""1QaxxyUjrDq2kgz300C1Bq1tacFk6e-xX218cSXCQUK0"",""Form Responses 1!B:C""),2,FALSE),)"),"")</f>
        <v/>
      </c>
      <c r="F755" s="70" t="str">
        <f>IFERROR(__xludf.DUMMYFUNCTION("IFERROR(VLOOKUP(A755,IMPORTRANGE(""1fn2ECph_y8Uz78DhjLaiXcwgt6kh3oe-0Le36Uw0noE"",""Form Responses 1!B:C""),2,FALSE),)"),"")</f>
        <v/>
      </c>
      <c r="G755" s="70"/>
      <c r="H755" s="70"/>
      <c r="I755" s="70"/>
      <c r="J755" s="70"/>
      <c r="K755" s="70"/>
      <c r="L755" s="70"/>
      <c r="M755" s="70"/>
      <c r="N755" s="70"/>
      <c r="O755" s="70"/>
      <c r="P755" s="70"/>
      <c r="Q755" s="70" t="str">
        <f>IFERROR(__xludf.DUMMYFUNCTION("IFERROR(IF(COUNTIF(IMPORTRANGE(""1WjiLR_MTMxI_IZUKuvPO4Sg2rTSIqBzP3edakSRXbOA"",""Form Responses 1!B:B""),F755)&gt;0,10,),0)"),"")</f>
        <v/>
      </c>
      <c r="R755" s="70" t="str">
        <f>IFERROR(__xludf.DUMMYFUNCTION("IFERROR(VLOOKUP(F755,IMPORTRANGE(""1Ixzbal5tEbtWhozsFEppQzOYE6ZSrkNXHg_HW5k3Wt4"",""Form Responses 1!B:C""),2,FALSE),)"),"")</f>
        <v/>
      </c>
      <c r="S755" s="70" t="str">
        <f>IFERROR(__xludf.DUMMYFUNCTION("IFERROR(VLOOKUP(F755,IMPORTRANGE(""1zxjtEKGvVIJPIDqZdnxENwVpPXYa88EihzyI44hcQUo"",""Form Responses 1!B:C""),2,FALSE),)"),"")</f>
        <v/>
      </c>
      <c r="T755" s="70" t="str">
        <f>IFERROR(__xludf.DUMMYFUNCTION("IFERROR(VLOOKUP(F755,IMPORTRANGE(""1H3cO01obd5zFULYqaT5NAqecZBFFIHeDFn4CeQLZF3w"",""Form Responses 1!B:C""),2,FALSE),)"),"")</f>
        <v/>
      </c>
      <c r="U755" s="70" t="str">
        <f>IFERROR(__xludf.DUMMYFUNCTION("IFERROR(IF(COUNTIF(IMPORTRANGE(""1IG9qoa6PeLdDDFzKpW39lxXshN0-M8Z25a_R1EpsYyg"",""Form Responses 1!B:B""),F755)&gt;0,10,),0)"),"")</f>
        <v/>
      </c>
      <c r="V755" s="70"/>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row>
    <row r="756">
      <c r="B756" s="70" t="str">
        <f>IFERROR(__xludf.DUMMYFUNCTION("IFERROR(IF(COUNTIF(IMPORTRANGE(""1RTcwEJsI_0aJRebhNwO_H_AoKl9r46k7hWYbtciIyM4"",""Form Responses 1!B:B""),A756)&gt;0,10,),0)"),"")</f>
        <v/>
      </c>
      <c r="C756" s="70" t="str">
        <f>IFERROR(__xludf.DUMMYFUNCTION("IFERROR(VLOOKUP(A756,IMPORTRANGE(""11i8IUhq_U6RRKRV3CBWIKqYed_fMvFgNUHTq1YDJfp8"",""Form Responses 1!B:C""),2,FALSE),)"),"")</f>
        <v/>
      </c>
      <c r="D756" s="70" t="str">
        <f>IFERROR(__xludf.DUMMYFUNCTION("IFERROR(VLOOKUP(A756,IMPORTRANGE(""1StiHxuxrFhYdrq5WLR2JMORicW0TbnJf3J-oTHeMRtM"",""Form Responses 1!B:C""),2,FALSE),)"),"")</f>
        <v/>
      </c>
      <c r="E756" s="70" t="str">
        <f>IFERROR(__xludf.DUMMYFUNCTION("IFERROR(VLOOKUP(A756,IMPORTRANGE(""1QaxxyUjrDq2kgz300C1Bq1tacFk6e-xX218cSXCQUK0"",""Form Responses 1!B:C""),2,FALSE),)"),"")</f>
        <v/>
      </c>
      <c r="F756" s="70" t="str">
        <f>IFERROR(__xludf.DUMMYFUNCTION("IFERROR(VLOOKUP(A756,IMPORTRANGE(""1fn2ECph_y8Uz78DhjLaiXcwgt6kh3oe-0Le36Uw0noE"",""Form Responses 1!B:C""),2,FALSE),)"),"")</f>
        <v/>
      </c>
      <c r="G756" s="70"/>
      <c r="H756" s="70"/>
      <c r="I756" s="70"/>
      <c r="J756" s="70"/>
      <c r="K756" s="70"/>
      <c r="L756" s="70"/>
      <c r="M756" s="70"/>
      <c r="N756" s="70"/>
      <c r="O756" s="70"/>
      <c r="P756" s="70"/>
      <c r="Q756" s="70" t="str">
        <f>IFERROR(__xludf.DUMMYFUNCTION("IFERROR(IF(COUNTIF(IMPORTRANGE(""1WjiLR_MTMxI_IZUKuvPO4Sg2rTSIqBzP3edakSRXbOA"",""Form Responses 1!B:B""),F756)&gt;0,10,),0)"),"")</f>
        <v/>
      </c>
      <c r="R756" s="70" t="str">
        <f>IFERROR(__xludf.DUMMYFUNCTION("IFERROR(VLOOKUP(F756,IMPORTRANGE(""1Ixzbal5tEbtWhozsFEppQzOYE6ZSrkNXHg_HW5k3Wt4"",""Form Responses 1!B:C""),2,FALSE),)"),"")</f>
        <v/>
      </c>
      <c r="S756" s="70" t="str">
        <f>IFERROR(__xludf.DUMMYFUNCTION("IFERROR(VLOOKUP(F756,IMPORTRANGE(""1zxjtEKGvVIJPIDqZdnxENwVpPXYa88EihzyI44hcQUo"",""Form Responses 1!B:C""),2,FALSE),)"),"")</f>
        <v/>
      </c>
      <c r="T756" s="70" t="str">
        <f>IFERROR(__xludf.DUMMYFUNCTION("IFERROR(VLOOKUP(F756,IMPORTRANGE(""1H3cO01obd5zFULYqaT5NAqecZBFFIHeDFn4CeQLZF3w"",""Form Responses 1!B:C""),2,FALSE),)"),"")</f>
        <v/>
      </c>
      <c r="U756" s="70" t="str">
        <f>IFERROR(__xludf.DUMMYFUNCTION("IFERROR(IF(COUNTIF(IMPORTRANGE(""1IG9qoa6PeLdDDFzKpW39lxXshN0-M8Z25a_R1EpsYyg"",""Form Responses 1!B:B""),F756)&gt;0,10,),0)"),"")</f>
        <v/>
      </c>
      <c r="V756" s="70"/>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row>
    <row r="757">
      <c r="B757" s="70" t="str">
        <f>IFERROR(__xludf.DUMMYFUNCTION("IFERROR(IF(COUNTIF(IMPORTRANGE(""1RTcwEJsI_0aJRebhNwO_H_AoKl9r46k7hWYbtciIyM4"",""Form Responses 1!B:B""),A757)&gt;0,10,),0)"),"")</f>
        <v/>
      </c>
      <c r="C757" s="70" t="str">
        <f>IFERROR(__xludf.DUMMYFUNCTION("IFERROR(VLOOKUP(A757,IMPORTRANGE(""11i8IUhq_U6RRKRV3CBWIKqYed_fMvFgNUHTq1YDJfp8"",""Form Responses 1!B:C""),2,FALSE),)"),"")</f>
        <v/>
      </c>
      <c r="D757" s="70" t="str">
        <f>IFERROR(__xludf.DUMMYFUNCTION("IFERROR(VLOOKUP(A757,IMPORTRANGE(""1StiHxuxrFhYdrq5WLR2JMORicW0TbnJf3J-oTHeMRtM"",""Form Responses 1!B:C""),2,FALSE),)"),"")</f>
        <v/>
      </c>
      <c r="E757" s="70" t="str">
        <f>IFERROR(__xludf.DUMMYFUNCTION("IFERROR(VLOOKUP(A757,IMPORTRANGE(""1QaxxyUjrDq2kgz300C1Bq1tacFk6e-xX218cSXCQUK0"",""Form Responses 1!B:C""),2,FALSE),)"),"")</f>
        <v/>
      </c>
      <c r="F757" s="70" t="str">
        <f>IFERROR(__xludf.DUMMYFUNCTION("IFERROR(VLOOKUP(A757,IMPORTRANGE(""1fn2ECph_y8Uz78DhjLaiXcwgt6kh3oe-0Le36Uw0noE"",""Form Responses 1!B:C""),2,FALSE),)"),"")</f>
        <v/>
      </c>
      <c r="G757" s="70"/>
      <c r="H757" s="70"/>
      <c r="I757" s="70"/>
      <c r="J757" s="70"/>
      <c r="K757" s="70"/>
      <c r="L757" s="70"/>
      <c r="M757" s="70"/>
      <c r="N757" s="70"/>
      <c r="O757" s="70"/>
      <c r="P757" s="70"/>
      <c r="Q757" s="70" t="str">
        <f>IFERROR(__xludf.DUMMYFUNCTION("IFERROR(IF(COUNTIF(IMPORTRANGE(""1WjiLR_MTMxI_IZUKuvPO4Sg2rTSIqBzP3edakSRXbOA"",""Form Responses 1!B:B""),F757)&gt;0,10,),0)"),"")</f>
        <v/>
      </c>
      <c r="R757" s="70" t="str">
        <f>IFERROR(__xludf.DUMMYFUNCTION("IFERROR(VLOOKUP(F757,IMPORTRANGE(""1Ixzbal5tEbtWhozsFEppQzOYE6ZSrkNXHg_HW5k3Wt4"",""Form Responses 1!B:C""),2,FALSE),)"),"")</f>
        <v/>
      </c>
      <c r="S757" s="70" t="str">
        <f>IFERROR(__xludf.DUMMYFUNCTION("IFERROR(VLOOKUP(F757,IMPORTRANGE(""1zxjtEKGvVIJPIDqZdnxENwVpPXYa88EihzyI44hcQUo"",""Form Responses 1!B:C""),2,FALSE),)"),"")</f>
        <v/>
      </c>
      <c r="T757" s="70" t="str">
        <f>IFERROR(__xludf.DUMMYFUNCTION("IFERROR(VLOOKUP(F757,IMPORTRANGE(""1H3cO01obd5zFULYqaT5NAqecZBFFIHeDFn4CeQLZF3w"",""Form Responses 1!B:C""),2,FALSE),)"),"")</f>
        <v/>
      </c>
      <c r="U757" s="70" t="str">
        <f>IFERROR(__xludf.DUMMYFUNCTION("IFERROR(IF(COUNTIF(IMPORTRANGE(""1IG9qoa6PeLdDDFzKpW39lxXshN0-M8Z25a_R1EpsYyg"",""Form Responses 1!B:B""),F757)&gt;0,10,),0)"),"")</f>
        <v/>
      </c>
      <c r="V757" s="70"/>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row>
    <row r="758">
      <c r="B758" s="70" t="str">
        <f>IFERROR(__xludf.DUMMYFUNCTION("IFERROR(IF(COUNTIF(IMPORTRANGE(""1RTcwEJsI_0aJRebhNwO_H_AoKl9r46k7hWYbtciIyM4"",""Form Responses 1!B:B""),A758)&gt;0,10,),0)"),"")</f>
        <v/>
      </c>
      <c r="C758" s="70" t="str">
        <f>IFERROR(__xludf.DUMMYFUNCTION("IFERROR(VLOOKUP(A758,IMPORTRANGE(""11i8IUhq_U6RRKRV3CBWIKqYed_fMvFgNUHTq1YDJfp8"",""Form Responses 1!B:C""),2,FALSE),)"),"")</f>
        <v/>
      </c>
      <c r="D758" s="70" t="str">
        <f>IFERROR(__xludf.DUMMYFUNCTION("IFERROR(VLOOKUP(A758,IMPORTRANGE(""1StiHxuxrFhYdrq5WLR2JMORicW0TbnJf3J-oTHeMRtM"",""Form Responses 1!B:C""),2,FALSE),)"),"")</f>
        <v/>
      </c>
      <c r="E758" s="70" t="str">
        <f>IFERROR(__xludf.DUMMYFUNCTION("IFERROR(VLOOKUP(A758,IMPORTRANGE(""1QaxxyUjrDq2kgz300C1Bq1tacFk6e-xX218cSXCQUK0"",""Form Responses 1!B:C""),2,FALSE),)"),"")</f>
        <v/>
      </c>
      <c r="F758" s="70" t="str">
        <f>IFERROR(__xludf.DUMMYFUNCTION("IFERROR(VLOOKUP(A758,IMPORTRANGE(""1fn2ECph_y8Uz78DhjLaiXcwgt6kh3oe-0Le36Uw0noE"",""Form Responses 1!B:C""),2,FALSE),)"),"")</f>
        <v/>
      </c>
      <c r="G758" s="70"/>
      <c r="H758" s="70"/>
      <c r="I758" s="70"/>
      <c r="J758" s="70"/>
      <c r="K758" s="70"/>
      <c r="L758" s="70"/>
      <c r="M758" s="70"/>
      <c r="N758" s="70"/>
      <c r="O758" s="70"/>
      <c r="P758" s="70"/>
      <c r="Q758" s="70" t="str">
        <f>IFERROR(__xludf.DUMMYFUNCTION("IFERROR(IF(COUNTIF(IMPORTRANGE(""1WjiLR_MTMxI_IZUKuvPO4Sg2rTSIqBzP3edakSRXbOA"",""Form Responses 1!B:B""),F758)&gt;0,10,),0)"),"")</f>
        <v/>
      </c>
      <c r="R758" s="70" t="str">
        <f>IFERROR(__xludf.DUMMYFUNCTION("IFERROR(VLOOKUP(F758,IMPORTRANGE(""1Ixzbal5tEbtWhozsFEppQzOYE6ZSrkNXHg_HW5k3Wt4"",""Form Responses 1!B:C""),2,FALSE),)"),"")</f>
        <v/>
      </c>
      <c r="S758" s="70" t="str">
        <f>IFERROR(__xludf.DUMMYFUNCTION("IFERROR(VLOOKUP(F758,IMPORTRANGE(""1zxjtEKGvVIJPIDqZdnxENwVpPXYa88EihzyI44hcQUo"",""Form Responses 1!B:C""),2,FALSE),)"),"")</f>
        <v/>
      </c>
      <c r="T758" s="70" t="str">
        <f>IFERROR(__xludf.DUMMYFUNCTION("IFERROR(VLOOKUP(F758,IMPORTRANGE(""1H3cO01obd5zFULYqaT5NAqecZBFFIHeDFn4CeQLZF3w"",""Form Responses 1!B:C""),2,FALSE),)"),"")</f>
        <v/>
      </c>
      <c r="U758" s="70" t="str">
        <f>IFERROR(__xludf.DUMMYFUNCTION("IFERROR(IF(COUNTIF(IMPORTRANGE(""1IG9qoa6PeLdDDFzKpW39lxXshN0-M8Z25a_R1EpsYyg"",""Form Responses 1!B:B""),F758)&gt;0,10,),0)"),"")</f>
        <v/>
      </c>
      <c r="V758" s="70"/>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row>
    <row r="759">
      <c r="B759" s="70" t="str">
        <f>IFERROR(__xludf.DUMMYFUNCTION("IFERROR(IF(COUNTIF(IMPORTRANGE(""1RTcwEJsI_0aJRebhNwO_H_AoKl9r46k7hWYbtciIyM4"",""Form Responses 1!B:B""),A759)&gt;0,10,),0)"),"")</f>
        <v/>
      </c>
      <c r="C759" s="70" t="str">
        <f>IFERROR(__xludf.DUMMYFUNCTION("IFERROR(VLOOKUP(A759,IMPORTRANGE(""11i8IUhq_U6RRKRV3CBWIKqYed_fMvFgNUHTq1YDJfp8"",""Form Responses 1!B:C""),2,FALSE),)"),"")</f>
        <v/>
      </c>
      <c r="D759" s="70" t="str">
        <f>IFERROR(__xludf.DUMMYFUNCTION("IFERROR(VLOOKUP(A759,IMPORTRANGE(""1StiHxuxrFhYdrq5WLR2JMORicW0TbnJf3J-oTHeMRtM"",""Form Responses 1!B:C""),2,FALSE),)"),"")</f>
        <v/>
      </c>
      <c r="E759" s="70" t="str">
        <f>IFERROR(__xludf.DUMMYFUNCTION("IFERROR(VLOOKUP(A759,IMPORTRANGE(""1QaxxyUjrDq2kgz300C1Bq1tacFk6e-xX218cSXCQUK0"",""Form Responses 1!B:C""),2,FALSE),)"),"")</f>
        <v/>
      </c>
      <c r="F759" s="70" t="str">
        <f>IFERROR(__xludf.DUMMYFUNCTION("IFERROR(VLOOKUP(A759,IMPORTRANGE(""1fn2ECph_y8Uz78DhjLaiXcwgt6kh3oe-0Le36Uw0noE"",""Form Responses 1!B:C""),2,FALSE),)"),"")</f>
        <v/>
      </c>
      <c r="G759" s="70"/>
      <c r="H759" s="70"/>
      <c r="I759" s="70"/>
      <c r="J759" s="70"/>
      <c r="K759" s="70"/>
      <c r="L759" s="70"/>
      <c r="M759" s="70"/>
      <c r="N759" s="70"/>
      <c r="O759" s="70"/>
      <c r="P759" s="70"/>
      <c r="Q759" s="70" t="str">
        <f>IFERROR(__xludf.DUMMYFUNCTION("IFERROR(IF(COUNTIF(IMPORTRANGE(""1WjiLR_MTMxI_IZUKuvPO4Sg2rTSIqBzP3edakSRXbOA"",""Form Responses 1!B:B""),F759)&gt;0,10,),0)"),"")</f>
        <v/>
      </c>
      <c r="R759" s="70" t="str">
        <f>IFERROR(__xludf.DUMMYFUNCTION("IFERROR(VLOOKUP(F759,IMPORTRANGE(""1Ixzbal5tEbtWhozsFEppQzOYE6ZSrkNXHg_HW5k3Wt4"",""Form Responses 1!B:C""),2,FALSE),)"),"")</f>
        <v/>
      </c>
      <c r="S759" s="70" t="str">
        <f>IFERROR(__xludf.DUMMYFUNCTION("IFERROR(VLOOKUP(F759,IMPORTRANGE(""1zxjtEKGvVIJPIDqZdnxENwVpPXYa88EihzyI44hcQUo"",""Form Responses 1!B:C""),2,FALSE),)"),"")</f>
        <v/>
      </c>
      <c r="T759" s="70" t="str">
        <f>IFERROR(__xludf.DUMMYFUNCTION("IFERROR(VLOOKUP(F759,IMPORTRANGE(""1H3cO01obd5zFULYqaT5NAqecZBFFIHeDFn4CeQLZF3w"",""Form Responses 1!B:C""),2,FALSE),)"),"")</f>
        <v/>
      </c>
      <c r="U759" s="70" t="str">
        <f>IFERROR(__xludf.DUMMYFUNCTION("IFERROR(IF(COUNTIF(IMPORTRANGE(""1IG9qoa6PeLdDDFzKpW39lxXshN0-M8Z25a_R1EpsYyg"",""Form Responses 1!B:B""),F759)&gt;0,10,),0)"),"")</f>
        <v/>
      </c>
      <c r="V759" s="70"/>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row>
    <row r="760">
      <c r="B760" s="70" t="str">
        <f>IFERROR(__xludf.DUMMYFUNCTION("IFERROR(IF(COUNTIF(IMPORTRANGE(""1RTcwEJsI_0aJRebhNwO_H_AoKl9r46k7hWYbtciIyM4"",""Form Responses 1!B:B""),A760)&gt;0,10,),0)"),"")</f>
        <v/>
      </c>
      <c r="C760" s="70" t="str">
        <f>IFERROR(__xludf.DUMMYFUNCTION("IFERROR(VLOOKUP(A760,IMPORTRANGE(""11i8IUhq_U6RRKRV3CBWIKqYed_fMvFgNUHTq1YDJfp8"",""Form Responses 1!B:C""),2,FALSE),)"),"")</f>
        <v/>
      </c>
      <c r="D760" s="70" t="str">
        <f>IFERROR(__xludf.DUMMYFUNCTION("IFERROR(VLOOKUP(A760,IMPORTRANGE(""1StiHxuxrFhYdrq5WLR2JMORicW0TbnJf3J-oTHeMRtM"",""Form Responses 1!B:C""),2,FALSE),)"),"")</f>
        <v/>
      </c>
      <c r="E760" s="70" t="str">
        <f>IFERROR(__xludf.DUMMYFUNCTION("IFERROR(VLOOKUP(A760,IMPORTRANGE(""1QaxxyUjrDq2kgz300C1Bq1tacFk6e-xX218cSXCQUK0"",""Form Responses 1!B:C""),2,FALSE),)"),"")</f>
        <v/>
      </c>
      <c r="F760" s="70" t="str">
        <f>IFERROR(__xludf.DUMMYFUNCTION("IFERROR(VLOOKUP(A760,IMPORTRANGE(""1fn2ECph_y8Uz78DhjLaiXcwgt6kh3oe-0Le36Uw0noE"",""Form Responses 1!B:C""),2,FALSE),)"),"")</f>
        <v/>
      </c>
      <c r="G760" s="70"/>
      <c r="H760" s="70"/>
      <c r="I760" s="70"/>
      <c r="J760" s="70"/>
      <c r="K760" s="70"/>
      <c r="L760" s="70"/>
      <c r="M760" s="70"/>
      <c r="N760" s="70"/>
      <c r="O760" s="70"/>
      <c r="P760" s="70"/>
      <c r="Q760" s="70" t="str">
        <f>IFERROR(__xludf.DUMMYFUNCTION("IFERROR(IF(COUNTIF(IMPORTRANGE(""1WjiLR_MTMxI_IZUKuvPO4Sg2rTSIqBzP3edakSRXbOA"",""Form Responses 1!B:B""),F760)&gt;0,10,),0)"),"")</f>
        <v/>
      </c>
      <c r="R760" s="70" t="str">
        <f>IFERROR(__xludf.DUMMYFUNCTION("IFERROR(VLOOKUP(F760,IMPORTRANGE(""1Ixzbal5tEbtWhozsFEppQzOYE6ZSrkNXHg_HW5k3Wt4"",""Form Responses 1!B:C""),2,FALSE),)"),"")</f>
        <v/>
      </c>
      <c r="S760" s="70" t="str">
        <f>IFERROR(__xludf.DUMMYFUNCTION("IFERROR(VLOOKUP(F760,IMPORTRANGE(""1zxjtEKGvVIJPIDqZdnxENwVpPXYa88EihzyI44hcQUo"",""Form Responses 1!B:C""),2,FALSE),)"),"")</f>
        <v/>
      </c>
      <c r="T760" s="70" t="str">
        <f>IFERROR(__xludf.DUMMYFUNCTION("IFERROR(VLOOKUP(F760,IMPORTRANGE(""1H3cO01obd5zFULYqaT5NAqecZBFFIHeDFn4CeQLZF3w"",""Form Responses 1!B:C""),2,FALSE),)"),"")</f>
        <v/>
      </c>
      <c r="U760" s="70" t="str">
        <f>IFERROR(__xludf.DUMMYFUNCTION("IFERROR(IF(COUNTIF(IMPORTRANGE(""1IG9qoa6PeLdDDFzKpW39lxXshN0-M8Z25a_R1EpsYyg"",""Form Responses 1!B:B""),F760)&gt;0,10,),0)"),"")</f>
        <v/>
      </c>
      <c r="V760" s="70"/>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row>
    <row r="761">
      <c r="B761" s="70" t="str">
        <f>IFERROR(__xludf.DUMMYFUNCTION("IFERROR(IF(COUNTIF(IMPORTRANGE(""1RTcwEJsI_0aJRebhNwO_H_AoKl9r46k7hWYbtciIyM4"",""Form Responses 1!B:B""),A761)&gt;0,10,),0)"),"")</f>
        <v/>
      </c>
      <c r="C761" s="70" t="str">
        <f>IFERROR(__xludf.DUMMYFUNCTION("IFERROR(VLOOKUP(A761,IMPORTRANGE(""11i8IUhq_U6RRKRV3CBWIKqYed_fMvFgNUHTq1YDJfp8"",""Form Responses 1!B:C""),2,FALSE),)"),"")</f>
        <v/>
      </c>
      <c r="D761" s="70" t="str">
        <f>IFERROR(__xludf.DUMMYFUNCTION("IFERROR(VLOOKUP(A761,IMPORTRANGE(""1StiHxuxrFhYdrq5WLR2JMORicW0TbnJf3J-oTHeMRtM"",""Form Responses 1!B:C""),2,FALSE),)"),"")</f>
        <v/>
      </c>
      <c r="E761" s="70" t="str">
        <f>IFERROR(__xludf.DUMMYFUNCTION("IFERROR(VLOOKUP(A761,IMPORTRANGE(""1QaxxyUjrDq2kgz300C1Bq1tacFk6e-xX218cSXCQUK0"",""Form Responses 1!B:C""),2,FALSE),)"),"")</f>
        <v/>
      </c>
      <c r="F761" s="70" t="str">
        <f>IFERROR(__xludf.DUMMYFUNCTION("IFERROR(VLOOKUP(A761,IMPORTRANGE(""1fn2ECph_y8Uz78DhjLaiXcwgt6kh3oe-0Le36Uw0noE"",""Form Responses 1!B:C""),2,FALSE),)"),"")</f>
        <v/>
      </c>
      <c r="G761" s="70"/>
      <c r="H761" s="70"/>
      <c r="I761" s="70"/>
      <c r="J761" s="70"/>
      <c r="K761" s="70"/>
      <c r="L761" s="70"/>
      <c r="M761" s="70"/>
      <c r="N761" s="70"/>
      <c r="O761" s="70"/>
      <c r="P761" s="70"/>
      <c r="Q761" s="70" t="str">
        <f>IFERROR(__xludf.DUMMYFUNCTION("IFERROR(IF(COUNTIF(IMPORTRANGE(""1WjiLR_MTMxI_IZUKuvPO4Sg2rTSIqBzP3edakSRXbOA"",""Form Responses 1!B:B""),F761)&gt;0,10,),0)"),"")</f>
        <v/>
      </c>
      <c r="R761" s="70" t="str">
        <f>IFERROR(__xludf.DUMMYFUNCTION("IFERROR(VLOOKUP(F761,IMPORTRANGE(""1Ixzbal5tEbtWhozsFEppQzOYE6ZSrkNXHg_HW5k3Wt4"",""Form Responses 1!B:C""),2,FALSE),)"),"")</f>
        <v/>
      </c>
      <c r="S761" s="70" t="str">
        <f>IFERROR(__xludf.DUMMYFUNCTION("IFERROR(VLOOKUP(F761,IMPORTRANGE(""1zxjtEKGvVIJPIDqZdnxENwVpPXYa88EihzyI44hcQUo"",""Form Responses 1!B:C""),2,FALSE),)"),"")</f>
        <v/>
      </c>
      <c r="T761" s="70" t="str">
        <f>IFERROR(__xludf.DUMMYFUNCTION("IFERROR(VLOOKUP(F761,IMPORTRANGE(""1H3cO01obd5zFULYqaT5NAqecZBFFIHeDFn4CeQLZF3w"",""Form Responses 1!B:C""),2,FALSE),)"),"")</f>
        <v/>
      </c>
      <c r="U761" s="70" t="str">
        <f>IFERROR(__xludf.DUMMYFUNCTION("IFERROR(IF(COUNTIF(IMPORTRANGE(""1IG9qoa6PeLdDDFzKpW39lxXshN0-M8Z25a_R1EpsYyg"",""Form Responses 1!B:B""),F761)&gt;0,10,),0)"),"")</f>
        <v/>
      </c>
      <c r="V761" s="70"/>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row>
    <row r="762">
      <c r="B762" s="70" t="str">
        <f>IFERROR(__xludf.DUMMYFUNCTION("IFERROR(IF(COUNTIF(IMPORTRANGE(""1RTcwEJsI_0aJRebhNwO_H_AoKl9r46k7hWYbtciIyM4"",""Form Responses 1!B:B""),A762)&gt;0,10,),0)"),"")</f>
        <v/>
      </c>
      <c r="C762" s="70" t="str">
        <f>IFERROR(__xludf.DUMMYFUNCTION("IFERROR(VLOOKUP(A762,IMPORTRANGE(""11i8IUhq_U6RRKRV3CBWIKqYed_fMvFgNUHTq1YDJfp8"",""Form Responses 1!B:C""),2,FALSE),)"),"")</f>
        <v/>
      </c>
      <c r="D762" s="70" t="str">
        <f>IFERROR(__xludf.DUMMYFUNCTION("IFERROR(VLOOKUP(A762,IMPORTRANGE(""1StiHxuxrFhYdrq5WLR2JMORicW0TbnJf3J-oTHeMRtM"",""Form Responses 1!B:C""),2,FALSE),)"),"")</f>
        <v/>
      </c>
      <c r="E762" s="70" t="str">
        <f>IFERROR(__xludf.DUMMYFUNCTION("IFERROR(VLOOKUP(A762,IMPORTRANGE(""1QaxxyUjrDq2kgz300C1Bq1tacFk6e-xX218cSXCQUK0"",""Form Responses 1!B:C""),2,FALSE),)"),"")</f>
        <v/>
      </c>
      <c r="F762" s="70" t="str">
        <f>IFERROR(__xludf.DUMMYFUNCTION("IFERROR(VLOOKUP(A762,IMPORTRANGE(""1fn2ECph_y8Uz78DhjLaiXcwgt6kh3oe-0Le36Uw0noE"",""Form Responses 1!B:C""),2,FALSE),)"),"")</f>
        <v/>
      </c>
      <c r="G762" s="70"/>
      <c r="H762" s="70"/>
      <c r="I762" s="70"/>
      <c r="J762" s="70"/>
      <c r="K762" s="70"/>
      <c r="L762" s="70"/>
      <c r="M762" s="70"/>
      <c r="N762" s="70"/>
      <c r="O762" s="70"/>
      <c r="P762" s="70"/>
      <c r="Q762" s="70" t="str">
        <f>IFERROR(__xludf.DUMMYFUNCTION("IFERROR(IF(COUNTIF(IMPORTRANGE(""1WjiLR_MTMxI_IZUKuvPO4Sg2rTSIqBzP3edakSRXbOA"",""Form Responses 1!B:B""),F762)&gt;0,10,),0)"),"")</f>
        <v/>
      </c>
      <c r="R762" s="70" t="str">
        <f>IFERROR(__xludf.DUMMYFUNCTION("IFERROR(VLOOKUP(F762,IMPORTRANGE(""1Ixzbal5tEbtWhozsFEppQzOYE6ZSrkNXHg_HW5k3Wt4"",""Form Responses 1!B:C""),2,FALSE),)"),"")</f>
        <v/>
      </c>
      <c r="S762" s="70" t="str">
        <f>IFERROR(__xludf.DUMMYFUNCTION("IFERROR(VLOOKUP(F762,IMPORTRANGE(""1zxjtEKGvVIJPIDqZdnxENwVpPXYa88EihzyI44hcQUo"",""Form Responses 1!B:C""),2,FALSE),)"),"")</f>
        <v/>
      </c>
      <c r="T762" s="70" t="str">
        <f>IFERROR(__xludf.DUMMYFUNCTION("IFERROR(VLOOKUP(F762,IMPORTRANGE(""1H3cO01obd5zFULYqaT5NAqecZBFFIHeDFn4CeQLZF3w"",""Form Responses 1!B:C""),2,FALSE),)"),"")</f>
        <v/>
      </c>
      <c r="U762" s="70" t="str">
        <f>IFERROR(__xludf.DUMMYFUNCTION("IFERROR(IF(COUNTIF(IMPORTRANGE(""1IG9qoa6PeLdDDFzKpW39lxXshN0-M8Z25a_R1EpsYyg"",""Form Responses 1!B:B""),F762)&gt;0,10,),0)"),"")</f>
        <v/>
      </c>
      <c r="V762" s="70"/>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row>
    <row r="763">
      <c r="B763" s="70"/>
      <c r="C763" s="70"/>
      <c r="D763" s="70"/>
      <c r="E763" s="70"/>
      <c r="F763" s="70"/>
      <c r="G763" s="70"/>
      <c r="H763" s="70"/>
      <c r="I763" s="70"/>
      <c r="J763" s="70"/>
      <c r="K763" s="70"/>
      <c r="L763" s="70"/>
      <c r="M763" s="70"/>
      <c r="N763" s="70"/>
      <c r="O763" s="70"/>
      <c r="P763" s="70"/>
      <c r="Q763" s="70" t="str">
        <f>IFERROR(__xludf.DUMMYFUNCTION("IFERROR(IF(COUNTIF(IMPORTRANGE(""1WjiLR_MTMxI_IZUKuvPO4Sg2rTSIqBzP3edakSRXbOA"",""Form Responses 1!B:B""),F763)&gt;0,10,),0)"),"")</f>
        <v/>
      </c>
      <c r="R763" s="70" t="str">
        <f>IFERROR(__xludf.DUMMYFUNCTION("IFERROR(VLOOKUP(F763,IMPORTRANGE(""1Ixzbal5tEbtWhozsFEppQzOYE6ZSrkNXHg_HW5k3Wt4"",""Form Responses 1!B:C""),2,FALSE),)"),"")</f>
        <v/>
      </c>
      <c r="S763" s="70" t="str">
        <f>IFERROR(__xludf.DUMMYFUNCTION("IFERROR(VLOOKUP(F763,IMPORTRANGE(""1zxjtEKGvVIJPIDqZdnxENwVpPXYa88EihzyI44hcQUo"",""Form Responses 1!B:C""),2,FALSE),)"),"")</f>
        <v/>
      </c>
      <c r="T763" s="70" t="str">
        <f>IFERROR(__xludf.DUMMYFUNCTION("IFERROR(VLOOKUP(F763,IMPORTRANGE(""1H3cO01obd5zFULYqaT5NAqecZBFFIHeDFn4CeQLZF3w"",""Form Responses 1!B:C""),2,FALSE),)"),"")</f>
        <v/>
      </c>
      <c r="U763" s="70" t="str">
        <f>IFERROR(__xludf.DUMMYFUNCTION("IFERROR(IF(COUNTIF(IMPORTRANGE(""1IG9qoa6PeLdDDFzKpW39lxXshN0-M8Z25a_R1EpsYyg"",""Form Responses 1!B:B""),F763)&gt;0,10,),0)"),"")</f>
        <v/>
      </c>
      <c r="V763" s="70"/>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c r="AU763" s="70"/>
    </row>
    <row r="764">
      <c r="B764" s="70"/>
      <c r="C764" s="70"/>
      <c r="D764" s="70"/>
      <c r="E764" s="70"/>
      <c r="F764" s="70"/>
      <c r="G764" s="70"/>
      <c r="H764" s="70"/>
      <c r="I764" s="70"/>
      <c r="J764" s="70"/>
      <c r="K764" s="70"/>
      <c r="L764" s="70"/>
      <c r="M764" s="70"/>
      <c r="N764" s="70"/>
      <c r="O764" s="70"/>
      <c r="P764" s="70"/>
      <c r="Q764" s="70" t="str">
        <f>IFERROR(__xludf.DUMMYFUNCTION("IFERROR(IF(COUNTIF(IMPORTRANGE(""1WjiLR_MTMxI_IZUKuvPO4Sg2rTSIqBzP3edakSRXbOA"",""Form Responses 1!B:B""),F764)&gt;0,10,),0)"),"")</f>
        <v/>
      </c>
      <c r="R764" s="70" t="str">
        <f>IFERROR(__xludf.DUMMYFUNCTION("IFERROR(VLOOKUP(F764,IMPORTRANGE(""1Ixzbal5tEbtWhozsFEppQzOYE6ZSrkNXHg_HW5k3Wt4"",""Form Responses 1!B:C""),2,FALSE),)"),"")</f>
        <v/>
      </c>
      <c r="S764" s="70" t="str">
        <f>IFERROR(__xludf.DUMMYFUNCTION("IFERROR(VLOOKUP(F764,IMPORTRANGE(""1zxjtEKGvVIJPIDqZdnxENwVpPXYa88EihzyI44hcQUo"",""Form Responses 1!B:C""),2,FALSE),)"),"")</f>
        <v/>
      </c>
      <c r="T764" s="70" t="str">
        <f>IFERROR(__xludf.DUMMYFUNCTION("IFERROR(VLOOKUP(F764,IMPORTRANGE(""1H3cO01obd5zFULYqaT5NAqecZBFFIHeDFn4CeQLZF3w"",""Form Responses 1!B:C""),2,FALSE),)"),"")</f>
        <v/>
      </c>
      <c r="U764" s="70" t="str">
        <f>IFERROR(__xludf.DUMMYFUNCTION("IFERROR(IF(COUNTIF(IMPORTRANGE(""1IG9qoa6PeLdDDFzKpW39lxXshN0-M8Z25a_R1EpsYyg"",""Form Responses 1!B:B""),F764)&gt;0,10,),0)"),"")</f>
        <v/>
      </c>
      <c r="V764" s="70"/>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c r="AU764" s="70"/>
    </row>
    <row r="765">
      <c r="B765" s="70"/>
      <c r="C765" s="70"/>
      <c r="D765" s="70"/>
      <c r="E765" s="70"/>
      <c r="F765" s="70"/>
      <c r="G765" s="70"/>
      <c r="H765" s="70"/>
      <c r="I765" s="70"/>
      <c r="J765" s="70"/>
      <c r="K765" s="70"/>
      <c r="L765" s="70"/>
      <c r="M765" s="70"/>
      <c r="N765" s="70"/>
      <c r="O765" s="70"/>
      <c r="P765" s="70"/>
      <c r="Q765" s="70" t="str">
        <f>IFERROR(__xludf.DUMMYFUNCTION("IFERROR(IF(COUNTIF(IMPORTRANGE(""1WjiLR_MTMxI_IZUKuvPO4Sg2rTSIqBzP3edakSRXbOA"",""Form Responses 1!B:B""),F765)&gt;0,10,),0)"),"")</f>
        <v/>
      </c>
      <c r="R765" s="70" t="str">
        <f>IFERROR(__xludf.DUMMYFUNCTION("IFERROR(VLOOKUP(F765,IMPORTRANGE(""1Ixzbal5tEbtWhozsFEppQzOYE6ZSrkNXHg_HW5k3Wt4"",""Form Responses 1!B:C""),2,FALSE),)"),"")</f>
        <v/>
      </c>
      <c r="S765" s="70" t="str">
        <f>IFERROR(__xludf.DUMMYFUNCTION("IFERROR(VLOOKUP(F765,IMPORTRANGE(""1zxjtEKGvVIJPIDqZdnxENwVpPXYa88EihzyI44hcQUo"",""Form Responses 1!B:C""),2,FALSE),)"),"")</f>
        <v/>
      </c>
      <c r="T765" s="70" t="str">
        <f>IFERROR(__xludf.DUMMYFUNCTION("IFERROR(VLOOKUP(F765,IMPORTRANGE(""1H3cO01obd5zFULYqaT5NAqecZBFFIHeDFn4CeQLZF3w"",""Form Responses 1!B:C""),2,FALSE),)"),"")</f>
        <v/>
      </c>
      <c r="U765" s="70" t="str">
        <f>IFERROR(__xludf.DUMMYFUNCTION("IFERROR(IF(COUNTIF(IMPORTRANGE(""1IG9qoa6PeLdDDFzKpW39lxXshN0-M8Z25a_R1EpsYyg"",""Form Responses 1!B:B""),F765)&gt;0,10,),0)"),"")</f>
        <v/>
      </c>
      <c r="V765" s="70"/>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c r="AU765" s="70"/>
    </row>
    <row r="766">
      <c r="B766" s="70"/>
      <c r="C766" s="70"/>
      <c r="D766" s="70"/>
      <c r="E766" s="70"/>
      <c r="F766" s="70"/>
      <c r="G766" s="70"/>
      <c r="H766" s="70"/>
      <c r="I766" s="70"/>
      <c r="J766" s="70"/>
      <c r="K766" s="70"/>
      <c r="L766" s="70"/>
      <c r="M766" s="70"/>
      <c r="N766" s="70"/>
      <c r="O766" s="70"/>
      <c r="P766" s="70"/>
      <c r="Q766" s="70" t="str">
        <f>IFERROR(__xludf.DUMMYFUNCTION("IFERROR(IF(COUNTIF(IMPORTRANGE(""1WjiLR_MTMxI_IZUKuvPO4Sg2rTSIqBzP3edakSRXbOA"",""Form Responses 1!B:B""),F766)&gt;0,10,),0)"),"")</f>
        <v/>
      </c>
      <c r="R766" s="70" t="str">
        <f>IFERROR(__xludf.DUMMYFUNCTION("IFERROR(VLOOKUP(F766,IMPORTRANGE(""1Ixzbal5tEbtWhozsFEppQzOYE6ZSrkNXHg_HW5k3Wt4"",""Form Responses 1!B:C""),2,FALSE),)"),"")</f>
        <v/>
      </c>
      <c r="S766" s="70" t="str">
        <f>IFERROR(__xludf.DUMMYFUNCTION("IFERROR(VLOOKUP(F766,IMPORTRANGE(""1zxjtEKGvVIJPIDqZdnxENwVpPXYa88EihzyI44hcQUo"",""Form Responses 1!B:C""),2,FALSE),)"),"")</f>
        <v/>
      </c>
      <c r="T766" s="70" t="str">
        <f>IFERROR(__xludf.DUMMYFUNCTION("IFERROR(VLOOKUP(F766,IMPORTRANGE(""1H3cO01obd5zFULYqaT5NAqecZBFFIHeDFn4CeQLZF3w"",""Form Responses 1!B:C""),2,FALSE),)"),"")</f>
        <v/>
      </c>
      <c r="U766" s="70" t="str">
        <f>IFERROR(__xludf.DUMMYFUNCTION("IFERROR(IF(COUNTIF(IMPORTRANGE(""1IG9qoa6PeLdDDFzKpW39lxXshN0-M8Z25a_R1EpsYyg"",""Form Responses 1!B:B""),F766)&gt;0,10,),0)"),"")</f>
        <v/>
      </c>
      <c r="V766" s="70"/>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row>
    <row r="767">
      <c r="B767" s="70"/>
      <c r="C767" s="70"/>
      <c r="D767" s="70"/>
      <c r="E767" s="70"/>
      <c r="F767" s="70"/>
      <c r="G767" s="70"/>
      <c r="H767" s="70"/>
      <c r="I767" s="70"/>
      <c r="J767" s="70"/>
      <c r="K767" s="70"/>
      <c r="L767" s="70"/>
      <c r="M767" s="70"/>
      <c r="N767" s="70"/>
      <c r="O767" s="70"/>
      <c r="P767" s="70"/>
      <c r="Q767" s="70" t="str">
        <f>IFERROR(__xludf.DUMMYFUNCTION("IFERROR(IF(COUNTIF(IMPORTRANGE(""1WjiLR_MTMxI_IZUKuvPO4Sg2rTSIqBzP3edakSRXbOA"",""Form Responses 1!B:B""),F767)&gt;0,10,),0)"),"")</f>
        <v/>
      </c>
      <c r="R767" s="70" t="str">
        <f>IFERROR(__xludf.DUMMYFUNCTION("IFERROR(VLOOKUP(F767,IMPORTRANGE(""1Ixzbal5tEbtWhozsFEppQzOYE6ZSrkNXHg_HW5k3Wt4"",""Form Responses 1!B:C""),2,FALSE),)"),"")</f>
        <v/>
      </c>
      <c r="S767" s="70" t="str">
        <f>IFERROR(__xludf.DUMMYFUNCTION("IFERROR(VLOOKUP(F767,IMPORTRANGE(""1zxjtEKGvVIJPIDqZdnxENwVpPXYa88EihzyI44hcQUo"",""Form Responses 1!B:C""),2,FALSE),)"),"")</f>
        <v/>
      </c>
      <c r="T767" s="70" t="str">
        <f>IFERROR(__xludf.DUMMYFUNCTION("IFERROR(VLOOKUP(F767,IMPORTRANGE(""1H3cO01obd5zFULYqaT5NAqecZBFFIHeDFn4CeQLZF3w"",""Form Responses 1!B:C""),2,FALSE),)"),"")</f>
        <v/>
      </c>
      <c r="U767" s="70" t="str">
        <f>IFERROR(__xludf.DUMMYFUNCTION("IFERROR(IF(COUNTIF(IMPORTRANGE(""1IG9qoa6PeLdDDFzKpW39lxXshN0-M8Z25a_R1EpsYyg"",""Form Responses 1!B:B""),F767)&gt;0,10,),0)"),"")</f>
        <v/>
      </c>
      <c r="V767" s="70"/>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row>
    <row r="768">
      <c r="B768" s="70"/>
      <c r="C768" s="70"/>
      <c r="D768" s="70"/>
      <c r="E768" s="70"/>
      <c r="F768" s="70"/>
      <c r="G768" s="70"/>
      <c r="H768" s="70"/>
      <c r="I768" s="70"/>
      <c r="J768" s="70"/>
      <c r="K768" s="70"/>
      <c r="L768" s="70"/>
      <c r="M768" s="70"/>
      <c r="N768" s="70"/>
      <c r="O768" s="70"/>
      <c r="P768" s="70"/>
      <c r="Q768" s="70" t="str">
        <f>IFERROR(__xludf.DUMMYFUNCTION("IFERROR(IF(COUNTIF(IMPORTRANGE(""1WjiLR_MTMxI_IZUKuvPO4Sg2rTSIqBzP3edakSRXbOA"",""Form Responses 1!B:B""),F768)&gt;0,10,),0)"),"")</f>
        <v/>
      </c>
      <c r="R768" s="70" t="str">
        <f>IFERROR(__xludf.DUMMYFUNCTION("IFERROR(VLOOKUP(F768,IMPORTRANGE(""1Ixzbal5tEbtWhozsFEppQzOYE6ZSrkNXHg_HW5k3Wt4"",""Form Responses 1!B:C""),2,FALSE),)"),"")</f>
        <v/>
      </c>
      <c r="S768" s="70" t="str">
        <f>IFERROR(__xludf.DUMMYFUNCTION("IFERROR(VLOOKUP(F768,IMPORTRANGE(""1zxjtEKGvVIJPIDqZdnxENwVpPXYa88EihzyI44hcQUo"",""Form Responses 1!B:C""),2,FALSE),)"),"")</f>
        <v/>
      </c>
      <c r="T768" s="70" t="str">
        <f>IFERROR(__xludf.DUMMYFUNCTION("IFERROR(VLOOKUP(F768,IMPORTRANGE(""1H3cO01obd5zFULYqaT5NAqecZBFFIHeDFn4CeQLZF3w"",""Form Responses 1!B:C""),2,FALSE),)"),"")</f>
        <v/>
      </c>
      <c r="U768" s="70" t="str">
        <f>IFERROR(__xludf.DUMMYFUNCTION("IFERROR(IF(COUNTIF(IMPORTRANGE(""1IG9qoa6PeLdDDFzKpW39lxXshN0-M8Z25a_R1EpsYyg"",""Form Responses 1!B:B""),F768)&gt;0,10,),0)"),"")</f>
        <v/>
      </c>
      <c r="V768" s="70"/>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row>
    <row r="769">
      <c r="B769" s="70"/>
      <c r="C769" s="70"/>
      <c r="D769" s="70"/>
      <c r="E769" s="70"/>
      <c r="F769" s="70"/>
      <c r="G769" s="70"/>
      <c r="H769" s="70"/>
      <c r="I769" s="70"/>
      <c r="J769" s="70"/>
      <c r="K769" s="70"/>
      <c r="L769" s="70"/>
      <c r="M769" s="70"/>
      <c r="N769" s="70"/>
      <c r="O769" s="70"/>
      <c r="P769" s="70"/>
      <c r="Q769" s="70" t="str">
        <f>IFERROR(__xludf.DUMMYFUNCTION("IFERROR(IF(COUNTIF(IMPORTRANGE(""1WjiLR_MTMxI_IZUKuvPO4Sg2rTSIqBzP3edakSRXbOA"",""Form Responses 1!B:B""),F769)&gt;0,10,),0)"),"")</f>
        <v/>
      </c>
      <c r="R769" s="70" t="str">
        <f>IFERROR(__xludf.DUMMYFUNCTION("IFERROR(VLOOKUP(F769,IMPORTRANGE(""1Ixzbal5tEbtWhozsFEppQzOYE6ZSrkNXHg_HW5k3Wt4"",""Form Responses 1!B:C""),2,FALSE),)"),"")</f>
        <v/>
      </c>
      <c r="S769" s="70" t="str">
        <f>IFERROR(__xludf.DUMMYFUNCTION("IFERROR(VLOOKUP(F769,IMPORTRANGE(""1zxjtEKGvVIJPIDqZdnxENwVpPXYa88EihzyI44hcQUo"",""Form Responses 1!B:C""),2,FALSE),)"),"")</f>
        <v/>
      </c>
      <c r="T769" s="70" t="str">
        <f>IFERROR(__xludf.DUMMYFUNCTION("IFERROR(VLOOKUP(F769,IMPORTRANGE(""1H3cO01obd5zFULYqaT5NAqecZBFFIHeDFn4CeQLZF3w"",""Form Responses 1!B:C""),2,FALSE),)"),"")</f>
        <v/>
      </c>
      <c r="U769" s="70" t="str">
        <f>IFERROR(__xludf.DUMMYFUNCTION("IFERROR(IF(COUNTIF(IMPORTRANGE(""1IG9qoa6PeLdDDFzKpW39lxXshN0-M8Z25a_R1EpsYyg"",""Form Responses 1!B:B""),F769)&gt;0,10,),0)"),"")</f>
        <v/>
      </c>
      <c r="V769" s="70"/>
      <c r="W769" s="70"/>
      <c r="X769" s="70"/>
      <c r="Y769" s="70"/>
      <c r="Z769" s="70"/>
      <c r="AA769" s="70"/>
      <c r="AB769" s="70"/>
      <c r="AC769" s="70"/>
      <c r="AD769" s="70"/>
      <c r="AE769" s="70"/>
      <c r="AF769" s="70"/>
      <c r="AG769" s="70"/>
      <c r="AH769" s="70"/>
      <c r="AI769" s="70"/>
      <c r="AJ769" s="70"/>
      <c r="AK769" s="70"/>
      <c r="AL769" s="70"/>
      <c r="AM769" s="70"/>
      <c r="AN769" s="70"/>
      <c r="AO769" s="70"/>
      <c r="AP769" s="70"/>
      <c r="AQ769" s="70"/>
      <c r="AR769" s="70"/>
      <c r="AS769" s="70"/>
      <c r="AT769" s="70"/>
      <c r="AU769" s="70"/>
    </row>
    <row r="770">
      <c r="B770" s="70"/>
      <c r="C770" s="70"/>
      <c r="D770" s="70"/>
      <c r="E770" s="70"/>
      <c r="F770" s="70"/>
      <c r="G770" s="70"/>
      <c r="H770" s="70"/>
      <c r="I770" s="70"/>
      <c r="J770" s="70"/>
      <c r="K770" s="70"/>
      <c r="L770" s="70"/>
      <c r="M770" s="70"/>
      <c r="N770" s="70"/>
      <c r="O770" s="70"/>
      <c r="P770" s="70"/>
      <c r="Q770" s="70" t="str">
        <f>IFERROR(__xludf.DUMMYFUNCTION("IFERROR(IF(COUNTIF(IMPORTRANGE(""1WjiLR_MTMxI_IZUKuvPO4Sg2rTSIqBzP3edakSRXbOA"",""Form Responses 1!B:B""),F770)&gt;0,10,),0)"),"")</f>
        <v/>
      </c>
      <c r="R770" s="70" t="str">
        <f>IFERROR(__xludf.DUMMYFUNCTION("IFERROR(VLOOKUP(F770,IMPORTRANGE(""1Ixzbal5tEbtWhozsFEppQzOYE6ZSrkNXHg_HW5k3Wt4"",""Form Responses 1!B:C""),2,FALSE),)"),"")</f>
        <v/>
      </c>
      <c r="S770" s="70" t="str">
        <f>IFERROR(__xludf.DUMMYFUNCTION("IFERROR(VLOOKUP(F770,IMPORTRANGE(""1zxjtEKGvVIJPIDqZdnxENwVpPXYa88EihzyI44hcQUo"",""Form Responses 1!B:C""),2,FALSE),)"),"")</f>
        <v/>
      </c>
      <c r="T770" s="70" t="str">
        <f>IFERROR(__xludf.DUMMYFUNCTION("IFERROR(VLOOKUP(F770,IMPORTRANGE(""1H3cO01obd5zFULYqaT5NAqecZBFFIHeDFn4CeQLZF3w"",""Form Responses 1!B:C""),2,FALSE),)"),"")</f>
        <v/>
      </c>
      <c r="U770" s="70" t="str">
        <f>IFERROR(__xludf.DUMMYFUNCTION("IFERROR(IF(COUNTIF(IMPORTRANGE(""1IG9qoa6PeLdDDFzKpW39lxXshN0-M8Z25a_R1EpsYyg"",""Form Responses 1!B:B""),F770)&gt;0,10,),0)"),"")</f>
        <v/>
      </c>
      <c r="V770" s="70"/>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c r="AS770" s="70"/>
      <c r="AT770" s="70"/>
      <c r="AU770" s="70"/>
    </row>
    <row r="771">
      <c r="B771" s="70"/>
      <c r="C771" s="70"/>
      <c r="D771" s="70"/>
      <c r="E771" s="70"/>
      <c r="F771" s="70"/>
      <c r="G771" s="70"/>
      <c r="H771" s="70"/>
      <c r="I771" s="70"/>
      <c r="J771" s="70"/>
      <c r="K771" s="70"/>
      <c r="L771" s="70"/>
      <c r="M771" s="70"/>
      <c r="N771" s="70"/>
      <c r="O771" s="70"/>
      <c r="P771" s="70"/>
      <c r="Q771" s="70" t="str">
        <f>IFERROR(__xludf.DUMMYFUNCTION("IFERROR(IF(COUNTIF(IMPORTRANGE(""1WjiLR_MTMxI_IZUKuvPO4Sg2rTSIqBzP3edakSRXbOA"",""Form Responses 1!B:B""),F771)&gt;0,10,),0)"),"")</f>
        <v/>
      </c>
      <c r="R771" s="70" t="str">
        <f>IFERROR(__xludf.DUMMYFUNCTION("IFERROR(VLOOKUP(F771,IMPORTRANGE(""1Ixzbal5tEbtWhozsFEppQzOYE6ZSrkNXHg_HW5k3Wt4"",""Form Responses 1!B:C""),2,FALSE),)"),"")</f>
        <v/>
      </c>
      <c r="S771" s="70" t="str">
        <f>IFERROR(__xludf.DUMMYFUNCTION("IFERROR(VLOOKUP(F771,IMPORTRANGE(""1zxjtEKGvVIJPIDqZdnxENwVpPXYa88EihzyI44hcQUo"",""Form Responses 1!B:C""),2,FALSE),)"),"")</f>
        <v/>
      </c>
      <c r="T771" s="70" t="str">
        <f>IFERROR(__xludf.DUMMYFUNCTION("IFERROR(VLOOKUP(F771,IMPORTRANGE(""1H3cO01obd5zFULYqaT5NAqecZBFFIHeDFn4CeQLZF3w"",""Form Responses 1!B:C""),2,FALSE),)"),"")</f>
        <v/>
      </c>
      <c r="U771" s="70" t="str">
        <f>IFERROR(__xludf.DUMMYFUNCTION("IFERROR(IF(COUNTIF(IMPORTRANGE(""1IG9qoa6PeLdDDFzKpW39lxXshN0-M8Z25a_R1EpsYyg"",""Form Responses 1!B:B""),F771)&gt;0,10,),0)"),"")</f>
        <v/>
      </c>
      <c r="V771" s="70"/>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c r="AS771" s="70"/>
      <c r="AT771" s="70"/>
      <c r="AU771" s="70"/>
    </row>
    <row r="772">
      <c r="B772" s="70"/>
      <c r="C772" s="70"/>
      <c r="D772" s="70"/>
      <c r="E772" s="70"/>
      <c r="F772" s="70"/>
      <c r="G772" s="70"/>
      <c r="H772" s="70"/>
      <c r="I772" s="70"/>
      <c r="J772" s="70"/>
      <c r="K772" s="70"/>
      <c r="L772" s="70"/>
      <c r="M772" s="70"/>
      <c r="N772" s="70"/>
      <c r="O772" s="70"/>
      <c r="P772" s="70"/>
      <c r="Q772" s="70" t="str">
        <f>IFERROR(__xludf.DUMMYFUNCTION("IFERROR(IF(COUNTIF(IMPORTRANGE(""1WjiLR_MTMxI_IZUKuvPO4Sg2rTSIqBzP3edakSRXbOA"",""Form Responses 1!B:B""),F772)&gt;0,10,),0)"),"")</f>
        <v/>
      </c>
      <c r="R772" s="70" t="str">
        <f>IFERROR(__xludf.DUMMYFUNCTION("IFERROR(VLOOKUP(F772,IMPORTRANGE(""1Ixzbal5tEbtWhozsFEppQzOYE6ZSrkNXHg_HW5k3Wt4"",""Form Responses 1!B:C""),2,FALSE),)"),"")</f>
        <v/>
      </c>
      <c r="S772" s="70" t="str">
        <f>IFERROR(__xludf.DUMMYFUNCTION("IFERROR(VLOOKUP(F772,IMPORTRANGE(""1zxjtEKGvVIJPIDqZdnxENwVpPXYa88EihzyI44hcQUo"",""Form Responses 1!B:C""),2,FALSE),)"),"")</f>
        <v/>
      </c>
      <c r="T772" s="70" t="str">
        <f>IFERROR(__xludf.DUMMYFUNCTION("IFERROR(VLOOKUP(F772,IMPORTRANGE(""1H3cO01obd5zFULYqaT5NAqecZBFFIHeDFn4CeQLZF3w"",""Form Responses 1!B:C""),2,FALSE),)"),"")</f>
        <v/>
      </c>
      <c r="U772" s="70" t="str">
        <f>IFERROR(__xludf.DUMMYFUNCTION("IFERROR(IF(COUNTIF(IMPORTRANGE(""1IG9qoa6PeLdDDFzKpW39lxXshN0-M8Z25a_R1EpsYyg"",""Form Responses 1!B:B""),F772)&gt;0,10,),0)"),"")</f>
        <v/>
      </c>
      <c r="V772" s="70"/>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c r="AS772" s="70"/>
      <c r="AT772" s="70"/>
      <c r="AU772" s="70"/>
    </row>
    <row r="773">
      <c r="B773" s="70"/>
      <c r="C773" s="70"/>
      <c r="D773" s="70"/>
      <c r="E773" s="70"/>
      <c r="F773" s="70"/>
      <c r="G773" s="70"/>
      <c r="H773" s="70"/>
      <c r="I773" s="70"/>
      <c r="J773" s="70"/>
      <c r="K773" s="70"/>
      <c r="L773" s="70"/>
      <c r="M773" s="70"/>
      <c r="N773" s="70"/>
      <c r="O773" s="70"/>
      <c r="P773" s="70"/>
      <c r="Q773" s="70" t="str">
        <f>IFERROR(__xludf.DUMMYFUNCTION("IFERROR(IF(COUNTIF(IMPORTRANGE(""1WjiLR_MTMxI_IZUKuvPO4Sg2rTSIqBzP3edakSRXbOA"",""Form Responses 1!B:B""),F773)&gt;0,10,),0)"),"")</f>
        <v/>
      </c>
      <c r="R773" s="70" t="str">
        <f>IFERROR(__xludf.DUMMYFUNCTION("IFERROR(VLOOKUP(F773,IMPORTRANGE(""1Ixzbal5tEbtWhozsFEppQzOYE6ZSrkNXHg_HW5k3Wt4"",""Form Responses 1!B:C""),2,FALSE),)"),"")</f>
        <v/>
      </c>
      <c r="S773" s="70" t="str">
        <f>IFERROR(__xludf.DUMMYFUNCTION("IFERROR(VLOOKUP(F773,IMPORTRANGE(""1zxjtEKGvVIJPIDqZdnxENwVpPXYa88EihzyI44hcQUo"",""Form Responses 1!B:C""),2,FALSE),)"),"")</f>
        <v/>
      </c>
      <c r="T773" s="70" t="str">
        <f>IFERROR(__xludf.DUMMYFUNCTION("IFERROR(VLOOKUP(F773,IMPORTRANGE(""1H3cO01obd5zFULYqaT5NAqecZBFFIHeDFn4CeQLZF3w"",""Form Responses 1!B:C""),2,FALSE),)"),"")</f>
        <v/>
      </c>
      <c r="U773" s="70" t="str">
        <f>IFERROR(__xludf.DUMMYFUNCTION("IFERROR(IF(COUNTIF(IMPORTRANGE(""1IG9qoa6PeLdDDFzKpW39lxXshN0-M8Z25a_R1EpsYyg"",""Form Responses 1!B:B""),F773)&gt;0,10,),0)"),"")</f>
        <v/>
      </c>
      <c r="V773" s="70"/>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row>
    <row r="774">
      <c r="B774" s="70"/>
      <c r="C774" s="70"/>
      <c r="D774" s="70"/>
      <c r="E774" s="70"/>
      <c r="F774" s="70"/>
      <c r="G774" s="70"/>
      <c r="H774" s="70"/>
      <c r="I774" s="70"/>
      <c r="J774" s="70"/>
      <c r="K774" s="70"/>
      <c r="L774" s="70"/>
      <c r="M774" s="70"/>
      <c r="N774" s="70"/>
      <c r="O774" s="70"/>
      <c r="P774" s="70"/>
      <c r="Q774" s="70" t="str">
        <f>IFERROR(__xludf.DUMMYFUNCTION("IFERROR(IF(COUNTIF(IMPORTRANGE(""1WjiLR_MTMxI_IZUKuvPO4Sg2rTSIqBzP3edakSRXbOA"",""Form Responses 1!B:B""),F774)&gt;0,10,),0)"),"")</f>
        <v/>
      </c>
      <c r="R774" s="70" t="str">
        <f>IFERROR(__xludf.DUMMYFUNCTION("IFERROR(VLOOKUP(F774,IMPORTRANGE(""1Ixzbal5tEbtWhozsFEppQzOYE6ZSrkNXHg_HW5k3Wt4"",""Form Responses 1!B:C""),2,FALSE),)"),"")</f>
        <v/>
      </c>
      <c r="S774" s="70" t="str">
        <f>IFERROR(__xludf.DUMMYFUNCTION("IFERROR(VLOOKUP(F774,IMPORTRANGE(""1zxjtEKGvVIJPIDqZdnxENwVpPXYa88EihzyI44hcQUo"",""Form Responses 1!B:C""),2,FALSE),)"),"")</f>
        <v/>
      </c>
      <c r="T774" s="70" t="str">
        <f>IFERROR(__xludf.DUMMYFUNCTION("IFERROR(VLOOKUP(F774,IMPORTRANGE(""1H3cO01obd5zFULYqaT5NAqecZBFFIHeDFn4CeQLZF3w"",""Form Responses 1!B:C""),2,FALSE),)"),"")</f>
        <v/>
      </c>
      <c r="U774" s="70" t="str">
        <f>IFERROR(__xludf.DUMMYFUNCTION("IFERROR(IF(COUNTIF(IMPORTRANGE(""1IG9qoa6PeLdDDFzKpW39lxXshN0-M8Z25a_R1EpsYyg"",""Form Responses 1!B:B""),F774)&gt;0,10,),0)"),"")</f>
        <v/>
      </c>
      <c r="V774" s="70"/>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row>
    <row r="775">
      <c r="B775" s="70"/>
      <c r="C775" s="70"/>
      <c r="D775" s="70"/>
      <c r="E775" s="70"/>
      <c r="F775" s="70"/>
      <c r="G775" s="70"/>
      <c r="H775" s="70"/>
      <c r="I775" s="70"/>
      <c r="J775" s="70"/>
      <c r="K775" s="70"/>
      <c r="L775" s="70"/>
      <c r="M775" s="70"/>
      <c r="N775" s="70"/>
      <c r="O775" s="70"/>
      <c r="P775" s="70"/>
      <c r="Q775" s="70" t="str">
        <f>IFERROR(__xludf.DUMMYFUNCTION("IFERROR(IF(COUNTIF(IMPORTRANGE(""1WjiLR_MTMxI_IZUKuvPO4Sg2rTSIqBzP3edakSRXbOA"",""Form Responses 1!B:B""),F775)&gt;0,10,),0)"),"")</f>
        <v/>
      </c>
      <c r="R775" s="70" t="str">
        <f>IFERROR(__xludf.DUMMYFUNCTION("IFERROR(VLOOKUP(F775,IMPORTRANGE(""1Ixzbal5tEbtWhozsFEppQzOYE6ZSrkNXHg_HW5k3Wt4"",""Form Responses 1!B:C""),2,FALSE),)"),"")</f>
        <v/>
      </c>
      <c r="S775" s="70" t="str">
        <f>IFERROR(__xludf.DUMMYFUNCTION("IFERROR(VLOOKUP(F775,IMPORTRANGE(""1zxjtEKGvVIJPIDqZdnxENwVpPXYa88EihzyI44hcQUo"",""Form Responses 1!B:C""),2,FALSE),)"),"")</f>
        <v/>
      </c>
      <c r="T775" s="70" t="str">
        <f>IFERROR(__xludf.DUMMYFUNCTION("IFERROR(VLOOKUP(F775,IMPORTRANGE(""1H3cO01obd5zFULYqaT5NAqecZBFFIHeDFn4CeQLZF3w"",""Form Responses 1!B:C""),2,FALSE),)"),"")</f>
        <v/>
      </c>
      <c r="U775" s="70" t="str">
        <f>IFERROR(__xludf.DUMMYFUNCTION("IFERROR(IF(COUNTIF(IMPORTRANGE(""1IG9qoa6PeLdDDFzKpW39lxXshN0-M8Z25a_R1EpsYyg"",""Form Responses 1!B:B""),F775)&gt;0,10,),0)"),"")</f>
        <v/>
      </c>
      <c r="V775" s="70"/>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row>
    <row r="776">
      <c r="B776" s="70"/>
      <c r="C776" s="70"/>
      <c r="D776" s="70"/>
      <c r="E776" s="70"/>
      <c r="F776" s="70"/>
      <c r="G776" s="70"/>
      <c r="H776" s="70"/>
      <c r="I776" s="70"/>
      <c r="J776" s="70"/>
      <c r="K776" s="70"/>
      <c r="L776" s="70"/>
      <c r="M776" s="70"/>
      <c r="N776" s="70"/>
      <c r="O776" s="70"/>
      <c r="P776" s="70"/>
      <c r="Q776" s="70" t="str">
        <f>IFERROR(__xludf.DUMMYFUNCTION("IFERROR(IF(COUNTIF(IMPORTRANGE(""1WjiLR_MTMxI_IZUKuvPO4Sg2rTSIqBzP3edakSRXbOA"",""Form Responses 1!B:B""),F776)&gt;0,10,),0)"),"")</f>
        <v/>
      </c>
      <c r="R776" s="70" t="str">
        <f>IFERROR(__xludf.DUMMYFUNCTION("IFERROR(VLOOKUP(F776,IMPORTRANGE(""1Ixzbal5tEbtWhozsFEppQzOYE6ZSrkNXHg_HW5k3Wt4"",""Form Responses 1!B:C""),2,FALSE),)"),"")</f>
        <v/>
      </c>
      <c r="S776" s="70" t="str">
        <f>IFERROR(__xludf.DUMMYFUNCTION("IFERROR(VLOOKUP(F776,IMPORTRANGE(""1zxjtEKGvVIJPIDqZdnxENwVpPXYa88EihzyI44hcQUo"",""Form Responses 1!B:C""),2,FALSE),)"),"")</f>
        <v/>
      </c>
      <c r="T776" s="70" t="str">
        <f>IFERROR(__xludf.DUMMYFUNCTION("IFERROR(VLOOKUP(F776,IMPORTRANGE(""1H3cO01obd5zFULYqaT5NAqecZBFFIHeDFn4CeQLZF3w"",""Form Responses 1!B:C""),2,FALSE),)"),"")</f>
        <v/>
      </c>
      <c r="U776" s="70" t="str">
        <f>IFERROR(__xludf.DUMMYFUNCTION("IFERROR(IF(COUNTIF(IMPORTRANGE(""1IG9qoa6PeLdDDFzKpW39lxXshN0-M8Z25a_R1EpsYyg"",""Form Responses 1!B:B""),F776)&gt;0,10,),0)"),"")</f>
        <v/>
      </c>
      <c r="V776" s="70"/>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row>
    <row r="777">
      <c r="B777" s="70"/>
      <c r="C777" s="70"/>
      <c r="D777" s="70"/>
      <c r="E777" s="70"/>
      <c r="F777" s="70"/>
      <c r="G777" s="70"/>
      <c r="H777" s="70"/>
      <c r="I777" s="70"/>
      <c r="J777" s="70"/>
      <c r="K777" s="70"/>
      <c r="L777" s="70"/>
      <c r="M777" s="70"/>
      <c r="N777" s="70"/>
      <c r="O777" s="70"/>
      <c r="P777" s="70"/>
      <c r="Q777" s="70" t="str">
        <f>IFERROR(__xludf.DUMMYFUNCTION("IFERROR(IF(COUNTIF(IMPORTRANGE(""1WjiLR_MTMxI_IZUKuvPO4Sg2rTSIqBzP3edakSRXbOA"",""Form Responses 1!B:B""),F777)&gt;0,10,),0)"),"")</f>
        <v/>
      </c>
      <c r="R777" s="70" t="str">
        <f>IFERROR(__xludf.DUMMYFUNCTION("IFERROR(VLOOKUP(F777,IMPORTRANGE(""1Ixzbal5tEbtWhozsFEppQzOYE6ZSrkNXHg_HW5k3Wt4"",""Form Responses 1!B:C""),2,FALSE),)"),"")</f>
        <v/>
      </c>
      <c r="S777" s="70" t="str">
        <f>IFERROR(__xludf.DUMMYFUNCTION("IFERROR(VLOOKUP(F777,IMPORTRANGE(""1zxjtEKGvVIJPIDqZdnxENwVpPXYa88EihzyI44hcQUo"",""Form Responses 1!B:C""),2,FALSE),)"),"")</f>
        <v/>
      </c>
      <c r="T777" s="70" t="str">
        <f>IFERROR(__xludf.DUMMYFUNCTION("IFERROR(VLOOKUP(F777,IMPORTRANGE(""1H3cO01obd5zFULYqaT5NAqecZBFFIHeDFn4CeQLZF3w"",""Form Responses 1!B:C""),2,FALSE),)"),"")</f>
        <v/>
      </c>
      <c r="U777" s="70" t="str">
        <f>IFERROR(__xludf.DUMMYFUNCTION("IFERROR(IF(COUNTIF(IMPORTRANGE(""1IG9qoa6PeLdDDFzKpW39lxXshN0-M8Z25a_R1EpsYyg"",""Form Responses 1!B:B""),F777)&gt;0,10,),0)"),"")</f>
        <v/>
      </c>
      <c r="V777" s="70"/>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row>
    <row r="778">
      <c r="B778" s="70"/>
      <c r="C778" s="70"/>
      <c r="D778" s="70"/>
      <c r="E778" s="70"/>
      <c r="F778" s="70"/>
      <c r="G778" s="70"/>
      <c r="H778" s="70"/>
      <c r="I778" s="70"/>
      <c r="J778" s="70"/>
      <c r="K778" s="70"/>
      <c r="L778" s="70"/>
      <c r="M778" s="70"/>
      <c r="N778" s="70"/>
      <c r="O778" s="70"/>
      <c r="P778" s="70"/>
      <c r="Q778" s="70" t="str">
        <f>IFERROR(__xludf.DUMMYFUNCTION("IFERROR(IF(COUNTIF(IMPORTRANGE(""1WjiLR_MTMxI_IZUKuvPO4Sg2rTSIqBzP3edakSRXbOA"",""Form Responses 1!B:B""),F778)&gt;0,10,),0)"),"")</f>
        <v/>
      </c>
      <c r="R778" s="70" t="str">
        <f>IFERROR(__xludf.DUMMYFUNCTION("IFERROR(VLOOKUP(F778,IMPORTRANGE(""1Ixzbal5tEbtWhozsFEppQzOYE6ZSrkNXHg_HW5k3Wt4"",""Form Responses 1!B:C""),2,FALSE),)"),"")</f>
        <v/>
      </c>
      <c r="S778" s="70" t="str">
        <f>IFERROR(__xludf.DUMMYFUNCTION("IFERROR(VLOOKUP(F778,IMPORTRANGE(""1zxjtEKGvVIJPIDqZdnxENwVpPXYa88EihzyI44hcQUo"",""Form Responses 1!B:C""),2,FALSE),)"),"")</f>
        <v/>
      </c>
      <c r="T778" s="70" t="str">
        <f>IFERROR(__xludf.DUMMYFUNCTION("IFERROR(VLOOKUP(F778,IMPORTRANGE(""1H3cO01obd5zFULYqaT5NAqecZBFFIHeDFn4CeQLZF3w"",""Form Responses 1!B:C""),2,FALSE),)"),"")</f>
        <v/>
      </c>
      <c r="U778" s="70" t="str">
        <f>IFERROR(__xludf.DUMMYFUNCTION("IFERROR(IF(COUNTIF(IMPORTRANGE(""1IG9qoa6PeLdDDFzKpW39lxXshN0-M8Z25a_R1EpsYyg"",""Form Responses 1!B:B""),F778)&gt;0,10,),0)"),"")</f>
        <v/>
      </c>
      <c r="V778" s="70"/>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row>
    <row r="779">
      <c r="B779" s="70"/>
      <c r="C779" s="70"/>
      <c r="D779" s="70"/>
      <c r="E779" s="70"/>
      <c r="F779" s="70"/>
      <c r="G779" s="70"/>
      <c r="H779" s="70"/>
      <c r="I779" s="70"/>
      <c r="J779" s="70"/>
      <c r="K779" s="70"/>
      <c r="L779" s="70"/>
      <c r="M779" s="70"/>
      <c r="N779" s="70"/>
      <c r="O779" s="70"/>
      <c r="P779" s="70"/>
      <c r="Q779" s="70" t="str">
        <f>IFERROR(__xludf.DUMMYFUNCTION("IFERROR(IF(COUNTIF(IMPORTRANGE(""1WjiLR_MTMxI_IZUKuvPO4Sg2rTSIqBzP3edakSRXbOA"",""Form Responses 1!B:B""),F779)&gt;0,10,),0)"),"")</f>
        <v/>
      </c>
      <c r="R779" s="70" t="str">
        <f>IFERROR(__xludf.DUMMYFUNCTION("IFERROR(VLOOKUP(F779,IMPORTRANGE(""1Ixzbal5tEbtWhozsFEppQzOYE6ZSrkNXHg_HW5k3Wt4"",""Form Responses 1!B:C""),2,FALSE),)"),"")</f>
        <v/>
      </c>
      <c r="S779" s="70" t="str">
        <f>IFERROR(__xludf.DUMMYFUNCTION("IFERROR(VLOOKUP(F779,IMPORTRANGE(""1zxjtEKGvVIJPIDqZdnxENwVpPXYa88EihzyI44hcQUo"",""Form Responses 1!B:C""),2,FALSE),)"),"")</f>
        <v/>
      </c>
      <c r="T779" s="70" t="str">
        <f>IFERROR(__xludf.DUMMYFUNCTION("IFERROR(VLOOKUP(F779,IMPORTRANGE(""1H3cO01obd5zFULYqaT5NAqecZBFFIHeDFn4CeQLZF3w"",""Form Responses 1!B:C""),2,FALSE),)"),"")</f>
        <v/>
      </c>
      <c r="U779" s="70" t="str">
        <f>IFERROR(__xludf.DUMMYFUNCTION("IFERROR(IF(COUNTIF(IMPORTRANGE(""1IG9qoa6PeLdDDFzKpW39lxXshN0-M8Z25a_R1EpsYyg"",""Form Responses 1!B:B""),F779)&gt;0,10,),0)"),"")</f>
        <v/>
      </c>
      <c r="V779" s="70"/>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row>
    <row r="780">
      <c r="B780" s="70"/>
      <c r="C780" s="70"/>
      <c r="D780" s="70"/>
      <c r="E780" s="70"/>
      <c r="F780" s="70"/>
      <c r="G780" s="70"/>
      <c r="H780" s="70"/>
      <c r="I780" s="70"/>
      <c r="J780" s="70"/>
      <c r="K780" s="70"/>
      <c r="L780" s="70"/>
      <c r="M780" s="70"/>
      <c r="N780" s="70"/>
      <c r="O780" s="70"/>
      <c r="P780" s="70"/>
      <c r="Q780" s="70" t="str">
        <f>IFERROR(__xludf.DUMMYFUNCTION("IFERROR(IF(COUNTIF(IMPORTRANGE(""1WjiLR_MTMxI_IZUKuvPO4Sg2rTSIqBzP3edakSRXbOA"",""Form Responses 1!B:B""),F780)&gt;0,10,),0)"),"")</f>
        <v/>
      </c>
      <c r="R780" s="70" t="str">
        <f>IFERROR(__xludf.DUMMYFUNCTION("IFERROR(VLOOKUP(F780,IMPORTRANGE(""1Ixzbal5tEbtWhozsFEppQzOYE6ZSrkNXHg_HW5k3Wt4"",""Form Responses 1!B:C""),2,FALSE),)"),"")</f>
        <v/>
      </c>
      <c r="S780" s="70" t="str">
        <f>IFERROR(__xludf.DUMMYFUNCTION("IFERROR(VLOOKUP(F780,IMPORTRANGE(""1zxjtEKGvVIJPIDqZdnxENwVpPXYa88EihzyI44hcQUo"",""Form Responses 1!B:C""),2,FALSE),)"),"")</f>
        <v/>
      </c>
      <c r="T780" s="70" t="str">
        <f>IFERROR(__xludf.DUMMYFUNCTION("IFERROR(VLOOKUP(F780,IMPORTRANGE(""1H3cO01obd5zFULYqaT5NAqecZBFFIHeDFn4CeQLZF3w"",""Form Responses 1!B:C""),2,FALSE),)"),"")</f>
        <v/>
      </c>
      <c r="U780" s="70" t="str">
        <f>IFERROR(__xludf.DUMMYFUNCTION("IFERROR(IF(COUNTIF(IMPORTRANGE(""1IG9qoa6PeLdDDFzKpW39lxXshN0-M8Z25a_R1EpsYyg"",""Form Responses 1!B:B""),F780)&gt;0,10,),0)"),"")</f>
        <v/>
      </c>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row>
    <row r="781">
      <c r="B781" s="70"/>
      <c r="C781" s="70"/>
      <c r="D781" s="70"/>
      <c r="E781" s="70"/>
      <c r="F781" s="70"/>
      <c r="G781" s="70"/>
      <c r="H781" s="70"/>
      <c r="I781" s="70"/>
      <c r="J781" s="70"/>
      <c r="K781" s="70"/>
      <c r="L781" s="70"/>
      <c r="M781" s="70"/>
      <c r="N781" s="70"/>
      <c r="O781" s="70"/>
      <c r="P781" s="70"/>
      <c r="Q781" s="70" t="str">
        <f>IFERROR(__xludf.DUMMYFUNCTION("IFERROR(IF(COUNTIF(IMPORTRANGE(""1WjiLR_MTMxI_IZUKuvPO4Sg2rTSIqBzP3edakSRXbOA"",""Form Responses 1!B:B""),F781)&gt;0,10,),0)"),"")</f>
        <v/>
      </c>
      <c r="R781" s="70" t="str">
        <f>IFERROR(__xludf.DUMMYFUNCTION("IFERROR(VLOOKUP(F781,IMPORTRANGE(""1Ixzbal5tEbtWhozsFEppQzOYE6ZSrkNXHg_HW5k3Wt4"",""Form Responses 1!B:C""),2,FALSE),)"),"")</f>
        <v/>
      </c>
      <c r="S781" s="70" t="str">
        <f>IFERROR(__xludf.DUMMYFUNCTION("IFERROR(VLOOKUP(F781,IMPORTRANGE(""1zxjtEKGvVIJPIDqZdnxENwVpPXYa88EihzyI44hcQUo"",""Form Responses 1!B:C""),2,FALSE),)"),"")</f>
        <v/>
      </c>
      <c r="T781" s="70" t="str">
        <f>IFERROR(__xludf.DUMMYFUNCTION("IFERROR(VLOOKUP(F781,IMPORTRANGE(""1H3cO01obd5zFULYqaT5NAqecZBFFIHeDFn4CeQLZF3w"",""Form Responses 1!B:C""),2,FALSE),)"),"")</f>
        <v/>
      </c>
      <c r="U781" s="70" t="str">
        <f>IFERROR(__xludf.DUMMYFUNCTION("IFERROR(IF(COUNTIF(IMPORTRANGE(""1IG9qoa6PeLdDDFzKpW39lxXshN0-M8Z25a_R1EpsYyg"",""Form Responses 1!B:B""),F781)&gt;0,10,),0)"),"")</f>
        <v/>
      </c>
      <c r="V781" s="70"/>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row>
    <row r="782">
      <c r="B782" s="70"/>
      <c r="C782" s="70"/>
      <c r="D782" s="70"/>
      <c r="E782" s="70"/>
      <c r="F782" s="70"/>
      <c r="G782" s="70"/>
      <c r="H782" s="70"/>
      <c r="I782" s="70"/>
      <c r="J782" s="70"/>
      <c r="K782" s="70"/>
      <c r="L782" s="70"/>
      <c r="M782" s="70"/>
      <c r="N782" s="70"/>
      <c r="O782" s="70"/>
      <c r="P782" s="70"/>
      <c r="Q782" s="70" t="str">
        <f>IFERROR(__xludf.DUMMYFUNCTION("IFERROR(IF(COUNTIF(IMPORTRANGE(""1WjiLR_MTMxI_IZUKuvPO4Sg2rTSIqBzP3edakSRXbOA"",""Form Responses 1!B:B""),F782)&gt;0,10,),0)"),"")</f>
        <v/>
      </c>
      <c r="R782" s="70" t="str">
        <f>IFERROR(__xludf.DUMMYFUNCTION("IFERROR(VLOOKUP(F782,IMPORTRANGE(""1Ixzbal5tEbtWhozsFEppQzOYE6ZSrkNXHg_HW5k3Wt4"",""Form Responses 1!B:C""),2,FALSE),)"),"")</f>
        <v/>
      </c>
      <c r="S782" s="70" t="str">
        <f>IFERROR(__xludf.DUMMYFUNCTION("IFERROR(VLOOKUP(F782,IMPORTRANGE(""1zxjtEKGvVIJPIDqZdnxENwVpPXYa88EihzyI44hcQUo"",""Form Responses 1!B:C""),2,FALSE),)"),"")</f>
        <v/>
      </c>
      <c r="T782" s="70" t="str">
        <f>IFERROR(__xludf.DUMMYFUNCTION("IFERROR(VLOOKUP(F782,IMPORTRANGE(""1H3cO01obd5zFULYqaT5NAqecZBFFIHeDFn4CeQLZF3w"",""Form Responses 1!B:C""),2,FALSE),)"),"")</f>
        <v/>
      </c>
      <c r="U782" s="70" t="str">
        <f>IFERROR(__xludf.DUMMYFUNCTION("IFERROR(IF(COUNTIF(IMPORTRANGE(""1IG9qoa6PeLdDDFzKpW39lxXshN0-M8Z25a_R1EpsYyg"",""Form Responses 1!B:B""),F782)&gt;0,10,),0)"),"")</f>
        <v/>
      </c>
      <c r="V782" s="70"/>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row>
    <row r="783">
      <c r="B783" s="70"/>
      <c r="C783" s="70"/>
      <c r="D783" s="70"/>
      <c r="E783" s="70"/>
      <c r="F783" s="70"/>
      <c r="G783" s="70"/>
      <c r="H783" s="70"/>
      <c r="I783" s="70"/>
      <c r="J783" s="70"/>
      <c r="K783" s="70"/>
      <c r="L783" s="70"/>
      <c r="M783" s="70"/>
      <c r="N783" s="70"/>
      <c r="O783" s="70"/>
      <c r="P783" s="70"/>
      <c r="Q783" s="70" t="str">
        <f>IFERROR(__xludf.DUMMYFUNCTION("IFERROR(IF(COUNTIF(IMPORTRANGE(""1WjiLR_MTMxI_IZUKuvPO4Sg2rTSIqBzP3edakSRXbOA"",""Form Responses 1!B:B""),F783)&gt;0,10,),0)"),"")</f>
        <v/>
      </c>
      <c r="R783" s="70" t="str">
        <f>IFERROR(__xludf.DUMMYFUNCTION("IFERROR(VLOOKUP(F783,IMPORTRANGE(""1Ixzbal5tEbtWhozsFEppQzOYE6ZSrkNXHg_HW5k3Wt4"",""Form Responses 1!B:C""),2,FALSE),)"),"")</f>
        <v/>
      </c>
      <c r="S783" s="70" t="str">
        <f>IFERROR(__xludf.DUMMYFUNCTION("IFERROR(VLOOKUP(F783,IMPORTRANGE(""1zxjtEKGvVIJPIDqZdnxENwVpPXYa88EihzyI44hcQUo"",""Form Responses 1!B:C""),2,FALSE),)"),"")</f>
        <v/>
      </c>
      <c r="T783" s="70" t="str">
        <f>IFERROR(__xludf.DUMMYFUNCTION("IFERROR(VLOOKUP(F783,IMPORTRANGE(""1H3cO01obd5zFULYqaT5NAqecZBFFIHeDFn4CeQLZF3w"",""Form Responses 1!B:C""),2,FALSE),)"),"")</f>
        <v/>
      </c>
      <c r="U783" s="70" t="str">
        <f>IFERROR(__xludf.DUMMYFUNCTION("IFERROR(IF(COUNTIF(IMPORTRANGE(""1IG9qoa6PeLdDDFzKpW39lxXshN0-M8Z25a_R1EpsYyg"",""Form Responses 1!B:B""),F783)&gt;0,10,),0)"),"")</f>
        <v/>
      </c>
      <c r="V783" s="70"/>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row>
    <row r="784">
      <c r="B784" s="70"/>
      <c r="C784" s="70"/>
      <c r="D784" s="70"/>
      <c r="E784" s="70"/>
      <c r="F784" s="70"/>
      <c r="G784" s="70"/>
      <c r="H784" s="70"/>
      <c r="I784" s="70"/>
      <c r="J784" s="70"/>
      <c r="K784" s="70"/>
      <c r="L784" s="70"/>
      <c r="M784" s="70"/>
      <c r="N784" s="70"/>
      <c r="O784" s="70"/>
      <c r="P784" s="70"/>
      <c r="Q784" s="70" t="str">
        <f>IFERROR(__xludf.DUMMYFUNCTION("IFERROR(IF(COUNTIF(IMPORTRANGE(""1WjiLR_MTMxI_IZUKuvPO4Sg2rTSIqBzP3edakSRXbOA"",""Form Responses 1!B:B""),F784)&gt;0,10,),0)"),"")</f>
        <v/>
      </c>
      <c r="R784" s="70" t="str">
        <f>IFERROR(__xludf.DUMMYFUNCTION("IFERROR(VLOOKUP(F784,IMPORTRANGE(""1Ixzbal5tEbtWhozsFEppQzOYE6ZSrkNXHg_HW5k3Wt4"",""Form Responses 1!B:C""),2,FALSE),)"),"")</f>
        <v/>
      </c>
      <c r="S784" s="70" t="str">
        <f>IFERROR(__xludf.DUMMYFUNCTION("IFERROR(VLOOKUP(F784,IMPORTRANGE(""1zxjtEKGvVIJPIDqZdnxENwVpPXYa88EihzyI44hcQUo"",""Form Responses 1!B:C""),2,FALSE),)"),"")</f>
        <v/>
      </c>
      <c r="T784" s="70" t="str">
        <f>IFERROR(__xludf.DUMMYFUNCTION("IFERROR(VLOOKUP(F784,IMPORTRANGE(""1H3cO01obd5zFULYqaT5NAqecZBFFIHeDFn4CeQLZF3w"",""Form Responses 1!B:C""),2,FALSE),)"),"")</f>
        <v/>
      </c>
      <c r="U784" s="70" t="str">
        <f>IFERROR(__xludf.DUMMYFUNCTION("IFERROR(IF(COUNTIF(IMPORTRANGE(""1IG9qoa6PeLdDDFzKpW39lxXshN0-M8Z25a_R1EpsYyg"",""Form Responses 1!B:B""),F784)&gt;0,10,),0)"),"")</f>
        <v/>
      </c>
      <c r="V784" s="70"/>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row>
    <row r="785">
      <c r="B785" s="70"/>
      <c r="C785" s="70"/>
      <c r="D785" s="70"/>
      <c r="E785" s="70"/>
      <c r="F785" s="70"/>
      <c r="G785" s="70"/>
      <c r="H785" s="70"/>
      <c r="I785" s="70"/>
      <c r="J785" s="70"/>
      <c r="K785" s="70"/>
      <c r="L785" s="70"/>
      <c r="M785" s="70"/>
      <c r="N785" s="70"/>
      <c r="O785" s="70"/>
      <c r="P785" s="70"/>
      <c r="Q785" s="70" t="str">
        <f>IFERROR(__xludf.DUMMYFUNCTION("IFERROR(IF(COUNTIF(IMPORTRANGE(""1WjiLR_MTMxI_IZUKuvPO4Sg2rTSIqBzP3edakSRXbOA"",""Form Responses 1!B:B""),F785)&gt;0,10,),0)"),"")</f>
        <v/>
      </c>
      <c r="R785" s="70" t="str">
        <f>IFERROR(__xludf.DUMMYFUNCTION("IFERROR(VLOOKUP(F785,IMPORTRANGE(""1Ixzbal5tEbtWhozsFEppQzOYE6ZSrkNXHg_HW5k3Wt4"",""Form Responses 1!B:C""),2,FALSE),)"),"")</f>
        <v/>
      </c>
      <c r="S785" s="70" t="str">
        <f>IFERROR(__xludf.DUMMYFUNCTION("IFERROR(VLOOKUP(F785,IMPORTRANGE(""1zxjtEKGvVIJPIDqZdnxENwVpPXYa88EihzyI44hcQUo"",""Form Responses 1!B:C""),2,FALSE),)"),"")</f>
        <v/>
      </c>
      <c r="T785" s="70" t="str">
        <f>IFERROR(__xludf.DUMMYFUNCTION("IFERROR(VLOOKUP(F785,IMPORTRANGE(""1H3cO01obd5zFULYqaT5NAqecZBFFIHeDFn4CeQLZF3w"",""Form Responses 1!B:C""),2,FALSE),)"),"")</f>
        <v/>
      </c>
      <c r="U785" s="70" t="str">
        <f>IFERROR(__xludf.DUMMYFUNCTION("IFERROR(IF(COUNTIF(IMPORTRANGE(""1IG9qoa6PeLdDDFzKpW39lxXshN0-M8Z25a_R1EpsYyg"",""Form Responses 1!B:B""),F785)&gt;0,10,),0)"),"")</f>
        <v/>
      </c>
      <c r="V785" s="70"/>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row>
    <row r="786">
      <c r="B786" s="70"/>
      <c r="C786" s="70"/>
      <c r="D786" s="70"/>
      <c r="E786" s="70"/>
      <c r="F786" s="70"/>
      <c r="G786" s="70"/>
      <c r="H786" s="70"/>
      <c r="I786" s="70"/>
      <c r="J786" s="70"/>
      <c r="K786" s="70"/>
      <c r="L786" s="70"/>
      <c r="M786" s="70"/>
      <c r="N786" s="70"/>
      <c r="O786" s="70"/>
      <c r="P786" s="70"/>
      <c r="Q786" s="70" t="str">
        <f>IFERROR(__xludf.DUMMYFUNCTION("IFERROR(IF(COUNTIF(IMPORTRANGE(""1WjiLR_MTMxI_IZUKuvPO4Sg2rTSIqBzP3edakSRXbOA"",""Form Responses 1!B:B""),F786)&gt;0,10,),0)"),"")</f>
        <v/>
      </c>
      <c r="R786" s="70" t="str">
        <f>IFERROR(__xludf.DUMMYFUNCTION("IFERROR(VLOOKUP(F786,IMPORTRANGE(""1Ixzbal5tEbtWhozsFEppQzOYE6ZSrkNXHg_HW5k3Wt4"",""Form Responses 1!B:C""),2,FALSE),)"),"")</f>
        <v/>
      </c>
      <c r="S786" s="70" t="str">
        <f>IFERROR(__xludf.DUMMYFUNCTION("IFERROR(VLOOKUP(F786,IMPORTRANGE(""1zxjtEKGvVIJPIDqZdnxENwVpPXYa88EihzyI44hcQUo"",""Form Responses 1!B:C""),2,FALSE),)"),"")</f>
        <v/>
      </c>
      <c r="T786" s="70" t="str">
        <f>IFERROR(__xludf.DUMMYFUNCTION("IFERROR(VLOOKUP(F786,IMPORTRANGE(""1H3cO01obd5zFULYqaT5NAqecZBFFIHeDFn4CeQLZF3w"",""Form Responses 1!B:C""),2,FALSE),)"),"")</f>
        <v/>
      </c>
      <c r="U786" s="70" t="str">
        <f>IFERROR(__xludf.DUMMYFUNCTION("IFERROR(IF(COUNTIF(IMPORTRANGE(""1IG9qoa6PeLdDDFzKpW39lxXshN0-M8Z25a_R1EpsYyg"",""Form Responses 1!B:B""),F786)&gt;0,10,),0)"),"")</f>
        <v/>
      </c>
      <c r="V786" s="70"/>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row>
    <row r="787">
      <c r="B787" s="70"/>
      <c r="C787" s="70"/>
      <c r="D787" s="70"/>
      <c r="E787" s="70"/>
      <c r="F787" s="70"/>
      <c r="G787" s="70"/>
      <c r="H787" s="70"/>
      <c r="I787" s="70"/>
      <c r="J787" s="70"/>
      <c r="K787" s="70"/>
      <c r="L787" s="70"/>
      <c r="M787" s="70"/>
      <c r="N787" s="70"/>
      <c r="O787" s="70"/>
      <c r="P787" s="70"/>
      <c r="Q787" s="70" t="str">
        <f>IFERROR(__xludf.DUMMYFUNCTION("IFERROR(IF(COUNTIF(IMPORTRANGE(""1WjiLR_MTMxI_IZUKuvPO4Sg2rTSIqBzP3edakSRXbOA"",""Form Responses 1!B:B""),F787)&gt;0,10,),0)"),"")</f>
        <v/>
      </c>
      <c r="R787" s="70" t="str">
        <f>IFERROR(__xludf.DUMMYFUNCTION("IFERROR(VLOOKUP(F787,IMPORTRANGE(""1Ixzbal5tEbtWhozsFEppQzOYE6ZSrkNXHg_HW5k3Wt4"",""Form Responses 1!B:C""),2,FALSE),)"),"")</f>
        <v/>
      </c>
      <c r="S787" s="70" t="str">
        <f>IFERROR(__xludf.DUMMYFUNCTION("IFERROR(VLOOKUP(F787,IMPORTRANGE(""1zxjtEKGvVIJPIDqZdnxENwVpPXYa88EihzyI44hcQUo"",""Form Responses 1!B:C""),2,FALSE),)"),"")</f>
        <v/>
      </c>
      <c r="T787" s="70" t="str">
        <f>IFERROR(__xludf.DUMMYFUNCTION("IFERROR(VLOOKUP(F787,IMPORTRANGE(""1H3cO01obd5zFULYqaT5NAqecZBFFIHeDFn4CeQLZF3w"",""Form Responses 1!B:C""),2,FALSE),)"),"")</f>
        <v/>
      </c>
      <c r="U787" s="70" t="str">
        <f>IFERROR(__xludf.DUMMYFUNCTION("IFERROR(IF(COUNTIF(IMPORTRANGE(""1IG9qoa6PeLdDDFzKpW39lxXshN0-M8Z25a_R1EpsYyg"",""Form Responses 1!B:B""),F787)&gt;0,10,),0)"),"")</f>
        <v/>
      </c>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row>
    <row r="788">
      <c r="B788" s="70"/>
      <c r="C788" s="70"/>
      <c r="D788" s="70"/>
      <c r="E788" s="70"/>
      <c r="F788" s="70"/>
      <c r="G788" s="70"/>
      <c r="H788" s="70"/>
      <c r="I788" s="70"/>
      <c r="J788" s="70"/>
      <c r="K788" s="70"/>
      <c r="L788" s="70"/>
      <c r="M788" s="70"/>
      <c r="N788" s="70"/>
      <c r="O788" s="70"/>
      <c r="P788" s="70"/>
      <c r="Q788" s="70" t="str">
        <f>IFERROR(__xludf.DUMMYFUNCTION("IFERROR(IF(COUNTIF(IMPORTRANGE(""1WjiLR_MTMxI_IZUKuvPO4Sg2rTSIqBzP3edakSRXbOA"",""Form Responses 1!B:B""),F788)&gt;0,10,),0)"),"")</f>
        <v/>
      </c>
      <c r="R788" s="70" t="str">
        <f>IFERROR(__xludf.DUMMYFUNCTION("IFERROR(VLOOKUP(F788,IMPORTRANGE(""1Ixzbal5tEbtWhozsFEppQzOYE6ZSrkNXHg_HW5k3Wt4"",""Form Responses 1!B:C""),2,FALSE),)"),"")</f>
        <v/>
      </c>
      <c r="S788" s="70" t="str">
        <f>IFERROR(__xludf.DUMMYFUNCTION("IFERROR(VLOOKUP(F788,IMPORTRANGE(""1zxjtEKGvVIJPIDqZdnxENwVpPXYa88EihzyI44hcQUo"",""Form Responses 1!B:C""),2,FALSE),)"),"")</f>
        <v/>
      </c>
      <c r="T788" s="70" t="str">
        <f>IFERROR(__xludf.DUMMYFUNCTION("IFERROR(VLOOKUP(F788,IMPORTRANGE(""1H3cO01obd5zFULYqaT5NAqecZBFFIHeDFn4CeQLZF3w"",""Form Responses 1!B:C""),2,FALSE),)"),"")</f>
        <v/>
      </c>
      <c r="U788" s="70" t="str">
        <f>IFERROR(__xludf.DUMMYFUNCTION("IFERROR(IF(COUNTIF(IMPORTRANGE(""1IG9qoa6PeLdDDFzKpW39lxXshN0-M8Z25a_R1EpsYyg"",""Form Responses 1!B:B""),F788)&gt;0,10,),0)"),"")</f>
        <v/>
      </c>
      <c r="V788" s="70"/>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row>
    <row r="789">
      <c r="B789" s="70"/>
      <c r="C789" s="70"/>
      <c r="D789" s="70"/>
      <c r="E789" s="70"/>
      <c r="F789" s="70"/>
      <c r="G789" s="70"/>
      <c r="H789" s="70"/>
      <c r="I789" s="70"/>
      <c r="J789" s="70"/>
      <c r="K789" s="70"/>
      <c r="L789" s="70"/>
      <c r="M789" s="70"/>
      <c r="N789" s="70"/>
      <c r="O789" s="70"/>
      <c r="P789" s="70"/>
      <c r="Q789" s="70" t="str">
        <f>IFERROR(__xludf.DUMMYFUNCTION("IFERROR(IF(COUNTIF(IMPORTRANGE(""1WjiLR_MTMxI_IZUKuvPO4Sg2rTSIqBzP3edakSRXbOA"",""Form Responses 1!B:B""),F789)&gt;0,10,),0)"),"")</f>
        <v/>
      </c>
      <c r="R789" s="70" t="str">
        <f>IFERROR(__xludf.DUMMYFUNCTION("IFERROR(VLOOKUP(F789,IMPORTRANGE(""1Ixzbal5tEbtWhozsFEppQzOYE6ZSrkNXHg_HW5k3Wt4"",""Form Responses 1!B:C""),2,FALSE),)"),"")</f>
        <v/>
      </c>
      <c r="S789" s="70" t="str">
        <f>IFERROR(__xludf.DUMMYFUNCTION("IFERROR(VLOOKUP(F789,IMPORTRANGE(""1zxjtEKGvVIJPIDqZdnxENwVpPXYa88EihzyI44hcQUo"",""Form Responses 1!B:C""),2,FALSE),)"),"")</f>
        <v/>
      </c>
      <c r="T789" s="70" t="str">
        <f>IFERROR(__xludf.DUMMYFUNCTION("IFERROR(VLOOKUP(F789,IMPORTRANGE(""1H3cO01obd5zFULYqaT5NAqecZBFFIHeDFn4CeQLZF3w"",""Form Responses 1!B:C""),2,FALSE),)"),"")</f>
        <v/>
      </c>
      <c r="U789" s="70" t="str">
        <f>IFERROR(__xludf.DUMMYFUNCTION("IFERROR(IF(COUNTIF(IMPORTRANGE(""1IG9qoa6PeLdDDFzKpW39lxXshN0-M8Z25a_R1EpsYyg"",""Form Responses 1!B:B""),F789)&gt;0,10,),0)"),"")</f>
        <v/>
      </c>
      <c r="V789" s="70"/>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row>
    <row r="790">
      <c r="B790" s="70"/>
      <c r="C790" s="70"/>
      <c r="D790" s="70"/>
      <c r="E790" s="70"/>
      <c r="F790" s="70"/>
      <c r="G790" s="70"/>
      <c r="H790" s="70"/>
      <c r="I790" s="70"/>
      <c r="J790" s="70"/>
      <c r="K790" s="70"/>
      <c r="L790" s="70"/>
      <c r="M790" s="70"/>
      <c r="N790" s="70"/>
      <c r="O790" s="70"/>
      <c r="P790" s="70"/>
      <c r="Q790" s="70" t="str">
        <f>IFERROR(__xludf.DUMMYFUNCTION("IFERROR(IF(COUNTIF(IMPORTRANGE(""1WjiLR_MTMxI_IZUKuvPO4Sg2rTSIqBzP3edakSRXbOA"",""Form Responses 1!B:B""),F790)&gt;0,10,),0)"),"")</f>
        <v/>
      </c>
      <c r="R790" s="70" t="str">
        <f>IFERROR(__xludf.DUMMYFUNCTION("IFERROR(VLOOKUP(F790,IMPORTRANGE(""1Ixzbal5tEbtWhozsFEppQzOYE6ZSrkNXHg_HW5k3Wt4"",""Form Responses 1!B:C""),2,FALSE),)"),"")</f>
        <v/>
      </c>
      <c r="S790" s="70" t="str">
        <f>IFERROR(__xludf.DUMMYFUNCTION("IFERROR(VLOOKUP(F790,IMPORTRANGE(""1zxjtEKGvVIJPIDqZdnxENwVpPXYa88EihzyI44hcQUo"",""Form Responses 1!B:C""),2,FALSE),)"),"")</f>
        <v/>
      </c>
      <c r="T790" s="70" t="str">
        <f>IFERROR(__xludf.DUMMYFUNCTION("IFERROR(VLOOKUP(F790,IMPORTRANGE(""1H3cO01obd5zFULYqaT5NAqecZBFFIHeDFn4CeQLZF3w"",""Form Responses 1!B:C""),2,FALSE),)"),"")</f>
        <v/>
      </c>
      <c r="U790" s="70" t="str">
        <f>IFERROR(__xludf.DUMMYFUNCTION("IFERROR(IF(COUNTIF(IMPORTRANGE(""1IG9qoa6PeLdDDFzKpW39lxXshN0-M8Z25a_R1EpsYyg"",""Form Responses 1!B:B""),F790)&gt;0,10,),0)"),"")</f>
        <v/>
      </c>
      <c r="V790" s="70"/>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row>
    <row r="791">
      <c r="B791" s="70"/>
      <c r="C791" s="70"/>
      <c r="D791" s="70"/>
      <c r="E791" s="70"/>
      <c r="F791" s="70"/>
      <c r="G791" s="70"/>
      <c r="H791" s="70"/>
      <c r="I791" s="70"/>
      <c r="J791" s="70"/>
      <c r="K791" s="70"/>
      <c r="L791" s="70"/>
      <c r="M791" s="70"/>
      <c r="N791" s="70"/>
      <c r="O791" s="70"/>
      <c r="P791" s="70"/>
      <c r="Q791" s="70" t="str">
        <f>IFERROR(__xludf.DUMMYFUNCTION("IFERROR(IF(COUNTIF(IMPORTRANGE(""1WjiLR_MTMxI_IZUKuvPO4Sg2rTSIqBzP3edakSRXbOA"",""Form Responses 1!B:B""),F791)&gt;0,10,),0)"),"")</f>
        <v/>
      </c>
      <c r="R791" s="70" t="str">
        <f>IFERROR(__xludf.DUMMYFUNCTION("IFERROR(VLOOKUP(F791,IMPORTRANGE(""1Ixzbal5tEbtWhozsFEppQzOYE6ZSrkNXHg_HW5k3Wt4"",""Form Responses 1!B:C""),2,FALSE),)"),"")</f>
        <v/>
      </c>
      <c r="S791" s="70" t="str">
        <f>IFERROR(__xludf.DUMMYFUNCTION("IFERROR(VLOOKUP(F791,IMPORTRANGE(""1zxjtEKGvVIJPIDqZdnxENwVpPXYa88EihzyI44hcQUo"",""Form Responses 1!B:C""),2,FALSE),)"),"")</f>
        <v/>
      </c>
      <c r="T791" s="70" t="str">
        <f>IFERROR(__xludf.DUMMYFUNCTION("IFERROR(VLOOKUP(F791,IMPORTRANGE(""1H3cO01obd5zFULYqaT5NAqecZBFFIHeDFn4CeQLZF3w"",""Form Responses 1!B:C""),2,FALSE),)"),"")</f>
        <v/>
      </c>
      <c r="U791" s="70" t="str">
        <f>IFERROR(__xludf.DUMMYFUNCTION("IFERROR(IF(COUNTIF(IMPORTRANGE(""1IG9qoa6PeLdDDFzKpW39lxXshN0-M8Z25a_R1EpsYyg"",""Form Responses 1!B:B""),F791)&gt;0,10,),0)"),"")</f>
        <v/>
      </c>
      <c r="V791" s="70"/>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row>
    <row r="792">
      <c r="B792" s="70"/>
      <c r="C792" s="70"/>
      <c r="D792" s="70"/>
      <c r="E792" s="70"/>
      <c r="F792" s="70"/>
      <c r="G792" s="70"/>
      <c r="H792" s="70"/>
      <c r="I792" s="70"/>
      <c r="J792" s="70"/>
      <c r="K792" s="70"/>
      <c r="L792" s="70"/>
      <c r="M792" s="70"/>
      <c r="N792" s="70"/>
      <c r="O792" s="70"/>
      <c r="P792" s="70"/>
      <c r="Q792" s="70" t="str">
        <f>IFERROR(__xludf.DUMMYFUNCTION("IFERROR(IF(COUNTIF(IMPORTRANGE(""1WjiLR_MTMxI_IZUKuvPO4Sg2rTSIqBzP3edakSRXbOA"",""Form Responses 1!B:B""),F792)&gt;0,10,),0)"),"")</f>
        <v/>
      </c>
      <c r="R792" s="70" t="str">
        <f>IFERROR(__xludf.DUMMYFUNCTION("IFERROR(VLOOKUP(F792,IMPORTRANGE(""1Ixzbal5tEbtWhozsFEppQzOYE6ZSrkNXHg_HW5k3Wt4"",""Form Responses 1!B:C""),2,FALSE),)"),"")</f>
        <v/>
      </c>
      <c r="S792" s="70" t="str">
        <f>IFERROR(__xludf.DUMMYFUNCTION("IFERROR(VLOOKUP(F792,IMPORTRANGE(""1zxjtEKGvVIJPIDqZdnxENwVpPXYa88EihzyI44hcQUo"",""Form Responses 1!B:C""),2,FALSE),)"),"")</f>
        <v/>
      </c>
      <c r="T792" s="70" t="str">
        <f>IFERROR(__xludf.DUMMYFUNCTION("IFERROR(VLOOKUP(F792,IMPORTRANGE(""1H3cO01obd5zFULYqaT5NAqecZBFFIHeDFn4CeQLZF3w"",""Form Responses 1!B:C""),2,FALSE),)"),"")</f>
        <v/>
      </c>
      <c r="U792" s="70" t="str">
        <f>IFERROR(__xludf.DUMMYFUNCTION("IFERROR(IF(COUNTIF(IMPORTRANGE(""1IG9qoa6PeLdDDFzKpW39lxXshN0-M8Z25a_R1EpsYyg"",""Form Responses 1!B:B""),F792)&gt;0,10,),0)"),"")</f>
        <v/>
      </c>
      <c r="V792" s="70"/>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row>
    <row r="793">
      <c r="B793" s="70"/>
      <c r="C793" s="70"/>
      <c r="D793" s="70"/>
      <c r="E793" s="70"/>
      <c r="F793" s="70"/>
      <c r="G793" s="70"/>
      <c r="H793" s="70"/>
      <c r="I793" s="70"/>
      <c r="J793" s="70"/>
      <c r="K793" s="70"/>
      <c r="L793" s="70"/>
      <c r="M793" s="70"/>
      <c r="N793" s="70"/>
      <c r="O793" s="70"/>
      <c r="P793" s="70"/>
      <c r="Q793" s="70" t="str">
        <f>IFERROR(__xludf.DUMMYFUNCTION("IFERROR(IF(COUNTIF(IMPORTRANGE(""1WjiLR_MTMxI_IZUKuvPO4Sg2rTSIqBzP3edakSRXbOA"",""Form Responses 1!B:B""),F793)&gt;0,10,),0)"),"")</f>
        <v/>
      </c>
      <c r="R793" s="70" t="str">
        <f>IFERROR(__xludf.DUMMYFUNCTION("IFERROR(VLOOKUP(F793,IMPORTRANGE(""1Ixzbal5tEbtWhozsFEppQzOYE6ZSrkNXHg_HW5k3Wt4"",""Form Responses 1!B:C""),2,FALSE),)"),"")</f>
        <v/>
      </c>
      <c r="S793" s="70" t="str">
        <f>IFERROR(__xludf.DUMMYFUNCTION("IFERROR(VLOOKUP(F793,IMPORTRANGE(""1zxjtEKGvVIJPIDqZdnxENwVpPXYa88EihzyI44hcQUo"",""Form Responses 1!B:C""),2,FALSE),)"),"")</f>
        <v/>
      </c>
      <c r="T793" s="70" t="str">
        <f>IFERROR(__xludf.DUMMYFUNCTION("IFERROR(VLOOKUP(F793,IMPORTRANGE(""1H3cO01obd5zFULYqaT5NAqecZBFFIHeDFn4CeQLZF3w"",""Form Responses 1!B:C""),2,FALSE),)"),"")</f>
        <v/>
      </c>
      <c r="U793" s="70" t="str">
        <f>IFERROR(__xludf.DUMMYFUNCTION("IFERROR(IF(COUNTIF(IMPORTRANGE(""1IG9qoa6PeLdDDFzKpW39lxXshN0-M8Z25a_R1EpsYyg"",""Form Responses 1!B:B""),F793)&gt;0,10,),0)"),"")</f>
        <v/>
      </c>
      <c r="V793" s="70"/>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row>
    <row r="794">
      <c r="B794" s="70"/>
      <c r="C794" s="70"/>
      <c r="D794" s="70"/>
      <c r="E794" s="70"/>
      <c r="F794" s="70"/>
      <c r="G794" s="70"/>
      <c r="H794" s="70"/>
      <c r="I794" s="70"/>
      <c r="J794" s="70"/>
      <c r="K794" s="70"/>
      <c r="L794" s="70"/>
      <c r="M794" s="70"/>
      <c r="N794" s="70"/>
      <c r="O794" s="70"/>
      <c r="P794" s="70"/>
      <c r="Q794" s="70" t="str">
        <f>IFERROR(__xludf.DUMMYFUNCTION("IFERROR(IF(COUNTIF(IMPORTRANGE(""1WjiLR_MTMxI_IZUKuvPO4Sg2rTSIqBzP3edakSRXbOA"",""Form Responses 1!B:B""),F794)&gt;0,10,),0)"),"")</f>
        <v/>
      </c>
      <c r="R794" s="70" t="str">
        <f>IFERROR(__xludf.DUMMYFUNCTION("IFERROR(VLOOKUP(F794,IMPORTRANGE(""1Ixzbal5tEbtWhozsFEppQzOYE6ZSrkNXHg_HW5k3Wt4"",""Form Responses 1!B:C""),2,FALSE),)"),"")</f>
        <v/>
      </c>
      <c r="S794" s="70" t="str">
        <f>IFERROR(__xludf.DUMMYFUNCTION("IFERROR(VLOOKUP(F794,IMPORTRANGE(""1zxjtEKGvVIJPIDqZdnxENwVpPXYa88EihzyI44hcQUo"",""Form Responses 1!B:C""),2,FALSE),)"),"")</f>
        <v/>
      </c>
      <c r="T794" s="70" t="str">
        <f>IFERROR(__xludf.DUMMYFUNCTION("IFERROR(VLOOKUP(F794,IMPORTRANGE(""1H3cO01obd5zFULYqaT5NAqecZBFFIHeDFn4CeQLZF3w"",""Form Responses 1!B:C""),2,FALSE),)"),"")</f>
        <v/>
      </c>
      <c r="U794" s="70" t="str">
        <f>IFERROR(__xludf.DUMMYFUNCTION("IFERROR(IF(COUNTIF(IMPORTRANGE(""1IG9qoa6PeLdDDFzKpW39lxXshN0-M8Z25a_R1EpsYyg"",""Form Responses 1!B:B""),F794)&gt;0,10,),0)"),"")</f>
        <v/>
      </c>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row>
    <row r="795">
      <c r="B795" s="70"/>
      <c r="C795" s="70"/>
      <c r="D795" s="70"/>
      <c r="E795" s="70"/>
      <c r="F795" s="70"/>
      <c r="G795" s="70"/>
      <c r="H795" s="70"/>
      <c r="I795" s="70"/>
      <c r="J795" s="70"/>
      <c r="K795" s="70"/>
      <c r="L795" s="70"/>
      <c r="M795" s="70"/>
      <c r="N795" s="70"/>
      <c r="O795" s="70"/>
      <c r="P795" s="70"/>
      <c r="Q795" s="70" t="str">
        <f>IFERROR(__xludf.DUMMYFUNCTION("IFERROR(IF(COUNTIF(IMPORTRANGE(""1WjiLR_MTMxI_IZUKuvPO4Sg2rTSIqBzP3edakSRXbOA"",""Form Responses 1!B:B""),F795)&gt;0,10,),0)"),"")</f>
        <v/>
      </c>
      <c r="R795" s="70" t="str">
        <f>IFERROR(__xludf.DUMMYFUNCTION("IFERROR(VLOOKUP(F795,IMPORTRANGE(""1Ixzbal5tEbtWhozsFEppQzOYE6ZSrkNXHg_HW5k3Wt4"",""Form Responses 1!B:C""),2,FALSE),)"),"")</f>
        <v/>
      </c>
      <c r="S795" s="70" t="str">
        <f>IFERROR(__xludf.DUMMYFUNCTION("IFERROR(VLOOKUP(F795,IMPORTRANGE(""1zxjtEKGvVIJPIDqZdnxENwVpPXYa88EihzyI44hcQUo"",""Form Responses 1!B:C""),2,FALSE),)"),"")</f>
        <v/>
      </c>
      <c r="T795" s="70" t="str">
        <f>IFERROR(__xludf.DUMMYFUNCTION("IFERROR(VLOOKUP(F795,IMPORTRANGE(""1H3cO01obd5zFULYqaT5NAqecZBFFIHeDFn4CeQLZF3w"",""Form Responses 1!B:C""),2,FALSE),)"),"")</f>
        <v/>
      </c>
      <c r="U795" s="70" t="str">
        <f>IFERROR(__xludf.DUMMYFUNCTION("IFERROR(IF(COUNTIF(IMPORTRANGE(""1IG9qoa6PeLdDDFzKpW39lxXshN0-M8Z25a_R1EpsYyg"",""Form Responses 1!B:B""),F795)&gt;0,10,),0)"),"")</f>
        <v/>
      </c>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row>
    <row r="796">
      <c r="B796" s="70"/>
      <c r="C796" s="70"/>
      <c r="D796" s="70"/>
      <c r="E796" s="70"/>
      <c r="F796" s="70"/>
      <c r="G796" s="70"/>
      <c r="H796" s="70"/>
      <c r="I796" s="70"/>
      <c r="J796" s="70"/>
      <c r="K796" s="70"/>
      <c r="L796" s="70"/>
      <c r="M796" s="70"/>
      <c r="N796" s="70"/>
      <c r="O796" s="70"/>
      <c r="P796" s="70"/>
      <c r="Q796" s="70" t="str">
        <f>IFERROR(__xludf.DUMMYFUNCTION("IFERROR(IF(COUNTIF(IMPORTRANGE(""1WjiLR_MTMxI_IZUKuvPO4Sg2rTSIqBzP3edakSRXbOA"",""Form Responses 1!B:B""),F796)&gt;0,10,),0)"),"")</f>
        <v/>
      </c>
      <c r="R796" s="70" t="str">
        <f>IFERROR(__xludf.DUMMYFUNCTION("IFERROR(VLOOKUP(F796,IMPORTRANGE(""1Ixzbal5tEbtWhozsFEppQzOYE6ZSrkNXHg_HW5k3Wt4"",""Form Responses 1!B:C""),2,FALSE),)"),"")</f>
        <v/>
      </c>
      <c r="S796" s="70" t="str">
        <f>IFERROR(__xludf.DUMMYFUNCTION("IFERROR(VLOOKUP(F796,IMPORTRANGE(""1zxjtEKGvVIJPIDqZdnxENwVpPXYa88EihzyI44hcQUo"",""Form Responses 1!B:C""),2,FALSE),)"),"")</f>
        <v/>
      </c>
      <c r="T796" s="70" t="str">
        <f>IFERROR(__xludf.DUMMYFUNCTION("IFERROR(VLOOKUP(F796,IMPORTRANGE(""1H3cO01obd5zFULYqaT5NAqecZBFFIHeDFn4CeQLZF3w"",""Form Responses 1!B:C""),2,FALSE),)"),"")</f>
        <v/>
      </c>
      <c r="U796" s="70" t="str">
        <f>IFERROR(__xludf.DUMMYFUNCTION("IFERROR(IF(COUNTIF(IMPORTRANGE(""1IG9qoa6PeLdDDFzKpW39lxXshN0-M8Z25a_R1EpsYyg"",""Form Responses 1!B:B""),F796)&gt;0,10,),0)"),"")</f>
        <v/>
      </c>
      <c r="V796" s="70"/>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row>
    <row r="797">
      <c r="B797" s="70"/>
      <c r="C797" s="70"/>
      <c r="D797" s="70"/>
      <c r="E797" s="70"/>
      <c r="F797" s="70"/>
      <c r="G797" s="70"/>
      <c r="H797" s="70"/>
      <c r="I797" s="70"/>
      <c r="J797" s="70"/>
      <c r="K797" s="70"/>
      <c r="L797" s="70"/>
      <c r="M797" s="70"/>
      <c r="N797" s="70"/>
      <c r="O797" s="70"/>
      <c r="P797" s="70"/>
      <c r="Q797" s="70" t="str">
        <f>IFERROR(__xludf.DUMMYFUNCTION("IFERROR(IF(COUNTIF(IMPORTRANGE(""1WjiLR_MTMxI_IZUKuvPO4Sg2rTSIqBzP3edakSRXbOA"",""Form Responses 1!B:B""),F797)&gt;0,10,),0)"),"")</f>
        <v/>
      </c>
      <c r="R797" s="70" t="str">
        <f>IFERROR(__xludf.DUMMYFUNCTION("IFERROR(VLOOKUP(F797,IMPORTRANGE(""1Ixzbal5tEbtWhozsFEppQzOYE6ZSrkNXHg_HW5k3Wt4"",""Form Responses 1!B:C""),2,FALSE),)"),"")</f>
        <v/>
      </c>
      <c r="S797" s="70" t="str">
        <f>IFERROR(__xludf.DUMMYFUNCTION("IFERROR(VLOOKUP(F797,IMPORTRANGE(""1zxjtEKGvVIJPIDqZdnxENwVpPXYa88EihzyI44hcQUo"",""Form Responses 1!B:C""),2,FALSE),)"),"")</f>
        <v/>
      </c>
      <c r="T797" s="70" t="str">
        <f>IFERROR(__xludf.DUMMYFUNCTION("IFERROR(VLOOKUP(F797,IMPORTRANGE(""1H3cO01obd5zFULYqaT5NAqecZBFFIHeDFn4CeQLZF3w"",""Form Responses 1!B:C""),2,FALSE),)"),"")</f>
        <v/>
      </c>
      <c r="U797" s="70" t="str">
        <f>IFERROR(__xludf.DUMMYFUNCTION("IFERROR(IF(COUNTIF(IMPORTRANGE(""1IG9qoa6PeLdDDFzKpW39lxXshN0-M8Z25a_R1EpsYyg"",""Form Responses 1!B:B""),F797)&gt;0,10,),0)"),"")</f>
        <v/>
      </c>
      <c r="V797" s="70"/>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row>
    <row r="798">
      <c r="B798" s="70"/>
      <c r="C798" s="70"/>
      <c r="D798" s="70"/>
      <c r="E798" s="70"/>
      <c r="F798" s="70"/>
      <c r="G798" s="70"/>
      <c r="H798" s="70"/>
      <c r="I798" s="70"/>
      <c r="J798" s="70"/>
      <c r="K798" s="70"/>
      <c r="L798" s="70"/>
      <c r="M798" s="70"/>
      <c r="N798" s="70"/>
      <c r="O798" s="70"/>
      <c r="P798" s="70"/>
      <c r="Q798" s="70" t="str">
        <f>IFERROR(__xludf.DUMMYFUNCTION("IFERROR(IF(COUNTIF(IMPORTRANGE(""1WjiLR_MTMxI_IZUKuvPO4Sg2rTSIqBzP3edakSRXbOA"",""Form Responses 1!B:B""),F798)&gt;0,10,),0)"),"")</f>
        <v/>
      </c>
      <c r="R798" s="70" t="str">
        <f>IFERROR(__xludf.DUMMYFUNCTION("IFERROR(VLOOKUP(F798,IMPORTRANGE(""1Ixzbal5tEbtWhozsFEppQzOYE6ZSrkNXHg_HW5k3Wt4"",""Form Responses 1!B:C""),2,FALSE),)"),"")</f>
        <v/>
      </c>
      <c r="S798" s="70" t="str">
        <f>IFERROR(__xludf.DUMMYFUNCTION("IFERROR(VLOOKUP(F798,IMPORTRANGE(""1zxjtEKGvVIJPIDqZdnxENwVpPXYa88EihzyI44hcQUo"",""Form Responses 1!B:C""),2,FALSE),)"),"")</f>
        <v/>
      </c>
      <c r="T798" s="70" t="str">
        <f>IFERROR(__xludf.DUMMYFUNCTION("IFERROR(VLOOKUP(F798,IMPORTRANGE(""1H3cO01obd5zFULYqaT5NAqecZBFFIHeDFn4CeQLZF3w"",""Form Responses 1!B:C""),2,FALSE),)"),"")</f>
        <v/>
      </c>
      <c r="U798" s="70" t="str">
        <f>IFERROR(__xludf.DUMMYFUNCTION("IFERROR(IF(COUNTIF(IMPORTRANGE(""1IG9qoa6PeLdDDFzKpW39lxXshN0-M8Z25a_R1EpsYyg"",""Form Responses 1!B:B""),F798)&gt;0,10,),0)"),"")</f>
        <v/>
      </c>
      <c r="V798" s="70"/>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row>
    <row r="799">
      <c r="B799" s="70"/>
      <c r="C799" s="70"/>
      <c r="D799" s="70"/>
      <c r="E799" s="70"/>
      <c r="F799" s="70"/>
      <c r="G799" s="70"/>
      <c r="H799" s="70"/>
      <c r="I799" s="70"/>
      <c r="J799" s="70"/>
      <c r="K799" s="70"/>
      <c r="L799" s="70"/>
      <c r="M799" s="70"/>
      <c r="N799" s="70"/>
      <c r="O799" s="70"/>
      <c r="P799" s="70"/>
      <c r="Q799" s="70" t="str">
        <f>IFERROR(__xludf.DUMMYFUNCTION("IFERROR(IF(COUNTIF(IMPORTRANGE(""1WjiLR_MTMxI_IZUKuvPO4Sg2rTSIqBzP3edakSRXbOA"",""Form Responses 1!B:B""),F799)&gt;0,10,),0)"),"")</f>
        <v/>
      </c>
      <c r="R799" s="70" t="str">
        <f>IFERROR(__xludf.DUMMYFUNCTION("IFERROR(VLOOKUP(F799,IMPORTRANGE(""1Ixzbal5tEbtWhozsFEppQzOYE6ZSrkNXHg_HW5k3Wt4"",""Form Responses 1!B:C""),2,FALSE),)"),"")</f>
        <v/>
      </c>
      <c r="S799" s="70" t="str">
        <f>IFERROR(__xludf.DUMMYFUNCTION("IFERROR(VLOOKUP(F799,IMPORTRANGE(""1zxjtEKGvVIJPIDqZdnxENwVpPXYa88EihzyI44hcQUo"",""Form Responses 1!B:C""),2,FALSE),)"),"")</f>
        <v/>
      </c>
      <c r="T799" s="70" t="str">
        <f>IFERROR(__xludf.DUMMYFUNCTION("IFERROR(VLOOKUP(F799,IMPORTRANGE(""1H3cO01obd5zFULYqaT5NAqecZBFFIHeDFn4CeQLZF3w"",""Form Responses 1!B:C""),2,FALSE),)"),"")</f>
        <v/>
      </c>
      <c r="U799" s="70" t="str">
        <f>IFERROR(__xludf.DUMMYFUNCTION("IFERROR(IF(COUNTIF(IMPORTRANGE(""1IG9qoa6PeLdDDFzKpW39lxXshN0-M8Z25a_R1EpsYyg"",""Form Responses 1!B:B""),F799)&gt;0,10,),0)"),"")</f>
        <v/>
      </c>
      <c r="V799" s="70"/>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row>
    <row r="800">
      <c r="B800" s="70"/>
      <c r="C800" s="70"/>
      <c r="D800" s="70"/>
      <c r="E800" s="70"/>
      <c r="F800" s="70"/>
      <c r="G800" s="70"/>
      <c r="H800" s="70"/>
      <c r="I800" s="70"/>
      <c r="J800" s="70"/>
      <c r="K800" s="70"/>
      <c r="L800" s="70"/>
      <c r="M800" s="70"/>
      <c r="N800" s="70"/>
      <c r="O800" s="70"/>
      <c r="P800" s="70"/>
      <c r="Q800" s="70" t="str">
        <f>IFERROR(__xludf.DUMMYFUNCTION("IFERROR(IF(COUNTIF(IMPORTRANGE(""1WjiLR_MTMxI_IZUKuvPO4Sg2rTSIqBzP3edakSRXbOA"",""Form Responses 1!B:B""),F800)&gt;0,10,),0)"),"")</f>
        <v/>
      </c>
      <c r="R800" s="70" t="str">
        <f>IFERROR(__xludf.DUMMYFUNCTION("IFERROR(VLOOKUP(F800,IMPORTRANGE(""1Ixzbal5tEbtWhozsFEppQzOYE6ZSrkNXHg_HW5k3Wt4"",""Form Responses 1!B:C""),2,FALSE),)"),"")</f>
        <v/>
      </c>
      <c r="S800" s="70" t="str">
        <f>IFERROR(__xludf.DUMMYFUNCTION("IFERROR(VLOOKUP(F800,IMPORTRANGE(""1zxjtEKGvVIJPIDqZdnxENwVpPXYa88EihzyI44hcQUo"",""Form Responses 1!B:C""),2,FALSE),)"),"")</f>
        <v/>
      </c>
      <c r="T800" s="70" t="str">
        <f>IFERROR(__xludf.DUMMYFUNCTION("IFERROR(VLOOKUP(F800,IMPORTRANGE(""1H3cO01obd5zFULYqaT5NAqecZBFFIHeDFn4CeQLZF3w"",""Form Responses 1!B:C""),2,FALSE),)"),"")</f>
        <v/>
      </c>
      <c r="U800" s="70" t="str">
        <f>IFERROR(__xludf.DUMMYFUNCTION("IFERROR(IF(COUNTIF(IMPORTRANGE(""1IG9qoa6PeLdDDFzKpW39lxXshN0-M8Z25a_R1EpsYyg"",""Form Responses 1!B:B""),F800)&gt;0,10,),0)"),"")</f>
        <v/>
      </c>
      <c r="V800" s="70"/>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row>
    <row r="801">
      <c r="B801" s="70"/>
      <c r="C801" s="70"/>
      <c r="D801" s="70"/>
      <c r="E801" s="70"/>
      <c r="F801" s="70"/>
      <c r="G801" s="70"/>
      <c r="H801" s="70"/>
      <c r="I801" s="70"/>
      <c r="J801" s="70"/>
      <c r="K801" s="70"/>
      <c r="L801" s="70"/>
      <c r="M801" s="70"/>
      <c r="N801" s="70"/>
      <c r="O801" s="70"/>
      <c r="P801" s="70"/>
      <c r="Q801" s="70" t="str">
        <f>IFERROR(__xludf.DUMMYFUNCTION("IFERROR(IF(COUNTIF(IMPORTRANGE(""1WjiLR_MTMxI_IZUKuvPO4Sg2rTSIqBzP3edakSRXbOA"",""Form Responses 1!B:B""),F801)&gt;0,10,),0)"),"")</f>
        <v/>
      </c>
      <c r="R801" s="70" t="str">
        <f>IFERROR(__xludf.DUMMYFUNCTION("IFERROR(VLOOKUP(F801,IMPORTRANGE(""1Ixzbal5tEbtWhozsFEppQzOYE6ZSrkNXHg_HW5k3Wt4"",""Form Responses 1!B:C""),2,FALSE),)"),"")</f>
        <v/>
      </c>
      <c r="S801" s="70" t="str">
        <f>IFERROR(__xludf.DUMMYFUNCTION("IFERROR(VLOOKUP(F801,IMPORTRANGE(""1zxjtEKGvVIJPIDqZdnxENwVpPXYa88EihzyI44hcQUo"",""Form Responses 1!B:C""),2,FALSE),)"),"")</f>
        <v/>
      </c>
      <c r="T801" s="70" t="str">
        <f>IFERROR(__xludf.DUMMYFUNCTION("IFERROR(VLOOKUP(F801,IMPORTRANGE(""1H3cO01obd5zFULYqaT5NAqecZBFFIHeDFn4CeQLZF3w"",""Form Responses 1!B:C""),2,FALSE),)"),"")</f>
        <v/>
      </c>
      <c r="U801" s="70" t="str">
        <f>IFERROR(__xludf.DUMMYFUNCTION("IFERROR(IF(COUNTIF(IMPORTRANGE(""1IG9qoa6PeLdDDFzKpW39lxXshN0-M8Z25a_R1EpsYyg"",""Form Responses 1!B:B""),F801)&gt;0,10,),0)"),"")</f>
        <v/>
      </c>
      <c r="V801" s="70"/>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row>
    <row r="802">
      <c r="B802" s="70"/>
      <c r="C802" s="70"/>
      <c r="D802" s="70"/>
      <c r="E802" s="70"/>
      <c r="F802" s="70"/>
      <c r="G802" s="70"/>
      <c r="H802" s="70"/>
      <c r="I802" s="70"/>
      <c r="J802" s="70"/>
      <c r="K802" s="70"/>
      <c r="L802" s="70"/>
      <c r="M802" s="70"/>
      <c r="N802" s="70"/>
      <c r="O802" s="70"/>
      <c r="P802" s="70"/>
      <c r="Q802" s="70" t="str">
        <f>IFERROR(__xludf.DUMMYFUNCTION("IFERROR(IF(COUNTIF(IMPORTRANGE(""1WjiLR_MTMxI_IZUKuvPO4Sg2rTSIqBzP3edakSRXbOA"",""Form Responses 1!B:B""),F802)&gt;0,10,),0)"),"")</f>
        <v/>
      </c>
      <c r="R802" s="70" t="str">
        <f>IFERROR(__xludf.DUMMYFUNCTION("IFERROR(VLOOKUP(F802,IMPORTRANGE(""1Ixzbal5tEbtWhozsFEppQzOYE6ZSrkNXHg_HW5k3Wt4"",""Form Responses 1!B:C""),2,FALSE),)"),"")</f>
        <v/>
      </c>
      <c r="S802" s="70" t="str">
        <f>IFERROR(__xludf.DUMMYFUNCTION("IFERROR(VLOOKUP(F802,IMPORTRANGE(""1zxjtEKGvVIJPIDqZdnxENwVpPXYa88EihzyI44hcQUo"",""Form Responses 1!B:C""),2,FALSE),)"),"")</f>
        <v/>
      </c>
      <c r="T802" s="70" t="str">
        <f>IFERROR(__xludf.DUMMYFUNCTION("IFERROR(VLOOKUP(F802,IMPORTRANGE(""1H3cO01obd5zFULYqaT5NAqecZBFFIHeDFn4CeQLZF3w"",""Form Responses 1!B:C""),2,FALSE),)"),"")</f>
        <v/>
      </c>
      <c r="U802" s="70" t="str">
        <f>IFERROR(__xludf.DUMMYFUNCTION("IFERROR(IF(COUNTIF(IMPORTRANGE(""1IG9qoa6PeLdDDFzKpW39lxXshN0-M8Z25a_R1EpsYyg"",""Form Responses 1!B:B""),F802)&gt;0,10,),0)"),"")</f>
        <v/>
      </c>
      <c r="V802" s="70"/>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row>
    <row r="803">
      <c r="B803" s="70"/>
      <c r="C803" s="70"/>
      <c r="D803" s="70"/>
      <c r="E803" s="70"/>
      <c r="F803" s="70"/>
      <c r="G803" s="70"/>
      <c r="H803" s="70"/>
      <c r="I803" s="70"/>
      <c r="J803" s="70"/>
      <c r="K803" s="70"/>
      <c r="L803" s="70"/>
      <c r="M803" s="70"/>
      <c r="N803" s="70"/>
      <c r="O803" s="70"/>
      <c r="P803" s="70"/>
      <c r="Q803" s="70" t="str">
        <f>IFERROR(__xludf.DUMMYFUNCTION("IFERROR(IF(COUNTIF(IMPORTRANGE(""1WjiLR_MTMxI_IZUKuvPO4Sg2rTSIqBzP3edakSRXbOA"",""Form Responses 1!B:B""),F803)&gt;0,10,),0)"),"")</f>
        <v/>
      </c>
      <c r="R803" s="70" t="str">
        <f>IFERROR(__xludf.DUMMYFUNCTION("IFERROR(VLOOKUP(F803,IMPORTRANGE(""1Ixzbal5tEbtWhozsFEppQzOYE6ZSrkNXHg_HW5k3Wt4"",""Form Responses 1!B:C""),2,FALSE),)"),"")</f>
        <v/>
      </c>
      <c r="S803" s="70" t="str">
        <f>IFERROR(__xludf.DUMMYFUNCTION("IFERROR(VLOOKUP(F803,IMPORTRANGE(""1zxjtEKGvVIJPIDqZdnxENwVpPXYa88EihzyI44hcQUo"",""Form Responses 1!B:C""),2,FALSE),)"),"")</f>
        <v/>
      </c>
      <c r="T803" s="70" t="str">
        <f>IFERROR(__xludf.DUMMYFUNCTION("IFERROR(VLOOKUP(F803,IMPORTRANGE(""1H3cO01obd5zFULYqaT5NAqecZBFFIHeDFn4CeQLZF3w"",""Form Responses 1!B:C""),2,FALSE),)"),"")</f>
        <v/>
      </c>
      <c r="U803" s="70" t="str">
        <f>IFERROR(__xludf.DUMMYFUNCTION("IFERROR(IF(COUNTIF(IMPORTRANGE(""1IG9qoa6PeLdDDFzKpW39lxXshN0-M8Z25a_R1EpsYyg"",""Form Responses 1!B:B""),F803)&gt;0,10,),0)"),"")</f>
        <v/>
      </c>
      <c r="V803" s="70"/>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row>
    <row r="804">
      <c r="B804" s="70"/>
      <c r="C804" s="70"/>
      <c r="D804" s="70"/>
      <c r="E804" s="70"/>
      <c r="F804" s="70"/>
      <c r="G804" s="70"/>
      <c r="H804" s="70"/>
      <c r="I804" s="70"/>
      <c r="J804" s="70"/>
      <c r="K804" s="70"/>
      <c r="L804" s="70"/>
      <c r="M804" s="70"/>
      <c r="N804" s="70"/>
      <c r="O804" s="70"/>
      <c r="P804" s="70"/>
      <c r="Q804" s="70" t="str">
        <f>IFERROR(__xludf.DUMMYFUNCTION("IFERROR(IF(COUNTIF(IMPORTRANGE(""1WjiLR_MTMxI_IZUKuvPO4Sg2rTSIqBzP3edakSRXbOA"",""Form Responses 1!B:B""),F804)&gt;0,10,),0)"),"")</f>
        <v/>
      </c>
      <c r="R804" s="70" t="str">
        <f>IFERROR(__xludf.DUMMYFUNCTION("IFERROR(VLOOKUP(F804,IMPORTRANGE(""1Ixzbal5tEbtWhozsFEppQzOYE6ZSrkNXHg_HW5k3Wt4"",""Form Responses 1!B:C""),2,FALSE),)"),"")</f>
        <v/>
      </c>
      <c r="S804" s="70" t="str">
        <f>IFERROR(__xludf.DUMMYFUNCTION("IFERROR(VLOOKUP(F804,IMPORTRANGE(""1zxjtEKGvVIJPIDqZdnxENwVpPXYa88EihzyI44hcQUo"",""Form Responses 1!B:C""),2,FALSE),)"),"")</f>
        <v/>
      </c>
      <c r="T804" s="70" t="str">
        <f>IFERROR(__xludf.DUMMYFUNCTION("IFERROR(VLOOKUP(F804,IMPORTRANGE(""1H3cO01obd5zFULYqaT5NAqecZBFFIHeDFn4CeQLZF3w"",""Form Responses 1!B:C""),2,FALSE),)"),"")</f>
        <v/>
      </c>
      <c r="U804" s="70" t="str">
        <f>IFERROR(__xludf.DUMMYFUNCTION("IFERROR(IF(COUNTIF(IMPORTRANGE(""1IG9qoa6PeLdDDFzKpW39lxXshN0-M8Z25a_R1EpsYyg"",""Form Responses 1!B:B""),F804)&gt;0,10,),0)"),"")</f>
        <v/>
      </c>
      <c r="V804" s="70"/>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row>
    <row r="805">
      <c r="B805" s="70"/>
      <c r="C805" s="70"/>
      <c r="D805" s="70"/>
      <c r="E805" s="70"/>
      <c r="F805" s="70"/>
      <c r="G805" s="70"/>
      <c r="H805" s="70"/>
      <c r="I805" s="70"/>
      <c r="J805" s="70"/>
      <c r="K805" s="70"/>
      <c r="L805" s="70"/>
      <c r="M805" s="70"/>
      <c r="N805" s="70"/>
      <c r="O805" s="70"/>
      <c r="P805" s="70"/>
      <c r="Q805" s="70" t="str">
        <f>IFERROR(__xludf.DUMMYFUNCTION("IFERROR(IF(COUNTIF(IMPORTRANGE(""1WjiLR_MTMxI_IZUKuvPO4Sg2rTSIqBzP3edakSRXbOA"",""Form Responses 1!B:B""),F805)&gt;0,10,),0)"),"")</f>
        <v/>
      </c>
      <c r="R805" s="70" t="str">
        <f>IFERROR(__xludf.DUMMYFUNCTION("IFERROR(VLOOKUP(F805,IMPORTRANGE(""1Ixzbal5tEbtWhozsFEppQzOYE6ZSrkNXHg_HW5k3Wt4"",""Form Responses 1!B:C""),2,FALSE),)"),"")</f>
        <v/>
      </c>
      <c r="S805" s="70" t="str">
        <f>IFERROR(__xludf.DUMMYFUNCTION("IFERROR(VLOOKUP(F805,IMPORTRANGE(""1zxjtEKGvVIJPIDqZdnxENwVpPXYa88EihzyI44hcQUo"",""Form Responses 1!B:C""),2,FALSE),)"),"")</f>
        <v/>
      </c>
      <c r="T805" s="70" t="str">
        <f>IFERROR(__xludf.DUMMYFUNCTION("IFERROR(VLOOKUP(F805,IMPORTRANGE(""1H3cO01obd5zFULYqaT5NAqecZBFFIHeDFn4CeQLZF3w"",""Form Responses 1!B:C""),2,FALSE),)"),"")</f>
        <v/>
      </c>
      <c r="U805" s="70" t="str">
        <f>IFERROR(__xludf.DUMMYFUNCTION("IFERROR(IF(COUNTIF(IMPORTRANGE(""1IG9qoa6PeLdDDFzKpW39lxXshN0-M8Z25a_R1EpsYyg"",""Form Responses 1!B:B""),F805)&gt;0,10,),0)"),"")</f>
        <v/>
      </c>
      <c r="V805" s="70"/>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row>
    <row r="806">
      <c r="B806" s="70"/>
      <c r="C806" s="70"/>
      <c r="D806" s="70"/>
      <c r="E806" s="70"/>
      <c r="F806" s="70"/>
      <c r="G806" s="70"/>
      <c r="H806" s="70"/>
      <c r="I806" s="70"/>
      <c r="J806" s="70"/>
      <c r="K806" s="70"/>
      <c r="L806" s="70"/>
      <c r="M806" s="70"/>
      <c r="N806" s="70"/>
      <c r="O806" s="70"/>
      <c r="P806" s="70"/>
      <c r="Q806" s="70" t="str">
        <f>IFERROR(__xludf.DUMMYFUNCTION("IFERROR(IF(COUNTIF(IMPORTRANGE(""1WjiLR_MTMxI_IZUKuvPO4Sg2rTSIqBzP3edakSRXbOA"",""Form Responses 1!B:B""),F806)&gt;0,10,),0)"),"")</f>
        <v/>
      </c>
      <c r="R806" s="70" t="str">
        <f>IFERROR(__xludf.DUMMYFUNCTION("IFERROR(VLOOKUP(F806,IMPORTRANGE(""1Ixzbal5tEbtWhozsFEppQzOYE6ZSrkNXHg_HW5k3Wt4"",""Form Responses 1!B:C""),2,FALSE),)"),"")</f>
        <v/>
      </c>
      <c r="S806" s="70" t="str">
        <f>IFERROR(__xludf.DUMMYFUNCTION("IFERROR(VLOOKUP(F806,IMPORTRANGE(""1zxjtEKGvVIJPIDqZdnxENwVpPXYa88EihzyI44hcQUo"",""Form Responses 1!B:C""),2,FALSE),)"),"")</f>
        <v/>
      </c>
      <c r="T806" s="70" t="str">
        <f>IFERROR(__xludf.DUMMYFUNCTION("IFERROR(VLOOKUP(F806,IMPORTRANGE(""1H3cO01obd5zFULYqaT5NAqecZBFFIHeDFn4CeQLZF3w"",""Form Responses 1!B:C""),2,FALSE),)"),"")</f>
        <v/>
      </c>
      <c r="U806" s="70" t="str">
        <f>IFERROR(__xludf.DUMMYFUNCTION("IFERROR(IF(COUNTIF(IMPORTRANGE(""1IG9qoa6PeLdDDFzKpW39lxXshN0-M8Z25a_R1EpsYyg"",""Form Responses 1!B:B""),F806)&gt;0,10,),0)"),"")</f>
        <v/>
      </c>
      <c r="V806" s="70"/>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row>
    <row r="807">
      <c r="B807" s="70"/>
      <c r="C807" s="70"/>
      <c r="D807" s="70"/>
      <c r="E807" s="70"/>
      <c r="F807" s="70"/>
      <c r="G807" s="70"/>
      <c r="H807" s="70"/>
      <c r="I807" s="70"/>
      <c r="J807" s="70"/>
      <c r="K807" s="70"/>
      <c r="L807" s="70"/>
      <c r="M807" s="70"/>
      <c r="N807" s="70"/>
      <c r="O807" s="70"/>
      <c r="P807" s="70"/>
      <c r="Q807" s="70" t="str">
        <f>IFERROR(__xludf.DUMMYFUNCTION("IFERROR(IF(COUNTIF(IMPORTRANGE(""1WjiLR_MTMxI_IZUKuvPO4Sg2rTSIqBzP3edakSRXbOA"",""Form Responses 1!B:B""),F807)&gt;0,10,),0)"),"")</f>
        <v/>
      </c>
      <c r="R807" s="70" t="str">
        <f>IFERROR(__xludf.DUMMYFUNCTION("IFERROR(VLOOKUP(F807,IMPORTRANGE(""1Ixzbal5tEbtWhozsFEppQzOYE6ZSrkNXHg_HW5k3Wt4"",""Form Responses 1!B:C""),2,FALSE),)"),"")</f>
        <v/>
      </c>
      <c r="S807" s="70" t="str">
        <f>IFERROR(__xludf.DUMMYFUNCTION("IFERROR(VLOOKUP(F807,IMPORTRANGE(""1zxjtEKGvVIJPIDqZdnxENwVpPXYa88EihzyI44hcQUo"",""Form Responses 1!B:C""),2,FALSE),)"),"")</f>
        <v/>
      </c>
      <c r="T807" s="70" t="str">
        <f>IFERROR(__xludf.DUMMYFUNCTION("IFERROR(VLOOKUP(F807,IMPORTRANGE(""1H3cO01obd5zFULYqaT5NAqecZBFFIHeDFn4CeQLZF3w"",""Form Responses 1!B:C""),2,FALSE),)"),"")</f>
        <v/>
      </c>
      <c r="U807" s="70" t="str">
        <f>IFERROR(__xludf.DUMMYFUNCTION("IFERROR(IF(COUNTIF(IMPORTRANGE(""1IG9qoa6PeLdDDFzKpW39lxXshN0-M8Z25a_R1EpsYyg"",""Form Responses 1!B:B""),F807)&gt;0,10,),0)"),"")</f>
        <v/>
      </c>
      <c r="V807" s="70"/>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row>
    <row r="808">
      <c r="B808" s="70"/>
      <c r="C808" s="70"/>
      <c r="D808" s="70"/>
      <c r="E808" s="70"/>
      <c r="F808" s="70"/>
      <c r="G808" s="70"/>
      <c r="H808" s="70"/>
      <c r="I808" s="70"/>
      <c r="J808" s="70"/>
      <c r="K808" s="70"/>
      <c r="L808" s="70"/>
      <c r="M808" s="70"/>
      <c r="N808" s="70"/>
      <c r="O808" s="70"/>
      <c r="P808" s="70"/>
      <c r="Q808" s="70" t="str">
        <f>IFERROR(__xludf.DUMMYFUNCTION("IFERROR(IF(COUNTIF(IMPORTRANGE(""1WjiLR_MTMxI_IZUKuvPO4Sg2rTSIqBzP3edakSRXbOA"",""Form Responses 1!B:B""),F808)&gt;0,10,),0)"),"")</f>
        <v/>
      </c>
      <c r="R808" s="70" t="str">
        <f>IFERROR(__xludf.DUMMYFUNCTION("IFERROR(VLOOKUP(F808,IMPORTRANGE(""1Ixzbal5tEbtWhozsFEppQzOYE6ZSrkNXHg_HW5k3Wt4"",""Form Responses 1!B:C""),2,FALSE),)"),"")</f>
        <v/>
      </c>
      <c r="S808" s="70" t="str">
        <f>IFERROR(__xludf.DUMMYFUNCTION("IFERROR(VLOOKUP(F808,IMPORTRANGE(""1zxjtEKGvVIJPIDqZdnxENwVpPXYa88EihzyI44hcQUo"",""Form Responses 1!B:C""),2,FALSE),)"),"")</f>
        <v/>
      </c>
      <c r="T808" s="70" t="str">
        <f>IFERROR(__xludf.DUMMYFUNCTION("IFERROR(VLOOKUP(F808,IMPORTRANGE(""1H3cO01obd5zFULYqaT5NAqecZBFFIHeDFn4CeQLZF3w"",""Form Responses 1!B:C""),2,FALSE),)"),"")</f>
        <v/>
      </c>
      <c r="U808" s="70" t="str">
        <f>IFERROR(__xludf.DUMMYFUNCTION("IFERROR(IF(COUNTIF(IMPORTRANGE(""1IG9qoa6PeLdDDFzKpW39lxXshN0-M8Z25a_R1EpsYyg"",""Form Responses 1!B:B""),F808)&gt;0,10,),0)"),"")</f>
        <v/>
      </c>
      <c r="V808" s="70"/>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row>
    <row r="809">
      <c r="B809" s="70"/>
      <c r="C809" s="70"/>
      <c r="D809" s="70"/>
      <c r="E809" s="70"/>
      <c r="F809" s="70"/>
      <c r="G809" s="70"/>
      <c r="H809" s="70"/>
      <c r="I809" s="70"/>
      <c r="J809" s="70"/>
      <c r="K809" s="70"/>
      <c r="L809" s="70"/>
      <c r="M809" s="70"/>
      <c r="N809" s="70"/>
      <c r="O809" s="70"/>
      <c r="P809" s="70"/>
      <c r="Q809" s="70" t="str">
        <f>IFERROR(__xludf.DUMMYFUNCTION("IFERROR(IF(COUNTIF(IMPORTRANGE(""1WjiLR_MTMxI_IZUKuvPO4Sg2rTSIqBzP3edakSRXbOA"",""Form Responses 1!B:B""),F809)&gt;0,10,),0)"),"")</f>
        <v/>
      </c>
      <c r="R809" s="70" t="str">
        <f>IFERROR(__xludf.DUMMYFUNCTION("IFERROR(VLOOKUP(F809,IMPORTRANGE(""1Ixzbal5tEbtWhozsFEppQzOYE6ZSrkNXHg_HW5k3Wt4"",""Form Responses 1!B:C""),2,FALSE),)"),"")</f>
        <v/>
      </c>
      <c r="S809" s="70" t="str">
        <f>IFERROR(__xludf.DUMMYFUNCTION("IFERROR(VLOOKUP(F809,IMPORTRANGE(""1zxjtEKGvVIJPIDqZdnxENwVpPXYa88EihzyI44hcQUo"",""Form Responses 1!B:C""),2,FALSE),)"),"")</f>
        <v/>
      </c>
      <c r="T809" s="70" t="str">
        <f>IFERROR(__xludf.DUMMYFUNCTION("IFERROR(VLOOKUP(F809,IMPORTRANGE(""1H3cO01obd5zFULYqaT5NAqecZBFFIHeDFn4CeQLZF3w"",""Form Responses 1!B:C""),2,FALSE),)"),"")</f>
        <v/>
      </c>
      <c r="U809" s="70" t="str">
        <f>IFERROR(__xludf.DUMMYFUNCTION("IFERROR(IF(COUNTIF(IMPORTRANGE(""1IG9qoa6PeLdDDFzKpW39lxXshN0-M8Z25a_R1EpsYyg"",""Form Responses 1!B:B""),F809)&gt;0,10,),0)"),"")</f>
        <v/>
      </c>
      <c r="V809" s="70"/>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row>
    <row r="810">
      <c r="B810" s="70"/>
      <c r="C810" s="70"/>
      <c r="D810" s="70"/>
      <c r="E810" s="70"/>
      <c r="F810" s="70"/>
      <c r="G810" s="70"/>
      <c r="H810" s="70"/>
      <c r="I810" s="70"/>
      <c r="J810" s="70"/>
      <c r="K810" s="70"/>
      <c r="L810" s="70"/>
      <c r="M810" s="70"/>
      <c r="N810" s="70"/>
      <c r="O810" s="70"/>
      <c r="P810" s="70"/>
      <c r="Q810" s="70" t="str">
        <f>IFERROR(__xludf.DUMMYFUNCTION("IFERROR(IF(COUNTIF(IMPORTRANGE(""1WjiLR_MTMxI_IZUKuvPO4Sg2rTSIqBzP3edakSRXbOA"",""Form Responses 1!B:B""),F810)&gt;0,10,),0)"),"")</f>
        <v/>
      </c>
      <c r="R810" s="70" t="str">
        <f>IFERROR(__xludf.DUMMYFUNCTION("IFERROR(VLOOKUP(F810,IMPORTRANGE(""1Ixzbal5tEbtWhozsFEppQzOYE6ZSrkNXHg_HW5k3Wt4"",""Form Responses 1!B:C""),2,FALSE),)"),"")</f>
        <v/>
      </c>
      <c r="S810" s="70" t="str">
        <f>IFERROR(__xludf.DUMMYFUNCTION("IFERROR(VLOOKUP(F810,IMPORTRANGE(""1zxjtEKGvVIJPIDqZdnxENwVpPXYa88EihzyI44hcQUo"",""Form Responses 1!B:C""),2,FALSE),)"),"")</f>
        <v/>
      </c>
      <c r="T810" s="70" t="str">
        <f>IFERROR(__xludf.DUMMYFUNCTION("IFERROR(VLOOKUP(F810,IMPORTRANGE(""1H3cO01obd5zFULYqaT5NAqecZBFFIHeDFn4CeQLZF3w"",""Form Responses 1!B:C""),2,FALSE),)"),"")</f>
        <v/>
      </c>
      <c r="U810" s="70" t="str">
        <f>IFERROR(__xludf.DUMMYFUNCTION("IFERROR(IF(COUNTIF(IMPORTRANGE(""1IG9qoa6PeLdDDFzKpW39lxXshN0-M8Z25a_R1EpsYyg"",""Form Responses 1!B:B""),F810)&gt;0,10,),0)"),"")</f>
        <v/>
      </c>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row>
    <row r="811">
      <c r="B811" s="70"/>
      <c r="C811" s="70"/>
      <c r="D811" s="70"/>
      <c r="E811" s="70"/>
      <c r="F811" s="70"/>
      <c r="G811" s="70"/>
      <c r="H811" s="70"/>
      <c r="I811" s="70"/>
      <c r="J811" s="70"/>
      <c r="K811" s="70"/>
      <c r="L811" s="70"/>
      <c r="M811" s="70"/>
      <c r="N811" s="70"/>
      <c r="O811" s="70"/>
      <c r="P811" s="70"/>
      <c r="Q811" s="70" t="str">
        <f>IFERROR(__xludf.DUMMYFUNCTION("IFERROR(IF(COUNTIF(IMPORTRANGE(""1WjiLR_MTMxI_IZUKuvPO4Sg2rTSIqBzP3edakSRXbOA"",""Form Responses 1!B:B""),F811)&gt;0,10,),0)"),"")</f>
        <v/>
      </c>
      <c r="R811" s="70" t="str">
        <f>IFERROR(__xludf.DUMMYFUNCTION("IFERROR(VLOOKUP(F811,IMPORTRANGE(""1Ixzbal5tEbtWhozsFEppQzOYE6ZSrkNXHg_HW5k3Wt4"",""Form Responses 1!B:C""),2,FALSE),)"),"")</f>
        <v/>
      </c>
      <c r="S811" s="70" t="str">
        <f>IFERROR(__xludf.DUMMYFUNCTION("IFERROR(VLOOKUP(F811,IMPORTRANGE(""1zxjtEKGvVIJPIDqZdnxENwVpPXYa88EihzyI44hcQUo"",""Form Responses 1!B:C""),2,FALSE),)"),"")</f>
        <v/>
      </c>
      <c r="T811" s="70" t="str">
        <f>IFERROR(__xludf.DUMMYFUNCTION("IFERROR(VLOOKUP(F811,IMPORTRANGE(""1H3cO01obd5zFULYqaT5NAqecZBFFIHeDFn4CeQLZF3w"",""Form Responses 1!B:C""),2,FALSE),)"),"")</f>
        <v/>
      </c>
      <c r="U811" s="70" t="str">
        <f>IFERROR(__xludf.DUMMYFUNCTION("IFERROR(IF(COUNTIF(IMPORTRANGE(""1IG9qoa6PeLdDDFzKpW39lxXshN0-M8Z25a_R1EpsYyg"",""Form Responses 1!B:B""),F811)&gt;0,10,),0)"),"")</f>
        <v/>
      </c>
      <c r="V811" s="70"/>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row>
    <row r="812">
      <c r="B812" s="70"/>
      <c r="C812" s="70"/>
      <c r="D812" s="70"/>
      <c r="E812" s="70"/>
      <c r="F812" s="70"/>
      <c r="G812" s="70"/>
      <c r="H812" s="70"/>
      <c r="I812" s="70"/>
      <c r="J812" s="70"/>
      <c r="K812" s="70"/>
      <c r="L812" s="70"/>
      <c r="M812" s="70"/>
      <c r="N812" s="70"/>
      <c r="O812" s="70"/>
      <c r="P812" s="70"/>
      <c r="Q812" s="70" t="str">
        <f>IFERROR(__xludf.DUMMYFUNCTION("IFERROR(IF(COUNTIF(IMPORTRANGE(""1WjiLR_MTMxI_IZUKuvPO4Sg2rTSIqBzP3edakSRXbOA"",""Form Responses 1!B:B""),F812)&gt;0,10,),0)"),"")</f>
        <v/>
      </c>
      <c r="R812" s="70" t="str">
        <f>IFERROR(__xludf.DUMMYFUNCTION("IFERROR(VLOOKUP(F812,IMPORTRANGE(""1Ixzbal5tEbtWhozsFEppQzOYE6ZSrkNXHg_HW5k3Wt4"",""Form Responses 1!B:C""),2,FALSE),)"),"")</f>
        <v/>
      </c>
      <c r="S812" s="70" t="str">
        <f>IFERROR(__xludf.DUMMYFUNCTION("IFERROR(VLOOKUP(F812,IMPORTRANGE(""1zxjtEKGvVIJPIDqZdnxENwVpPXYa88EihzyI44hcQUo"",""Form Responses 1!B:C""),2,FALSE),)"),"")</f>
        <v/>
      </c>
      <c r="T812" s="70" t="str">
        <f>IFERROR(__xludf.DUMMYFUNCTION("IFERROR(VLOOKUP(F812,IMPORTRANGE(""1H3cO01obd5zFULYqaT5NAqecZBFFIHeDFn4CeQLZF3w"",""Form Responses 1!B:C""),2,FALSE),)"),"")</f>
        <v/>
      </c>
      <c r="U812" s="70" t="str">
        <f>IFERROR(__xludf.DUMMYFUNCTION("IFERROR(IF(COUNTIF(IMPORTRANGE(""1IG9qoa6PeLdDDFzKpW39lxXshN0-M8Z25a_R1EpsYyg"",""Form Responses 1!B:B""),F812)&gt;0,10,),0)"),"")</f>
        <v/>
      </c>
      <c r="V812" s="70"/>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row>
    <row r="813">
      <c r="B813" s="70"/>
      <c r="C813" s="70"/>
      <c r="D813" s="70"/>
      <c r="E813" s="70"/>
      <c r="F813" s="70"/>
      <c r="G813" s="70"/>
      <c r="H813" s="70"/>
      <c r="I813" s="70"/>
      <c r="J813" s="70"/>
      <c r="K813" s="70"/>
      <c r="L813" s="70"/>
      <c r="M813" s="70"/>
      <c r="N813" s="70"/>
      <c r="O813" s="70"/>
      <c r="P813" s="70"/>
      <c r="Q813" s="70" t="str">
        <f>IFERROR(__xludf.DUMMYFUNCTION("IFERROR(IF(COUNTIF(IMPORTRANGE(""1WjiLR_MTMxI_IZUKuvPO4Sg2rTSIqBzP3edakSRXbOA"",""Form Responses 1!B:B""),F813)&gt;0,10,),0)"),"")</f>
        <v/>
      </c>
      <c r="R813" s="70" t="str">
        <f>IFERROR(__xludf.DUMMYFUNCTION("IFERROR(VLOOKUP(F813,IMPORTRANGE(""1Ixzbal5tEbtWhozsFEppQzOYE6ZSrkNXHg_HW5k3Wt4"",""Form Responses 1!B:C""),2,FALSE),)"),"")</f>
        <v/>
      </c>
      <c r="S813" s="70" t="str">
        <f>IFERROR(__xludf.DUMMYFUNCTION("IFERROR(VLOOKUP(F813,IMPORTRANGE(""1zxjtEKGvVIJPIDqZdnxENwVpPXYa88EihzyI44hcQUo"",""Form Responses 1!B:C""),2,FALSE),)"),"")</f>
        <v/>
      </c>
      <c r="T813" s="70" t="str">
        <f>IFERROR(__xludf.DUMMYFUNCTION("IFERROR(VLOOKUP(F813,IMPORTRANGE(""1H3cO01obd5zFULYqaT5NAqecZBFFIHeDFn4CeQLZF3w"",""Form Responses 1!B:C""),2,FALSE),)"),"")</f>
        <v/>
      </c>
      <c r="U813" s="70" t="str">
        <f>IFERROR(__xludf.DUMMYFUNCTION("IFERROR(IF(COUNTIF(IMPORTRANGE(""1IG9qoa6PeLdDDFzKpW39lxXshN0-M8Z25a_R1EpsYyg"",""Form Responses 1!B:B""),F813)&gt;0,10,),0)"),"")</f>
        <v/>
      </c>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row>
    <row r="814">
      <c r="B814" s="70"/>
      <c r="C814" s="70"/>
      <c r="D814" s="70"/>
      <c r="E814" s="70"/>
      <c r="F814" s="70"/>
      <c r="G814" s="70"/>
      <c r="H814" s="70"/>
      <c r="I814" s="70"/>
      <c r="J814" s="70"/>
      <c r="K814" s="70"/>
      <c r="L814" s="70"/>
      <c r="M814" s="70"/>
      <c r="N814" s="70"/>
      <c r="O814" s="70"/>
      <c r="P814" s="70"/>
      <c r="Q814" s="70" t="str">
        <f>IFERROR(__xludf.DUMMYFUNCTION("IFERROR(IF(COUNTIF(IMPORTRANGE(""1WjiLR_MTMxI_IZUKuvPO4Sg2rTSIqBzP3edakSRXbOA"",""Form Responses 1!B:B""),F814)&gt;0,10,),0)"),"")</f>
        <v/>
      </c>
      <c r="R814" s="70" t="str">
        <f>IFERROR(__xludf.DUMMYFUNCTION("IFERROR(VLOOKUP(F814,IMPORTRANGE(""1Ixzbal5tEbtWhozsFEppQzOYE6ZSrkNXHg_HW5k3Wt4"",""Form Responses 1!B:C""),2,FALSE),)"),"")</f>
        <v/>
      </c>
      <c r="S814" s="70" t="str">
        <f>IFERROR(__xludf.DUMMYFUNCTION("IFERROR(VLOOKUP(F814,IMPORTRANGE(""1zxjtEKGvVIJPIDqZdnxENwVpPXYa88EihzyI44hcQUo"",""Form Responses 1!B:C""),2,FALSE),)"),"")</f>
        <v/>
      </c>
      <c r="T814" s="70" t="str">
        <f>IFERROR(__xludf.DUMMYFUNCTION("IFERROR(VLOOKUP(F814,IMPORTRANGE(""1H3cO01obd5zFULYqaT5NAqecZBFFIHeDFn4CeQLZF3w"",""Form Responses 1!B:C""),2,FALSE),)"),"")</f>
        <v/>
      </c>
      <c r="U814" s="70" t="str">
        <f>IFERROR(__xludf.DUMMYFUNCTION("IFERROR(IF(COUNTIF(IMPORTRANGE(""1IG9qoa6PeLdDDFzKpW39lxXshN0-M8Z25a_R1EpsYyg"",""Form Responses 1!B:B""),F814)&gt;0,10,),0)"),"")</f>
        <v/>
      </c>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row>
    <row r="815">
      <c r="B815" s="70"/>
      <c r="C815" s="70"/>
      <c r="D815" s="70"/>
      <c r="E815" s="70"/>
      <c r="F815" s="70"/>
      <c r="G815" s="70"/>
      <c r="H815" s="70"/>
      <c r="I815" s="70"/>
      <c r="J815" s="70"/>
      <c r="K815" s="70"/>
      <c r="L815" s="70"/>
      <c r="M815" s="70"/>
      <c r="N815" s="70"/>
      <c r="O815" s="70"/>
      <c r="P815" s="70"/>
      <c r="Q815" s="70" t="str">
        <f>IFERROR(__xludf.DUMMYFUNCTION("IFERROR(IF(COUNTIF(IMPORTRANGE(""1WjiLR_MTMxI_IZUKuvPO4Sg2rTSIqBzP3edakSRXbOA"",""Form Responses 1!B:B""),F815)&gt;0,10,),0)"),"")</f>
        <v/>
      </c>
      <c r="R815" s="70" t="str">
        <f>IFERROR(__xludf.DUMMYFUNCTION("IFERROR(VLOOKUP(F815,IMPORTRANGE(""1Ixzbal5tEbtWhozsFEppQzOYE6ZSrkNXHg_HW5k3Wt4"",""Form Responses 1!B:C""),2,FALSE),)"),"")</f>
        <v/>
      </c>
      <c r="S815" s="70" t="str">
        <f>IFERROR(__xludf.DUMMYFUNCTION("IFERROR(VLOOKUP(F815,IMPORTRANGE(""1zxjtEKGvVIJPIDqZdnxENwVpPXYa88EihzyI44hcQUo"",""Form Responses 1!B:C""),2,FALSE),)"),"")</f>
        <v/>
      </c>
      <c r="T815" s="70" t="str">
        <f>IFERROR(__xludf.DUMMYFUNCTION("IFERROR(VLOOKUP(F815,IMPORTRANGE(""1H3cO01obd5zFULYqaT5NAqecZBFFIHeDFn4CeQLZF3w"",""Form Responses 1!B:C""),2,FALSE),)"),"")</f>
        <v/>
      </c>
      <c r="U815" s="70" t="str">
        <f>IFERROR(__xludf.DUMMYFUNCTION("IFERROR(IF(COUNTIF(IMPORTRANGE(""1IG9qoa6PeLdDDFzKpW39lxXshN0-M8Z25a_R1EpsYyg"",""Form Responses 1!B:B""),F815)&gt;0,10,),0)"),"")</f>
        <v/>
      </c>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row>
    <row r="816">
      <c r="B816" s="70"/>
      <c r="C816" s="70"/>
      <c r="D816" s="70"/>
      <c r="E816" s="70"/>
      <c r="F816" s="70"/>
      <c r="G816" s="70"/>
      <c r="H816" s="70"/>
      <c r="I816" s="70"/>
      <c r="J816" s="70"/>
      <c r="K816" s="70"/>
      <c r="L816" s="70"/>
      <c r="M816" s="70"/>
      <c r="N816" s="70"/>
      <c r="O816" s="70"/>
      <c r="P816" s="70"/>
      <c r="Q816" s="70" t="str">
        <f>IFERROR(__xludf.DUMMYFUNCTION("IFERROR(IF(COUNTIF(IMPORTRANGE(""1WjiLR_MTMxI_IZUKuvPO4Sg2rTSIqBzP3edakSRXbOA"",""Form Responses 1!B:B""),F816)&gt;0,10,),0)"),"")</f>
        <v/>
      </c>
      <c r="R816" s="70" t="str">
        <f>IFERROR(__xludf.DUMMYFUNCTION("IFERROR(VLOOKUP(F816,IMPORTRANGE(""1Ixzbal5tEbtWhozsFEppQzOYE6ZSrkNXHg_HW5k3Wt4"",""Form Responses 1!B:C""),2,FALSE),)"),"")</f>
        <v/>
      </c>
      <c r="S816" s="70" t="str">
        <f>IFERROR(__xludf.DUMMYFUNCTION("IFERROR(VLOOKUP(F816,IMPORTRANGE(""1zxjtEKGvVIJPIDqZdnxENwVpPXYa88EihzyI44hcQUo"",""Form Responses 1!B:C""),2,FALSE),)"),"")</f>
        <v/>
      </c>
      <c r="T816" s="70" t="str">
        <f>IFERROR(__xludf.DUMMYFUNCTION("IFERROR(VLOOKUP(F816,IMPORTRANGE(""1H3cO01obd5zFULYqaT5NAqecZBFFIHeDFn4CeQLZF3w"",""Form Responses 1!B:C""),2,FALSE),)"),"")</f>
        <v/>
      </c>
      <c r="U816" s="70" t="str">
        <f>IFERROR(__xludf.DUMMYFUNCTION("IFERROR(IF(COUNTIF(IMPORTRANGE(""1IG9qoa6PeLdDDFzKpW39lxXshN0-M8Z25a_R1EpsYyg"",""Form Responses 1!B:B""),F816)&gt;0,10,),0)"),"")</f>
        <v/>
      </c>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row>
    <row r="817">
      <c r="B817" s="70"/>
      <c r="C817" s="70"/>
      <c r="D817" s="70"/>
      <c r="E817" s="70"/>
      <c r="F817" s="70"/>
      <c r="G817" s="70"/>
      <c r="H817" s="70"/>
      <c r="I817" s="70"/>
      <c r="J817" s="70"/>
      <c r="K817" s="70"/>
      <c r="L817" s="70"/>
      <c r="M817" s="70"/>
      <c r="N817" s="70"/>
      <c r="O817" s="70"/>
      <c r="P817" s="70"/>
      <c r="Q817" s="70" t="str">
        <f>IFERROR(__xludf.DUMMYFUNCTION("IFERROR(IF(COUNTIF(IMPORTRANGE(""1WjiLR_MTMxI_IZUKuvPO4Sg2rTSIqBzP3edakSRXbOA"",""Form Responses 1!B:B""),F817)&gt;0,10,),0)"),"")</f>
        <v/>
      </c>
      <c r="R817" s="70" t="str">
        <f>IFERROR(__xludf.DUMMYFUNCTION("IFERROR(VLOOKUP(F817,IMPORTRANGE(""1Ixzbal5tEbtWhozsFEppQzOYE6ZSrkNXHg_HW5k3Wt4"",""Form Responses 1!B:C""),2,FALSE),)"),"")</f>
        <v/>
      </c>
      <c r="S817" s="70" t="str">
        <f>IFERROR(__xludf.DUMMYFUNCTION("IFERROR(VLOOKUP(F817,IMPORTRANGE(""1zxjtEKGvVIJPIDqZdnxENwVpPXYa88EihzyI44hcQUo"",""Form Responses 1!B:C""),2,FALSE),)"),"")</f>
        <v/>
      </c>
      <c r="T817" s="70" t="str">
        <f>IFERROR(__xludf.DUMMYFUNCTION("IFERROR(VLOOKUP(F817,IMPORTRANGE(""1H3cO01obd5zFULYqaT5NAqecZBFFIHeDFn4CeQLZF3w"",""Form Responses 1!B:C""),2,FALSE),)"),"")</f>
        <v/>
      </c>
      <c r="U817" s="70" t="str">
        <f>IFERROR(__xludf.DUMMYFUNCTION("IFERROR(IF(COUNTIF(IMPORTRANGE(""1IG9qoa6PeLdDDFzKpW39lxXshN0-M8Z25a_R1EpsYyg"",""Form Responses 1!B:B""),F817)&gt;0,10,),0)"),"")</f>
        <v/>
      </c>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row>
    <row r="818">
      <c r="B818" s="70"/>
      <c r="C818" s="70"/>
      <c r="D818" s="70"/>
      <c r="E818" s="70"/>
      <c r="F818" s="70"/>
      <c r="G818" s="70"/>
      <c r="H818" s="70"/>
      <c r="I818" s="70"/>
      <c r="J818" s="70"/>
      <c r="K818" s="70"/>
      <c r="L818" s="70"/>
      <c r="M818" s="70"/>
      <c r="N818" s="70"/>
      <c r="O818" s="70"/>
      <c r="P818" s="70"/>
      <c r="Q818" s="70" t="str">
        <f>IFERROR(__xludf.DUMMYFUNCTION("IFERROR(IF(COUNTIF(IMPORTRANGE(""1WjiLR_MTMxI_IZUKuvPO4Sg2rTSIqBzP3edakSRXbOA"",""Form Responses 1!B:B""),F818)&gt;0,10,),0)"),"")</f>
        <v/>
      </c>
      <c r="R818" s="70" t="str">
        <f>IFERROR(__xludf.DUMMYFUNCTION("IFERROR(VLOOKUP(F818,IMPORTRANGE(""1Ixzbal5tEbtWhozsFEppQzOYE6ZSrkNXHg_HW5k3Wt4"",""Form Responses 1!B:C""),2,FALSE),)"),"")</f>
        <v/>
      </c>
      <c r="S818" s="70" t="str">
        <f>IFERROR(__xludf.DUMMYFUNCTION("IFERROR(VLOOKUP(F818,IMPORTRANGE(""1zxjtEKGvVIJPIDqZdnxENwVpPXYa88EihzyI44hcQUo"",""Form Responses 1!B:C""),2,FALSE),)"),"")</f>
        <v/>
      </c>
      <c r="T818" s="70" t="str">
        <f>IFERROR(__xludf.DUMMYFUNCTION("IFERROR(VLOOKUP(F818,IMPORTRANGE(""1H3cO01obd5zFULYqaT5NAqecZBFFIHeDFn4CeQLZF3w"",""Form Responses 1!B:C""),2,FALSE),)"),"")</f>
        <v/>
      </c>
      <c r="U818" s="70" t="str">
        <f>IFERROR(__xludf.DUMMYFUNCTION("IFERROR(IF(COUNTIF(IMPORTRANGE(""1IG9qoa6PeLdDDFzKpW39lxXshN0-M8Z25a_R1EpsYyg"",""Form Responses 1!B:B""),F818)&gt;0,10,),0)"),"")</f>
        <v/>
      </c>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row>
    <row r="819">
      <c r="B819" s="70"/>
      <c r="C819" s="70"/>
      <c r="D819" s="70"/>
      <c r="E819" s="70"/>
      <c r="F819" s="70"/>
      <c r="G819" s="70"/>
      <c r="H819" s="70"/>
      <c r="I819" s="70"/>
      <c r="J819" s="70"/>
      <c r="K819" s="70"/>
      <c r="L819" s="70"/>
      <c r="M819" s="70"/>
      <c r="N819" s="70"/>
      <c r="O819" s="70"/>
      <c r="P819" s="70"/>
      <c r="Q819" s="70" t="str">
        <f>IFERROR(__xludf.DUMMYFUNCTION("IFERROR(IF(COUNTIF(IMPORTRANGE(""1WjiLR_MTMxI_IZUKuvPO4Sg2rTSIqBzP3edakSRXbOA"",""Form Responses 1!B:B""),F819)&gt;0,10,),0)"),"")</f>
        <v/>
      </c>
      <c r="R819" s="70" t="str">
        <f>IFERROR(__xludf.DUMMYFUNCTION("IFERROR(VLOOKUP(F819,IMPORTRANGE(""1Ixzbal5tEbtWhozsFEppQzOYE6ZSrkNXHg_HW5k3Wt4"",""Form Responses 1!B:C""),2,FALSE),)"),"")</f>
        <v/>
      </c>
      <c r="S819" s="70" t="str">
        <f>IFERROR(__xludf.DUMMYFUNCTION("IFERROR(VLOOKUP(F819,IMPORTRANGE(""1zxjtEKGvVIJPIDqZdnxENwVpPXYa88EihzyI44hcQUo"",""Form Responses 1!B:C""),2,FALSE),)"),"")</f>
        <v/>
      </c>
      <c r="T819" s="70" t="str">
        <f>IFERROR(__xludf.DUMMYFUNCTION("IFERROR(VLOOKUP(F819,IMPORTRANGE(""1H3cO01obd5zFULYqaT5NAqecZBFFIHeDFn4CeQLZF3w"",""Form Responses 1!B:C""),2,FALSE),)"),"")</f>
        <v/>
      </c>
      <c r="U819" s="70" t="str">
        <f>IFERROR(__xludf.DUMMYFUNCTION("IFERROR(IF(COUNTIF(IMPORTRANGE(""1IG9qoa6PeLdDDFzKpW39lxXshN0-M8Z25a_R1EpsYyg"",""Form Responses 1!B:B""),F819)&gt;0,10,),0)"),"")</f>
        <v/>
      </c>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row>
    <row r="820">
      <c r="B820" s="70"/>
      <c r="C820" s="70"/>
      <c r="D820" s="70"/>
      <c r="E820" s="70"/>
      <c r="F820" s="70"/>
      <c r="G820" s="70"/>
      <c r="H820" s="70"/>
      <c r="I820" s="70"/>
      <c r="J820" s="70"/>
      <c r="K820" s="70"/>
      <c r="L820" s="70"/>
      <c r="M820" s="70"/>
      <c r="N820" s="70"/>
      <c r="O820" s="70"/>
      <c r="P820" s="70"/>
      <c r="Q820" s="70" t="str">
        <f>IFERROR(__xludf.DUMMYFUNCTION("IFERROR(IF(COUNTIF(IMPORTRANGE(""1WjiLR_MTMxI_IZUKuvPO4Sg2rTSIqBzP3edakSRXbOA"",""Form Responses 1!B:B""),F820)&gt;0,10,),0)"),"")</f>
        <v/>
      </c>
      <c r="R820" s="70" t="str">
        <f>IFERROR(__xludf.DUMMYFUNCTION("IFERROR(VLOOKUP(F820,IMPORTRANGE(""1Ixzbal5tEbtWhozsFEppQzOYE6ZSrkNXHg_HW5k3Wt4"",""Form Responses 1!B:C""),2,FALSE),)"),"")</f>
        <v/>
      </c>
      <c r="S820" s="70" t="str">
        <f>IFERROR(__xludf.DUMMYFUNCTION("IFERROR(VLOOKUP(F820,IMPORTRANGE(""1zxjtEKGvVIJPIDqZdnxENwVpPXYa88EihzyI44hcQUo"",""Form Responses 1!B:C""),2,FALSE),)"),"")</f>
        <v/>
      </c>
      <c r="T820" s="70" t="str">
        <f>IFERROR(__xludf.DUMMYFUNCTION("IFERROR(VLOOKUP(F820,IMPORTRANGE(""1H3cO01obd5zFULYqaT5NAqecZBFFIHeDFn4CeQLZF3w"",""Form Responses 1!B:C""),2,FALSE),)"),"")</f>
        <v/>
      </c>
      <c r="U820" s="70" t="str">
        <f>IFERROR(__xludf.DUMMYFUNCTION("IFERROR(IF(COUNTIF(IMPORTRANGE(""1IG9qoa6PeLdDDFzKpW39lxXshN0-M8Z25a_R1EpsYyg"",""Form Responses 1!B:B""),F820)&gt;0,10,),0)"),"")</f>
        <v/>
      </c>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row>
    <row r="821">
      <c r="B821" s="70"/>
      <c r="C821" s="70"/>
      <c r="D821" s="70"/>
      <c r="E821" s="70"/>
      <c r="F821" s="70"/>
      <c r="G821" s="70"/>
      <c r="H821" s="70"/>
      <c r="I821" s="70"/>
      <c r="J821" s="70"/>
      <c r="K821" s="70"/>
      <c r="L821" s="70"/>
      <c r="M821" s="70"/>
      <c r="N821" s="70"/>
      <c r="O821" s="70"/>
      <c r="P821" s="70"/>
      <c r="Q821" s="70" t="str">
        <f>IFERROR(__xludf.DUMMYFUNCTION("IFERROR(IF(COUNTIF(IMPORTRANGE(""1WjiLR_MTMxI_IZUKuvPO4Sg2rTSIqBzP3edakSRXbOA"",""Form Responses 1!B:B""),F821)&gt;0,10,),0)"),"")</f>
        <v/>
      </c>
      <c r="R821" s="70" t="str">
        <f>IFERROR(__xludf.DUMMYFUNCTION("IFERROR(VLOOKUP(F821,IMPORTRANGE(""1Ixzbal5tEbtWhozsFEppQzOYE6ZSrkNXHg_HW5k3Wt4"",""Form Responses 1!B:C""),2,FALSE),)"),"")</f>
        <v/>
      </c>
      <c r="S821" s="70" t="str">
        <f>IFERROR(__xludf.DUMMYFUNCTION("IFERROR(VLOOKUP(F821,IMPORTRANGE(""1zxjtEKGvVIJPIDqZdnxENwVpPXYa88EihzyI44hcQUo"",""Form Responses 1!B:C""),2,FALSE),)"),"")</f>
        <v/>
      </c>
      <c r="T821" s="70" t="str">
        <f>IFERROR(__xludf.DUMMYFUNCTION("IFERROR(VLOOKUP(F821,IMPORTRANGE(""1H3cO01obd5zFULYqaT5NAqecZBFFIHeDFn4CeQLZF3w"",""Form Responses 1!B:C""),2,FALSE),)"),"")</f>
        <v/>
      </c>
      <c r="U821" s="70" t="str">
        <f>IFERROR(__xludf.DUMMYFUNCTION("IFERROR(IF(COUNTIF(IMPORTRANGE(""1IG9qoa6PeLdDDFzKpW39lxXshN0-M8Z25a_R1EpsYyg"",""Form Responses 1!B:B""),F821)&gt;0,10,),0)"),"")</f>
        <v/>
      </c>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row>
    <row r="822">
      <c r="B822" s="70"/>
      <c r="C822" s="70"/>
      <c r="D822" s="70"/>
      <c r="E822" s="70"/>
      <c r="F822" s="70"/>
      <c r="G822" s="70"/>
      <c r="H822" s="70"/>
      <c r="I822" s="70"/>
      <c r="J822" s="70"/>
      <c r="K822" s="70"/>
      <c r="L822" s="70"/>
      <c r="M822" s="70"/>
      <c r="N822" s="70"/>
      <c r="O822" s="70"/>
      <c r="P822" s="70"/>
      <c r="Q822" s="70" t="str">
        <f>IFERROR(__xludf.DUMMYFUNCTION("IFERROR(IF(COUNTIF(IMPORTRANGE(""1WjiLR_MTMxI_IZUKuvPO4Sg2rTSIqBzP3edakSRXbOA"",""Form Responses 1!B:B""),F822)&gt;0,10,),0)"),"")</f>
        <v/>
      </c>
      <c r="R822" s="70" t="str">
        <f>IFERROR(__xludf.DUMMYFUNCTION("IFERROR(VLOOKUP(F822,IMPORTRANGE(""1Ixzbal5tEbtWhozsFEppQzOYE6ZSrkNXHg_HW5k3Wt4"",""Form Responses 1!B:C""),2,FALSE),)"),"")</f>
        <v/>
      </c>
      <c r="S822" s="70" t="str">
        <f>IFERROR(__xludf.DUMMYFUNCTION("IFERROR(VLOOKUP(F822,IMPORTRANGE(""1zxjtEKGvVIJPIDqZdnxENwVpPXYa88EihzyI44hcQUo"",""Form Responses 1!B:C""),2,FALSE),)"),"")</f>
        <v/>
      </c>
      <c r="T822" s="70" t="str">
        <f>IFERROR(__xludf.DUMMYFUNCTION("IFERROR(VLOOKUP(F822,IMPORTRANGE(""1H3cO01obd5zFULYqaT5NAqecZBFFIHeDFn4CeQLZF3w"",""Form Responses 1!B:C""),2,FALSE),)"),"")</f>
        <v/>
      </c>
      <c r="U822" s="70" t="str">
        <f>IFERROR(__xludf.DUMMYFUNCTION("IFERROR(IF(COUNTIF(IMPORTRANGE(""1IG9qoa6PeLdDDFzKpW39lxXshN0-M8Z25a_R1EpsYyg"",""Form Responses 1!B:B""),F822)&gt;0,10,),0)"),"")</f>
        <v/>
      </c>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row>
    <row r="823">
      <c r="B823" s="70"/>
      <c r="C823" s="70"/>
      <c r="D823" s="70"/>
      <c r="E823" s="70"/>
      <c r="F823" s="70"/>
      <c r="G823" s="70"/>
      <c r="H823" s="70"/>
      <c r="I823" s="70"/>
      <c r="J823" s="70"/>
      <c r="K823" s="70"/>
      <c r="L823" s="70"/>
      <c r="M823" s="70"/>
      <c r="N823" s="70"/>
      <c r="O823" s="70"/>
      <c r="P823" s="70"/>
      <c r="Q823" s="70" t="str">
        <f>IFERROR(__xludf.DUMMYFUNCTION("IFERROR(IF(COUNTIF(IMPORTRANGE(""1WjiLR_MTMxI_IZUKuvPO4Sg2rTSIqBzP3edakSRXbOA"",""Form Responses 1!B:B""),F823)&gt;0,10,),0)"),"")</f>
        <v/>
      </c>
      <c r="R823" s="70" t="str">
        <f>IFERROR(__xludf.DUMMYFUNCTION("IFERROR(VLOOKUP(F823,IMPORTRANGE(""1Ixzbal5tEbtWhozsFEppQzOYE6ZSrkNXHg_HW5k3Wt4"",""Form Responses 1!B:C""),2,FALSE),)"),"")</f>
        <v/>
      </c>
      <c r="S823" s="70" t="str">
        <f>IFERROR(__xludf.DUMMYFUNCTION("IFERROR(VLOOKUP(F823,IMPORTRANGE(""1zxjtEKGvVIJPIDqZdnxENwVpPXYa88EihzyI44hcQUo"",""Form Responses 1!B:C""),2,FALSE),)"),"")</f>
        <v/>
      </c>
      <c r="T823" s="70" t="str">
        <f>IFERROR(__xludf.DUMMYFUNCTION("IFERROR(VLOOKUP(F823,IMPORTRANGE(""1H3cO01obd5zFULYqaT5NAqecZBFFIHeDFn4CeQLZF3w"",""Form Responses 1!B:C""),2,FALSE),)"),"")</f>
        <v/>
      </c>
      <c r="U823" s="70" t="str">
        <f>IFERROR(__xludf.DUMMYFUNCTION("IFERROR(IF(COUNTIF(IMPORTRANGE(""1IG9qoa6PeLdDDFzKpW39lxXshN0-M8Z25a_R1EpsYyg"",""Form Responses 1!B:B""),F823)&gt;0,10,),0)"),"")</f>
        <v/>
      </c>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row>
    <row r="824">
      <c r="B824" s="70"/>
      <c r="C824" s="70"/>
      <c r="D824" s="70"/>
      <c r="E824" s="70"/>
      <c r="F824" s="70"/>
      <c r="G824" s="70"/>
      <c r="H824" s="70"/>
      <c r="I824" s="70"/>
      <c r="J824" s="70"/>
      <c r="K824" s="70"/>
      <c r="L824" s="70"/>
      <c r="M824" s="70"/>
      <c r="N824" s="70"/>
      <c r="O824" s="70"/>
      <c r="P824" s="70"/>
      <c r="Q824" s="70" t="str">
        <f>IFERROR(__xludf.DUMMYFUNCTION("IFERROR(IF(COUNTIF(IMPORTRANGE(""1WjiLR_MTMxI_IZUKuvPO4Sg2rTSIqBzP3edakSRXbOA"",""Form Responses 1!B:B""),F824)&gt;0,10,),0)"),"")</f>
        <v/>
      </c>
      <c r="R824" s="70" t="str">
        <f>IFERROR(__xludf.DUMMYFUNCTION("IFERROR(VLOOKUP(F824,IMPORTRANGE(""1Ixzbal5tEbtWhozsFEppQzOYE6ZSrkNXHg_HW5k3Wt4"",""Form Responses 1!B:C""),2,FALSE),)"),"")</f>
        <v/>
      </c>
      <c r="S824" s="70" t="str">
        <f>IFERROR(__xludf.DUMMYFUNCTION("IFERROR(VLOOKUP(F824,IMPORTRANGE(""1zxjtEKGvVIJPIDqZdnxENwVpPXYa88EihzyI44hcQUo"",""Form Responses 1!B:C""),2,FALSE),)"),"")</f>
        <v/>
      </c>
      <c r="T824" s="70" t="str">
        <f>IFERROR(__xludf.DUMMYFUNCTION("IFERROR(VLOOKUP(F824,IMPORTRANGE(""1H3cO01obd5zFULYqaT5NAqecZBFFIHeDFn4CeQLZF3w"",""Form Responses 1!B:C""),2,FALSE),)"),"")</f>
        <v/>
      </c>
      <c r="U824" s="70" t="str">
        <f>IFERROR(__xludf.DUMMYFUNCTION("IFERROR(IF(COUNTIF(IMPORTRANGE(""1IG9qoa6PeLdDDFzKpW39lxXshN0-M8Z25a_R1EpsYyg"",""Form Responses 1!B:B""),F824)&gt;0,10,),0)"),"")</f>
        <v/>
      </c>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row>
    <row r="825">
      <c r="B825" s="70"/>
      <c r="C825" s="70"/>
      <c r="D825" s="70"/>
      <c r="E825" s="70"/>
      <c r="F825" s="70"/>
      <c r="G825" s="70"/>
      <c r="H825" s="70"/>
      <c r="I825" s="70"/>
      <c r="J825" s="70"/>
      <c r="K825" s="70"/>
      <c r="L825" s="70"/>
      <c r="M825" s="70"/>
      <c r="N825" s="70"/>
      <c r="O825" s="70"/>
      <c r="P825" s="70"/>
      <c r="Q825" s="70" t="str">
        <f>IFERROR(__xludf.DUMMYFUNCTION("IFERROR(IF(COUNTIF(IMPORTRANGE(""1WjiLR_MTMxI_IZUKuvPO4Sg2rTSIqBzP3edakSRXbOA"",""Form Responses 1!B:B""),F825)&gt;0,10,),0)"),"")</f>
        <v/>
      </c>
      <c r="R825" s="70" t="str">
        <f>IFERROR(__xludf.DUMMYFUNCTION("IFERROR(VLOOKUP(F825,IMPORTRANGE(""1Ixzbal5tEbtWhozsFEppQzOYE6ZSrkNXHg_HW5k3Wt4"",""Form Responses 1!B:C""),2,FALSE),)"),"")</f>
        <v/>
      </c>
      <c r="S825" s="70" t="str">
        <f>IFERROR(__xludf.DUMMYFUNCTION("IFERROR(VLOOKUP(F825,IMPORTRANGE(""1zxjtEKGvVIJPIDqZdnxENwVpPXYa88EihzyI44hcQUo"",""Form Responses 1!B:C""),2,FALSE),)"),"")</f>
        <v/>
      </c>
      <c r="T825" s="70" t="str">
        <f>IFERROR(__xludf.DUMMYFUNCTION("IFERROR(VLOOKUP(F825,IMPORTRANGE(""1H3cO01obd5zFULYqaT5NAqecZBFFIHeDFn4CeQLZF3w"",""Form Responses 1!B:C""),2,FALSE),)"),"")</f>
        <v/>
      </c>
      <c r="U825" s="70" t="str">
        <f>IFERROR(__xludf.DUMMYFUNCTION("IFERROR(IF(COUNTIF(IMPORTRANGE(""1IG9qoa6PeLdDDFzKpW39lxXshN0-M8Z25a_R1EpsYyg"",""Form Responses 1!B:B""),F825)&gt;0,10,),0)"),"")</f>
        <v/>
      </c>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row>
    <row r="826">
      <c r="B826" s="70"/>
      <c r="C826" s="70"/>
      <c r="D826" s="70"/>
      <c r="E826" s="70"/>
      <c r="F826" s="70"/>
      <c r="G826" s="70"/>
      <c r="H826" s="70"/>
      <c r="I826" s="70"/>
      <c r="J826" s="70"/>
      <c r="K826" s="70"/>
      <c r="L826" s="70"/>
      <c r="M826" s="70"/>
      <c r="N826" s="70"/>
      <c r="O826" s="70"/>
      <c r="P826" s="70"/>
      <c r="Q826" s="70" t="str">
        <f>IFERROR(__xludf.DUMMYFUNCTION("IFERROR(IF(COUNTIF(IMPORTRANGE(""1WjiLR_MTMxI_IZUKuvPO4Sg2rTSIqBzP3edakSRXbOA"",""Form Responses 1!B:B""),F826)&gt;0,10,),0)"),"")</f>
        <v/>
      </c>
      <c r="R826" s="70" t="str">
        <f>IFERROR(__xludf.DUMMYFUNCTION("IFERROR(VLOOKUP(F826,IMPORTRANGE(""1Ixzbal5tEbtWhozsFEppQzOYE6ZSrkNXHg_HW5k3Wt4"",""Form Responses 1!B:C""),2,FALSE),)"),"")</f>
        <v/>
      </c>
      <c r="S826" s="70" t="str">
        <f>IFERROR(__xludf.DUMMYFUNCTION("IFERROR(VLOOKUP(F826,IMPORTRANGE(""1zxjtEKGvVIJPIDqZdnxENwVpPXYa88EihzyI44hcQUo"",""Form Responses 1!B:C""),2,FALSE),)"),"")</f>
        <v/>
      </c>
      <c r="T826" s="70" t="str">
        <f>IFERROR(__xludf.DUMMYFUNCTION("IFERROR(VLOOKUP(F826,IMPORTRANGE(""1H3cO01obd5zFULYqaT5NAqecZBFFIHeDFn4CeQLZF3w"",""Form Responses 1!B:C""),2,FALSE),)"),"")</f>
        <v/>
      </c>
      <c r="U826" s="70" t="str">
        <f>IFERROR(__xludf.DUMMYFUNCTION("IFERROR(IF(COUNTIF(IMPORTRANGE(""1IG9qoa6PeLdDDFzKpW39lxXshN0-M8Z25a_R1EpsYyg"",""Form Responses 1!B:B""),F826)&gt;0,10,),0)"),"")</f>
        <v/>
      </c>
      <c r="V826" s="70"/>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row>
    <row r="827">
      <c r="B827" s="70"/>
      <c r="C827" s="70"/>
      <c r="D827" s="70"/>
      <c r="E827" s="70"/>
      <c r="F827" s="70"/>
      <c r="G827" s="70"/>
      <c r="H827" s="70"/>
      <c r="I827" s="70"/>
      <c r="J827" s="70"/>
      <c r="K827" s="70"/>
      <c r="L827" s="70"/>
      <c r="M827" s="70"/>
      <c r="N827" s="70"/>
      <c r="O827" s="70"/>
      <c r="P827" s="70"/>
      <c r="Q827" s="70" t="str">
        <f>IFERROR(__xludf.DUMMYFUNCTION("IFERROR(IF(COUNTIF(IMPORTRANGE(""1WjiLR_MTMxI_IZUKuvPO4Sg2rTSIqBzP3edakSRXbOA"",""Form Responses 1!B:B""),F827)&gt;0,10,),0)"),"")</f>
        <v/>
      </c>
      <c r="R827" s="70" t="str">
        <f>IFERROR(__xludf.DUMMYFUNCTION("IFERROR(VLOOKUP(F827,IMPORTRANGE(""1Ixzbal5tEbtWhozsFEppQzOYE6ZSrkNXHg_HW5k3Wt4"",""Form Responses 1!B:C""),2,FALSE),)"),"")</f>
        <v/>
      </c>
      <c r="S827" s="70" t="str">
        <f>IFERROR(__xludf.DUMMYFUNCTION("IFERROR(VLOOKUP(F827,IMPORTRANGE(""1zxjtEKGvVIJPIDqZdnxENwVpPXYa88EihzyI44hcQUo"",""Form Responses 1!B:C""),2,FALSE),)"),"")</f>
        <v/>
      </c>
      <c r="T827" s="70" t="str">
        <f>IFERROR(__xludf.DUMMYFUNCTION("IFERROR(VLOOKUP(F827,IMPORTRANGE(""1H3cO01obd5zFULYqaT5NAqecZBFFIHeDFn4CeQLZF3w"",""Form Responses 1!B:C""),2,FALSE),)"),"")</f>
        <v/>
      </c>
      <c r="U827" s="70" t="str">
        <f>IFERROR(__xludf.DUMMYFUNCTION("IFERROR(IF(COUNTIF(IMPORTRANGE(""1IG9qoa6PeLdDDFzKpW39lxXshN0-M8Z25a_R1EpsYyg"",""Form Responses 1!B:B""),F827)&gt;0,10,),0)"),"")</f>
        <v/>
      </c>
      <c r="V827" s="70"/>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row>
    <row r="828">
      <c r="B828" s="70"/>
      <c r="C828" s="70"/>
      <c r="D828" s="70"/>
      <c r="E828" s="70"/>
      <c r="F828" s="70"/>
      <c r="G828" s="70"/>
      <c r="H828" s="70"/>
      <c r="I828" s="70"/>
      <c r="J828" s="70"/>
      <c r="K828" s="70"/>
      <c r="L828" s="70"/>
      <c r="M828" s="70"/>
      <c r="N828" s="70"/>
      <c r="O828" s="70"/>
      <c r="P828" s="70"/>
      <c r="Q828" s="70" t="str">
        <f>IFERROR(__xludf.DUMMYFUNCTION("IFERROR(IF(COUNTIF(IMPORTRANGE(""1WjiLR_MTMxI_IZUKuvPO4Sg2rTSIqBzP3edakSRXbOA"",""Form Responses 1!B:B""),F828)&gt;0,10,),0)"),"")</f>
        <v/>
      </c>
      <c r="R828" s="70" t="str">
        <f>IFERROR(__xludf.DUMMYFUNCTION("IFERROR(VLOOKUP(F828,IMPORTRANGE(""1Ixzbal5tEbtWhozsFEppQzOYE6ZSrkNXHg_HW5k3Wt4"",""Form Responses 1!B:C""),2,FALSE),)"),"")</f>
        <v/>
      </c>
      <c r="S828" s="70" t="str">
        <f>IFERROR(__xludf.DUMMYFUNCTION("IFERROR(VLOOKUP(F828,IMPORTRANGE(""1zxjtEKGvVIJPIDqZdnxENwVpPXYa88EihzyI44hcQUo"",""Form Responses 1!B:C""),2,FALSE),)"),"")</f>
        <v/>
      </c>
      <c r="T828" s="70" t="str">
        <f>IFERROR(__xludf.DUMMYFUNCTION("IFERROR(VLOOKUP(F828,IMPORTRANGE(""1H3cO01obd5zFULYqaT5NAqecZBFFIHeDFn4CeQLZF3w"",""Form Responses 1!B:C""),2,FALSE),)"),"")</f>
        <v/>
      </c>
      <c r="U828" s="70" t="str">
        <f>IFERROR(__xludf.DUMMYFUNCTION("IFERROR(IF(COUNTIF(IMPORTRANGE(""1IG9qoa6PeLdDDFzKpW39lxXshN0-M8Z25a_R1EpsYyg"",""Form Responses 1!B:B""),F828)&gt;0,10,),0)"),"")</f>
        <v/>
      </c>
      <c r="V828" s="70"/>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row>
    <row r="829">
      <c r="B829" s="70"/>
      <c r="C829" s="70"/>
      <c r="D829" s="70"/>
      <c r="E829" s="70"/>
      <c r="F829" s="70"/>
      <c r="G829" s="70"/>
      <c r="H829" s="70"/>
      <c r="I829" s="70"/>
      <c r="J829" s="70"/>
      <c r="K829" s="70"/>
      <c r="L829" s="70"/>
      <c r="M829" s="70"/>
      <c r="N829" s="70"/>
      <c r="O829" s="70"/>
      <c r="P829" s="70"/>
      <c r="Q829" s="70" t="str">
        <f>IFERROR(__xludf.DUMMYFUNCTION("IFERROR(IF(COUNTIF(IMPORTRANGE(""1WjiLR_MTMxI_IZUKuvPO4Sg2rTSIqBzP3edakSRXbOA"",""Form Responses 1!B:B""),F829)&gt;0,10,),0)"),"")</f>
        <v/>
      </c>
      <c r="R829" s="70" t="str">
        <f>IFERROR(__xludf.DUMMYFUNCTION("IFERROR(VLOOKUP(F829,IMPORTRANGE(""1Ixzbal5tEbtWhozsFEppQzOYE6ZSrkNXHg_HW5k3Wt4"",""Form Responses 1!B:C""),2,FALSE),)"),"")</f>
        <v/>
      </c>
      <c r="S829" s="70" t="str">
        <f>IFERROR(__xludf.DUMMYFUNCTION("IFERROR(VLOOKUP(F829,IMPORTRANGE(""1zxjtEKGvVIJPIDqZdnxENwVpPXYa88EihzyI44hcQUo"",""Form Responses 1!B:C""),2,FALSE),)"),"")</f>
        <v/>
      </c>
      <c r="T829" s="70" t="str">
        <f>IFERROR(__xludf.DUMMYFUNCTION("IFERROR(VLOOKUP(F829,IMPORTRANGE(""1H3cO01obd5zFULYqaT5NAqecZBFFIHeDFn4CeQLZF3w"",""Form Responses 1!B:C""),2,FALSE),)"),"")</f>
        <v/>
      </c>
      <c r="U829" s="70" t="str">
        <f>IFERROR(__xludf.DUMMYFUNCTION("IFERROR(IF(COUNTIF(IMPORTRANGE(""1IG9qoa6PeLdDDFzKpW39lxXshN0-M8Z25a_R1EpsYyg"",""Form Responses 1!B:B""),F829)&gt;0,10,),0)"),"")</f>
        <v/>
      </c>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row>
    <row r="830">
      <c r="B830" s="70"/>
      <c r="C830" s="70"/>
      <c r="D830" s="70"/>
      <c r="E830" s="70"/>
      <c r="F830" s="70"/>
      <c r="G830" s="70"/>
      <c r="H830" s="70"/>
      <c r="I830" s="70"/>
      <c r="J830" s="70"/>
      <c r="K830" s="70"/>
      <c r="L830" s="70"/>
      <c r="M830" s="70"/>
      <c r="N830" s="70"/>
      <c r="O830" s="70"/>
      <c r="P830" s="70"/>
      <c r="Q830" s="70" t="str">
        <f>IFERROR(__xludf.DUMMYFUNCTION("IFERROR(IF(COUNTIF(IMPORTRANGE(""1WjiLR_MTMxI_IZUKuvPO4Sg2rTSIqBzP3edakSRXbOA"",""Form Responses 1!B:B""),F830)&gt;0,10,),0)"),"")</f>
        <v/>
      </c>
      <c r="R830" s="70" t="str">
        <f>IFERROR(__xludf.DUMMYFUNCTION("IFERROR(VLOOKUP(F830,IMPORTRANGE(""1Ixzbal5tEbtWhozsFEppQzOYE6ZSrkNXHg_HW5k3Wt4"",""Form Responses 1!B:C""),2,FALSE),)"),"")</f>
        <v/>
      </c>
      <c r="S830" s="70" t="str">
        <f>IFERROR(__xludf.DUMMYFUNCTION("IFERROR(VLOOKUP(F830,IMPORTRANGE(""1zxjtEKGvVIJPIDqZdnxENwVpPXYa88EihzyI44hcQUo"",""Form Responses 1!B:C""),2,FALSE),)"),"")</f>
        <v/>
      </c>
      <c r="T830" s="70" t="str">
        <f>IFERROR(__xludf.DUMMYFUNCTION("IFERROR(VLOOKUP(F830,IMPORTRANGE(""1H3cO01obd5zFULYqaT5NAqecZBFFIHeDFn4CeQLZF3w"",""Form Responses 1!B:C""),2,FALSE),)"),"")</f>
        <v/>
      </c>
      <c r="U830" s="70" t="str">
        <f>IFERROR(__xludf.DUMMYFUNCTION("IFERROR(IF(COUNTIF(IMPORTRANGE(""1IG9qoa6PeLdDDFzKpW39lxXshN0-M8Z25a_R1EpsYyg"",""Form Responses 1!B:B""),F830)&gt;0,10,),0)"),"")</f>
        <v/>
      </c>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row>
    <row r="831">
      <c r="B831" s="70"/>
      <c r="C831" s="70"/>
      <c r="D831" s="70"/>
      <c r="E831" s="70"/>
      <c r="F831" s="70"/>
      <c r="G831" s="70"/>
      <c r="H831" s="70"/>
      <c r="I831" s="70"/>
      <c r="J831" s="70"/>
      <c r="K831" s="70"/>
      <c r="L831" s="70"/>
      <c r="M831" s="70"/>
      <c r="N831" s="70"/>
      <c r="O831" s="70"/>
      <c r="P831" s="70"/>
      <c r="Q831" s="70" t="str">
        <f>IFERROR(__xludf.DUMMYFUNCTION("IFERROR(IF(COUNTIF(IMPORTRANGE(""1WjiLR_MTMxI_IZUKuvPO4Sg2rTSIqBzP3edakSRXbOA"",""Form Responses 1!B:B""),F831)&gt;0,10,),0)"),"")</f>
        <v/>
      </c>
      <c r="R831" s="70" t="str">
        <f>IFERROR(__xludf.DUMMYFUNCTION("IFERROR(VLOOKUP(F831,IMPORTRANGE(""1Ixzbal5tEbtWhozsFEppQzOYE6ZSrkNXHg_HW5k3Wt4"",""Form Responses 1!B:C""),2,FALSE),)"),"")</f>
        <v/>
      </c>
      <c r="S831" s="70" t="str">
        <f>IFERROR(__xludf.DUMMYFUNCTION("IFERROR(VLOOKUP(F831,IMPORTRANGE(""1zxjtEKGvVIJPIDqZdnxENwVpPXYa88EihzyI44hcQUo"",""Form Responses 1!B:C""),2,FALSE),)"),"")</f>
        <v/>
      </c>
      <c r="T831" s="70" t="str">
        <f>IFERROR(__xludf.DUMMYFUNCTION("IFERROR(VLOOKUP(F831,IMPORTRANGE(""1H3cO01obd5zFULYqaT5NAqecZBFFIHeDFn4CeQLZF3w"",""Form Responses 1!B:C""),2,FALSE),)"),"")</f>
        <v/>
      </c>
      <c r="U831" s="70" t="str">
        <f>IFERROR(__xludf.DUMMYFUNCTION("IFERROR(IF(COUNTIF(IMPORTRANGE(""1IG9qoa6PeLdDDFzKpW39lxXshN0-M8Z25a_R1EpsYyg"",""Form Responses 1!B:B""),F831)&gt;0,10,),0)"),"")</f>
        <v/>
      </c>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row>
    <row r="832">
      <c r="B832" s="70"/>
      <c r="C832" s="70"/>
      <c r="D832" s="70"/>
      <c r="E832" s="70"/>
      <c r="F832" s="70"/>
      <c r="G832" s="70"/>
      <c r="H832" s="70"/>
      <c r="I832" s="70"/>
      <c r="J832" s="70"/>
      <c r="K832" s="70"/>
      <c r="L832" s="70"/>
      <c r="M832" s="70"/>
      <c r="N832" s="70"/>
      <c r="O832" s="70"/>
      <c r="P832" s="70"/>
      <c r="Q832" s="70" t="str">
        <f>IFERROR(__xludf.DUMMYFUNCTION("IFERROR(IF(COUNTIF(IMPORTRANGE(""1WjiLR_MTMxI_IZUKuvPO4Sg2rTSIqBzP3edakSRXbOA"",""Form Responses 1!B:B""),F832)&gt;0,10,),0)"),"")</f>
        <v/>
      </c>
      <c r="R832" s="70" t="str">
        <f>IFERROR(__xludf.DUMMYFUNCTION("IFERROR(VLOOKUP(F832,IMPORTRANGE(""1Ixzbal5tEbtWhozsFEppQzOYE6ZSrkNXHg_HW5k3Wt4"",""Form Responses 1!B:C""),2,FALSE),)"),"")</f>
        <v/>
      </c>
      <c r="S832" s="70" t="str">
        <f>IFERROR(__xludf.DUMMYFUNCTION("IFERROR(VLOOKUP(F832,IMPORTRANGE(""1zxjtEKGvVIJPIDqZdnxENwVpPXYa88EihzyI44hcQUo"",""Form Responses 1!B:C""),2,FALSE),)"),"")</f>
        <v/>
      </c>
      <c r="T832" s="70" t="str">
        <f>IFERROR(__xludf.DUMMYFUNCTION("IFERROR(VLOOKUP(F832,IMPORTRANGE(""1H3cO01obd5zFULYqaT5NAqecZBFFIHeDFn4CeQLZF3w"",""Form Responses 1!B:C""),2,FALSE),)"),"")</f>
        <v/>
      </c>
      <c r="U832" s="70" t="str">
        <f>IFERROR(__xludf.DUMMYFUNCTION("IFERROR(IF(COUNTIF(IMPORTRANGE(""1IG9qoa6PeLdDDFzKpW39lxXshN0-M8Z25a_R1EpsYyg"",""Form Responses 1!B:B""),F832)&gt;0,10,),0)"),"")</f>
        <v/>
      </c>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row>
    <row r="833">
      <c r="B833" s="70"/>
      <c r="C833" s="70"/>
      <c r="D833" s="70"/>
      <c r="E833" s="70"/>
      <c r="F833" s="70"/>
      <c r="G833" s="70"/>
      <c r="H833" s="70"/>
      <c r="I833" s="70"/>
      <c r="J833" s="70"/>
      <c r="K833" s="70"/>
      <c r="L833" s="70"/>
      <c r="M833" s="70"/>
      <c r="N833" s="70"/>
      <c r="O833" s="70"/>
      <c r="P833" s="70"/>
      <c r="Q833" s="70" t="str">
        <f>IFERROR(__xludf.DUMMYFUNCTION("IFERROR(IF(COUNTIF(IMPORTRANGE(""1WjiLR_MTMxI_IZUKuvPO4Sg2rTSIqBzP3edakSRXbOA"",""Form Responses 1!B:B""),F833)&gt;0,10,),0)"),"")</f>
        <v/>
      </c>
      <c r="R833" s="70" t="str">
        <f>IFERROR(__xludf.DUMMYFUNCTION("IFERROR(VLOOKUP(F833,IMPORTRANGE(""1Ixzbal5tEbtWhozsFEppQzOYE6ZSrkNXHg_HW5k3Wt4"",""Form Responses 1!B:C""),2,FALSE),)"),"")</f>
        <v/>
      </c>
      <c r="S833" s="70" t="str">
        <f>IFERROR(__xludf.DUMMYFUNCTION("IFERROR(VLOOKUP(F833,IMPORTRANGE(""1zxjtEKGvVIJPIDqZdnxENwVpPXYa88EihzyI44hcQUo"",""Form Responses 1!B:C""),2,FALSE),)"),"")</f>
        <v/>
      </c>
      <c r="T833" s="70" t="str">
        <f>IFERROR(__xludf.DUMMYFUNCTION("IFERROR(VLOOKUP(F833,IMPORTRANGE(""1H3cO01obd5zFULYqaT5NAqecZBFFIHeDFn4CeQLZF3w"",""Form Responses 1!B:C""),2,FALSE),)"),"")</f>
        <v/>
      </c>
      <c r="U833" s="70" t="str">
        <f>IFERROR(__xludf.DUMMYFUNCTION("IFERROR(IF(COUNTIF(IMPORTRANGE(""1IG9qoa6PeLdDDFzKpW39lxXshN0-M8Z25a_R1EpsYyg"",""Form Responses 1!B:B""),F833)&gt;0,10,),0)"),"")</f>
        <v/>
      </c>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row>
    <row r="834">
      <c r="B834" s="70"/>
      <c r="C834" s="70"/>
      <c r="D834" s="70"/>
      <c r="E834" s="70"/>
      <c r="F834" s="70"/>
      <c r="G834" s="70"/>
      <c r="H834" s="70"/>
      <c r="I834" s="70"/>
      <c r="J834" s="70"/>
      <c r="K834" s="70"/>
      <c r="L834" s="70"/>
      <c r="M834" s="70"/>
      <c r="N834" s="70"/>
      <c r="O834" s="70"/>
      <c r="P834" s="70"/>
      <c r="Q834" s="70" t="str">
        <f>IFERROR(__xludf.DUMMYFUNCTION("IFERROR(IF(COUNTIF(IMPORTRANGE(""1WjiLR_MTMxI_IZUKuvPO4Sg2rTSIqBzP3edakSRXbOA"",""Form Responses 1!B:B""),F834)&gt;0,10,),0)"),"")</f>
        <v/>
      </c>
      <c r="R834" s="70" t="str">
        <f>IFERROR(__xludf.DUMMYFUNCTION("IFERROR(VLOOKUP(F834,IMPORTRANGE(""1Ixzbal5tEbtWhozsFEppQzOYE6ZSrkNXHg_HW5k3Wt4"",""Form Responses 1!B:C""),2,FALSE),)"),"")</f>
        <v/>
      </c>
      <c r="S834" s="70" t="str">
        <f>IFERROR(__xludf.DUMMYFUNCTION("IFERROR(VLOOKUP(F834,IMPORTRANGE(""1zxjtEKGvVIJPIDqZdnxENwVpPXYa88EihzyI44hcQUo"",""Form Responses 1!B:C""),2,FALSE),)"),"")</f>
        <v/>
      </c>
      <c r="T834" s="70" t="str">
        <f>IFERROR(__xludf.DUMMYFUNCTION("IFERROR(VLOOKUP(F834,IMPORTRANGE(""1H3cO01obd5zFULYqaT5NAqecZBFFIHeDFn4CeQLZF3w"",""Form Responses 1!B:C""),2,FALSE),)"),"")</f>
        <v/>
      </c>
      <c r="U834" s="70" t="str">
        <f>IFERROR(__xludf.DUMMYFUNCTION("IFERROR(IF(COUNTIF(IMPORTRANGE(""1IG9qoa6PeLdDDFzKpW39lxXshN0-M8Z25a_R1EpsYyg"",""Form Responses 1!B:B""),F834)&gt;0,10,),0)"),"")</f>
        <v/>
      </c>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row>
    <row r="835">
      <c r="B835" s="70"/>
      <c r="C835" s="70"/>
      <c r="D835" s="70"/>
      <c r="E835" s="70"/>
      <c r="F835" s="70"/>
      <c r="G835" s="70"/>
      <c r="H835" s="70"/>
      <c r="I835" s="70"/>
      <c r="J835" s="70"/>
      <c r="K835" s="70"/>
      <c r="L835" s="70"/>
      <c r="M835" s="70"/>
      <c r="N835" s="70"/>
      <c r="O835" s="70"/>
      <c r="P835" s="70"/>
      <c r="Q835" s="70" t="str">
        <f>IFERROR(__xludf.DUMMYFUNCTION("IFERROR(IF(COUNTIF(IMPORTRANGE(""1WjiLR_MTMxI_IZUKuvPO4Sg2rTSIqBzP3edakSRXbOA"",""Form Responses 1!B:B""),F835)&gt;0,10,),0)"),"")</f>
        <v/>
      </c>
      <c r="R835" s="70" t="str">
        <f>IFERROR(__xludf.DUMMYFUNCTION("IFERROR(VLOOKUP(F835,IMPORTRANGE(""1Ixzbal5tEbtWhozsFEppQzOYE6ZSrkNXHg_HW5k3Wt4"",""Form Responses 1!B:C""),2,FALSE),)"),"")</f>
        <v/>
      </c>
      <c r="S835" s="70" t="str">
        <f>IFERROR(__xludf.DUMMYFUNCTION("IFERROR(VLOOKUP(F835,IMPORTRANGE(""1zxjtEKGvVIJPIDqZdnxENwVpPXYa88EihzyI44hcQUo"",""Form Responses 1!B:C""),2,FALSE),)"),"")</f>
        <v/>
      </c>
      <c r="T835" s="70" t="str">
        <f>IFERROR(__xludf.DUMMYFUNCTION("IFERROR(VLOOKUP(F835,IMPORTRANGE(""1H3cO01obd5zFULYqaT5NAqecZBFFIHeDFn4CeQLZF3w"",""Form Responses 1!B:C""),2,FALSE),)"),"")</f>
        <v/>
      </c>
      <c r="U835" s="70" t="str">
        <f>IFERROR(__xludf.DUMMYFUNCTION("IFERROR(IF(COUNTIF(IMPORTRANGE(""1IG9qoa6PeLdDDFzKpW39lxXshN0-M8Z25a_R1EpsYyg"",""Form Responses 1!B:B""),F835)&gt;0,10,),0)"),"")</f>
        <v/>
      </c>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row>
    <row r="836">
      <c r="B836" s="70"/>
      <c r="C836" s="70"/>
      <c r="D836" s="70"/>
      <c r="E836" s="70"/>
      <c r="F836" s="70"/>
      <c r="G836" s="70"/>
      <c r="H836" s="70"/>
      <c r="I836" s="70"/>
      <c r="J836" s="70"/>
      <c r="K836" s="70"/>
      <c r="L836" s="70"/>
      <c r="M836" s="70"/>
      <c r="N836" s="70"/>
      <c r="O836" s="70"/>
      <c r="P836" s="70"/>
      <c r="Q836" s="70" t="str">
        <f>IFERROR(__xludf.DUMMYFUNCTION("IFERROR(IF(COUNTIF(IMPORTRANGE(""1WjiLR_MTMxI_IZUKuvPO4Sg2rTSIqBzP3edakSRXbOA"",""Form Responses 1!B:B""),F836)&gt;0,10,),0)"),"")</f>
        <v/>
      </c>
      <c r="R836" s="70" t="str">
        <f>IFERROR(__xludf.DUMMYFUNCTION("IFERROR(VLOOKUP(F836,IMPORTRANGE(""1Ixzbal5tEbtWhozsFEppQzOYE6ZSrkNXHg_HW5k3Wt4"",""Form Responses 1!B:C""),2,FALSE),)"),"")</f>
        <v/>
      </c>
      <c r="S836" s="70" t="str">
        <f>IFERROR(__xludf.DUMMYFUNCTION("IFERROR(VLOOKUP(F836,IMPORTRANGE(""1zxjtEKGvVIJPIDqZdnxENwVpPXYa88EihzyI44hcQUo"",""Form Responses 1!B:C""),2,FALSE),)"),"")</f>
        <v/>
      </c>
      <c r="T836" s="70" t="str">
        <f>IFERROR(__xludf.DUMMYFUNCTION("IFERROR(VLOOKUP(F836,IMPORTRANGE(""1H3cO01obd5zFULYqaT5NAqecZBFFIHeDFn4CeQLZF3w"",""Form Responses 1!B:C""),2,FALSE),)"),"")</f>
        <v/>
      </c>
      <c r="U836" s="70" t="str">
        <f>IFERROR(__xludf.DUMMYFUNCTION("IFERROR(IF(COUNTIF(IMPORTRANGE(""1IG9qoa6PeLdDDFzKpW39lxXshN0-M8Z25a_R1EpsYyg"",""Form Responses 1!B:B""),F836)&gt;0,10,),0)"),"")</f>
        <v/>
      </c>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row>
    <row r="837">
      <c r="B837" s="70"/>
      <c r="C837" s="70"/>
      <c r="D837" s="70"/>
      <c r="E837" s="70"/>
      <c r="F837" s="70"/>
      <c r="G837" s="70"/>
      <c r="H837" s="70"/>
      <c r="I837" s="70"/>
      <c r="J837" s="70"/>
      <c r="K837" s="70"/>
      <c r="L837" s="70"/>
      <c r="M837" s="70"/>
      <c r="N837" s="70"/>
      <c r="O837" s="70"/>
      <c r="P837" s="70"/>
      <c r="Q837" s="70" t="str">
        <f>IFERROR(__xludf.DUMMYFUNCTION("IFERROR(IF(COUNTIF(IMPORTRANGE(""1WjiLR_MTMxI_IZUKuvPO4Sg2rTSIqBzP3edakSRXbOA"",""Form Responses 1!B:B""),F837)&gt;0,10,),0)"),"")</f>
        <v/>
      </c>
      <c r="R837" s="70" t="str">
        <f>IFERROR(__xludf.DUMMYFUNCTION("IFERROR(VLOOKUP(F837,IMPORTRANGE(""1Ixzbal5tEbtWhozsFEppQzOYE6ZSrkNXHg_HW5k3Wt4"",""Form Responses 1!B:C""),2,FALSE),)"),"")</f>
        <v/>
      </c>
      <c r="S837" s="70" t="str">
        <f>IFERROR(__xludf.DUMMYFUNCTION("IFERROR(VLOOKUP(F837,IMPORTRANGE(""1zxjtEKGvVIJPIDqZdnxENwVpPXYa88EihzyI44hcQUo"",""Form Responses 1!B:C""),2,FALSE),)"),"")</f>
        <v/>
      </c>
      <c r="T837" s="70" t="str">
        <f>IFERROR(__xludf.DUMMYFUNCTION("IFERROR(VLOOKUP(F837,IMPORTRANGE(""1H3cO01obd5zFULYqaT5NAqecZBFFIHeDFn4CeQLZF3w"",""Form Responses 1!B:C""),2,FALSE),)"),"")</f>
        <v/>
      </c>
      <c r="U837" s="70" t="str">
        <f>IFERROR(__xludf.DUMMYFUNCTION("IFERROR(IF(COUNTIF(IMPORTRANGE(""1IG9qoa6PeLdDDFzKpW39lxXshN0-M8Z25a_R1EpsYyg"",""Form Responses 1!B:B""),F837)&gt;0,10,),0)"),"")</f>
        <v/>
      </c>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row>
    <row r="838">
      <c r="B838" s="70"/>
      <c r="C838" s="70"/>
      <c r="D838" s="70"/>
      <c r="E838" s="70"/>
      <c r="F838" s="70"/>
      <c r="G838" s="70"/>
      <c r="H838" s="70"/>
      <c r="I838" s="70"/>
      <c r="J838" s="70"/>
      <c r="K838" s="70"/>
      <c r="L838" s="70"/>
      <c r="M838" s="70"/>
      <c r="N838" s="70"/>
      <c r="O838" s="70"/>
      <c r="P838" s="70"/>
      <c r="Q838" s="70" t="str">
        <f>IFERROR(__xludf.DUMMYFUNCTION("IFERROR(IF(COUNTIF(IMPORTRANGE(""1WjiLR_MTMxI_IZUKuvPO4Sg2rTSIqBzP3edakSRXbOA"",""Form Responses 1!B:B""),F838)&gt;0,10,),0)"),"")</f>
        <v/>
      </c>
      <c r="R838" s="70" t="str">
        <f>IFERROR(__xludf.DUMMYFUNCTION("IFERROR(VLOOKUP(F838,IMPORTRANGE(""1Ixzbal5tEbtWhozsFEppQzOYE6ZSrkNXHg_HW5k3Wt4"",""Form Responses 1!B:C""),2,FALSE),)"),"")</f>
        <v/>
      </c>
      <c r="S838" s="70" t="str">
        <f>IFERROR(__xludf.DUMMYFUNCTION("IFERROR(VLOOKUP(F838,IMPORTRANGE(""1zxjtEKGvVIJPIDqZdnxENwVpPXYa88EihzyI44hcQUo"",""Form Responses 1!B:C""),2,FALSE),)"),"")</f>
        <v/>
      </c>
      <c r="T838" s="70" t="str">
        <f>IFERROR(__xludf.DUMMYFUNCTION("IFERROR(VLOOKUP(F838,IMPORTRANGE(""1H3cO01obd5zFULYqaT5NAqecZBFFIHeDFn4CeQLZF3w"",""Form Responses 1!B:C""),2,FALSE),)"),"")</f>
        <v/>
      </c>
      <c r="U838" s="70" t="str">
        <f>IFERROR(__xludf.DUMMYFUNCTION("IFERROR(IF(COUNTIF(IMPORTRANGE(""1IG9qoa6PeLdDDFzKpW39lxXshN0-M8Z25a_R1EpsYyg"",""Form Responses 1!B:B""),F838)&gt;0,10,),0)"),"")</f>
        <v/>
      </c>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row>
    <row r="839">
      <c r="B839" s="70"/>
      <c r="C839" s="70"/>
      <c r="D839" s="70"/>
      <c r="E839" s="70"/>
      <c r="F839" s="70"/>
      <c r="G839" s="70"/>
      <c r="H839" s="70"/>
      <c r="I839" s="70"/>
      <c r="J839" s="70"/>
      <c r="K839" s="70"/>
      <c r="L839" s="70"/>
      <c r="M839" s="70"/>
      <c r="N839" s="70"/>
      <c r="O839" s="70"/>
      <c r="P839" s="70"/>
      <c r="Q839" s="70" t="str">
        <f>IFERROR(__xludf.DUMMYFUNCTION("IFERROR(IF(COUNTIF(IMPORTRANGE(""1WjiLR_MTMxI_IZUKuvPO4Sg2rTSIqBzP3edakSRXbOA"",""Form Responses 1!B:B""),F839)&gt;0,10,),0)"),"")</f>
        <v/>
      </c>
      <c r="R839" s="70" t="str">
        <f>IFERROR(__xludf.DUMMYFUNCTION("IFERROR(VLOOKUP(F839,IMPORTRANGE(""1Ixzbal5tEbtWhozsFEppQzOYE6ZSrkNXHg_HW5k3Wt4"",""Form Responses 1!B:C""),2,FALSE),)"),"")</f>
        <v/>
      </c>
      <c r="S839" s="70" t="str">
        <f>IFERROR(__xludf.DUMMYFUNCTION("IFERROR(VLOOKUP(F839,IMPORTRANGE(""1zxjtEKGvVIJPIDqZdnxENwVpPXYa88EihzyI44hcQUo"",""Form Responses 1!B:C""),2,FALSE),)"),"")</f>
        <v/>
      </c>
      <c r="T839" s="70" t="str">
        <f>IFERROR(__xludf.DUMMYFUNCTION("IFERROR(VLOOKUP(F839,IMPORTRANGE(""1H3cO01obd5zFULYqaT5NAqecZBFFIHeDFn4CeQLZF3w"",""Form Responses 1!B:C""),2,FALSE),)"),"")</f>
        <v/>
      </c>
      <c r="U839" s="70" t="str">
        <f>IFERROR(__xludf.DUMMYFUNCTION("IFERROR(IF(COUNTIF(IMPORTRANGE(""1IG9qoa6PeLdDDFzKpW39lxXshN0-M8Z25a_R1EpsYyg"",""Form Responses 1!B:B""),F839)&gt;0,10,),0)"),"")</f>
        <v/>
      </c>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row>
    <row r="840">
      <c r="B840" s="70"/>
      <c r="C840" s="70"/>
      <c r="D840" s="70"/>
      <c r="E840" s="70"/>
      <c r="F840" s="70"/>
      <c r="G840" s="70"/>
      <c r="H840" s="70"/>
      <c r="I840" s="70"/>
      <c r="J840" s="70"/>
      <c r="K840" s="70"/>
      <c r="L840" s="70"/>
      <c r="M840" s="70"/>
      <c r="N840" s="70"/>
      <c r="O840" s="70"/>
      <c r="P840" s="70"/>
      <c r="Q840" s="70" t="str">
        <f>IFERROR(__xludf.DUMMYFUNCTION("IFERROR(IF(COUNTIF(IMPORTRANGE(""1WjiLR_MTMxI_IZUKuvPO4Sg2rTSIqBzP3edakSRXbOA"",""Form Responses 1!B:B""),F840)&gt;0,10,),0)"),"")</f>
        <v/>
      </c>
      <c r="R840" s="70" t="str">
        <f>IFERROR(__xludf.DUMMYFUNCTION("IFERROR(VLOOKUP(F840,IMPORTRANGE(""1Ixzbal5tEbtWhozsFEppQzOYE6ZSrkNXHg_HW5k3Wt4"",""Form Responses 1!B:C""),2,FALSE),)"),"")</f>
        <v/>
      </c>
      <c r="S840" s="70" t="str">
        <f>IFERROR(__xludf.DUMMYFUNCTION("IFERROR(VLOOKUP(F840,IMPORTRANGE(""1zxjtEKGvVIJPIDqZdnxENwVpPXYa88EihzyI44hcQUo"",""Form Responses 1!B:C""),2,FALSE),)"),"")</f>
        <v/>
      </c>
      <c r="T840" s="70" t="str">
        <f>IFERROR(__xludf.DUMMYFUNCTION("IFERROR(VLOOKUP(F840,IMPORTRANGE(""1H3cO01obd5zFULYqaT5NAqecZBFFIHeDFn4CeQLZF3w"",""Form Responses 1!B:C""),2,FALSE),)"),"")</f>
        <v/>
      </c>
      <c r="U840" s="70" t="str">
        <f>IFERROR(__xludf.DUMMYFUNCTION("IFERROR(IF(COUNTIF(IMPORTRANGE(""1IG9qoa6PeLdDDFzKpW39lxXshN0-M8Z25a_R1EpsYyg"",""Form Responses 1!B:B""),F840)&gt;0,10,),0)"),"")</f>
        <v/>
      </c>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row>
    <row r="841">
      <c r="B841" s="70"/>
      <c r="C841" s="70"/>
      <c r="D841" s="70"/>
      <c r="E841" s="70"/>
      <c r="F841" s="70"/>
      <c r="G841" s="70"/>
      <c r="H841" s="70"/>
      <c r="I841" s="70"/>
      <c r="J841" s="70"/>
      <c r="K841" s="70"/>
      <c r="L841" s="70"/>
      <c r="M841" s="70"/>
      <c r="N841" s="70"/>
      <c r="O841" s="70"/>
      <c r="P841" s="70"/>
      <c r="Q841" s="70" t="str">
        <f>IFERROR(__xludf.DUMMYFUNCTION("IFERROR(IF(COUNTIF(IMPORTRANGE(""1WjiLR_MTMxI_IZUKuvPO4Sg2rTSIqBzP3edakSRXbOA"",""Form Responses 1!B:B""),F841)&gt;0,10,),0)"),"")</f>
        <v/>
      </c>
      <c r="R841" s="70" t="str">
        <f>IFERROR(__xludf.DUMMYFUNCTION("IFERROR(VLOOKUP(F841,IMPORTRANGE(""1Ixzbal5tEbtWhozsFEppQzOYE6ZSrkNXHg_HW5k3Wt4"",""Form Responses 1!B:C""),2,FALSE),)"),"")</f>
        <v/>
      </c>
      <c r="S841" s="70" t="str">
        <f>IFERROR(__xludf.DUMMYFUNCTION("IFERROR(VLOOKUP(F841,IMPORTRANGE(""1zxjtEKGvVIJPIDqZdnxENwVpPXYa88EihzyI44hcQUo"",""Form Responses 1!B:C""),2,FALSE),)"),"")</f>
        <v/>
      </c>
      <c r="T841" s="70" t="str">
        <f>IFERROR(__xludf.DUMMYFUNCTION("IFERROR(VLOOKUP(F841,IMPORTRANGE(""1H3cO01obd5zFULYqaT5NAqecZBFFIHeDFn4CeQLZF3w"",""Form Responses 1!B:C""),2,FALSE),)"),"")</f>
        <v/>
      </c>
      <c r="U841" s="70" t="str">
        <f>IFERROR(__xludf.DUMMYFUNCTION("IFERROR(IF(COUNTIF(IMPORTRANGE(""1IG9qoa6PeLdDDFzKpW39lxXshN0-M8Z25a_R1EpsYyg"",""Form Responses 1!B:B""),F841)&gt;0,10,),0)"),"")</f>
        <v/>
      </c>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row>
    <row r="842">
      <c r="B842" s="70"/>
      <c r="C842" s="70"/>
      <c r="D842" s="70"/>
      <c r="E842" s="70"/>
      <c r="F842" s="70"/>
      <c r="G842" s="70"/>
      <c r="H842" s="70"/>
      <c r="I842" s="70"/>
      <c r="J842" s="70"/>
      <c r="K842" s="70"/>
      <c r="L842" s="70"/>
      <c r="M842" s="70"/>
      <c r="N842" s="70"/>
      <c r="O842" s="70"/>
      <c r="P842" s="70"/>
      <c r="Q842" s="70" t="str">
        <f>IFERROR(__xludf.DUMMYFUNCTION("IFERROR(IF(COUNTIF(IMPORTRANGE(""1WjiLR_MTMxI_IZUKuvPO4Sg2rTSIqBzP3edakSRXbOA"",""Form Responses 1!B:B""),F842)&gt;0,10,),0)"),"")</f>
        <v/>
      </c>
      <c r="R842" s="70" t="str">
        <f>IFERROR(__xludf.DUMMYFUNCTION("IFERROR(VLOOKUP(F842,IMPORTRANGE(""1Ixzbal5tEbtWhozsFEppQzOYE6ZSrkNXHg_HW5k3Wt4"",""Form Responses 1!B:C""),2,FALSE),)"),"")</f>
        <v/>
      </c>
      <c r="S842" s="70" t="str">
        <f>IFERROR(__xludf.DUMMYFUNCTION("IFERROR(VLOOKUP(F842,IMPORTRANGE(""1zxjtEKGvVIJPIDqZdnxENwVpPXYa88EihzyI44hcQUo"",""Form Responses 1!B:C""),2,FALSE),)"),"")</f>
        <v/>
      </c>
      <c r="T842" s="70" t="str">
        <f>IFERROR(__xludf.DUMMYFUNCTION("IFERROR(VLOOKUP(F842,IMPORTRANGE(""1H3cO01obd5zFULYqaT5NAqecZBFFIHeDFn4CeQLZF3w"",""Form Responses 1!B:C""),2,FALSE),)"),"")</f>
        <v/>
      </c>
      <c r="U842" s="70" t="str">
        <f>IFERROR(__xludf.DUMMYFUNCTION("IFERROR(IF(COUNTIF(IMPORTRANGE(""1IG9qoa6PeLdDDFzKpW39lxXshN0-M8Z25a_R1EpsYyg"",""Form Responses 1!B:B""),F842)&gt;0,10,),0)"),"")</f>
        <v/>
      </c>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row>
    <row r="843">
      <c r="B843" s="70"/>
      <c r="C843" s="70"/>
      <c r="D843" s="70"/>
      <c r="E843" s="70"/>
      <c r="F843" s="70"/>
      <c r="G843" s="70"/>
      <c r="H843" s="70"/>
      <c r="I843" s="70"/>
      <c r="J843" s="70"/>
      <c r="K843" s="70"/>
      <c r="L843" s="70"/>
      <c r="M843" s="70"/>
      <c r="N843" s="70"/>
      <c r="O843" s="70"/>
      <c r="P843" s="70"/>
      <c r="Q843" s="70" t="str">
        <f>IFERROR(__xludf.DUMMYFUNCTION("IFERROR(IF(COUNTIF(IMPORTRANGE(""1WjiLR_MTMxI_IZUKuvPO4Sg2rTSIqBzP3edakSRXbOA"",""Form Responses 1!B:B""),F843)&gt;0,10,),0)"),"")</f>
        <v/>
      </c>
      <c r="R843" s="70" t="str">
        <f>IFERROR(__xludf.DUMMYFUNCTION("IFERROR(VLOOKUP(F843,IMPORTRANGE(""1Ixzbal5tEbtWhozsFEppQzOYE6ZSrkNXHg_HW5k3Wt4"",""Form Responses 1!B:C""),2,FALSE),)"),"")</f>
        <v/>
      </c>
      <c r="S843" s="70" t="str">
        <f>IFERROR(__xludf.DUMMYFUNCTION("IFERROR(VLOOKUP(F843,IMPORTRANGE(""1zxjtEKGvVIJPIDqZdnxENwVpPXYa88EihzyI44hcQUo"",""Form Responses 1!B:C""),2,FALSE),)"),"")</f>
        <v/>
      </c>
      <c r="T843" s="70" t="str">
        <f>IFERROR(__xludf.DUMMYFUNCTION("IFERROR(VLOOKUP(F843,IMPORTRANGE(""1H3cO01obd5zFULYqaT5NAqecZBFFIHeDFn4CeQLZF3w"",""Form Responses 1!B:C""),2,FALSE),)"),"")</f>
        <v/>
      </c>
      <c r="U843" s="70" t="str">
        <f>IFERROR(__xludf.DUMMYFUNCTION("IFERROR(IF(COUNTIF(IMPORTRANGE(""1IG9qoa6PeLdDDFzKpW39lxXshN0-M8Z25a_R1EpsYyg"",""Form Responses 1!B:B""),F843)&gt;0,10,),0)"),"")</f>
        <v/>
      </c>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row>
    <row r="844">
      <c r="B844" s="70"/>
      <c r="C844" s="70"/>
      <c r="D844" s="70"/>
      <c r="E844" s="70"/>
      <c r="F844" s="70"/>
      <c r="G844" s="70"/>
      <c r="H844" s="70"/>
      <c r="I844" s="70"/>
      <c r="J844" s="70"/>
      <c r="K844" s="70"/>
      <c r="L844" s="70"/>
      <c r="M844" s="70"/>
      <c r="N844" s="70"/>
      <c r="O844" s="70"/>
      <c r="P844" s="70"/>
      <c r="Q844" s="70" t="str">
        <f>IFERROR(__xludf.DUMMYFUNCTION("IFERROR(IF(COUNTIF(IMPORTRANGE(""1WjiLR_MTMxI_IZUKuvPO4Sg2rTSIqBzP3edakSRXbOA"",""Form Responses 1!B:B""),F844)&gt;0,10,),0)"),"")</f>
        <v/>
      </c>
      <c r="R844" s="70" t="str">
        <f>IFERROR(__xludf.DUMMYFUNCTION("IFERROR(VLOOKUP(F844,IMPORTRANGE(""1Ixzbal5tEbtWhozsFEppQzOYE6ZSrkNXHg_HW5k3Wt4"",""Form Responses 1!B:C""),2,FALSE),)"),"")</f>
        <v/>
      </c>
      <c r="S844" s="70" t="str">
        <f>IFERROR(__xludf.DUMMYFUNCTION("IFERROR(VLOOKUP(F844,IMPORTRANGE(""1zxjtEKGvVIJPIDqZdnxENwVpPXYa88EihzyI44hcQUo"",""Form Responses 1!B:C""),2,FALSE),)"),"")</f>
        <v/>
      </c>
      <c r="T844" s="70" t="str">
        <f>IFERROR(__xludf.DUMMYFUNCTION("IFERROR(VLOOKUP(F844,IMPORTRANGE(""1H3cO01obd5zFULYqaT5NAqecZBFFIHeDFn4CeQLZF3w"",""Form Responses 1!B:C""),2,FALSE),)"),"")</f>
        <v/>
      </c>
      <c r="U844" s="70" t="str">
        <f>IFERROR(__xludf.DUMMYFUNCTION("IFERROR(IF(COUNTIF(IMPORTRANGE(""1IG9qoa6PeLdDDFzKpW39lxXshN0-M8Z25a_R1EpsYyg"",""Form Responses 1!B:B""),F844)&gt;0,10,),0)"),"")</f>
        <v/>
      </c>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row>
    <row r="845">
      <c r="B845" s="70"/>
      <c r="C845" s="70"/>
      <c r="D845" s="70"/>
      <c r="E845" s="70"/>
      <c r="F845" s="70"/>
      <c r="G845" s="70"/>
      <c r="H845" s="70"/>
      <c r="I845" s="70"/>
      <c r="J845" s="70"/>
      <c r="K845" s="70"/>
      <c r="L845" s="70"/>
      <c r="M845" s="70"/>
      <c r="N845" s="70"/>
      <c r="O845" s="70"/>
      <c r="P845" s="70"/>
      <c r="Q845" s="70" t="str">
        <f>IFERROR(__xludf.DUMMYFUNCTION("IFERROR(IF(COUNTIF(IMPORTRANGE(""1WjiLR_MTMxI_IZUKuvPO4Sg2rTSIqBzP3edakSRXbOA"",""Form Responses 1!B:B""),F845)&gt;0,10,),0)"),"")</f>
        <v/>
      </c>
      <c r="R845" s="70" t="str">
        <f>IFERROR(__xludf.DUMMYFUNCTION("IFERROR(VLOOKUP(F845,IMPORTRANGE(""1Ixzbal5tEbtWhozsFEppQzOYE6ZSrkNXHg_HW5k3Wt4"",""Form Responses 1!B:C""),2,FALSE),)"),"")</f>
        <v/>
      </c>
      <c r="S845" s="70" t="str">
        <f>IFERROR(__xludf.DUMMYFUNCTION("IFERROR(VLOOKUP(F845,IMPORTRANGE(""1zxjtEKGvVIJPIDqZdnxENwVpPXYa88EihzyI44hcQUo"",""Form Responses 1!B:C""),2,FALSE),)"),"")</f>
        <v/>
      </c>
      <c r="T845" s="70" t="str">
        <f>IFERROR(__xludf.DUMMYFUNCTION("IFERROR(VLOOKUP(F845,IMPORTRANGE(""1H3cO01obd5zFULYqaT5NAqecZBFFIHeDFn4CeQLZF3w"",""Form Responses 1!B:C""),2,FALSE),)"),"")</f>
        <v/>
      </c>
      <c r="U845" s="70" t="str">
        <f>IFERROR(__xludf.DUMMYFUNCTION("IFERROR(IF(COUNTIF(IMPORTRANGE(""1IG9qoa6PeLdDDFzKpW39lxXshN0-M8Z25a_R1EpsYyg"",""Form Responses 1!B:B""),F845)&gt;0,10,),0)"),"")</f>
        <v/>
      </c>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row>
    <row r="846">
      <c r="B846" s="70"/>
      <c r="C846" s="70"/>
      <c r="D846" s="70"/>
      <c r="E846" s="70"/>
      <c r="F846" s="70"/>
      <c r="G846" s="70"/>
      <c r="H846" s="70"/>
      <c r="I846" s="70"/>
      <c r="J846" s="70"/>
      <c r="K846" s="70"/>
      <c r="L846" s="70"/>
      <c r="M846" s="70"/>
      <c r="N846" s="70"/>
      <c r="O846" s="70"/>
      <c r="P846" s="70"/>
      <c r="Q846" s="70" t="str">
        <f>IFERROR(__xludf.DUMMYFUNCTION("IFERROR(IF(COUNTIF(IMPORTRANGE(""1WjiLR_MTMxI_IZUKuvPO4Sg2rTSIqBzP3edakSRXbOA"",""Form Responses 1!B:B""),F846)&gt;0,10,),0)"),"")</f>
        <v/>
      </c>
      <c r="R846" s="70" t="str">
        <f>IFERROR(__xludf.DUMMYFUNCTION("IFERROR(VLOOKUP(F846,IMPORTRANGE(""1Ixzbal5tEbtWhozsFEppQzOYE6ZSrkNXHg_HW5k3Wt4"",""Form Responses 1!B:C""),2,FALSE),)"),"")</f>
        <v/>
      </c>
      <c r="S846" s="70" t="str">
        <f>IFERROR(__xludf.DUMMYFUNCTION("IFERROR(VLOOKUP(F846,IMPORTRANGE(""1zxjtEKGvVIJPIDqZdnxENwVpPXYa88EihzyI44hcQUo"",""Form Responses 1!B:C""),2,FALSE),)"),"")</f>
        <v/>
      </c>
      <c r="T846" s="70" t="str">
        <f>IFERROR(__xludf.DUMMYFUNCTION("IFERROR(VLOOKUP(F846,IMPORTRANGE(""1H3cO01obd5zFULYqaT5NAqecZBFFIHeDFn4CeQLZF3w"",""Form Responses 1!B:C""),2,FALSE),)"),"")</f>
        <v/>
      </c>
      <c r="U846" s="70" t="str">
        <f>IFERROR(__xludf.DUMMYFUNCTION("IFERROR(IF(COUNTIF(IMPORTRANGE(""1IG9qoa6PeLdDDFzKpW39lxXshN0-M8Z25a_R1EpsYyg"",""Form Responses 1!B:B""),F846)&gt;0,10,),0)"),"")</f>
        <v/>
      </c>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row>
    <row r="847">
      <c r="B847" s="70"/>
      <c r="C847" s="70"/>
      <c r="D847" s="70"/>
      <c r="E847" s="70"/>
      <c r="F847" s="70"/>
      <c r="G847" s="70"/>
      <c r="H847" s="70"/>
      <c r="I847" s="70"/>
      <c r="J847" s="70"/>
      <c r="K847" s="70"/>
      <c r="L847" s="70"/>
      <c r="M847" s="70"/>
      <c r="N847" s="70"/>
      <c r="O847" s="70"/>
      <c r="P847" s="70"/>
      <c r="Q847" s="70" t="str">
        <f>IFERROR(__xludf.DUMMYFUNCTION("IFERROR(IF(COUNTIF(IMPORTRANGE(""1WjiLR_MTMxI_IZUKuvPO4Sg2rTSIqBzP3edakSRXbOA"",""Form Responses 1!B:B""),F847)&gt;0,10,),0)"),"")</f>
        <v/>
      </c>
      <c r="R847" s="70" t="str">
        <f>IFERROR(__xludf.DUMMYFUNCTION("IFERROR(VLOOKUP(F847,IMPORTRANGE(""1Ixzbal5tEbtWhozsFEppQzOYE6ZSrkNXHg_HW5k3Wt4"",""Form Responses 1!B:C""),2,FALSE),)"),"")</f>
        <v/>
      </c>
      <c r="S847" s="70" t="str">
        <f>IFERROR(__xludf.DUMMYFUNCTION("IFERROR(VLOOKUP(F847,IMPORTRANGE(""1zxjtEKGvVIJPIDqZdnxENwVpPXYa88EihzyI44hcQUo"",""Form Responses 1!B:C""),2,FALSE),)"),"")</f>
        <v/>
      </c>
      <c r="T847" s="70" t="str">
        <f>IFERROR(__xludf.DUMMYFUNCTION("IFERROR(VLOOKUP(F847,IMPORTRANGE(""1H3cO01obd5zFULYqaT5NAqecZBFFIHeDFn4CeQLZF3w"",""Form Responses 1!B:C""),2,FALSE),)"),"")</f>
        <v/>
      </c>
      <c r="U847" s="70" t="str">
        <f>IFERROR(__xludf.DUMMYFUNCTION("IFERROR(IF(COUNTIF(IMPORTRANGE(""1IG9qoa6PeLdDDFzKpW39lxXshN0-M8Z25a_R1EpsYyg"",""Form Responses 1!B:B""),F847)&gt;0,10,),0)"),"")</f>
        <v/>
      </c>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row>
    <row r="848">
      <c r="B848" s="70"/>
      <c r="C848" s="70"/>
      <c r="D848" s="70"/>
      <c r="E848" s="70"/>
      <c r="F848" s="70"/>
      <c r="G848" s="70"/>
      <c r="H848" s="70"/>
      <c r="I848" s="70"/>
      <c r="J848" s="70"/>
      <c r="K848" s="70"/>
      <c r="L848" s="70"/>
      <c r="M848" s="70"/>
      <c r="N848" s="70"/>
      <c r="O848" s="70"/>
      <c r="P848" s="70"/>
      <c r="Q848" s="70" t="str">
        <f>IFERROR(__xludf.DUMMYFUNCTION("IFERROR(IF(COUNTIF(IMPORTRANGE(""1WjiLR_MTMxI_IZUKuvPO4Sg2rTSIqBzP3edakSRXbOA"",""Form Responses 1!B:B""),F848)&gt;0,10,),0)"),"")</f>
        <v/>
      </c>
      <c r="R848" s="70" t="str">
        <f>IFERROR(__xludf.DUMMYFUNCTION("IFERROR(VLOOKUP(F848,IMPORTRANGE(""1Ixzbal5tEbtWhozsFEppQzOYE6ZSrkNXHg_HW5k3Wt4"",""Form Responses 1!B:C""),2,FALSE),)"),"")</f>
        <v/>
      </c>
      <c r="S848" s="70" t="str">
        <f>IFERROR(__xludf.DUMMYFUNCTION("IFERROR(VLOOKUP(F848,IMPORTRANGE(""1zxjtEKGvVIJPIDqZdnxENwVpPXYa88EihzyI44hcQUo"",""Form Responses 1!B:C""),2,FALSE),)"),"")</f>
        <v/>
      </c>
      <c r="T848" s="70" t="str">
        <f>IFERROR(__xludf.DUMMYFUNCTION("IFERROR(VLOOKUP(F848,IMPORTRANGE(""1H3cO01obd5zFULYqaT5NAqecZBFFIHeDFn4CeQLZF3w"",""Form Responses 1!B:C""),2,FALSE),)"),"")</f>
        <v/>
      </c>
      <c r="U848" s="70" t="str">
        <f>IFERROR(__xludf.DUMMYFUNCTION("IFERROR(IF(COUNTIF(IMPORTRANGE(""1IG9qoa6PeLdDDFzKpW39lxXshN0-M8Z25a_R1EpsYyg"",""Form Responses 1!B:B""),F848)&gt;0,10,),0)"),"")</f>
        <v/>
      </c>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row>
    <row r="849">
      <c r="B849" s="70"/>
      <c r="C849" s="70"/>
      <c r="D849" s="70"/>
      <c r="E849" s="70"/>
      <c r="F849" s="70"/>
      <c r="G849" s="70"/>
      <c r="H849" s="70"/>
      <c r="I849" s="70"/>
      <c r="J849" s="70"/>
      <c r="K849" s="70"/>
      <c r="L849" s="70"/>
      <c r="M849" s="70"/>
      <c r="N849" s="70"/>
      <c r="O849" s="70"/>
      <c r="P849" s="70"/>
      <c r="Q849" s="70" t="str">
        <f>IFERROR(__xludf.DUMMYFUNCTION("IFERROR(IF(COUNTIF(IMPORTRANGE(""1WjiLR_MTMxI_IZUKuvPO4Sg2rTSIqBzP3edakSRXbOA"",""Form Responses 1!B:B""),F849)&gt;0,10,),0)"),"")</f>
        <v/>
      </c>
      <c r="R849" s="70" t="str">
        <f>IFERROR(__xludf.DUMMYFUNCTION("IFERROR(VLOOKUP(F849,IMPORTRANGE(""1Ixzbal5tEbtWhozsFEppQzOYE6ZSrkNXHg_HW5k3Wt4"",""Form Responses 1!B:C""),2,FALSE),)"),"")</f>
        <v/>
      </c>
      <c r="S849" s="70" t="str">
        <f>IFERROR(__xludf.DUMMYFUNCTION("IFERROR(VLOOKUP(F849,IMPORTRANGE(""1zxjtEKGvVIJPIDqZdnxENwVpPXYa88EihzyI44hcQUo"",""Form Responses 1!B:C""),2,FALSE),)"),"")</f>
        <v/>
      </c>
      <c r="T849" s="70" t="str">
        <f>IFERROR(__xludf.DUMMYFUNCTION("IFERROR(VLOOKUP(F849,IMPORTRANGE(""1H3cO01obd5zFULYqaT5NAqecZBFFIHeDFn4CeQLZF3w"",""Form Responses 1!B:C""),2,FALSE),)"),"")</f>
        <v/>
      </c>
      <c r="U849" s="70" t="str">
        <f>IFERROR(__xludf.DUMMYFUNCTION("IFERROR(IF(COUNTIF(IMPORTRANGE(""1IG9qoa6PeLdDDFzKpW39lxXshN0-M8Z25a_R1EpsYyg"",""Form Responses 1!B:B""),F849)&gt;0,10,),0)"),"")</f>
        <v/>
      </c>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row>
    <row r="850">
      <c r="B850" s="70"/>
      <c r="C850" s="70"/>
      <c r="D850" s="70"/>
      <c r="E850" s="70"/>
      <c r="F850" s="70"/>
      <c r="G850" s="70"/>
      <c r="H850" s="70"/>
      <c r="I850" s="70"/>
      <c r="J850" s="70"/>
      <c r="K850" s="70"/>
      <c r="L850" s="70"/>
      <c r="M850" s="70"/>
      <c r="N850" s="70"/>
      <c r="O850" s="70"/>
      <c r="P850" s="70"/>
      <c r="Q850" s="70" t="str">
        <f>IFERROR(__xludf.DUMMYFUNCTION("IFERROR(IF(COUNTIF(IMPORTRANGE(""1WjiLR_MTMxI_IZUKuvPO4Sg2rTSIqBzP3edakSRXbOA"",""Form Responses 1!B:B""),F850)&gt;0,10,),0)"),"")</f>
        <v/>
      </c>
      <c r="R850" s="70" t="str">
        <f>IFERROR(__xludf.DUMMYFUNCTION("IFERROR(VLOOKUP(F850,IMPORTRANGE(""1Ixzbal5tEbtWhozsFEppQzOYE6ZSrkNXHg_HW5k3Wt4"",""Form Responses 1!B:C""),2,FALSE),)"),"")</f>
        <v/>
      </c>
      <c r="S850" s="70" t="str">
        <f>IFERROR(__xludf.DUMMYFUNCTION("IFERROR(VLOOKUP(F850,IMPORTRANGE(""1zxjtEKGvVIJPIDqZdnxENwVpPXYa88EihzyI44hcQUo"",""Form Responses 1!B:C""),2,FALSE),)"),"")</f>
        <v/>
      </c>
      <c r="T850" s="70" t="str">
        <f>IFERROR(__xludf.DUMMYFUNCTION("IFERROR(VLOOKUP(F850,IMPORTRANGE(""1H3cO01obd5zFULYqaT5NAqecZBFFIHeDFn4CeQLZF3w"",""Form Responses 1!B:C""),2,FALSE),)"),"")</f>
        <v/>
      </c>
      <c r="U850" s="70" t="str">
        <f>IFERROR(__xludf.DUMMYFUNCTION("IFERROR(IF(COUNTIF(IMPORTRANGE(""1IG9qoa6PeLdDDFzKpW39lxXshN0-M8Z25a_R1EpsYyg"",""Form Responses 1!B:B""),F850)&gt;0,10,),0)"),"")</f>
        <v/>
      </c>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row>
    <row r="851">
      <c r="B851" s="70"/>
      <c r="C851" s="70"/>
      <c r="D851" s="70"/>
      <c r="E851" s="70"/>
      <c r="F851" s="70"/>
      <c r="G851" s="70"/>
      <c r="H851" s="70"/>
      <c r="I851" s="70"/>
      <c r="J851" s="70"/>
      <c r="K851" s="70"/>
      <c r="L851" s="70"/>
      <c r="M851" s="70"/>
      <c r="N851" s="70"/>
      <c r="O851" s="70"/>
      <c r="P851" s="70"/>
      <c r="Q851" s="70" t="str">
        <f>IFERROR(__xludf.DUMMYFUNCTION("IFERROR(IF(COUNTIF(IMPORTRANGE(""1WjiLR_MTMxI_IZUKuvPO4Sg2rTSIqBzP3edakSRXbOA"",""Form Responses 1!B:B""),F851)&gt;0,10,),0)"),"")</f>
        <v/>
      </c>
      <c r="R851" s="70" t="str">
        <f>IFERROR(__xludf.DUMMYFUNCTION("IFERROR(VLOOKUP(F851,IMPORTRANGE(""1Ixzbal5tEbtWhozsFEppQzOYE6ZSrkNXHg_HW5k3Wt4"",""Form Responses 1!B:C""),2,FALSE),)"),"")</f>
        <v/>
      </c>
      <c r="S851" s="70" t="str">
        <f>IFERROR(__xludf.DUMMYFUNCTION("IFERROR(VLOOKUP(F851,IMPORTRANGE(""1zxjtEKGvVIJPIDqZdnxENwVpPXYa88EihzyI44hcQUo"",""Form Responses 1!B:C""),2,FALSE),)"),"")</f>
        <v/>
      </c>
      <c r="T851" s="70" t="str">
        <f>IFERROR(__xludf.DUMMYFUNCTION("IFERROR(VLOOKUP(F851,IMPORTRANGE(""1H3cO01obd5zFULYqaT5NAqecZBFFIHeDFn4CeQLZF3w"",""Form Responses 1!B:C""),2,FALSE),)"),"")</f>
        <v/>
      </c>
      <c r="U851" s="70" t="str">
        <f>IFERROR(__xludf.DUMMYFUNCTION("IFERROR(IF(COUNTIF(IMPORTRANGE(""1IG9qoa6PeLdDDFzKpW39lxXshN0-M8Z25a_R1EpsYyg"",""Form Responses 1!B:B""),F851)&gt;0,10,),0)"),"")</f>
        <v/>
      </c>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row>
    <row r="852">
      <c r="B852" s="70"/>
      <c r="C852" s="70"/>
      <c r="D852" s="70"/>
      <c r="E852" s="70"/>
      <c r="F852" s="70"/>
      <c r="G852" s="70"/>
      <c r="H852" s="70"/>
      <c r="I852" s="70"/>
      <c r="J852" s="70"/>
      <c r="K852" s="70"/>
      <c r="L852" s="70"/>
      <c r="M852" s="70"/>
      <c r="N852" s="70"/>
      <c r="O852" s="70"/>
      <c r="P852" s="70"/>
      <c r="Q852" s="70" t="str">
        <f>IFERROR(__xludf.DUMMYFUNCTION("IFERROR(IF(COUNTIF(IMPORTRANGE(""1WjiLR_MTMxI_IZUKuvPO4Sg2rTSIqBzP3edakSRXbOA"",""Form Responses 1!B:B""),F852)&gt;0,10,),0)"),"")</f>
        <v/>
      </c>
      <c r="R852" s="70" t="str">
        <f>IFERROR(__xludf.DUMMYFUNCTION("IFERROR(VLOOKUP(F852,IMPORTRANGE(""1Ixzbal5tEbtWhozsFEppQzOYE6ZSrkNXHg_HW5k3Wt4"",""Form Responses 1!B:C""),2,FALSE),)"),"")</f>
        <v/>
      </c>
      <c r="S852" s="70" t="str">
        <f>IFERROR(__xludf.DUMMYFUNCTION("IFERROR(VLOOKUP(F852,IMPORTRANGE(""1zxjtEKGvVIJPIDqZdnxENwVpPXYa88EihzyI44hcQUo"",""Form Responses 1!B:C""),2,FALSE),)"),"")</f>
        <v/>
      </c>
      <c r="T852" s="70" t="str">
        <f>IFERROR(__xludf.DUMMYFUNCTION("IFERROR(VLOOKUP(F852,IMPORTRANGE(""1H3cO01obd5zFULYqaT5NAqecZBFFIHeDFn4CeQLZF3w"",""Form Responses 1!B:C""),2,FALSE),)"),"")</f>
        <v/>
      </c>
      <c r="U852" s="70" t="str">
        <f>IFERROR(__xludf.DUMMYFUNCTION("IFERROR(IF(COUNTIF(IMPORTRANGE(""1IG9qoa6PeLdDDFzKpW39lxXshN0-M8Z25a_R1EpsYyg"",""Form Responses 1!B:B""),F852)&gt;0,10,),0)"),"")</f>
        <v/>
      </c>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row>
    <row r="853">
      <c r="B853" s="70"/>
      <c r="C853" s="70"/>
      <c r="D853" s="70"/>
      <c r="E853" s="70"/>
      <c r="F853" s="70"/>
      <c r="G853" s="70"/>
      <c r="H853" s="70"/>
      <c r="I853" s="70"/>
      <c r="J853" s="70"/>
      <c r="K853" s="70"/>
      <c r="L853" s="70"/>
      <c r="M853" s="70"/>
      <c r="N853" s="70"/>
      <c r="O853" s="70"/>
      <c r="P853" s="70"/>
      <c r="Q853" s="70" t="str">
        <f>IFERROR(__xludf.DUMMYFUNCTION("IFERROR(IF(COUNTIF(IMPORTRANGE(""1WjiLR_MTMxI_IZUKuvPO4Sg2rTSIqBzP3edakSRXbOA"",""Form Responses 1!B:B""),F853)&gt;0,10,),0)"),"")</f>
        <v/>
      </c>
      <c r="R853" s="70" t="str">
        <f>IFERROR(__xludf.DUMMYFUNCTION("IFERROR(VLOOKUP(F853,IMPORTRANGE(""1Ixzbal5tEbtWhozsFEppQzOYE6ZSrkNXHg_HW5k3Wt4"",""Form Responses 1!B:C""),2,FALSE),)"),"")</f>
        <v/>
      </c>
      <c r="S853" s="70" t="str">
        <f>IFERROR(__xludf.DUMMYFUNCTION("IFERROR(VLOOKUP(F853,IMPORTRANGE(""1zxjtEKGvVIJPIDqZdnxENwVpPXYa88EihzyI44hcQUo"",""Form Responses 1!B:C""),2,FALSE),)"),"")</f>
        <v/>
      </c>
      <c r="T853" s="70" t="str">
        <f>IFERROR(__xludf.DUMMYFUNCTION("IFERROR(VLOOKUP(F853,IMPORTRANGE(""1H3cO01obd5zFULYqaT5NAqecZBFFIHeDFn4CeQLZF3w"",""Form Responses 1!B:C""),2,FALSE),)"),"")</f>
        <v/>
      </c>
      <c r="U853" s="70" t="str">
        <f>IFERROR(__xludf.DUMMYFUNCTION("IFERROR(IF(COUNTIF(IMPORTRANGE(""1IG9qoa6PeLdDDFzKpW39lxXshN0-M8Z25a_R1EpsYyg"",""Form Responses 1!B:B""),F853)&gt;0,10,),0)"),"")</f>
        <v/>
      </c>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row>
    <row r="854">
      <c r="B854" s="70"/>
      <c r="C854" s="70"/>
      <c r="D854" s="70"/>
      <c r="E854" s="70"/>
      <c r="F854" s="70"/>
      <c r="G854" s="70"/>
      <c r="H854" s="70"/>
      <c r="I854" s="70"/>
      <c r="J854" s="70"/>
      <c r="K854" s="70"/>
      <c r="L854" s="70"/>
      <c r="M854" s="70"/>
      <c r="N854" s="70"/>
      <c r="O854" s="70"/>
      <c r="P854" s="70"/>
      <c r="Q854" s="70" t="str">
        <f>IFERROR(__xludf.DUMMYFUNCTION("IFERROR(IF(COUNTIF(IMPORTRANGE(""1WjiLR_MTMxI_IZUKuvPO4Sg2rTSIqBzP3edakSRXbOA"",""Form Responses 1!B:B""),F854)&gt;0,10,),0)"),"")</f>
        <v/>
      </c>
      <c r="R854" s="70" t="str">
        <f>IFERROR(__xludf.DUMMYFUNCTION("IFERROR(VLOOKUP(F854,IMPORTRANGE(""1Ixzbal5tEbtWhozsFEppQzOYE6ZSrkNXHg_HW5k3Wt4"",""Form Responses 1!B:C""),2,FALSE),)"),"")</f>
        <v/>
      </c>
      <c r="S854" s="70" t="str">
        <f>IFERROR(__xludf.DUMMYFUNCTION("IFERROR(VLOOKUP(F854,IMPORTRANGE(""1zxjtEKGvVIJPIDqZdnxENwVpPXYa88EihzyI44hcQUo"",""Form Responses 1!B:C""),2,FALSE),)"),"")</f>
        <v/>
      </c>
      <c r="T854" s="70" t="str">
        <f>IFERROR(__xludf.DUMMYFUNCTION("IFERROR(VLOOKUP(F854,IMPORTRANGE(""1H3cO01obd5zFULYqaT5NAqecZBFFIHeDFn4CeQLZF3w"",""Form Responses 1!B:C""),2,FALSE),)"),"")</f>
        <v/>
      </c>
      <c r="U854" s="70" t="str">
        <f>IFERROR(__xludf.DUMMYFUNCTION("IFERROR(IF(COUNTIF(IMPORTRANGE(""1IG9qoa6PeLdDDFzKpW39lxXshN0-M8Z25a_R1EpsYyg"",""Form Responses 1!B:B""),F854)&gt;0,10,),0)"),"")</f>
        <v/>
      </c>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row>
    <row r="855">
      <c r="B855" s="70"/>
      <c r="C855" s="70"/>
      <c r="D855" s="70"/>
      <c r="E855" s="70"/>
      <c r="F855" s="70"/>
      <c r="G855" s="70"/>
      <c r="H855" s="70"/>
      <c r="I855" s="70"/>
      <c r="J855" s="70"/>
      <c r="K855" s="70"/>
      <c r="L855" s="70"/>
      <c r="M855" s="70"/>
      <c r="N855" s="70"/>
      <c r="O855" s="70"/>
      <c r="P855" s="70"/>
      <c r="Q855" s="70" t="str">
        <f>IFERROR(__xludf.DUMMYFUNCTION("IFERROR(IF(COUNTIF(IMPORTRANGE(""1WjiLR_MTMxI_IZUKuvPO4Sg2rTSIqBzP3edakSRXbOA"",""Form Responses 1!B:B""),F855)&gt;0,10,),0)"),"")</f>
        <v/>
      </c>
      <c r="R855" s="70" t="str">
        <f>IFERROR(__xludf.DUMMYFUNCTION("IFERROR(VLOOKUP(F855,IMPORTRANGE(""1Ixzbal5tEbtWhozsFEppQzOYE6ZSrkNXHg_HW5k3Wt4"",""Form Responses 1!B:C""),2,FALSE),)"),"")</f>
        <v/>
      </c>
      <c r="S855" s="70" t="str">
        <f>IFERROR(__xludf.DUMMYFUNCTION("IFERROR(VLOOKUP(F855,IMPORTRANGE(""1zxjtEKGvVIJPIDqZdnxENwVpPXYa88EihzyI44hcQUo"",""Form Responses 1!B:C""),2,FALSE),)"),"")</f>
        <v/>
      </c>
      <c r="T855" s="70" t="str">
        <f>IFERROR(__xludf.DUMMYFUNCTION("IFERROR(VLOOKUP(F855,IMPORTRANGE(""1H3cO01obd5zFULYqaT5NAqecZBFFIHeDFn4CeQLZF3w"",""Form Responses 1!B:C""),2,FALSE),)"),"")</f>
        <v/>
      </c>
      <c r="U855" s="70" t="str">
        <f>IFERROR(__xludf.DUMMYFUNCTION("IFERROR(IF(COUNTIF(IMPORTRANGE(""1IG9qoa6PeLdDDFzKpW39lxXshN0-M8Z25a_R1EpsYyg"",""Form Responses 1!B:B""),F855)&gt;0,10,),0)"),"")</f>
        <v/>
      </c>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row>
    <row r="856">
      <c r="B856" s="70"/>
      <c r="C856" s="70"/>
      <c r="D856" s="70"/>
      <c r="E856" s="70"/>
      <c r="F856" s="70"/>
      <c r="G856" s="70"/>
      <c r="H856" s="70"/>
      <c r="I856" s="70"/>
      <c r="J856" s="70"/>
      <c r="K856" s="70"/>
      <c r="L856" s="70"/>
      <c r="M856" s="70"/>
      <c r="N856" s="70"/>
      <c r="O856" s="70"/>
      <c r="P856" s="70"/>
      <c r="Q856" s="70" t="str">
        <f>IFERROR(__xludf.DUMMYFUNCTION("IFERROR(IF(COUNTIF(IMPORTRANGE(""1WjiLR_MTMxI_IZUKuvPO4Sg2rTSIqBzP3edakSRXbOA"",""Form Responses 1!B:B""),F856)&gt;0,10,),0)"),"")</f>
        <v/>
      </c>
      <c r="R856" s="70" t="str">
        <f>IFERROR(__xludf.DUMMYFUNCTION("IFERROR(VLOOKUP(F856,IMPORTRANGE(""1Ixzbal5tEbtWhozsFEppQzOYE6ZSrkNXHg_HW5k3Wt4"",""Form Responses 1!B:C""),2,FALSE),)"),"")</f>
        <v/>
      </c>
      <c r="S856" s="70" t="str">
        <f>IFERROR(__xludf.DUMMYFUNCTION("IFERROR(VLOOKUP(F856,IMPORTRANGE(""1zxjtEKGvVIJPIDqZdnxENwVpPXYa88EihzyI44hcQUo"",""Form Responses 1!B:C""),2,FALSE),)"),"")</f>
        <v/>
      </c>
      <c r="T856" s="70" t="str">
        <f>IFERROR(__xludf.DUMMYFUNCTION("IFERROR(VLOOKUP(F856,IMPORTRANGE(""1H3cO01obd5zFULYqaT5NAqecZBFFIHeDFn4CeQLZF3w"",""Form Responses 1!B:C""),2,FALSE),)"),"")</f>
        <v/>
      </c>
      <c r="U856" s="70" t="str">
        <f>IFERROR(__xludf.DUMMYFUNCTION("IFERROR(IF(COUNTIF(IMPORTRANGE(""1IG9qoa6PeLdDDFzKpW39lxXshN0-M8Z25a_R1EpsYyg"",""Form Responses 1!B:B""),F856)&gt;0,10,),0)"),"")</f>
        <v/>
      </c>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row>
    <row r="857">
      <c r="B857" s="70"/>
      <c r="C857" s="70"/>
      <c r="D857" s="70"/>
      <c r="E857" s="70"/>
      <c r="F857" s="70"/>
      <c r="G857" s="70"/>
      <c r="H857" s="70"/>
      <c r="I857" s="70"/>
      <c r="J857" s="70"/>
      <c r="K857" s="70"/>
      <c r="L857" s="70"/>
      <c r="M857" s="70"/>
      <c r="N857" s="70"/>
      <c r="O857" s="70"/>
      <c r="P857" s="70"/>
      <c r="Q857" s="70" t="str">
        <f>IFERROR(__xludf.DUMMYFUNCTION("IFERROR(IF(COUNTIF(IMPORTRANGE(""1WjiLR_MTMxI_IZUKuvPO4Sg2rTSIqBzP3edakSRXbOA"",""Form Responses 1!B:B""),F857)&gt;0,10,),0)"),"")</f>
        <v/>
      </c>
      <c r="R857" s="70" t="str">
        <f>IFERROR(__xludf.DUMMYFUNCTION("IFERROR(VLOOKUP(F857,IMPORTRANGE(""1Ixzbal5tEbtWhozsFEppQzOYE6ZSrkNXHg_HW5k3Wt4"",""Form Responses 1!B:C""),2,FALSE),)"),"")</f>
        <v/>
      </c>
      <c r="S857" s="70" t="str">
        <f>IFERROR(__xludf.DUMMYFUNCTION("IFERROR(VLOOKUP(F857,IMPORTRANGE(""1zxjtEKGvVIJPIDqZdnxENwVpPXYa88EihzyI44hcQUo"",""Form Responses 1!B:C""),2,FALSE),)"),"")</f>
        <v/>
      </c>
      <c r="T857" s="70" t="str">
        <f>IFERROR(__xludf.DUMMYFUNCTION("IFERROR(VLOOKUP(F857,IMPORTRANGE(""1H3cO01obd5zFULYqaT5NAqecZBFFIHeDFn4CeQLZF3w"",""Form Responses 1!B:C""),2,FALSE),)"),"")</f>
        <v/>
      </c>
      <c r="U857" s="70" t="str">
        <f>IFERROR(__xludf.DUMMYFUNCTION("IFERROR(IF(COUNTIF(IMPORTRANGE(""1IG9qoa6PeLdDDFzKpW39lxXshN0-M8Z25a_R1EpsYyg"",""Form Responses 1!B:B""),F857)&gt;0,10,),0)"),"")</f>
        <v/>
      </c>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row>
    <row r="858">
      <c r="B858" s="70"/>
      <c r="C858" s="70"/>
      <c r="D858" s="70"/>
      <c r="E858" s="70"/>
      <c r="F858" s="70"/>
      <c r="G858" s="70"/>
      <c r="H858" s="70"/>
      <c r="I858" s="70"/>
      <c r="J858" s="70"/>
      <c r="K858" s="70"/>
      <c r="L858" s="70"/>
      <c r="M858" s="70"/>
      <c r="N858" s="70"/>
      <c r="O858" s="70"/>
      <c r="P858" s="70"/>
      <c r="Q858" s="70" t="str">
        <f>IFERROR(__xludf.DUMMYFUNCTION("IFERROR(IF(COUNTIF(IMPORTRANGE(""1WjiLR_MTMxI_IZUKuvPO4Sg2rTSIqBzP3edakSRXbOA"",""Form Responses 1!B:B""),F858)&gt;0,10,),0)"),"")</f>
        <v/>
      </c>
      <c r="R858" s="70" t="str">
        <f>IFERROR(__xludf.DUMMYFUNCTION("IFERROR(VLOOKUP(F858,IMPORTRANGE(""1Ixzbal5tEbtWhozsFEppQzOYE6ZSrkNXHg_HW5k3Wt4"",""Form Responses 1!B:C""),2,FALSE),)"),"")</f>
        <v/>
      </c>
      <c r="S858" s="70" t="str">
        <f>IFERROR(__xludf.DUMMYFUNCTION("IFERROR(VLOOKUP(F858,IMPORTRANGE(""1zxjtEKGvVIJPIDqZdnxENwVpPXYa88EihzyI44hcQUo"",""Form Responses 1!B:C""),2,FALSE),)"),"")</f>
        <v/>
      </c>
      <c r="T858" s="70" t="str">
        <f>IFERROR(__xludf.DUMMYFUNCTION("IFERROR(VLOOKUP(F858,IMPORTRANGE(""1H3cO01obd5zFULYqaT5NAqecZBFFIHeDFn4CeQLZF3w"",""Form Responses 1!B:C""),2,FALSE),)"),"")</f>
        <v/>
      </c>
      <c r="U858" s="70" t="str">
        <f>IFERROR(__xludf.DUMMYFUNCTION("IFERROR(IF(COUNTIF(IMPORTRANGE(""1IG9qoa6PeLdDDFzKpW39lxXshN0-M8Z25a_R1EpsYyg"",""Form Responses 1!B:B""),F858)&gt;0,10,),0)"),"")</f>
        <v/>
      </c>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row>
    <row r="859">
      <c r="B859" s="70"/>
      <c r="C859" s="70"/>
      <c r="D859" s="70"/>
      <c r="E859" s="70"/>
      <c r="F859" s="70"/>
      <c r="G859" s="70"/>
      <c r="H859" s="70"/>
      <c r="I859" s="70"/>
      <c r="J859" s="70"/>
      <c r="K859" s="70"/>
      <c r="L859" s="70"/>
      <c r="M859" s="70"/>
      <c r="N859" s="70"/>
      <c r="O859" s="70"/>
      <c r="P859" s="70"/>
      <c r="Q859" s="70" t="str">
        <f>IFERROR(__xludf.DUMMYFUNCTION("IFERROR(IF(COUNTIF(IMPORTRANGE(""1WjiLR_MTMxI_IZUKuvPO4Sg2rTSIqBzP3edakSRXbOA"",""Form Responses 1!B:B""),F859)&gt;0,10,),0)"),"")</f>
        <v/>
      </c>
      <c r="R859" s="70" t="str">
        <f>IFERROR(__xludf.DUMMYFUNCTION("IFERROR(VLOOKUP(F859,IMPORTRANGE(""1Ixzbal5tEbtWhozsFEppQzOYE6ZSrkNXHg_HW5k3Wt4"",""Form Responses 1!B:C""),2,FALSE),)"),"")</f>
        <v/>
      </c>
      <c r="S859" s="70" t="str">
        <f>IFERROR(__xludf.DUMMYFUNCTION("IFERROR(VLOOKUP(F859,IMPORTRANGE(""1zxjtEKGvVIJPIDqZdnxENwVpPXYa88EihzyI44hcQUo"",""Form Responses 1!B:C""),2,FALSE),)"),"")</f>
        <v/>
      </c>
      <c r="T859" s="70" t="str">
        <f>IFERROR(__xludf.DUMMYFUNCTION("IFERROR(VLOOKUP(F859,IMPORTRANGE(""1H3cO01obd5zFULYqaT5NAqecZBFFIHeDFn4CeQLZF3w"",""Form Responses 1!B:C""),2,FALSE),)"),"")</f>
        <v/>
      </c>
      <c r="U859" s="70" t="str">
        <f>IFERROR(__xludf.DUMMYFUNCTION("IFERROR(IF(COUNTIF(IMPORTRANGE(""1IG9qoa6PeLdDDFzKpW39lxXshN0-M8Z25a_R1EpsYyg"",""Form Responses 1!B:B""),F859)&gt;0,10,),0)"),"")</f>
        <v/>
      </c>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row>
    <row r="860">
      <c r="B860" s="70"/>
      <c r="C860" s="70"/>
      <c r="D860" s="70"/>
      <c r="E860" s="70"/>
      <c r="F860" s="70"/>
      <c r="G860" s="70"/>
      <c r="H860" s="70"/>
      <c r="I860" s="70"/>
      <c r="J860" s="70"/>
      <c r="K860" s="70"/>
      <c r="L860" s="70"/>
      <c r="M860" s="70"/>
      <c r="N860" s="70"/>
      <c r="O860" s="70"/>
      <c r="P860" s="70"/>
      <c r="Q860" s="70" t="str">
        <f>IFERROR(__xludf.DUMMYFUNCTION("IFERROR(IF(COUNTIF(IMPORTRANGE(""1WjiLR_MTMxI_IZUKuvPO4Sg2rTSIqBzP3edakSRXbOA"",""Form Responses 1!B:B""),F860)&gt;0,10,),0)"),"")</f>
        <v/>
      </c>
      <c r="R860" s="70" t="str">
        <f>IFERROR(__xludf.DUMMYFUNCTION("IFERROR(VLOOKUP(F860,IMPORTRANGE(""1Ixzbal5tEbtWhozsFEppQzOYE6ZSrkNXHg_HW5k3Wt4"",""Form Responses 1!B:C""),2,FALSE),)"),"")</f>
        <v/>
      </c>
      <c r="S860" s="70" t="str">
        <f>IFERROR(__xludf.DUMMYFUNCTION("IFERROR(VLOOKUP(F860,IMPORTRANGE(""1zxjtEKGvVIJPIDqZdnxENwVpPXYa88EihzyI44hcQUo"",""Form Responses 1!B:C""),2,FALSE),)"),"")</f>
        <v/>
      </c>
      <c r="T860" s="70" t="str">
        <f>IFERROR(__xludf.DUMMYFUNCTION("IFERROR(VLOOKUP(F860,IMPORTRANGE(""1H3cO01obd5zFULYqaT5NAqecZBFFIHeDFn4CeQLZF3w"",""Form Responses 1!B:C""),2,FALSE),)"),"")</f>
        <v/>
      </c>
      <c r="U860" s="70" t="str">
        <f>IFERROR(__xludf.DUMMYFUNCTION("IFERROR(IF(COUNTIF(IMPORTRANGE(""1IG9qoa6PeLdDDFzKpW39lxXshN0-M8Z25a_R1EpsYyg"",""Form Responses 1!B:B""),F860)&gt;0,10,),0)"),"")</f>
        <v/>
      </c>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row>
    <row r="861">
      <c r="B861" s="70"/>
      <c r="C861" s="70"/>
      <c r="D861" s="70"/>
      <c r="E861" s="70"/>
      <c r="F861" s="70"/>
      <c r="G861" s="70"/>
      <c r="H861" s="70"/>
      <c r="I861" s="70"/>
      <c r="J861" s="70"/>
      <c r="K861" s="70"/>
      <c r="L861" s="70"/>
      <c r="M861" s="70"/>
      <c r="N861" s="70"/>
      <c r="O861" s="70"/>
      <c r="P861" s="70"/>
      <c r="Q861" s="70" t="str">
        <f>IFERROR(__xludf.DUMMYFUNCTION("IFERROR(IF(COUNTIF(IMPORTRANGE(""1WjiLR_MTMxI_IZUKuvPO4Sg2rTSIqBzP3edakSRXbOA"",""Form Responses 1!B:B""),F861)&gt;0,10,),0)"),"")</f>
        <v/>
      </c>
      <c r="R861" s="70" t="str">
        <f>IFERROR(__xludf.DUMMYFUNCTION("IFERROR(VLOOKUP(F861,IMPORTRANGE(""1Ixzbal5tEbtWhozsFEppQzOYE6ZSrkNXHg_HW5k3Wt4"",""Form Responses 1!B:C""),2,FALSE),)"),"")</f>
        <v/>
      </c>
      <c r="S861" s="70" t="str">
        <f>IFERROR(__xludf.DUMMYFUNCTION("IFERROR(VLOOKUP(F861,IMPORTRANGE(""1zxjtEKGvVIJPIDqZdnxENwVpPXYa88EihzyI44hcQUo"",""Form Responses 1!B:C""),2,FALSE),)"),"")</f>
        <v/>
      </c>
      <c r="T861" s="70" t="str">
        <f>IFERROR(__xludf.DUMMYFUNCTION("IFERROR(VLOOKUP(F861,IMPORTRANGE(""1H3cO01obd5zFULYqaT5NAqecZBFFIHeDFn4CeQLZF3w"",""Form Responses 1!B:C""),2,FALSE),)"),"")</f>
        <v/>
      </c>
      <c r="U861" s="70" t="str">
        <f>IFERROR(__xludf.DUMMYFUNCTION("IFERROR(IF(COUNTIF(IMPORTRANGE(""1IG9qoa6PeLdDDFzKpW39lxXshN0-M8Z25a_R1EpsYyg"",""Form Responses 1!B:B""),F861)&gt;0,10,),0)"),"")</f>
        <v/>
      </c>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row>
    <row r="862">
      <c r="B862" s="70"/>
      <c r="C862" s="70"/>
      <c r="D862" s="70"/>
      <c r="E862" s="70"/>
      <c r="F862" s="70"/>
      <c r="G862" s="70"/>
      <c r="H862" s="70"/>
      <c r="I862" s="70"/>
      <c r="J862" s="70"/>
      <c r="K862" s="70"/>
      <c r="L862" s="70"/>
      <c r="M862" s="70"/>
      <c r="N862" s="70"/>
      <c r="O862" s="70"/>
      <c r="P862" s="70"/>
      <c r="Q862" s="70" t="str">
        <f>IFERROR(__xludf.DUMMYFUNCTION("IFERROR(IF(COUNTIF(IMPORTRANGE(""1WjiLR_MTMxI_IZUKuvPO4Sg2rTSIqBzP3edakSRXbOA"",""Form Responses 1!B:B""),F862)&gt;0,10,),0)"),"")</f>
        <v/>
      </c>
      <c r="R862" s="70" t="str">
        <f>IFERROR(__xludf.DUMMYFUNCTION("IFERROR(VLOOKUP(F862,IMPORTRANGE(""1Ixzbal5tEbtWhozsFEppQzOYE6ZSrkNXHg_HW5k3Wt4"",""Form Responses 1!B:C""),2,FALSE),)"),"")</f>
        <v/>
      </c>
      <c r="S862" s="70" t="str">
        <f>IFERROR(__xludf.DUMMYFUNCTION("IFERROR(VLOOKUP(F862,IMPORTRANGE(""1zxjtEKGvVIJPIDqZdnxENwVpPXYa88EihzyI44hcQUo"",""Form Responses 1!B:C""),2,FALSE),)"),"")</f>
        <v/>
      </c>
      <c r="T862" s="70" t="str">
        <f>IFERROR(__xludf.DUMMYFUNCTION("IFERROR(VLOOKUP(F862,IMPORTRANGE(""1H3cO01obd5zFULYqaT5NAqecZBFFIHeDFn4CeQLZF3w"",""Form Responses 1!B:C""),2,FALSE),)"),"")</f>
        <v/>
      </c>
      <c r="U862" s="70" t="str">
        <f>IFERROR(__xludf.DUMMYFUNCTION("IFERROR(IF(COUNTIF(IMPORTRANGE(""1IG9qoa6PeLdDDFzKpW39lxXshN0-M8Z25a_R1EpsYyg"",""Form Responses 1!B:B""),F862)&gt;0,10,),0)"),"")</f>
        <v/>
      </c>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row>
    <row r="863">
      <c r="B863" s="70"/>
      <c r="C863" s="70"/>
      <c r="D863" s="70"/>
      <c r="E863" s="70"/>
      <c r="F863" s="70"/>
      <c r="G863" s="70"/>
      <c r="H863" s="70"/>
      <c r="I863" s="70"/>
      <c r="J863" s="70"/>
      <c r="K863" s="70"/>
      <c r="L863" s="70"/>
      <c r="M863" s="70"/>
      <c r="N863" s="70"/>
      <c r="O863" s="70"/>
      <c r="P863" s="70"/>
      <c r="Q863" s="70" t="str">
        <f>IFERROR(__xludf.DUMMYFUNCTION("IFERROR(IF(COUNTIF(IMPORTRANGE(""1WjiLR_MTMxI_IZUKuvPO4Sg2rTSIqBzP3edakSRXbOA"",""Form Responses 1!B:B""),F863)&gt;0,10,),0)"),"")</f>
        <v/>
      </c>
      <c r="R863" s="70" t="str">
        <f>IFERROR(__xludf.DUMMYFUNCTION("IFERROR(VLOOKUP(F863,IMPORTRANGE(""1Ixzbal5tEbtWhozsFEppQzOYE6ZSrkNXHg_HW5k3Wt4"",""Form Responses 1!B:C""),2,FALSE),)"),"")</f>
        <v/>
      </c>
      <c r="S863" s="70" t="str">
        <f>IFERROR(__xludf.DUMMYFUNCTION("IFERROR(VLOOKUP(F863,IMPORTRANGE(""1zxjtEKGvVIJPIDqZdnxENwVpPXYa88EihzyI44hcQUo"",""Form Responses 1!B:C""),2,FALSE),)"),"")</f>
        <v/>
      </c>
      <c r="T863" s="70" t="str">
        <f>IFERROR(__xludf.DUMMYFUNCTION("IFERROR(VLOOKUP(F863,IMPORTRANGE(""1H3cO01obd5zFULYqaT5NAqecZBFFIHeDFn4CeQLZF3w"",""Form Responses 1!B:C""),2,FALSE),)"),"")</f>
        <v/>
      </c>
      <c r="U863" s="70" t="str">
        <f>IFERROR(__xludf.DUMMYFUNCTION("IFERROR(IF(COUNTIF(IMPORTRANGE(""1IG9qoa6PeLdDDFzKpW39lxXshN0-M8Z25a_R1EpsYyg"",""Form Responses 1!B:B""),F863)&gt;0,10,),0)"),"")</f>
        <v/>
      </c>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row>
    <row r="864">
      <c r="B864" s="70"/>
      <c r="C864" s="70"/>
      <c r="D864" s="70"/>
      <c r="E864" s="70"/>
      <c r="F864" s="70"/>
      <c r="G864" s="70"/>
      <c r="H864" s="70"/>
      <c r="I864" s="70"/>
      <c r="J864" s="70"/>
      <c r="K864" s="70"/>
      <c r="L864" s="70"/>
      <c r="M864" s="70"/>
      <c r="N864" s="70"/>
      <c r="O864" s="70"/>
      <c r="P864" s="70"/>
      <c r="Q864" s="70" t="str">
        <f>IFERROR(__xludf.DUMMYFUNCTION("IFERROR(IF(COUNTIF(IMPORTRANGE(""1WjiLR_MTMxI_IZUKuvPO4Sg2rTSIqBzP3edakSRXbOA"",""Form Responses 1!B:B""),F864)&gt;0,10,),0)"),"")</f>
        <v/>
      </c>
      <c r="R864" s="70" t="str">
        <f>IFERROR(__xludf.DUMMYFUNCTION("IFERROR(VLOOKUP(F864,IMPORTRANGE(""1Ixzbal5tEbtWhozsFEppQzOYE6ZSrkNXHg_HW5k3Wt4"",""Form Responses 1!B:C""),2,FALSE),)"),"")</f>
        <v/>
      </c>
      <c r="S864" s="70" t="str">
        <f>IFERROR(__xludf.DUMMYFUNCTION("IFERROR(VLOOKUP(F864,IMPORTRANGE(""1zxjtEKGvVIJPIDqZdnxENwVpPXYa88EihzyI44hcQUo"",""Form Responses 1!B:C""),2,FALSE),)"),"")</f>
        <v/>
      </c>
      <c r="T864" s="70" t="str">
        <f>IFERROR(__xludf.DUMMYFUNCTION("IFERROR(VLOOKUP(F864,IMPORTRANGE(""1H3cO01obd5zFULYqaT5NAqecZBFFIHeDFn4CeQLZF3w"",""Form Responses 1!B:C""),2,FALSE),)"),"")</f>
        <v/>
      </c>
      <c r="U864" s="70" t="str">
        <f>IFERROR(__xludf.DUMMYFUNCTION("IFERROR(IF(COUNTIF(IMPORTRANGE(""1IG9qoa6PeLdDDFzKpW39lxXshN0-M8Z25a_R1EpsYyg"",""Form Responses 1!B:B""),F864)&gt;0,10,),0)"),"")</f>
        <v/>
      </c>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row>
    <row r="865">
      <c r="B865" s="70"/>
      <c r="C865" s="70"/>
      <c r="D865" s="70"/>
      <c r="E865" s="70"/>
      <c r="F865" s="70"/>
      <c r="G865" s="70"/>
      <c r="H865" s="70"/>
      <c r="I865" s="70"/>
      <c r="J865" s="70"/>
      <c r="K865" s="70"/>
      <c r="L865" s="70"/>
      <c r="M865" s="70"/>
      <c r="N865" s="70"/>
      <c r="O865" s="70"/>
      <c r="P865" s="70"/>
      <c r="Q865" s="70" t="str">
        <f>IFERROR(__xludf.DUMMYFUNCTION("IFERROR(IF(COUNTIF(IMPORTRANGE(""1WjiLR_MTMxI_IZUKuvPO4Sg2rTSIqBzP3edakSRXbOA"",""Form Responses 1!B:B""),F865)&gt;0,10,),0)"),"")</f>
        <v/>
      </c>
      <c r="R865" s="70" t="str">
        <f>IFERROR(__xludf.DUMMYFUNCTION("IFERROR(VLOOKUP(F865,IMPORTRANGE(""1Ixzbal5tEbtWhozsFEppQzOYE6ZSrkNXHg_HW5k3Wt4"",""Form Responses 1!B:C""),2,FALSE),)"),"")</f>
        <v/>
      </c>
      <c r="S865" s="70" t="str">
        <f>IFERROR(__xludf.DUMMYFUNCTION("IFERROR(VLOOKUP(F865,IMPORTRANGE(""1zxjtEKGvVIJPIDqZdnxENwVpPXYa88EihzyI44hcQUo"",""Form Responses 1!B:C""),2,FALSE),)"),"")</f>
        <v/>
      </c>
      <c r="T865" s="70" t="str">
        <f>IFERROR(__xludf.DUMMYFUNCTION("IFERROR(VLOOKUP(F865,IMPORTRANGE(""1H3cO01obd5zFULYqaT5NAqecZBFFIHeDFn4CeQLZF3w"",""Form Responses 1!B:C""),2,FALSE),)"),"")</f>
        <v/>
      </c>
      <c r="U865" s="70" t="str">
        <f>IFERROR(__xludf.DUMMYFUNCTION("IFERROR(IF(COUNTIF(IMPORTRANGE(""1IG9qoa6PeLdDDFzKpW39lxXshN0-M8Z25a_R1EpsYyg"",""Form Responses 1!B:B""),F865)&gt;0,10,),0)"),"")</f>
        <v/>
      </c>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row>
    <row r="866">
      <c r="B866" s="70"/>
      <c r="C866" s="70"/>
      <c r="D866" s="70"/>
      <c r="E866" s="70"/>
      <c r="F866" s="70"/>
      <c r="G866" s="70"/>
      <c r="H866" s="70"/>
      <c r="I866" s="70"/>
      <c r="J866" s="70"/>
      <c r="K866" s="70"/>
      <c r="L866" s="70"/>
      <c r="M866" s="70"/>
      <c r="N866" s="70"/>
      <c r="O866" s="70"/>
      <c r="P866" s="70"/>
      <c r="Q866" s="70" t="str">
        <f>IFERROR(__xludf.DUMMYFUNCTION("IFERROR(IF(COUNTIF(IMPORTRANGE(""1WjiLR_MTMxI_IZUKuvPO4Sg2rTSIqBzP3edakSRXbOA"",""Form Responses 1!B:B""),F866)&gt;0,10,),0)"),"")</f>
        <v/>
      </c>
      <c r="R866" s="70" t="str">
        <f>IFERROR(__xludf.DUMMYFUNCTION("IFERROR(VLOOKUP(F866,IMPORTRANGE(""1Ixzbal5tEbtWhozsFEppQzOYE6ZSrkNXHg_HW5k3Wt4"",""Form Responses 1!B:C""),2,FALSE),)"),"")</f>
        <v/>
      </c>
      <c r="S866" s="70" t="str">
        <f>IFERROR(__xludf.DUMMYFUNCTION("IFERROR(VLOOKUP(F866,IMPORTRANGE(""1zxjtEKGvVIJPIDqZdnxENwVpPXYa88EihzyI44hcQUo"",""Form Responses 1!B:C""),2,FALSE),)"),"")</f>
        <v/>
      </c>
      <c r="T866" s="70" t="str">
        <f>IFERROR(__xludf.DUMMYFUNCTION("IFERROR(VLOOKUP(F866,IMPORTRANGE(""1H3cO01obd5zFULYqaT5NAqecZBFFIHeDFn4CeQLZF3w"",""Form Responses 1!B:C""),2,FALSE),)"),"")</f>
        <v/>
      </c>
      <c r="U866" s="70" t="str">
        <f>IFERROR(__xludf.DUMMYFUNCTION("IFERROR(IF(COUNTIF(IMPORTRANGE(""1IG9qoa6PeLdDDFzKpW39lxXshN0-M8Z25a_R1EpsYyg"",""Form Responses 1!B:B""),F866)&gt;0,10,),0)"),"")</f>
        <v/>
      </c>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row>
    <row r="867">
      <c r="B867" s="70"/>
      <c r="C867" s="70"/>
      <c r="D867" s="70"/>
      <c r="E867" s="70"/>
      <c r="F867" s="70"/>
      <c r="G867" s="70"/>
      <c r="H867" s="70"/>
      <c r="I867" s="70"/>
      <c r="J867" s="70"/>
      <c r="K867" s="70"/>
      <c r="L867" s="70"/>
      <c r="M867" s="70"/>
      <c r="N867" s="70"/>
      <c r="O867" s="70"/>
      <c r="P867" s="70"/>
      <c r="Q867" s="70" t="str">
        <f>IFERROR(__xludf.DUMMYFUNCTION("IFERROR(IF(COUNTIF(IMPORTRANGE(""1WjiLR_MTMxI_IZUKuvPO4Sg2rTSIqBzP3edakSRXbOA"",""Form Responses 1!B:B""),F867)&gt;0,10,),0)"),"")</f>
        <v/>
      </c>
      <c r="R867" s="70" t="str">
        <f>IFERROR(__xludf.DUMMYFUNCTION("IFERROR(VLOOKUP(F867,IMPORTRANGE(""1Ixzbal5tEbtWhozsFEppQzOYE6ZSrkNXHg_HW5k3Wt4"",""Form Responses 1!B:C""),2,FALSE),)"),"")</f>
        <v/>
      </c>
      <c r="S867" s="70" t="str">
        <f>IFERROR(__xludf.DUMMYFUNCTION("IFERROR(VLOOKUP(F867,IMPORTRANGE(""1zxjtEKGvVIJPIDqZdnxENwVpPXYa88EihzyI44hcQUo"",""Form Responses 1!B:C""),2,FALSE),)"),"")</f>
        <v/>
      </c>
      <c r="T867" s="70" t="str">
        <f>IFERROR(__xludf.DUMMYFUNCTION("IFERROR(VLOOKUP(F867,IMPORTRANGE(""1H3cO01obd5zFULYqaT5NAqecZBFFIHeDFn4CeQLZF3w"",""Form Responses 1!B:C""),2,FALSE),)"),"")</f>
        <v/>
      </c>
      <c r="U867" s="70" t="str">
        <f>IFERROR(__xludf.DUMMYFUNCTION("IFERROR(IF(COUNTIF(IMPORTRANGE(""1IG9qoa6PeLdDDFzKpW39lxXshN0-M8Z25a_R1EpsYyg"",""Form Responses 1!B:B""),F867)&gt;0,10,),0)"),"")</f>
        <v/>
      </c>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row>
    <row r="868">
      <c r="B868" s="70"/>
      <c r="C868" s="70"/>
      <c r="D868" s="70"/>
      <c r="E868" s="70"/>
      <c r="F868" s="70"/>
      <c r="G868" s="70"/>
      <c r="H868" s="70"/>
      <c r="I868" s="70"/>
      <c r="J868" s="70"/>
      <c r="K868" s="70"/>
      <c r="L868" s="70"/>
      <c r="M868" s="70"/>
      <c r="N868" s="70"/>
      <c r="O868" s="70"/>
      <c r="P868" s="70"/>
      <c r="Q868" s="70" t="str">
        <f>IFERROR(__xludf.DUMMYFUNCTION("IFERROR(IF(COUNTIF(IMPORTRANGE(""1WjiLR_MTMxI_IZUKuvPO4Sg2rTSIqBzP3edakSRXbOA"",""Form Responses 1!B:B""),F868)&gt;0,10,),0)"),"")</f>
        <v/>
      </c>
      <c r="R868" s="70" t="str">
        <f>IFERROR(__xludf.DUMMYFUNCTION("IFERROR(VLOOKUP(F868,IMPORTRANGE(""1Ixzbal5tEbtWhozsFEppQzOYE6ZSrkNXHg_HW5k3Wt4"",""Form Responses 1!B:C""),2,FALSE),)"),"")</f>
        <v/>
      </c>
      <c r="S868" s="70" t="str">
        <f>IFERROR(__xludf.DUMMYFUNCTION("IFERROR(VLOOKUP(F868,IMPORTRANGE(""1zxjtEKGvVIJPIDqZdnxENwVpPXYa88EihzyI44hcQUo"",""Form Responses 1!B:C""),2,FALSE),)"),"")</f>
        <v/>
      </c>
      <c r="T868" s="70" t="str">
        <f>IFERROR(__xludf.DUMMYFUNCTION("IFERROR(VLOOKUP(F868,IMPORTRANGE(""1H3cO01obd5zFULYqaT5NAqecZBFFIHeDFn4CeQLZF3w"",""Form Responses 1!B:C""),2,FALSE),)"),"")</f>
        <v/>
      </c>
      <c r="U868" s="70" t="str">
        <f>IFERROR(__xludf.DUMMYFUNCTION("IFERROR(IF(COUNTIF(IMPORTRANGE(""1IG9qoa6PeLdDDFzKpW39lxXshN0-M8Z25a_R1EpsYyg"",""Form Responses 1!B:B""),F868)&gt;0,10,),0)"),"")</f>
        <v/>
      </c>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row>
    <row r="869">
      <c r="B869" s="70"/>
      <c r="C869" s="70"/>
      <c r="D869" s="70"/>
      <c r="E869" s="70"/>
      <c r="F869" s="70"/>
      <c r="G869" s="70"/>
      <c r="H869" s="70"/>
      <c r="I869" s="70"/>
      <c r="J869" s="70"/>
      <c r="K869" s="70"/>
      <c r="L869" s="70"/>
      <c r="M869" s="70"/>
      <c r="N869" s="70"/>
      <c r="O869" s="70"/>
      <c r="P869" s="70"/>
      <c r="Q869" s="70" t="str">
        <f>IFERROR(__xludf.DUMMYFUNCTION("IFERROR(IF(COUNTIF(IMPORTRANGE(""1WjiLR_MTMxI_IZUKuvPO4Sg2rTSIqBzP3edakSRXbOA"",""Form Responses 1!B:B""),F869)&gt;0,10,),0)"),"")</f>
        <v/>
      </c>
      <c r="R869" s="70" t="str">
        <f>IFERROR(__xludf.DUMMYFUNCTION("IFERROR(VLOOKUP(F869,IMPORTRANGE(""1Ixzbal5tEbtWhozsFEppQzOYE6ZSrkNXHg_HW5k3Wt4"",""Form Responses 1!B:C""),2,FALSE),)"),"")</f>
        <v/>
      </c>
      <c r="S869" s="70" t="str">
        <f>IFERROR(__xludf.DUMMYFUNCTION("IFERROR(VLOOKUP(F869,IMPORTRANGE(""1zxjtEKGvVIJPIDqZdnxENwVpPXYa88EihzyI44hcQUo"",""Form Responses 1!B:C""),2,FALSE),)"),"")</f>
        <v/>
      </c>
      <c r="T869" s="70" t="str">
        <f>IFERROR(__xludf.DUMMYFUNCTION("IFERROR(VLOOKUP(F869,IMPORTRANGE(""1H3cO01obd5zFULYqaT5NAqecZBFFIHeDFn4CeQLZF3w"",""Form Responses 1!B:C""),2,FALSE),)"),"")</f>
        <v/>
      </c>
      <c r="U869" s="70" t="str">
        <f>IFERROR(__xludf.DUMMYFUNCTION("IFERROR(IF(COUNTIF(IMPORTRANGE(""1IG9qoa6PeLdDDFzKpW39lxXshN0-M8Z25a_R1EpsYyg"",""Form Responses 1!B:B""),F869)&gt;0,10,),0)"),"")</f>
        <v/>
      </c>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row>
    <row r="870">
      <c r="B870" s="70"/>
      <c r="C870" s="70"/>
      <c r="D870" s="70"/>
      <c r="E870" s="70"/>
      <c r="F870" s="70"/>
      <c r="G870" s="70"/>
      <c r="H870" s="70"/>
      <c r="I870" s="70"/>
      <c r="J870" s="70"/>
      <c r="K870" s="70"/>
      <c r="L870" s="70"/>
      <c r="M870" s="70"/>
      <c r="N870" s="70"/>
      <c r="O870" s="70"/>
      <c r="P870" s="70"/>
      <c r="Q870" s="70" t="str">
        <f>IFERROR(__xludf.DUMMYFUNCTION("IFERROR(IF(COUNTIF(IMPORTRANGE(""1WjiLR_MTMxI_IZUKuvPO4Sg2rTSIqBzP3edakSRXbOA"",""Form Responses 1!B:B""),F870)&gt;0,10,),0)"),"")</f>
        <v/>
      </c>
      <c r="R870" s="70" t="str">
        <f>IFERROR(__xludf.DUMMYFUNCTION("IFERROR(VLOOKUP(F870,IMPORTRANGE(""1Ixzbal5tEbtWhozsFEppQzOYE6ZSrkNXHg_HW5k3Wt4"",""Form Responses 1!B:C""),2,FALSE),)"),"")</f>
        <v/>
      </c>
      <c r="S870" s="70" t="str">
        <f>IFERROR(__xludf.DUMMYFUNCTION("IFERROR(VLOOKUP(F870,IMPORTRANGE(""1zxjtEKGvVIJPIDqZdnxENwVpPXYa88EihzyI44hcQUo"",""Form Responses 1!B:C""),2,FALSE),)"),"")</f>
        <v/>
      </c>
      <c r="T870" s="70" t="str">
        <f>IFERROR(__xludf.DUMMYFUNCTION("IFERROR(VLOOKUP(F870,IMPORTRANGE(""1H3cO01obd5zFULYqaT5NAqecZBFFIHeDFn4CeQLZF3w"",""Form Responses 1!B:C""),2,FALSE),)"),"")</f>
        <v/>
      </c>
      <c r="U870" s="70" t="str">
        <f>IFERROR(__xludf.DUMMYFUNCTION("IFERROR(IF(COUNTIF(IMPORTRANGE(""1IG9qoa6PeLdDDFzKpW39lxXshN0-M8Z25a_R1EpsYyg"",""Form Responses 1!B:B""),F870)&gt;0,10,),0)"),"")</f>
        <v/>
      </c>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row>
    <row r="871">
      <c r="B871" s="70"/>
      <c r="C871" s="70"/>
      <c r="D871" s="70"/>
      <c r="E871" s="70"/>
      <c r="F871" s="70"/>
      <c r="G871" s="70"/>
      <c r="H871" s="70"/>
      <c r="I871" s="70"/>
      <c r="J871" s="70"/>
      <c r="K871" s="70"/>
      <c r="L871" s="70"/>
      <c r="M871" s="70"/>
      <c r="N871" s="70"/>
      <c r="O871" s="70"/>
      <c r="P871" s="70"/>
      <c r="Q871" s="70" t="str">
        <f>IFERROR(__xludf.DUMMYFUNCTION("IFERROR(IF(COUNTIF(IMPORTRANGE(""1WjiLR_MTMxI_IZUKuvPO4Sg2rTSIqBzP3edakSRXbOA"",""Form Responses 1!B:B""),F871)&gt;0,10,),0)"),"")</f>
        <v/>
      </c>
      <c r="R871" s="70" t="str">
        <f>IFERROR(__xludf.DUMMYFUNCTION("IFERROR(VLOOKUP(F871,IMPORTRANGE(""1Ixzbal5tEbtWhozsFEppQzOYE6ZSrkNXHg_HW5k3Wt4"",""Form Responses 1!B:C""),2,FALSE),)"),"")</f>
        <v/>
      </c>
      <c r="S871" s="70" t="str">
        <f>IFERROR(__xludf.DUMMYFUNCTION("IFERROR(VLOOKUP(F871,IMPORTRANGE(""1zxjtEKGvVIJPIDqZdnxENwVpPXYa88EihzyI44hcQUo"",""Form Responses 1!B:C""),2,FALSE),)"),"")</f>
        <v/>
      </c>
      <c r="T871" s="70" t="str">
        <f>IFERROR(__xludf.DUMMYFUNCTION("IFERROR(VLOOKUP(F871,IMPORTRANGE(""1H3cO01obd5zFULYqaT5NAqecZBFFIHeDFn4CeQLZF3w"",""Form Responses 1!B:C""),2,FALSE),)"),"")</f>
        <v/>
      </c>
      <c r="U871" s="70" t="str">
        <f>IFERROR(__xludf.DUMMYFUNCTION("IFERROR(IF(COUNTIF(IMPORTRANGE(""1IG9qoa6PeLdDDFzKpW39lxXshN0-M8Z25a_R1EpsYyg"",""Form Responses 1!B:B""),F871)&gt;0,10,),0)"),"")</f>
        <v/>
      </c>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row>
    <row r="872">
      <c r="B872" s="70"/>
      <c r="C872" s="70"/>
      <c r="D872" s="70"/>
      <c r="E872" s="70"/>
      <c r="F872" s="70"/>
      <c r="G872" s="70"/>
      <c r="H872" s="70"/>
      <c r="I872" s="70"/>
      <c r="J872" s="70"/>
      <c r="K872" s="70"/>
      <c r="L872" s="70"/>
      <c r="M872" s="70"/>
      <c r="N872" s="70"/>
      <c r="O872" s="70"/>
      <c r="P872" s="70"/>
      <c r="Q872" s="70" t="str">
        <f>IFERROR(__xludf.DUMMYFUNCTION("IFERROR(IF(COUNTIF(IMPORTRANGE(""1WjiLR_MTMxI_IZUKuvPO4Sg2rTSIqBzP3edakSRXbOA"",""Form Responses 1!B:B""),F872)&gt;0,10,),0)"),"")</f>
        <v/>
      </c>
      <c r="R872" s="70" t="str">
        <f>IFERROR(__xludf.DUMMYFUNCTION("IFERROR(VLOOKUP(F872,IMPORTRANGE(""1Ixzbal5tEbtWhozsFEppQzOYE6ZSrkNXHg_HW5k3Wt4"",""Form Responses 1!B:C""),2,FALSE),)"),"")</f>
        <v/>
      </c>
      <c r="S872" s="70" t="str">
        <f>IFERROR(__xludf.DUMMYFUNCTION("IFERROR(VLOOKUP(F872,IMPORTRANGE(""1zxjtEKGvVIJPIDqZdnxENwVpPXYa88EihzyI44hcQUo"",""Form Responses 1!B:C""),2,FALSE),)"),"")</f>
        <v/>
      </c>
      <c r="T872" s="70" t="str">
        <f>IFERROR(__xludf.DUMMYFUNCTION("IFERROR(VLOOKUP(F872,IMPORTRANGE(""1H3cO01obd5zFULYqaT5NAqecZBFFIHeDFn4CeQLZF3w"",""Form Responses 1!B:C""),2,FALSE),)"),"")</f>
        <v/>
      </c>
      <c r="U872" s="70" t="str">
        <f>IFERROR(__xludf.DUMMYFUNCTION("IFERROR(IF(COUNTIF(IMPORTRANGE(""1IG9qoa6PeLdDDFzKpW39lxXshN0-M8Z25a_R1EpsYyg"",""Form Responses 1!B:B""),F872)&gt;0,10,),0)"),"")</f>
        <v/>
      </c>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row>
    <row r="873">
      <c r="B873" s="70"/>
      <c r="C873" s="70"/>
      <c r="D873" s="70"/>
      <c r="E873" s="70"/>
      <c r="F873" s="70"/>
      <c r="G873" s="70"/>
      <c r="H873" s="70"/>
      <c r="I873" s="70"/>
      <c r="J873" s="70"/>
      <c r="K873" s="70"/>
      <c r="L873" s="70"/>
      <c r="M873" s="70"/>
      <c r="N873" s="70"/>
      <c r="O873" s="70"/>
      <c r="P873" s="70"/>
      <c r="Q873" s="70" t="str">
        <f>IFERROR(__xludf.DUMMYFUNCTION("IFERROR(IF(COUNTIF(IMPORTRANGE(""1WjiLR_MTMxI_IZUKuvPO4Sg2rTSIqBzP3edakSRXbOA"",""Form Responses 1!B:B""),F873)&gt;0,10,),0)"),"")</f>
        <v/>
      </c>
      <c r="R873" s="70" t="str">
        <f>IFERROR(__xludf.DUMMYFUNCTION("IFERROR(VLOOKUP(F873,IMPORTRANGE(""1Ixzbal5tEbtWhozsFEppQzOYE6ZSrkNXHg_HW5k3Wt4"",""Form Responses 1!B:C""),2,FALSE),)"),"")</f>
        <v/>
      </c>
      <c r="S873" s="70" t="str">
        <f>IFERROR(__xludf.DUMMYFUNCTION("IFERROR(VLOOKUP(F873,IMPORTRANGE(""1zxjtEKGvVIJPIDqZdnxENwVpPXYa88EihzyI44hcQUo"",""Form Responses 1!B:C""),2,FALSE),)"),"")</f>
        <v/>
      </c>
      <c r="T873" s="70" t="str">
        <f>IFERROR(__xludf.DUMMYFUNCTION("IFERROR(VLOOKUP(F873,IMPORTRANGE(""1H3cO01obd5zFULYqaT5NAqecZBFFIHeDFn4CeQLZF3w"",""Form Responses 1!B:C""),2,FALSE),)"),"")</f>
        <v/>
      </c>
      <c r="U873" s="70" t="str">
        <f>IFERROR(__xludf.DUMMYFUNCTION("IFERROR(IF(COUNTIF(IMPORTRANGE(""1IG9qoa6PeLdDDFzKpW39lxXshN0-M8Z25a_R1EpsYyg"",""Form Responses 1!B:B""),F873)&gt;0,10,),0)"),"")</f>
        <v/>
      </c>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row>
    <row r="874">
      <c r="B874" s="70"/>
      <c r="C874" s="70"/>
      <c r="D874" s="70"/>
      <c r="E874" s="70"/>
      <c r="F874" s="70"/>
      <c r="G874" s="70"/>
      <c r="H874" s="70"/>
      <c r="I874" s="70"/>
      <c r="J874" s="70"/>
      <c r="K874" s="70"/>
      <c r="L874" s="70"/>
      <c r="M874" s="70"/>
      <c r="N874" s="70"/>
      <c r="O874" s="70"/>
      <c r="P874" s="70"/>
      <c r="Q874" s="70" t="str">
        <f>IFERROR(__xludf.DUMMYFUNCTION("IFERROR(IF(COUNTIF(IMPORTRANGE(""1WjiLR_MTMxI_IZUKuvPO4Sg2rTSIqBzP3edakSRXbOA"",""Form Responses 1!B:B""),F874)&gt;0,10,),0)"),"")</f>
        <v/>
      </c>
      <c r="R874" s="70" t="str">
        <f>IFERROR(__xludf.DUMMYFUNCTION("IFERROR(VLOOKUP(F874,IMPORTRANGE(""1Ixzbal5tEbtWhozsFEppQzOYE6ZSrkNXHg_HW5k3Wt4"",""Form Responses 1!B:C""),2,FALSE),)"),"")</f>
        <v/>
      </c>
      <c r="S874" s="70" t="str">
        <f>IFERROR(__xludf.DUMMYFUNCTION("IFERROR(VLOOKUP(F874,IMPORTRANGE(""1zxjtEKGvVIJPIDqZdnxENwVpPXYa88EihzyI44hcQUo"",""Form Responses 1!B:C""),2,FALSE),)"),"")</f>
        <v/>
      </c>
      <c r="T874" s="70" t="str">
        <f>IFERROR(__xludf.DUMMYFUNCTION("IFERROR(VLOOKUP(F874,IMPORTRANGE(""1H3cO01obd5zFULYqaT5NAqecZBFFIHeDFn4CeQLZF3w"",""Form Responses 1!B:C""),2,FALSE),)"),"")</f>
        <v/>
      </c>
      <c r="U874" s="70" t="str">
        <f>IFERROR(__xludf.DUMMYFUNCTION("IFERROR(IF(COUNTIF(IMPORTRANGE(""1IG9qoa6PeLdDDFzKpW39lxXshN0-M8Z25a_R1EpsYyg"",""Form Responses 1!B:B""),F874)&gt;0,10,),0)"),"")</f>
        <v/>
      </c>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row>
    <row r="875">
      <c r="B875" s="70"/>
      <c r="C875" s="70"/>
      <c r="D875" s="70"/>
      <c r="E875" s="70"/>
      <c r="F875" s="70"/>
      <c r="G875" s="70"/>
      <c r="H875" s="70"/>
      <c r="I875" s="70"/>
      <c r="J875" s="70"/>
      <c r="K875" s="70"/>
      <c r="L875" s="70"/>
      <c r="M875" s="70"/>
      <c r="N875" s="70"/>
      <c r="O875" s="70"/>
      <c r="P875" s="70"/>
      <c r="Q875" s="70" t="str">
        <f>IFERROR(__xludf.DUMMYFUNCTION("IFERROR(IF(COUNTIF(IMPORTRANGE(""1WjiLR_MTMxI_IZUKuvPO4Sg2rTSIqBzP3edakSRXbOA"",""Form Responses 1!B:B""),F875)&gt;0,10,),0)"),"")</f>
        <v/>
      </c>
      <c r="R875" s="70" t="str">
        <f>IFERROR(__xludf.DUMMYFUNCTION("IFERROR(VLOOKUP(F875,IMPORTRANGE(""1Ixzbal5tEbtWhozsFEppQzOYE6ZSrkNXHg_HW5k3Wt4"",""Form Responses 1!B:C""),2,FALSE),)"),"")</f>
        <v/>
      </c>
      <c r="S875" s="70" t="str">
        <f>IFERROR(__xludf.DUMMYFUNCTION("IFERROR(VLOOKUP(F875,IMPORTRANGE(""1zxjtEKGvVIJPIDqZdnxENwVpPXYa88EihzyI44hcQUo"",""Form Responses 1!B:C""),2,FALSE),)"),"")</f>
        <v/>
      </c>
      <c r="T875" s="70" t="str">
        <f>IFERROR(__xludf.DUMMYFUNCTION("IFERROR(VLOOKUP(F875,IMPORTRANGE(""1H3cO01obd5zFULYqaT5NAqecZBFFIHeDFn4CeQLZF3w"",""Form Responses 1!B:C""),2,FALSE),)"),"")</f>
        <v/>
      </c>
      <c r="U875" s="70" t="str">
        <f>IFERROR(__xludf.DUMMYFUNCTION("IFERROR(IF(COUNTIF(IMPORTRANGE(""1IG9qoa6PeLdDDFzKpW39lxXshN0-M8Z25a_R1EpsYyg"",""Form Responses 1!B:B""),F875)&gt;0,10,),0)"),"")</f>
        <v/>
      </c>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row>
    <row r="876">
      <c r="B876" s="70"/>
      <c r="C876" s="70"/>
      <c r="D876" s="70"/>
      <c r="E876" s="70"/>
      <c r="F876" s="70"/>
      <c r="G876" s="70"/>
      <c r="H876" s="70"/>
      <c r="I876" s="70"/>
      <c r="J876" s="70"/>
      <c r="K876" s="70"/>
      <c r="L876" s="70"/>
      <c r="M876" s="70"/>
      <c r="N876" s="70"/>
      <c r="O876" s="70"/>
      <c r="P876" s="70"/>
      <c r="Q876" s="70" t="str">
        <f>IFERROR(__xludf.DUMMYFUNCTION("IFERROR(IF(COUNTIF(IMPORTRANGE(""1WjiLR_MTMxI_IZUKuvPO4Sg2rTSIqBzP3edakSRXbOA"",""Form Responses 1!B:B""),F876)&gt;0,10,),0)"),"")</f>
        <v/>
      </c>
      <c r="R876" s="70" t="str">
        <f>IFERROR(__xludf.DUMMYFUNCTION("IFERROR(VLOOKUP(F876,IMPORTRANGE(""1Ixzbal5tEbtWhozsFEppQzOYE6ZSrkNXHg_HW5k3Wt4"",""Form Responses 1!B:C""),2,FALSE),)"),"")</f>
        <v/>
      </c>
      <c r="S876" s="70" t="str">
        <f>IFERROR(__xludf.DUMMYFUNCTION("IFERROR(VLOOKUP(F876,IMPORTRANGE(""1zxjtEKGvVIJPIDqZdnxENwVpPXYa88EihzyI44hcQUo"",""Form Responses 1!B:C""),2,FALSE),)"),"")</f>
        <v/>
      </c>
      <c r="T876" s="70" t="str">
        <f>IFERROR(__xludf.DUMMYFUNCTION("IFERROR(VLOOKUP(F876,IMPORTRANGE(""1H3cO01obd5zFULYqaT5NAqecZBFFIHeDFn4CeQLZF3w"",""Form Responses 1!B:C""),2,FALSE),)"),"")</f>
        <v/>
      </c>
      <c r="U876" s="70" t="str">
        <f>IFERROR(__xludf.DUMMYFUNCTION("IFERROR(IF(COUNTIF(IMPORTRANGE(""1IG9qoa6PeLdDDFzKpW39lxXshN0-M8Z25a_R1EpsYyg"",""Form Responses 1!B:B""),F876)&gt;0,10,),0)"),"")</f>
        <v/>
      </c>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row>
    <row r="877">
      <c r="B877" s="70"/>
      <c r="C877" s="70"/>
      <c r="D877" s="70"/>
      <c r="E877" s="70"/>
      <c r="F877" s="70"/>
      <c r="G877" s="70"/>
      <c r="H877" s="70"/>
      <c r="I877" s="70"/>
      <c r="J877" s="70"/>
      <c r="K877" s="70"/>
      <c r="L877" s="70"/>
      <c r="M877" s="70"/>
      <c r="N877" s="70"/>
      <c r="O877" s="70"/>
      <c r="P877" s="70"/>
      <c r="Q877" s="70" t="str">
        <f>IFERROR(__xludf.DUMMYFUNCTION("IFERROR(IF(COUNTIF(IMPORTRANGE(""1WjiLR_MTMxI_IZUKuvPO4Sg2rTSIqBzP3edakSRXbOA"",""Form Responses 1!B:B""),F877)&gt;0,10,),0)"),"")</f>
        <v/>
      </c>
      <c r="R877" s="70" t="str">
        <f>IFERROR(__xludf.DUMMYFUNCTION("IFERROR(VLOOKUP(F877,IMPORTRANGE(""1Ixzbal5tEbtWhozsFEppQzOYE6ZSrkNXHg_HW5k3Wt4"",""Form Responses 1!B:C""),2,FALSE),)"),"")</f>
        <v/>
      </c>
      <c r="S877" s="70" t="str">
        <f>IFERROR(__xludf.DUMMYFUNCTION("IFERROR(VLOOKUP(F877,IMPORTRANGE(""1zxjtEKGvVIJPIDqZdnxENwVpPXYa88EihzyI44hcQUo"",""Form Responses 1!B:C""),2,FALSE),)"),"")</f>
        <v/>
      </c>
      <c r="T877" s="70" t="str">
        <f>IFERROR(__xludf.DUMMYFUNCTION("IFERROR(VLOOKUP(F877,IMPORTRANGE(""1H3cO01obd5zFULYqaT5NAqecZBFFIHeDFn4CeQLZF3w"",""Form Responses 1!B:C""),2,FALSE),)"),"")</f>
        <v/>
      </c>
      <c r="U877" s="70" t="str">
        <f>IFERROR(__xludf.DUMMYFUNCTION("IFERROR(IF(COUNTIF(IMPORTRANGE(""1IG9qoa6PeLdDDFzKpW39lxXshN0-M8Z25a_R1EpsYyg"",""Form Responses 1!B:B""),F877)&gt;0,10,),0)"),"")</f>
        <v/>
      </c>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row>
    <row r="878">
      <c r="B878" s="70"/>
      <c r="C878" s="70"/>
      <c r="D878" s="70"/>
      <c r="E878" s="70"/>
      <c r="F878" s="70"/>
      <c r="G878" s="70"/>
      <c r="H878" s="70"/>
      <c r="I878" s="70"/>
      <c r="J878" s="70"/>
      <c r="K878" s="70"/>
      <c r="L878" s="70"/>
      <c r="M878" s="70"/>
      <c r="N878" s="70"/>
      <c r="O878" s="70"/>
      <c r="P878" s="70"/>
      <c r="Q878" s="70" t="str">
        <f>IFERROR(__xludf.DUMMYFUNCTION("IFERROR(IF(COUNTIF(IMPORTRANGE(""1WjiLR_MTMxI_IZUKuvPO4Sg2rTSIqBzP3edakSRXbOA"",""Form Responses 1!B:B""),F878)&gt;0,10,),0)"),"")</f>
        <v/>
      </c>
      <c r="R878" s="70" t="str">
        <f>IFERROR(__xludf.DUMMYFUNCTION("IFERROR(VLOOKUP(F878,IMPORTRANGE(""1Ixzbal5tEbtWhozsFEppQzOYE6ZSrkNXHg_HW5k3Wt4"",""Form Responses 1!B:C""),2,FALSE),)"),"")</f>
        <v/>
      </c>
      <c r="S878" s="70" t="str">
        <f>IFERROR(__xludf.DUMMYFUNCTION("IFERROR(VLOOKUP(F878,IMPORTRANGE(""1zxjtEKGvVIJPIDqZdnxENwVpPXYa88EihzyI44hcQUo"",""Form Responses 1!B:C""),2,FALSE),)"),"")</f>
        <v/>
      </c>
      <c r="T878" s="70" t="str">
        <f>IFERROR(__xludf.DUMMYFUNCTION("IFERROR(VLOOKUP(F878,IMPORTRANGE(""1H3cO01obd5zFULYqaT5NAqecZBFFIHeDFn4CeQLZF3w"",""Form Responses 1!B:C""),2,FALSE),)"),"")</f>
        <v/>
      </c>
      <c r="U878" s="70" t="str">
        <f>IFERROR(__xludf.DUMMYFUNCTION("IFERROR(IF(COUNTIF(IMPORTRANGE(""1IG9qoa6PeLdDDFzKpW39lxXshN0-M8Z25a_R1EpsYyg"",""Form Responses 1!B:B""),F878)&gt;0,10,),0)"),"")</f>
        <v/>
      </c>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row>
    <row r="879">
      <c r="B879" s="70"/>
      <c r="C879" s="70"/>
      <c r="D879" s="70"/>
      <c r="E879" s="70"/>
      <c r="F879" s="70"/>
      <c r="G879" s="70"/>
      <c r="H879" s="70"/>
      <c r="I879" s="70"/>
      <c r="J879" s="70"/>
      <c r="K879" s="70"/>
      <c r="L879" s="70"/>
      <c r="M879" s="70"/>
      <c r="N879" s="70"/>
      <c r="O879" s="70"/>
      <c r="P879" s="70"/>
      <c r="Q879" s="70" t="str">
        <f>IFERROR(__xludf.DUMMYFUNCTION("IFERROR(IF(COUNTIF(IMPORTRANGE(""1WjiLR_MTMxI_IZUKuvPO4Sg2rTSIqBzP3edakSRXbOA"",""Form Responses 1!B:B""),F879)&gt;0,10,),0)"),"")</f>
        <v/>
      </c>
      <c r="R879" s="70" t="str">
        <f>IFERROR(__xludf.DUMMYFUNCTION("IFERROR(VLOOKUP(F879,IMPORTRANGE(""1Ixzbal5tEbtWhozsFEppQzOYE6ZSrkNXHg_HW5k3Wt4"",""Form Responses 1!B:C""),2,FALSE),)"),"")</f>
        <v/>
      </c>
      <c r="S879" s="70" t="str">
        <f>IFERROR(__xludf.DUMMYFUNCTION("IFERROR(VLOOKUP(F879,IMPORTRANGE(""1zxjtEKGvVIJPIDqZdnxENwVpPXYa88EihzyI44hcQUo"",""Form Responses 1!B:C""),2,FALSE),)"),"")</f>
        <v/>
      </c>
      <c r="T879" s="70" t="str">
        <f>IFERROR(__xludf.DUMMYFUNCTION("IFERROR(VLOOKUP(F879,IMPORTRANGE(""1H3cO01obd5zFULYqaT5NAqecZBFFIHeDFn4CeQLZF3w"",""Form Responses 1!B:C""),2,FALSE),)"),"")</f>
        <v/>
      </c>
      <c r="U879" s="70" t="str">
        <f>IFERROR(__xludf.DUMMYFUNCTION("IFERROR(IF(COUNTIF(IMPORTRANGE(""1IG9qoa6PeLdDDFzKpW39lxXshN0-M8Z25a_R1EpsYyg"",""Form Responses 1!B:B""),F879)&gt;0,10,),0)"),"")</f>
        <v/>
      </c>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row>
    <row r="880">
      <c r="B880" s="70"/>
      <c r="C880" s="70"/>
      <c r="D880" s="70"/>
      <c r="E880" s="70"/>
      <c r="F880" s="70"/>
      <c r="G880" s="70"/>
      <c r="H880" s="70"/>
      <c r="I880" s="70"/>
      <c r="J880" s="70"/>
      <c r="K880" s="70"/>
      <c r="L880" s="70"/>
      <c r="M880" s="70"/>
      <c r="N880" s="70"/>
      <c r="O880" s="70"/>
      <c r="P880" s="70"/>
      <c r="Q880" s="70" t="str">
        <f>IFERROR(__xludf.DUMMYFUNCTION("IFERROR(IF(COUNTIF(IMPORTRANGE(""1WjiLR_MTMxI_IZUKuvPO4Sg2rTSIqBzP3edakSRXbOA"",""Form Responses 1!B:B""),F880)&gt;0,10,),0)"),"")</f>
        <v/>
      </c>
      <c r="R880" s="70" t="str">
        <f>IFERROR(__xludf.DUMMYFUNCTION("IFERROR(VLOOKUP(F880,IMPORTRANGE(""1Ixzbal5tEbtWhozsFEppQzOYE6ZSrkNXHg_HW5k3Wt4"",""Form Responses 1!B:C""),2,FALSE),)"),"")</f>
        <v/>
      </c>
      <c r="S880" s="70" t="str">
        <f>IFERROR(__xludf.DUMMYFUNCTION("IFERROR(VLOOKUP(F880,IMPORTRANGE(""1zxjtEKGvVIJPIDqZdnxENwVpPXYa88EihzyI44hcQUo"",""Form Responses 1!B:C""),2,FALSE),)"),"")</f>
        <v/>
      </c>
      <c r="T880" s="70" t="str">
        <f>IFERROR(__xludf.DUMMYFUNCTION("IFERROR(VLOOKUP(F880,IMPORTRANGE(""1H3cO01obd5zFULYqaT5NAqecZBFFIHeDFn4CeQLZF3w"",""Form Responses 1!B:C""),2,FALSE),)"),"")</f>
        <v/>
      </c>
      <c r="U880" s="70" t="str">
        <f>IFERROR(__xludf.DUMMYFUNCTION("IFERROR(IF(COUNTIF(IMPORTRANGE(""1IG9qoa6PeLdDDFzKpW39lxXshN0-M8Z25a_R1EpsYyg"",""Form Responses 1!B:B""),F880)&gt;0,10,),0)"),"")</f>
        <v/>
      </c>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row>
    <row r="881">
      <c r="B881" s="70"/>
      <c r="C881" s="70"/>
      <c r="D881" s="70"/>
      <c r="E881" s="70"/>
      <c r="F881" s="70"/>
      <c r="G881" s="70"/>
      <c r="H881" s="70"/>
      <c r="I881" s="70"/>
      <c r="J881" s="70"/>
      <c r="K881" s="70"/>
      <c r="L881" s="70"/>
      <c r="M881" s="70"/>
      <c r="N881" s="70"/>
      <c r="O881" s="70"/>
      <c r="P881" s="70"/>
      <c r="Q881" s="70" t="str">
        <f>IFERROR(__xludf.DUMMYFUNCTION("IFERROR(IF(COUNTIF(IMPORTRANGE(""1WjiLR_MTMxI_IZUKuvPO4Sg2rTSIqBzP3edakSRXbOA"",""Form Responses 1!B:B""),F881)&gt;0,10,),0)"),"")</f>
        <v/>
      </c>
      <c r="R881" s="70" t="str">
        <f>IFERROR(__xludf.DUMMYFUNCTION("IFERROR(VLOOKUP(F881,IMPORTRANGE(""1Ixzbal5tEbtWhozsFEppQzOYE6ZSrkNXHg_HW5k3Wt4"",""Form Responses 1!B:C""),2,FALSE),)"),"")</f>
        <v/>
      </c>
      <c r="S881" s="70" t="str">
        <f>IFERROR(__xludf.DUMMYFUNCTION("IFERROR(VLOOKUP(F881,IMPORTRANGE(""1zxjtEKGvVIJPIDqZdnxENwVpPXYa88EihzyI44hcQUo"",""Form Responses 1!B:C""),2,FALSE),)"),"")</f>
        <v/>
      </c>
      <c r="T881" s="70" t="str">
        <f>IFERROR(__xludf.DUMMYFUNCTION("IFERROR(VLOOKUP(F881,IMPORTRANGE(""1H3cO01obd5zFULYqaT5NAqecZBFFIHeDFn4CeQLZF3w"",""Form Responses 1!B:C""),2,FALSE),)"),"")</f>
        <v/>
      </c>
      <c r="U881" s="70" t="str">
        <f>IFERROR(__xludf.DUMMYFUNCTION("IFERROR(IF(COUNTIF(IMPORTRANGE(""1IG9qoa6PeLdDDFzKpW39lxXshN0-M8Z25a_R1EpsYyg"",""Form Responses 1!B:B""),F881)&gt;0,10,),0)"),"")</f>
        <v/>
      </c>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row>
    <row r="882">
      <c r="B882" s="70"/>
      <c r="C882" s="70"/>
      <c r="D882" s="70"/>
      <c r="E882" s="70"/>
      <c r="F882" s="70"/>
      <c r="G882" s="70"/>
      <c r="H882" s="70"/>
      <c r="I882" s="70"/>
      <c r="J882" s="70"/>
      <c r="K882" s="70"/>
      <c r="L882" s="70"/>
      <c r="M882" s="70"/>
      <c r="N882" s="70"/>
      <c r="O882" s="70"/>
      <c r="P882" s="70"/>
      <c r="Q882" s="70" t="str">
        <f>IFERROR(__xludf.DUMMYFUNCTION("IFERROR(IF(COUNTIF(IMPORTRANGE(""1WjiLR_MTMxI_IZUKuvPO4Sg2rTSIqBzP3edakSRXbOA"",""Form Responses 1!B:B""),F882)&gt;0,10,),0)"),"")</f>
        <v/>
      </c>
      <c r="R882" s="70" t="str">
        <f>IFERROR(__xludf.DUMMYFUNCTION("IFERROR(VLOOKUP(F882,IMPORTRANGE(""1Ixzbal5tEbtWhozsFEppQzOYE6ZSrkNXHg_HW5k3Wt4"",""Form Responses 1!B:C""),2,FALSE),)"),"")</f>
        <v/>
      </c>
      <c r="S882" s="70" t="str">
        <f>IFERROR(__xludf.DUMMYFUNCTION("IFERROR(VLOOKUP(F882,IMPORTRANGE(""1zxjtEKGvVIJPIDqZdnxENwVpPXYa88EihzyI44hcQUo"",""Form Responses 1!B:C""),2,FALSE),)"),"")</f>
        <v/>
      </c>
      <c r="T882" s="70" t="str">
        <f>IFERROR(__xludf.DUMMYFUNCTION("IFERROR(VLOOKUP(F882,IMPORTRANGE(""1H3cO01obd5zFULYqaT5NAqecZBFFIHeDFn4CeQLZF3w"",""Form Responses 1!B:C""),2,FALSE),)"),"")</f>
        <v/>
      </c>
      <c r="U882" s="70" t="str">
        <f>IFERROR(__xludf.DUMMYFUNCTION("IFERROR(IF(COUNTIF(IMPORTRANGE(""1IG9qoa6PeLdDDFzKpW39lxXshN0-M8Z25a_R1EpsYyg"",""Form Responses 1!B:B""),F882)&gt;0,10,),0)"),"")</f>
        <v/>
      </c>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row>
    <row r="883">
      <c r="B883" s="70"/>
      <c r="C883" s="70"/>
      <c r="D883" s="70"/>
      <c r="E883" s="70"/>
      <c r="F883" s="70"/>
      <c r="G883" s="70"/>
      <c r="H883" s="70"/>
      <c r="I883" s="70"/>
      <c r="J883" s="70"/>
      <c r="K883" s="70"/>
      <c r="L883" s="70"/>
      <c r="M883" s="70"/>
      <c r="N883" s="70"/>
      <c r="O883" s="70"/>
      <c r="P883" s="70"/>
      <c r="Q883" s="70" t="str">
        <f>IFERROR(__xludf.DUMMYFUNCTION("IFERROR(IF(COUNTIF(IMPORTRANGE(""1WjiLR_MTMxI_IZUKuvPO4Sg2rTSIqBzP3edakSRXbOA"",""Form Responses 1!B:B""),F883)&gt;0,10,),0)"),"")</f>
        <v/>
      </c>
      <c r="R883" s="70" t="str">
        <f>IFERROR(__xludf.DUMMYFUNCTION("IFERROR(VLOOKUP(F883,IMPORTRANGE(""1Ixzbal5tEbtWhozsFEppQzOYE6ZSrkNXHg_HW5k3Wt4"",""Form Responses 1!B:C""),2,FALSE),)"),"")</f>
        <v/>
      </c>
      <c r="S883" s="70" t="str">
        <f>IFERROR(__xludf.DUMMYFUNCTION("IFERROR(VLOOKUP(F883,IMPORTRANGE(""1zxjtEKGvVIJPIDqZdnxENwVpPXYa88EihzyI44hcQUo"",""Form Responses 1!B:C""),2,FALSE),)"),"")</f>
        <v/>
      </c>
      <c r="T883" s="70" t="str">
        <f>IFERROR(__xludf.DUMMYFUNCTION("IFERROR(VLOOKUP(F883,IMPORTRANGE(""1H3cO01obd5zFULYqaT5NAqecZBFFIHeDFn4CeQLZF3w"",""Form Responses 1!B:C""),2,FALSE),)"),"")</f>
        <v/>
      </c>
      <c r="U883" s="70" t="str">
        <f>IFERROR(__xludf.DUMMYFUNCTION("IFERROR(IF(COUNTIF(IMPORTRANGE(""1IG9qoa6PeLdDDFzKpW39lxXshN0-M8Z25a_R1EpsYyg"",""Form Responses 1!B:B""),F883)&gt;0,10,),0)"),"")</f>
        <v/>
      </c>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row>
    <row r="884">
      <c r="B884" s="70"/>
      <c r="C884" s="70"/>
      <c r="D884" s="70"/>
      <c r="E884" s="70"/>
      <c r="F884" s="70"/>
      <c r="G884" s="70"/>
      <c r="H884" s="70"/>
      <c r="I884" s="70"/>
      <c r="J884" s="70"/>
      <c r="K884" s="70"/>
      <c r="L884" s="70"/>
      <c r="M884" s="70"/>
      <c r="N884" s="70"/>
      <c r="O884" s="70"/>
      <c r="P884" s="70"/>
      <c r="Q884" s="70" t="str">
        <f>IFERROR(__xludf.DUMMYFUNCTION("IFERROR(IF(COUNTIF(IMPORTRANGE(""1WjiLR_MTMxI_IZUKuvPO4Sg2rTSIqBzP3edakSRXbOA"",""Form Responses 1!B:B""),F884)&gt;0,10,),0)"),"")</f>
        <v/>
      </c>
      <c r="R884" s="70" t="str">
        <f>IFERROR(__xludf.DUMMYFUNCTION("IFERROR(VLOOKUP(F884,IMPORTRANGE(""1Ixzbal5tEbtWhozsFEppQzOYE6ZSrkNXHg_HW5k3Wt4"",""Form Responses 1!B:C""),2,FALSE),)"),"")</f>
        <v/>
      </c>
      <c r="S884" s="70" t="str">
        <f>IFERROR(__xludf.DUMMYFUNCTION("IFERROR(VLOOKUP(F884,IMPORTRANGE(""1zxjtEKGvVIJPIDqZdnxENwVpPXYa88EihzyI44hcQUo"",""Form Responses 1!B:C""),2,FALSE),)"),"")</f>
        <v/>
      </c>
      <c r="T884" s="70" t="str">
        <f>IFERROR(__xludf.DUMMYFUNCTION("IFERROR(VLOOKUP(F884,IMPORTRANGE(""1H3cO01obd5zFULYqaT5NAqecZBFFIHeDFn4CeQLZF3w"",""Form Responses 1!B:C""),2,FALSE),)"),"")</f>
        <v/>
      </c>
      <c r="U884" s="70" t="str">
        <f>IFERROR(__xludf.DUMMYFUNCTION("IFERROR(IF(COUNTIF(IMPORTRANGE(""1IG9qoa6PeLdDDFzKpW39lxXshN0-M8Z25a_R1EpsYyg"",""Form Responses 1!B:B""),F884)&gt;0,10,),0)"),"")</f>
        <v/>
      </c>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row>
    <row r="885">
      <c r="B885" s="70"/>
      <c r="C885" s="70"/>
      <c r="D885" s="70"/>
      <c r="E885" s="70"/>
      <c r="F885" s="70"/>
      <c r="G885" s="70"/>
      <c r="H885" s="70"/>
      <c r="I885" s="70"/>
      <c r="J885" s="70"/>
      <c r="K885" s="70"/>
      <c r="L885" s="70"/>
      <c r="M885" s="70"/>
      <c r="N885" s="70"/>
      <c r="O885" s="70"/>
      <c r="P885" s="70"/>
      <c r="Q885" s="70" t="str">
        <f>IFERROR(__xludf.DUMMYFUNCTION("IFERROR(IF(COUNTIF(IMPORTRANGE(""1WjiLR_MTMxI_IZUKuvPO4Sg2rTSIqBzP3edakSRXbOA"",""Form Responses 1!B:B""),F885)&gt;0,10,),0)"),"")</f>
        <v/>
      </c>
      <c r="R885" s="70" t="str">
        <f>IFERROR(__xludf.DUMMYFUNCTION("IFERROR(VLOOKUP(F885,IMPORTRANGE(""1Ixzbal5tEbtWhozsFEppQzOYE6ZSrkNXHg_HW5k3Wt4"",""Form Responses 1!B:C""),2,FALSE),)"),"")</f>
        <v/>
      </c>
      <c r="S885" s="70" t="str">
        <f>IFERROR(__xludf.DUMMYFUNCTION("IFERROR(VLOOKUP(F885,IMPORTRANGE(""1zxjtEKGvVIJPIDqZdnxENwVpPXYa88EihzyI44hcQUo"",""Form Responses 1!B:C""),2,FALSE),)"),"")</f>
        <v/>
      </c>
      <c r="T885" s="70" t="str">
        <f>IFERROR(__xludf.DUMMYFUNCTION("IFERROR(VLOOKUP(F885,IMPORTRANGE(""1H3cO01obd5zFULYqaT5NAqecZBFFIHeDFn4CeQLZF3w"",""Form Responses 1!B:C""),2,FALSE),)"),"")</f>
        <v/>
      </c>
      <c r="U885" s="70" t="str">
        <f>IFERROR(__xludf.DUMMYFUNCTION("IFERROR(IF(COUNTIF(IMPORTRANGE(""1IG9qoa6PeLdDDFzKpW39lxXshN0-M8Z25a_R1EpsYyg"",""Form Responses 1!B:B""),F885)&gt;0,10,),0)"),"")</f>
        <v/>
      </c>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row>
    <row r="886">
      <c r="B886" s="70"/>
      <c r="C886" s="70"/>
      <c r="D886" s="70"/>
      <c r="E886" s="70"/>
      <c r="F886" s="70"/>
      <c r="G886" s="70"/>
      <c r="H886" s="70"/>
      <c r="I886" s="70"/>
      <c r="J886" s="70"/>
      <c r="K886" s="70"/>
      <c r="L886" s="70"/>
      <c r="M886" s="70"/>
      <c r="N886" s="70"/>
      <c r="O886" s="70"/>
      <c r="P886" s="70"/>
      <c r="Q886" s="70" t="str">
        <f>IFERROR(__xludf.DUMMYFUNCTION("IFERROR(IF(COUNTIF(IMPORTRANGE(""1WjiLR_MTMxI_IZUKuvPO4Sg2rTSIqBzP3edakSRXbOA"",""Form Responses 1!B:B""),F886)&gt;0,10,),0)"),"")</f>
        <v/>
      </c>
      <c r="R886" s="70" t="str">
        <f>IFERROR(__xludf.DUMMYFUNCTION("IFERROR(VLOOKUP(F886,IMPORTRANGE(""1Ixzbal5tEbtWhozsFEppQzOYE6ZSrkNXHg_HW5k3Wt4"",""Form Responses 1!B:C""),2,FALSE),)"),"")</f>
        <v/>
      </c>
      <c r="S886" s="70" t="str">
        <f>IFERROR(__xludf.DUMMYFUNCTION("IFERROR(VLOOKUP(F886,IMPORTRANGE(""1zxjtEKGvVIJPIDqZdnxENwVpPXYa88EihzyI44hcQUo"",""Form Responses 1!B:C""),2,FALSE),)"),"")</f>
        <v/>
      </c>
      <c r="T886" s="70" t="str">
        <f>IFERROR(__xludf.DUMMYFUNCTION("IFERROR(VLOOKUP(F886,IMPORTRANGE(""1H3cO01obd5zFULYqaT5NAqecZBFFIHeDFn4CeQLZF3w"",""Form Responses 1!B:C""),2,FALSE),)"),"")</f>
        <v/>
      </c>
      <c r="U886" s="70" t="str">
        <f>IFERROR(__xludf.DUMMYFUNCTION("IFERROR(IF(COUNTIF(IMPORTRANGE(""1IG9qoa6PeLdDDFzKpW39lxXshN0-M8Z25a_R1EpsYyg"",""Form Responses 1!B:B""),F886)&gt;0,10,),0)"),"")</f>
        <v/>
      </c>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row>
    <row r="887">
      <c r="B887" s="70"/>
      <c r="C887" s="70"/>
      <c r="D887" s="70"/>
      <c r="E887" s="70"/>
      <c r="F887" s="70"/>
      <c r="G887" s="70"/>
      <c r="H887" s="70"/>
      <c r="I887" s="70"/>
      <c r="J887" s="70"/>
      <c r="K887" s="70"/>
      <c r="L887" s="70"/>
      <c r="M887" s="70"/>
      <c r="N887" s="70"/>
      <c r="O887" s="70"/>
      <c r="P887" s="70"/>
      <c r="Q887" s="70" t="str">
        <f>IFERROR(__xludf.DUMMYFUNCTION("IFERROR(IF(COUNTIF(IMPORTRANGE(""1WjiLR_MTMxI_IZUKuvPO4Sg2rTSIqBzP3edakSRXbOA"",""Form Responses 1!B:B""),F887)&gt;0,10,),0)"),"")</f>
        <v/>
      </c>
      <c r="R887" s="70" t="str">
        <f>IFERROR(__xludf.DUMMYFUNCTION("IFERROR(VLOOKUP(F887,IMPORTRANGE(""1Ixzbal5tEbtWhozsFEppQzOYE6ZSrkNXHg_HW5k3Wt4"",""Form Responses 1!B:C""),2,FALSE),)"),"")</f>
        <v/>
      </c>
      <c r="S887" s="70" t="str">
        <f>IFERROR(__xludf.DUMMYFUNCTION("IFERROR(VLOOKUP(F887,IMPORTRANGE(""1zxjtEKGvVIJPIDqZdnxENwVpPXYa88EihzyI44hcQUo"",""Form Responses 1!B:C""),2,FALSE),)"),"")</f>
        <v/>
      </c>
      <c r="T887" s="70" t="str">
        <f>IFERROR(__xludf.DUMMYFUNCTION("IFERROR(VLOOKUP(F887,IMPORTRANGE(""1H3cO01obd5zFULYqaT5NAqecZBFFIHeDFn4CeQLZF3w"",""Form Responses 1!B:C""),2,FALSE),)"),"")</f>
        <v/>
      </c>
      <c r="U887" s="70" t="str">
        <f>IFERROR(__xludf.DUMMYFUNCTION("IFERROR(IF(COUNTIF(IMPORTRANGE(""1IG9qoa6PeLdDDFzKpW39lxXshN0-M8Z25a_R1EpsYyg"",""Form Responses 1!B:B""),F887)&gt;0,10,),0)"),"")</f>
        <v/>
      </c>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row>
    <row r="888">
      <c r="B888" s="70"/>
      <c r="C888" s="70"/>
      <c r="D888" s="70"/>
      <c r="E888" s="70"/>
      <c r="F888" s="70"/>
      <c r="G888" s="70"/>
      <c r="H888" s="70"/>
      <c r="I888" s="70"/>
      <c r="J888" s="70"/>
      <c r="K888" s="70"/>
      <c r="L888" s="70"/>
      <c r="M888" s="70"/>
      <c r="N888" s="70"/>
      <c r="O888" s="70"/>
      <c r="P888" s="70"/>
      <c r="Q888" s="70" t="str">
        <f>IFERROR(__xludf.DUMMYFUNCTION("IFERROR(IF(COUNTIF(IMPORTRANGE(""1WjiLR_MTMxI_IZUKuvPO4Sg2rTSIqBzP3edakSRXbOA"",""Form Responses 1!B:B""),F888)&gt;0,10,),0)"),"")</f>
        <v/>
      </c>
      <c r="R888" s="70" t="str">
        <f>IFERROR(__xludf.DUMMYFUNCTION("IFERROR(VLOOKUP(F888,IMPORTRANGE(""1Ixzbal5tEbtWhozsFEppQzOYE6ZSrkNXHg_HW5k3Wt4"",""Form Responses 1!B:C""),2,FALSE),)"),"")</f>
        <v/>
      </c>
      <c r="S888" s="70" t="str">
        <f>IFERROR(__xludf.DUMMYFUNCTION("IFERROR(VLOOKUP(F888,IMPORTRANGE(""1zxjtEKGvVIJPIDqZdnxENwVpPXYa88EihzyI44hcQUo"",""Form Responses 1!B:C""),2,FALSE),)"),"")</f>
        <v/>
      </c>
      <c r="T888" s="70" t="str">
        <f>IFERROR(__xludf.DUMMYFUNCTION("IFERROR(VLOOKUP(F888,IMPORTRANGE(""1H3cO01obd5zFULYqaT5NAqecZBFFIHeDFn4CeQLZF3w"",""Form Responses 1!B:C""),2,FALSE),)"),"")</f>
        <v/>
      </c>
      <c r="U888" s="70" t="str">
        <f>IFERROR(__xludf.DUMMYFUNCTION("IFERROR(IF(COUNTIF(IMPORTRANGE(""1IG9qoa6PeLdDDFzKpW39lxXshN0-M8Z25a_R1EpsYyg"",""Form Responses 1!B:B""),F888)&gt;0,10,),0)"),"")</f>
        <v/>
      </c>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row>
    <row r="889">
      <c r="B889" s="70"/>
      <c r="C889" s="70"/>
      <c r="D889" s="70"/>
      <c r="E889" s="70"/>
      <c r="F889" s="70"/>
      <c r="G889" s="70"/>
      <c r="H889" s="70"/>
      <c r="I889" s="70"/>
      <c r="J889" s="70"/>
      <c r="K889" s="70"/>
      <c r="L889" s="70"/>
      <c r="M889" s="70"/>
      <c r="N889" s="70"/>
      <c r="O889" s="70"/>
      <c r="P889" s="70"/>
      <c r="Q889" s="70" t="str">
        <f>IFERROR(__xludf.DUMMYFUNCTION("IFERROR(IF(COUNTIF(IMPORTRANGE(""1WjiLR_MTMxI_IZUKuvPO4Sg2rTSIqBzP3edakSRXbOA"",""Form Responses 1!B:B""),F889)&gt;0,10,),0)"),"")</f>
        <v/>
      </c>
      <c r="R889" s="70" t="str">
        <f>IFERROR(__xludf.DUMMYFUNCTION("IFERROR(VLOOKUP(F889,IMPORTRANGE(""1Ixzbal5tEbtWhozsFEppQzOYE6ZSrkNXHg_HW5k3Wt4"",""Form Responses 1!B:C""),2,FALSE),)"),"")</f>
        <v/>
      </c>
      <c r="S889" s="70" t="str">
        <f>IFERROR(__xludf.DUMMYFUNCTION("IFERROR(VLOOKUP(F889,IMPORTRANGE(""1zxjtEKGvVIJPIDqZdnxENwVpPXYa88EihzyI44hcQUo"",""Form Responses 1!B:C""),2,FALSE),)"),"")</f>
        <v/>
      </c>
      <c r="T889" s="70" t="str">
        <f>IFERROR(__xludf.DUMMYFUNCTION("IFERROR(VLOOKUP(F889,IMPORTRANGE(""1H3cO01obd5zFULYqaT5NAqecZBFFIHeDFn4CeQLZF3w"",""Form Responses 1!B:C""),2,FALSE),)"),"")</f>
        <v/>
      </c>
      <c r="U889" s="70" t="str">
        <f>IFERROR(__xludf.DUMMYFUNCTION("IFERROR(IF(COUNTIF(IMPORTRANGE(""1IG9qoa6PeLdDDFzKpW39lxXshN0-M8Z25a_R1EpsYyg"",""Form Responses 1!B:B""),F889)&gt;0,10,),0)"),"")</f>
        <v/>
      </c>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row>
    <row r="890">
      <c r="B890" s="70"/>
      <c r="C890" s="70"/>
      <c r="D890" s="70"/>
      <c r="E890" s="70"/>
      <c r="F890" s="70"/>
      <c r="G890" s="70"/>
      <c r="H890" s="70"/>
      <c r="I890" s="70"/>
      <c r="J890" s="70"/>
      <c r="K890" s="70"/>
      <c r="L890" s="70"/>
      <c r="M890" s="70"/>
      <c r="N890" s="70"/>
      <c r="O890" s="70"/>
      <c r="P890" s="70"/>
      <c r="Q890" s="70" t="str">
        <f>IFERROR(__xludf.DUMMYFUNCTION("IFERROR(IF(COUNTIF(IMPORTRANGE(""1WjiLR_MTMxI_IZUKuvPO4Sg2rTSIqBzP3edakSRXbOA"",""Form Responses 1!B:B""),F890)&gt;0,10,),0)"),"")</f>
        <v/>
      </c>
      <c r="R890" s="70" t="str">
        <f>IFERROR(__xludf.DUMMYFUNCTION("IFERROR(VLOOKUP(F890,IMPORTRANGE(""1Ixzbal5tEbtWhozsFEppQzOYE6ZSrkNXHg_HW5k3Wt4"",""Form Responses 1!B:C""),2,FALSE),)"),"")</f>
        <v/>
      </c>
      <c r="S890" s="70" t="str">
        <f>IFERROR(__xludf.DUMMYFUNCTION("IFERROR(VLOOKUP(F890,IMPORTRANGE(""1zxjtEKGvVIJPIDqZdnxENwVpPXYa88EihzyI44hcQUo"",""Form Responses 1!B:C""),2,FALSE),)"),"")</f>
        <v/>
      </c>
      <c r="T890" s="70" t="str">
        <f>IFERROR(__xludf.DUMMYFUNCTION("IFERROR(VLOOKUP(F890,IMPORTRANGE(""1H3cO01obd5zFULYqaT5NAqecZBFFIHeDFn4CeQLZF3w"",""Form Responses 1!B:C""),2,FALSE),)"),"")</f>
        <v/>
      </c>
      <c r="U890" s="70" t="str">
        <f>IFERROR(__xludf.DUMMYFUNCTION("IFERROR(IF(COUNTIF(IMPORTRANGE(""1IG9qoa6PeLdDDFzKpW39lxXshN0-M8Z25a_R1EpsYyg"",""Form Responses 1!B:B""),F890)&gt;0,10,),0)"),"")</f>
        <v/>
      </c>
      <c r="V890" s="70"/>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row>
    <row r="891">
      <c r="B891" s="70"/>
      <c r="C891" s="70"/>
      <c r="D891" s="70"/>
      <c r="E891" s="70"/>
      <c r="F891" s="70"/>
      <c r="G891" s="70"/>
      <c r="H891" s="70"/>
      <c r="I891" s="70"/>
      <c r="J891" s="70"/>
      <c r="K891" s="70"/>
      <c r="L891" s="70"/>
      <c r="M891" s="70"/>
      <c r="N891" s="70"/>
      <c r="O891" s="70"/>
      <c r="P891" s="70"/>
      <c r="Q891" s="70" t="str">
        <f>IFERROR(__xludf.DUMMYFUNCTION("IFERROR(IF(COUNTIF(IMPORTRANGE(""1WjiLR_MTMxI_IZUKuvPO4Sg2rTSIqBzP3edakSRXbOA"",""Form Responses 1!B:B""),F891)&gt;0,10,),0)"),"")</f>
        <v/>
      </c>
      <c r="R891" s="70" t="str">
        <f>IFERROR(__xludf.DUMMYFUNCTION("IFERROR(VLOOKUP(F891,IMPORTRANGE(""1Ixzbal5tEbtWhozsFEppQzOYE6ZSrkNXHg_HW5k3Wt4"",""Form Responses 1!B:C""),2,FALSE),)"),"")</f>
        <v/>
      </c>
      <c r="S891" s="70" t="str">
        <f>IFERROR(__xludf.DUMMYFUNCTION("IFERROR(VLOOKUP(F891,IMPORTRANGE(""1zxjtEKGvVIJPIDqZdnxENwVpPXYa88EihzyI44hcQUo"",""Form Responses 1!B:C""),2,FALSE),)"),"")</f>
        <v/>
      </c>
      <c r="T891" s="70" t="str">
        <f>IFERROR(__xludf.DUMMYFUNCTION("IFERROR(VLOOKUP(F891,IMPORTRANGE(""1H3cO01obd5zFULYqaT5NAqecZBFFIHeDFn4CeQLZF3w"",""Form Responses 1!B:C""),2,FALSE),)"),"")</f>
        <v/>
      </c>
      <c r="U891" s="70" t="str">
        <f>IFERROR(__xludf.DUMMYFUNCTION("IFERROR(IF(COUNTIF(IMPORTRANGE(""1IG9qoa6PeLdDDFzKpW39lxXshN0-M8Z25a_R1EpsYyg"",""Form Responses 1!B:B""),F891)&gt;0,10,),0)"),"")</f>
        <v/>
      </c>
      <c r="V891" s="70"/>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row>
    <row r="892">
      <c r="B892" s="70"/>
      <c r="C892" s="70"/>
      <c r="D892" s="70"/>
      <c r="E892" s="70"/>
      <c r="F892" s="70"/>
      <c r="G892" s="70"/>
      <c r="H892" s="70"/>
      <c r="I892" s="70"/>
      <c r="J892" s="70"/>
      <c r="K892" s="70"/>
      <c r="L892" s="70"/>
      <c r="M892" s="70"/>
      <c r="N892" s="70"/>
      <c r="O892" s="70"/>
      <c r="P892" s="70"/>
      <c r="Q892" s="70" t="str">
        <f>IFERROR(__xludf.DUMMYFUNCTION("IFERROR(IF(COUNTIF(IMPORTRANGE(""1WjiLR_MTMxI_IZUKuvPO4Sg2rTSIqBzP3edakSRXbOA"",""Form Responses 1!B:B""),F892)&gt;0,10,),0)"),"")</f>
        <v/>
      </c>
      <c r="R892" s="70" t="str">
        <f>IFERROR(__xludf.DUMMYFUNCTION("IFERROR(VLOOKUP(F892,IMPORTRANGE(""1Ixzbal5tEbtWhozsFEppQzOYE6ZSrkNXHg_HW5k3Wt4"",""Form Responses 1!B:C""),2,FALSE),)"),"")</f>
        <v/>
      </c>
      <c r="S892" s="70" t="str">
        <f>IFERROR(__xludf.DUMMYFUNCTION("IFERROR(VLOOKUP(F892,IMPORTRANGE(""1zxjtEKGvVIJPIDqZdnxENwVpPXYa88EihzyI44hcQUo"",""Form Responses 1!B:C""),2,FALSE),)"),"")</f>
        <v/>
      </c>
      <c r="T892" s="70" t="str">
        <f>IFERROR(__xludf.DUMMYFUNCTION("IFERROR(VLOOKUP(F892,IMPORTRANGE(""1H3cO01obd5zFULYqaT5NAqecZBFFIHeDFn4CeQLZF3w"",""Form Responses 1!B:C""),2,FALSE),)"),"")</f>
        <v/>
      </c>
      <c r="U892" s="70" t="str">
        <f>IFERROR(__xludf.DUMMYFUNCTION("IFERROR(IF(COUNTIF(IMPORTRANGE(""1IG9qoa6PeLdDDFzKpW39lxXshN0-M8Z25a_R1EpsYyg"",""Form Responses 1!B:B""),F892)&gt;0,10,),0)"),"")</f>
        <v/>
      </c>
      <c r="V892" s="70"/>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row>
    <row r="893">
      <c r="B893" s="70"/>
      <c r="C893" s="70"/>
      <c r="D893" s="70"/>
      <c r="E893" s="70"/>
      <c r="F893" s="70"/>
      <c r="G893" s="70"/>
      <c r="H893" s="70"/>
      <c r="I893" s="70"/>
      <c r="J893" s="70"/>
      <c r="K893" s="70"/>
      <c r="L893" s="70"/>
      <c r="M893" s="70"/>
      <c r="N893" s="70"/>
      <c r="O893" s="70"/>
      <c r="P893" s="70"/>
      <c r="Q893" s="70" t="str">
        <f>IFERROR(__xludf.DUMMYFUNCTION("IFERROR(IF(COUNTIF(IMPORTRANGE(""1WjiLR_MTMxI_IZUKuvPO4Sg2rTSIqBzP3edakSRXbOA"",""Form Responses 1!B:B""),F893)&gt;0,10,),0)"),"")</f>
        <v/>
      </c>
      <c r="R893" s="70" t="str">
        <f>IFERROR(__xludf.DUMMYFUNCTION("IFERROR(VLOOKUP(F893,IMPORTRANGE(""1Ixzbal5tEbtWhozsFEppQzOYE6ZSrkNXHg_HW5k3Wt4"",""Form Responses 1!B:C""),2,FALSE),)"),"")</f>
        <v/>
      </c>
      <c r="S893" s="70" t="str">
        <f>IFERROR(__xludf.DUMMYFUNCTION("IFERROR(VLOOKUP(F893,IMPORTRANGE(""1zxjtEKGvVIJPIDqZdnxENwVpPXYa88EihzyI44hcQUo"",""Form Responses 1!B:C""),2,FALSE),)"),"")</f>
        <v/>
      </c>
      <c r="T893" s="70" t="str">
        <f>IFERROR(__xludf.DUMMYFUNCTION("IFERROR(VLOOKUP(F893,IMPORTRANGE(""1H3cO01obd5zFULYqaT5NAqecZBFFIHeDFn4CeQLZF3w"",""Form Responses 1!B:C""),2,FALSE),)"),"")</f>
        <v/>
      </c>
      <c r="U893" s="70" t="str">
        <f>IFERROR(__xludf.DUMMYFUNCTION("IFERROR(IF(COUNTIF(IMPORTRANGE(""1IG9qoa6PeLdDDFzKpW39lxXshN0-M8Z25a_R1EpsYyg"",""Form Responses 1!B:B""),F893)&gt;0,10,),0)"),"")</f>
        <v/>
      </c>
      <c r="V893" s="70"/>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row>
    <row r="894">
      <c r="B894" s="70"/>
      <c r="C894" s="70"/>
      <c r="D894" s="70"/>
      <c r="E894" s="70"/>
      <c r="F894" s="70"/>
      <c r="G894" s="70"/>
      <c r="H894" s="70"/>
      <c r="I894" s="70"/>
      <c r="J894" s="70"/>
      <c r="K894" s="70"/>
      <c r="L894" s="70"/>
      <c r="M894" s="70"/>
      <c r="N894" s="70"/>
      <c r="O894" s="70"/>
      <c r="P894" s="70"/>
      <c r="Q894" s="70" t="str">
        <f>IFERROR(__xludf.DUMMYFUNCTION("IFERROR(IF(COUNTIF(IMPORTRANGE(""1WjiLR_MTMxI_IZUKuvPO4Sg2rTSIqBzP3edakSRXbOA"",""Form Responses 1!B:B""),F894)&gt;0,10,),0)"),"")</f>
        <v/>
      </c>
      <c r="R894" s="70" t="str">
        <f>IFERROR(__xludf.DUMMYFUNCTION("IFERROR(VLOOKUP(F894,IMPORTRANGE(""1Ixzbal5tEbtWhozsFEppQzOYE6ZSrkNXHg_HW5k3Wt4"",""Form Responses 1!B:C""),2,FALSE),)"),"")</f>
        <v/>
      </c>
      <c r="S894" s="70" t="str">
        <f>IFERROR(__xludf.DUMMYFUNCTION("IFERROR(VLOOKUP(F894,IMPORTRANGE(""1zxjtEKGvVIJPIDqZdnxENwVpPXYa88EihzyI44hcQUo"",""Form Responses 1!B:C""),2,FALSE),)"),"")</f>
        <v/>
      </c>
      <c r="T894" s="70" t="str">
        <f>IFERROR(__xludf.DUMMYFUNCTION("IFERROR(VLOOKUP(F894,IMPORTRANGE(""1H3cO01obd5zFULYqaT5NAqecZBFFIHeDFn4CeQLZF3w"",""Form Responses 1!B:C""),2,FALSE),)"),"")</f>
        <v/>
      </c>
      <c r="U894" s="70" t="str">
        <f>IFERROR(__xludf.DUMMYFUNCTION("IFERROR(IF(COUNTIF(IMPORTRANGE(""1IG9qoa6PeLdDDFzKpW39lxXshN0-M8Z25a_R1EpsYyg"",""Form Responses 1!B:B""),F894)&gt;0,10,),0)"),"")</f>
        <v/>
      </c>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row>
    <row r="895">
      <c r="B895" s="70"/>
      <c r="C895" s="70"/>
      <c r="D895" s="70"/>
      <c r="E895" s="70"/>
      <c r="F895" s="70"/>
      <c r="G895" s="70"/>
      <c r="H895" s="70"/>
      <c r="I895" s="70"/>
      <c r="J895" s="70"/>
      <c r="K895" s="70"/>
      <c r="L895" s="70"/>
      <c r="M895" s="70"/>
      <c r="N895" s="70"/>
      <c r="O895" s="70"/>
      <c r="P895" s="70"/>
      <c r="Q895" s="70" t="str">
        <f>IFERROR(__xludf.DUMMYFUNCTION("IFERROR(IF(COUNTIF(IMPORTRANGE(""1WjiLR_MTMxI_IZUKuvPO4Sg2rTSIqBzP3edakSRXbOA"",""Form Responses 1!B:B""),F895)&gt;0,10,),0)"),"")</f>
        <v/>
      </c>
      <c r="R895" s="70" t="str">
        <f>IFERROR(__xludf.DUMMYFUNCTION("IFERROR(VLOOKUP(F895,IMPORTRANGE(""1Ixzbal5tEbtWhozsFEppQzOYE6ZSrkNXHg_HW5k3Wt4"",""Form Responses 1!B:C""),2,FALSE),)"),"")</f>
        <v/>
      </c>
      <c r="S895" s="70" t="str">
        <f>IFERROR(__xludf.DUMMYFUNCTION("IFERROR(VLOOKUP(F895,IMPORTRANGE(""1zxjtEKGvVIJPIDqZdnxENwVpPXYa88EihzyI44hcQUo"",""Form Responses 1!B:C""),2,FALSE),)"),"")</f>
        <v/>
      </c>
      <c r="T895" s="70" t="str">
        <f>IFERROR(__xludf.DUMMYFUNCTION("IFERROR(VLOOKUP(F895,IMPORTRANGE(""1H3cO01obd5zFULYqaT5NAqecZBFFIHeDFn4CeQLZF3w"",""Form Responses 1!B:C""),2,FALSE),)"),"")</f>
        <v/>
      </c>
      <c r="U895" s="70" t="str">
        <f>IFERROR(__xludf.DUMMYFUNCTION("IFERROR(IF(COUNTIF(IMPORTRANGE(""1IG9qoa6PeLdDDFzKpW39lxXshN0-M8Z25a_R1EpsYyg"",""Form Responses 1!B:B""),F895)&gt;0,10,),0)"),"")</f>
        <v/>
      </c>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row>
    <row r="896">
      <c r="B896" s="70"/>
      <c r="C896" s="70"/>
      <c r="D896" s="70"/>
      <c r="E896" s="70"/>
      <c r="F896" s="70"/>
      <c r="G896" s="70"/>
      <c r="H896" s="70"/>
      <c r="I896" s="70"/>
      <c r="J896" s="70"/>
      <c r="K896" s="70"/>
      <c r="L896" s="70"/>
      <c r="M896" s="70"/>
      <c r="N896" s="70"/>
      <c r="O896" s="70"/>
      <c r="P896" s="70"/>
      <c r="Q896" s="70" t="str">
        <f>IFERROR(__xludf.DUMMYFUNCTION("IFERROR(IF(COUNTIF(IMPORTRANGE(""1WjiLR_MTMxI_IZUKuvPO4Sg2rTSIqBzP3edakSRXbOA"",""Form Responses 1!B:B""),F896)&gt;0,10,),0)"),"")</f>
        <v/>
      </c>
      <c r="R896" s="70" t="str">
        <f>IFERROR(__xludf.DUMMYFUNCTION("IFERROR(VLOOKUP(F896,IMPORTRANGE(""1Ixzbal5tEbtWhozsFEppQzOYE6ZSrkNXHg_HW5k3Wt4"",""Form Responses 1!B:C""),2,FALSE),)"),"")</f>
        <v/>
      </c>
      <c r="S896" s="70" t="str">
        <f>IFERROR(__xludf.DUMMYFUNCTION("IFERROR(VLOOKUP(F896,IMPORTRANGE(""1zxjtEKGvVIJPIDqZdnxENwVpPXYa88EihzyI44hcQUo"",""Form Responses 1!B:C""),2,FALSE),)"),"")</f>
        <v/>
      </c>
      <c r="T896" s="70" t="str">
        <f>IFERROR(__xludf.DUMMYFUNCTION("IFERROR(VLOOKUP(F896,IMPORTRANGE(""1H3cO01obd5zFULYqaT5NAqecZBFFIHeDFn4CeQLZF3w"",""Form Responses 1!B:C""),2,FALSE),)"),"")</f>
        <v/>
      </c>
      <c r="U896" s="70" t="str">
        <f>IFERROR(__xludf.DUMMYFUNCTION("IFERROR(IF(COUNTIF(IMPORTRANGE(""1IG9qoa6PeLdDDFzKpW39lxXshN0-M8Z25a_R1EpsYyg"",""Form Responses 1!B:B""),F896)&gt;0,10,),0)"),"")</f>
        <v/>
      </c>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row>
    <row r="897">
      <c r="B897" s="70"/>
      <c r="C897" s="70"/>
      <c r="D897" s="70"/>
      <c r="E897" s="70"/>
      <c r="F897" s="70"/>
      <c r="G897" s="70"/>
      <c r="H897" s="70"/>
      <c r="I897" s="70"/>
      <c r="J897" s="70"/>
      <c r="K897" s="70"/>
      <c r="L897" s="70"/>
      <c r="M897" s="70"/>
      <c r="N897" s="70"/>
      <c r="O897" s="70"/>
      <c r="P897" s="70"/>
      <c r="Q897" s="70" t="str">
        <f>IFERROR(__xludf.DUMMYFUNCTION("IFERROR(IF(COUNTIF(IMPORTRANGE(""1WjiLR_MTMxI_IZUKuvPO4Sg2rTSIqBzP3edakSRXbOA"",""Form Responses 1!B:B""),F897)&gt;0,10,),0)"),"")</f>
        <v/>
      </c>
      <c r="R897" s="70" t="str">
        <f>IFERROR(__xludf.DUMMYFUNCTION("IFERROR(VLOOKUP(F897,IMPORTRANGE(""1Ixzbal5tEbtWhozsFEppQzOYE6ZSrkNXHg_HW5k3Wt4"",""Form Responses 1!B:C""),2,FALSE),)"),"")</f>
        <v/>
      </c>
      <c r="S897" s="70" t="str">
        <f>IFERROR(__xludf.DUMMYFUNCTION("IFERROR(VLOOKUP(F897,IMPORTRANGE(""1zxjtEKGvVIJPIDqZdnxENwVpPXYa88EihzyI44hcQUo"",""Form Responses 1!B:C""),2,FALSE),)"),"")</f>
        <v/>
      </c>
      <c r="T897" s="70" t="str">
        <f>IFERROR(__xludf.DUMMYFUNCTION("IFERROR(VLOOKUP(F897,IMPORTRANGE(""1H3cO01obd5zFULYqaT5NAqecZBFFIHeDFn4CeQLZF3w"",""Form Responses 1!B:C""),2,FALSE),)"),"")</f>
        <v/>
      </c>
      <c r="U897" s="70" t="str">
        <f>IFERROR(__xludf.DUMMYFUNCTION("IFERROR(IF(COUNTIF(IMPORTRANGE(""1IG9qoa6PeLdDDFzKpW39lxXshN0-M8Z25a_R1EpsYyg"",""Form Responses 1!B:B""),F897)&gt;0,10,),0)"),"")</f>
        <v/>
      </c>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row>
    <row r="898">
      <c r="B898" s="70"/>
      <c r="C898" s="70"/>
      <c r="D898" s="70"/>
      <c r="E898" s="70"/>
      <c r="F898" s="70"/>
      <c r="G898" s="70"/>
      <c r="H898" s="70"/>
      <c r="I898" s="70"/>
      <c r="J898" s="70"/>
      <c r="K898" s="70"/>
      <c r="L898" s="70"/>
      <c r="M898" s="70"/>
      <c r="N898" s="70"/>
      <c r="O898" s="70"/>
      <c r="P898" s="70"/>
      <c r="Q898" s="70" t="str">
        <f>IFERROR(__xludf.DUMMYFUNCTION("IFERROR(IF(COUNTIF(IMPORTRANGE(""1WjiLR_MTMxI_IZUKuvPO4Sg2rTSIqBzP3edakSRXbOA"",""Form Responses 1!B:B""),F898)&gt;0,10,),0)"),"")</f>
        <v/>
      </c>
      <c r="R898" s="70" t="str">
        <f>IFERROR(__xludf.DUMMYFUNCTION("IFERROR(VLOOKUP(F898,IMPORTRANGE(""1Ixzbal5tEbtWhozsFEppQzOYE6ZSrkNXHg_HW5k3Wt4"",""Form Responses 1!B:C""),2,FALSE),)"),"")</f>
        <v/>
      </c>
      <c r="S898" s="70" t="str">
        <f>IFERROR(__xludf.DUMMYFUNCTION("IFERROR(VLOOKUP(F898,IMPORTRANGE(""1zxjtEKGvVIJPIDqZdnxENwVpPXYa88EihzyI44hcQUo"",""Form Responses 1!B:C""),2,FALSE),)"),"")</f>
        <v/>
      </c>
      <c r="T898" s="70" t="str">
        <f>IFERROR(__xludf.DUMMYFUNCTION("IFERROR(VLOOKUP(F898,IMPORTRANGE(""1H3cO01obd5zFULYqaT5NAqecZBFFIHeDFn4CeQLZF3w"",""Form Responses 1!B:C""),2,FALSE),)"),"")</f>
        <v/>
      </c>
      <c r="U898" s="70" t="str">
        <f>IFERROR(__xludf.DUMMYFUNCTION("IFERROR(IF(COUNTIF(IMPORTRANGE(""1IG9qoa6PeLdDDFzKpW39lxXshN0-M8Z25a_R1EpsYyg"",""Form Responses 1!B:B""),F898)&gt;0,10,),0)"),"")</f>
        <v/>
      </c>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row>
    <row r="899">
      <c r="B899" s="70"/>
      <c r="C899" s="70"/>
      <c r="D899" s="70"/>
      <c r="E899" s="70"/>
      <c r="F899" s="70"/>
      <c r="G899" s="70"/>
      <c r="H899" s="70"/>
      <c r="I899" s="70"/>
      <c r="J899" s="70"/>
      <c r="K899" s="70"/>
      <c r="L899" s="70"/>
      <c r="M899" s="70"/>
      <c r="N899" s="70"/>
      <c r="O899" s="70"/>
      <c r="P899" s="70"/>
      <c r="Q899" s="70" t="str">
        <f>IFERROR(__xludf.DUMMYFUNCTION("IFERROR(IF(COUNTIF(IMPORTRANGE(""1WjiLR_MTMxI_IZUKuvPO4Sg2rTSIqBzP3edakSRXbOA"",""Form Responses 1!B:B""),F899)&gt;0,10,),0)"),"")</f>
        <v/>
      </c>
      <c r="R899" s="70" t="str">
        <f>IFERROR(__xludf.DUMMYFUNCTION("IFERROR(VLOOKUP(F899,IMPORTRANGE(""1Ixzbal5tEbtWhozsFEppQzOYE6ZSrkNXHg_HW5k3Wt4"",""Form Responses 1!B:C""),2,FALSE),)"),"")</f>
        <v/>
      </c>
      <c r="S899" s="70" t="str">
        <f>IFERROR(__xludf.DUMMYFUNCTION("IFERROR(VLOOKUP(F899,IMPORTRANGE(""1zxjtEKGvVIJPIDqZdnxENwVpPXYa88EihzyI44hcQUo"",""Form Responses 1!B:C""),2,FALSE),)"),"")</f>
        <v/>
      </c>
      <c r="T899" s="70" t="str">
        <f>IFERROR(__xludf.DUMMYFUNCTION("IFERROR(VLOOKUP(F899,IMPORTRANGE(""1H3cO01obd5zFULYqaT5NAqecZBFFIHeDFn4CeQLZF3w"",""Form Responses 1!B:C""),2,FALSE),)"),"")</f>
        <v/>
      </c>
      <c r="U899" s="70" t="str">
        <f>IFERROR(__xludf.DUMMYFUNCTION("IFERROR(IF(COUNTIF(IMPORTRANGE(""1IG9qoa6PeLdDDFzKpW39lxXshN0-M8Z25a_R1EpsYyg"",""Form Responses 1!B:B""),F899)&gt;0,10,),0)"),"")</f>
        <v/>
      </c>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row>
    <row r="900">
      <c r="B900" s="70"/>
      <c r="C900" s="70"/>
      <c r="D900" s="70"/>
      <c r="E900" s="70"/>
      <c r="F900" s="70"/>
      <c r="G900" s="70"/>
      <c r="H900" s="70"/>
      <c r="I900" s="70"/>
      <c r="J900" s="70"/>
      <c r="K900" s="70"/>
      <c r="L900" s="70"/>
      <c r="M900" s="70"/>
      <c r="N900" s="70"/>
      <c r="O900" s="70"/>
      <c r="P900" s="70"/>
      <c r="Q900" s="70" t="str">
        <f>IFERROR(__xludf.DUMMYFUNCTION("IFERROR(IF(COUNTIF(IMPORTRANGE(""1WjiLR_MTMxI_IZUKuvPO4Sg2rTSIqBzP3edakSRXbOA"",""Form Responses 1!B:B""),F900)&gt;0,10,),0)"),"")</f>
        <v/>
      </c>
      <c r="R900" s="70" t="str">
        <f>IFERROR(__xludf.DUMMYFUNCTION("IFERROR(VLOOKUP(F900,IMPORTRANGE(""1Ixzbal5tEbtWhozsFEppQzOYE6ZSrkNXHg_HW5k3Wt4"",""Form Responses 1!B:C""),2,FALSE),)"),"")</f>
        <v/>
      </c>
      <c r="S900" s="70" t="str">
        <f>IFERROR(__xludf.DUMMYFUNCTION("IFERROR(VLOOKUP(F900,IMPORTRANGE(""1zxjtEKGvVIJPIDqZdnxENwVpPXYa88EihzyI44hcQUo"",""Form Responses 1!B:C""),2,FALSE),)"),"")</f>
        <v/>
      </c>
      <c r="T900" s="70" t="str">
        <f>IFERROR(__xludf.DUMMYFUNCTION("IFERROR(VLOOKUP(F900,IMPORTRANGE(""1H3cO01obd5zFULYqaT5NAqecZBFFIHeDFn4CeQLZF3w"",""Form Responses 1!B:C""),2,FALSE),)"),"")</f>
        <v/>
      </c>
      <c r="U900" s="70" t="str">
        <f>IFERROR(__xludf.DUMMYFUNCTION("IFERROR(IF(COUNTIF(IMPORTRANGE(""1IG9qoa6PeLdDDFzKpW39lxXshN0-M8Z25a_R1EpsYyg"",""Form Responses 1!B:B""),F900)&gt;0,10,),0)"),"")</f>
        <v/>
      </c>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row>
    <row r="901">
      <c r="B901" s="70"/>
      <c r="C901" s="70"/>
      <c r="D901" s="70"/>
      <c r="E901" s="70"/>
      <c r="F901" s="70"/>
      <c r="G901" s="70"/>
      <c r="H901" s="70"/>
      <c r="I901" s="70"/>
      <c r="J901" s="70"/>
      <c r="K901" s="70"/>
      <c r="L901" s="70"/>
      <c r="M901" s="70"/>
      <c r="N901" s="70"/>
      <c r="O901" s="70"/>
      <c r="P901" s="70"/>
      <c r="Q901" s="70" t="str">
        <f>IFERROR(__xludf.DUMMYFUNCTION("IFERROR(IF(COUNTIF(IMPORTRANGE(""1WjiLR_MTMxI_IZUKuvPO4Sg2rTSIqBzP3edakSRXbOA"",""Form Responses 1!B:B""),F901)&gt;0,10,),0)"),"")</f>
        <v/>
      </c>
      <c r="R901" s="70" t="str">
        <f>IFERROR(__xludf.DUMMYFUNCTION("IFERROR(VLOOKUP(F901,IMPORTRANGE(""1Ixzbal5tEbtWhozsFEppQzOYE6ZSrkNXHg_HW5k3Wt4"",""Form Responses 1!B:C""),2,FALSE),)"),"")</f>
        <v/>
      </c>
      <c r="S901" s="70" t="str">
        <f>IFERROR(__xludf.DUMMYFUNCTION("IFERROR(VLOOKUP(F901,IMPORTRANGE(""1zxjtEKGvVIJPIDqZdnxENwVpPXYa88EihzyI44hcQUo"",""Form Responses 1!B:C""),2,FALSE),)"),"")</f>
        <v/>
      </c>
      <c r="T901" s="70" t="str">
        <f>IFERROR(__xludf.DUMMYFUNCTION("IFERROR(VLOOKUP(F901,IMPORTRANGE(""1H3cO01obd5zFULYqaT5NAqecZBFFIHeDFn4CeQLZF3w"",""Form Responses 1!B:C""),2,FALSE),)"),"")</f>
        <v/>
      </c>
      <c r="U901" s="70" t="str">
        <f>IFERROR(__xludf.DUMMYFUNCTION("IFERROR(IF(COUNTIF(IMPORTRANGE(""1IG9qoa6PeLdDDFzKpW39lxXshN0-M8Z25a_R1EpsYyg"",""Form Responses 1!B:B""),F901)&gt;0,10,),0)"),"")</f>
        <v/>
      </c>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row>
    <row r="902">
      <c r="B902" s="70"/>
      <c r="C902" s="70"/>
      <c r="D902" s="70"/>
      <c r="E902" s="70"/>
      <c r="F902" s="70"/>
      <c r="G902" s="70"/>
      <c r="H902" s="70"/>
      <c r="I902" s="70"/>
      <c r="J902" s="70"/>
      <c r="K902" s="70"/>
      <c r="L902" s="70"/>
      <c r="M902" s="70"/>
      <c r="N902" s="70"/>
      <c r="O902" s="70"/>
      <c r="P902" s="70"/>
      <c r="Q902" s="70" t="str">
        <f>IFERROR(__xludf.DUMMYFUNCTION("IFERROR(IF(COUNTIF(IMPORTRANGE(""1WjiLR_MTMxI_IZUKuvPO4Sg2rTSIqBzP3edakSRXbOA"",""Form Responses 1!B:B""),F902)&gt;0,10,),0)"),"")</f>
        <v/>
      </c>
      <c r="R902" s="70" t="str">
        <f>IFERROR(__xludf.DUMMYFUNCTION("IFERROR(VLOOKUP(F902,IMPORTRANGE(""1Ixzbal5tEbtWhozsFEppQzOYE6ZSrkNXHg_HW5k3Wt4"",""Form Responses 1!B:C""),2,FALSE),)"),"")</f>
        <v/>
      </c>
      <c r="S902" s="70" t="str">
        <f>IFERROR(__xludf.DUMMYFUNCTION("IFERROR(VLOOKUP(F902,IMPORTRANGE(""1zxjtEKGvVIJPIDqZdnxENwVpPXYa88EihzyI44hcQUo"",""Form Responses 1!B:C""),2,FALSE),)"),"")</f>
        <v/>
      </c>
      <c r="T902" s="70" t="str">
        <f>IFERROR(__xludf.DUMMYFUNCTION("IFERROR(VLOOKUP(F902,IMPORTRANGE(""1H3cO01obd5zFULYqaT5NAqecZBFFIHeDFn4CeQLZF3w"",""Form Responses 1!B:C""),2,FALSE),)"),"")</f>
        <v/>
      </c>
      <c r="U902" s="70" t="str">
        <f>IFERROR(__xludf.DUMMYFUNCTION("IFERROR(IF(COUNTIF(IMPORTRANGE(""1IG9qoa6PeLdDDFzKpW39lxXshN0-M8Z25a_R1EpsYyg"",""Form Responses 1!B:B""),F902)&gt;0,10,),0)"),"")</f>
        <v/>
      </c>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row>
    <row r="903">
      <c r="B903" s="70"/>
      <c r="C903" s="70"/>
      <c r="D903" s="70"/>
      <c r="E903" s="70"/>
      <c r="F903" s="70"/>
      <c r="G903" s="70"/>
      <c r="H903" s="70"/>
      <c r="I903" s="70"/>
      <c r="J903" s="70"/>
      <c r="K903" s="70"/>
      <c r="L903" s="70"/>
      <c r="M903" s="70"/>
      <c r="N903" s="70"/>
      <c r="O903" s="70"/>
      <c r="P903" s="70"/>
      <c r="Q903" s="70" t="str">
        <f>IFERROR(__xludf.DUMMYFUNCTION("IFERROR(IF(COUNTIF(IMPORTRANGE(""1WjiLR_MTMxI_IZUKuvPO4Sg2rTSIqBzP3edakSRXbOA"",""Form Responses 1!B:B""),F903)&gt;0,10,),0)"),"")</f>
        <v/>
      </c>
      <c r="R903" s="70" t="str">
        <f>IFERROR(__xludf.DUMMYFUNCTION("IFERROR(VLOOKUP(F903,IMPORTRANGE(""1Ixzbal5tEbtWhozsFEppQzOYE6ZSrkNXHg_HW5k3Wt4"",""Form Responses 1!B:C""),2,FALSE),)"),"")</f>
        <v/>
      </c>
      <c r="S903" s="70" t="str">
        <f>IFERROR(__xludf.DUMMYFUNCTION("IFERROR(VLOOKUP(F903,IMPORTRANGE(""1zxjtEKGvVIJPIDqZdnxENwVpPXYa88EihzyI44hcQUo"",""Form Responses 1!B:C""),2,FALSE),)"),"")</f>
        <v/>
      </c>
      <c r="T903" s="70" t="str">
        <f>IFERROR(__xludf.DUMMYFUNCTION("IFERROR(VLOOKUP(F903,IMPORTRANGE(""1H3cO01obd5zFULYqaT5NAqecZBFFIHeDFn4CeQLZF3w"",""Form Responses 1!B:C""),2,FALSE),)"),"")</f>
        <v/>
      </c>
      <c r="U903" s="70" t="str">
        <f>IFERROR(__xludf.DUMMYFUNCTION("IFERROR(IF(COUNTIF(IMPORTRANGE(""1IG9qoa6PeLdDDFzKpW39lxXshN0-M8Z25a_R1EpsYyg"",""Form Responses 1!B:B""),F903)&gt;0,10,),0)"),"")</f>
        <v/>
      </c>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row>
    <row r="904">
      <c r="B904" s="70"/>
      <c r="C904" s="70"/>
      <c r="D904" s="70"/>
      <c r="E904" s="70"/>
      <c r="F904" s="70"/>
      <c r="G904" s="70"/>
      <c r="H904" s="70"/>
      <c r="I904" s="70"/>
      <c r="J904" s="70"/>
      <c r="K904" s="70"/>
      <c r="L904" s="70"/>
      <c r="M904" s="70"/>
      <c r="N904" s="70"/>
      <c r="O904" s="70"/>
      <c r="P904" s="70"/>
      <c r="Q904" s="70" t="str">
        <f>IFERROR(__xludf.DUMMYFUNCTION("IFERROR(IF(COUNTIF(IMPORTRANGE(""1WjiLR_MTMxI_IZUKuvPO4Sg2rTSIqBzP3edakSRXbOA"",""Form Responses 1!B:B""),F904)&gt;0,10,),0)"),"")</f>
        <v/>
      </c>
      <c r="R904" s="70" t="str">
        <f>IFERROR(__xludf.DUMMYFUNCTION("IFERROR(VLOOKUP(F904,IMPORTRANGE(""1Ixzbal5tEbtWhozsFEppQzOYE6ZSrkNXHg_HW5k3Wt4"",""Form Responses 1!B:C""),2,FALSE),)"),"")</f>
        <v/>
      </c>
      <c r="S904" s="70" t="str">
        <f>IFERROR(__xludf.DUMMYFUNCTION("IFERROR(VLOOKUP(F904,IMPORTRANGE(""1zxjtEKGvVIJPIDqZdnxENwVpPXYa88EihzyI44hcQUo"",""Form Responses 1!B:C""),2,FALSE),)"),"")</f>
        <v/>
      </c>
      <c r="T904" s="70" t="str">
        <f>IFERROR(__xludf.DUMMYFUNCTION("IFERROR(VLOOKUP(F904,IMPORTRANGE(""1H3cO01obd5zFULYqaT5NAqecZBFFIHeDFn4CeQLZF3w"",""Form Responses 1!B:C""),2,FALSE),)"),"")</f>
        <v/>
      </c>
      <c r="U904" s="70" t="str">
        <f>IFERROR(__xludf.DUMMYFUNCTION("IFERROR(IF(COUNTIF(IMPORTRANGE(""1IG9qoa6PeLdDDFzKpW39lxXshN0-M8Z25a_R1EpsYyg"",""Form Responses 1!B:B""),F904)&gt;0,10,),0)"),"")</f>
        <v/>
      </c>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row>
    <row r="905">
      <c r="B905" s="70"/>
      <c r="C905" s="70"/>
      <c r="D905" s="70"/>
      <c r="E905" s="70"/>
      <c r="F905" s="70"/>
      <c r="G905" s="70"/>
      <c r="H905" s="70"/>
      <c r="I905" s="70"/>
      <c r="J905" s="70"/>
      <c r="K905" s="70"/>
      <c r="L905" s="70"/>
      <c r="M905" s="70"/>
      <c r="N905" s="70"/>
      <c r="O905" s="70"/>
      <c r="P905" s="70"/>
      <c r="Q905" s="70" t="str">
        <f>IFERROR(__xludf.DUMMYFUNCTION("IFERROR(IF(COUNTIF(IMPORTRANGE(""1WjiLR_MTMxI_IZUKuvPO4Sg2rTSIqBzP3edakSRXbOA"",""Form Responses 1!B:B""),F905)&gt;0,10,),0)"),"")</f>
        <v/>
      </c>
      <c r="R905" s="70" t="str">
        <f>IFERROR(__xludf.DUMMYFUNCTION("IFERROR(VLOOKUP(F905,IMPORTRANGE(""1Ixzbal5tEbtWhozsFEppQzOYE6ZSrkNXHg_HW5k3Wt4"",""Form Responses 1!B:C""),2,FALSE),)"),"")</f>
        <v/>
      </c>
      <c r="S905" s="70" t="str">
        <f>IFERROR(__xludf.DUMMYFUNCTION("IFERROR(VLOOKUP(F905,IMPORTRANGE(""1zxjtEKGvVIJPIDqZdnxENwVpPXYa88EihzyI44hcQUo"",""Form Responses 1!B:C""),2,FALSE),)"),"")</f>
        <v/>
      </c>
      <c r="T905" s="70" t="str">
        <f>IFERROR(__xludf.DUMMYFUNCTION("IFERROR(VLOOKUP(F905,IMPORTRANGE(""1H3cO01obd5zFULYqaT5NAqecZBFFIHeDFn4CeQLZF3w"",""Form Responses 1!B:C""),2,FALSE),)"),"")</f>
        <v/>
      </c>
      <c r="U905" s="70" t="str">
        <f>IFERROR(__xludf.DUMMYFUNCTION("IFERROR(IF(COUNTIF(IMPORTRANGE(""1IG9qoa6PeLdDDFzKpW39lxXshN0-M8Z25a_R1EpsYyg"",""Form Responses 1!B:B""),F905)&gt;0,10,),0)"),"")</f>
        <v/>
      </c>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row>
    <row r="906">
      <c r="B906" s="70"/>
      <c r="C906" s="70"/>
      <c r="D906" s="70"/>
      <c r="E906" s="70"/>
      <c r="F906" s="70"/>
      <c r="G906" s="70"/>
      <c r="H906" s="70"/>
      <c r="I906" s="70"/>
      <c r="J906" s="70"/>
      <c r="K906" s="70"/>
      <c r="L906" s="70"/>
      <c r="M906" s="70"/>
      <c r="N906" s="70"/>
      <c r="O906" s="70"/>
      <c r="P906" s="70"/>
      <c r="Q906" s="70" t="str">
        <f>IFERROR(__xludf.DUMMYFUNCTION("IFERROR(IF(COUNTIF(IMPORTRANGE(""1WjiLR_MTMxI_IZUKuvPO4Sg2rTSIqBzP3edakSRXbOA"",""Form Responses 1!B:B""),F906)&gt;0,10,),0)"),"")</f>
        <v/>
      </c>
      <c r="R906" s="70" t="str">
        <f>IFERROR(__xludf.DUMMYFUNCTION("IFERROR(VLOOKUP(F906,IMPORTRANGE(""1Ixzbal5tEbtWhozsFEppQzOYE6ZSrkNXHg_HW5k3Wt4"",""Form Responses 1!B:C""),2,FALSE),)"),"")</f>
        <v/>
      </c>
      <c r="S906" s="70" t="str">
        <f>IFERROR(__xludf.DUMMYFUNCTION("IFERROR(VLOOKUP(F906,IMPORTRANGE(""1zxjtEKGvVIJPIDqZdnxENwVpPXYa88EihzyI44hcQUo"",""Form Responses 1!B:C""),2,FALSE),)"),"")</f>
        <v/>
      </c>
      <c r="T906" s="70" t="str">
        <f>IFERROR(__xludf.DUMMYFUNCTION("IFERROR(VLOOKUP(F906,IMPORTRANGE(""1H3cO01obd5zFULYqaT5NAqecZBFFIHeDFn4CeQLZF3w"",""Form Responses 1!B:C""),2,FALSE),)"),"")</f>
        <v/>
      </c>
      <c r="U906" s="70" t="str">
        <f>IFERROR(__xludf.DUMMYFUNCTION("IFERROR(IF(COUNTIF(IMPORTRANGE(""1IG9qoa6PeLdDDFzKpW39lxXshN0-M8Z25a_R1EpsYyg"",""Form Responses 1!B:B""),F906)&gt;0,10,),0)"),"")</f>
        <v/>
      </c>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row>
    <row r="907">
      <c r="B907" s="70"/>
      <c r="C907" s="70"/>
      <c r="D907" s="70"/>
      <c r="E907" s="70"/>
      <c r="F907" s="70"/>
      <c r="G907" s="70"/>
      <c r="H907" s="70"/>
      <c r="I907" s="70"/>
      <c r="J907" s="70"/>
      <c r="K907" s="70"/>
      <c r="L907" s="70"/>
      <c r="M907" s="70"/>
      <c r="N907" s="70"/>
      <c r="O907" s="70"/>
      <c r="P907" s="70"/>
      <c r="Q907" s="70" t="str">
        <f>IFERROR(__xludf.DUMMYFUNCTION("IFERROR(IF(COUNTIF(IMPORTRANGE(""1WjiLR_MTMxI_IZUKuvPO4Sg2rTSIqBzP3edakSRXbOA"",""Form Responses 1!B:B""),F907)&gt;0,10,),0)"),"")</f>
        <v/>
      </c>
      <c r="R907" s="70" t="str">
        <f>IFERROR(__xludf.DUMMYFUNCTION("IFERROR(VLOOKUP(F907,IMPORTRANGE(""1Ixzbal5tEbtWhozsFEppQzOYE6ZSrkNXHg_HW5k3Wt4"",""Form Responses 1!B:C""),2,FALSE),)"),"")</f>
        <v/>
      </c>
      <c r="S907" s="70" t="str">
        <f>IFERROR(__xludf.DUMMYFUNCTION("IFERROR(VLOOKUP(F907,IMPORTRANGE(""1zxjtEKGvVIJPIDqZdnxENwVpPXYa88EihzyI44hcQUo"",""Form Responses 1!B:C""),2,FALSE),)"),"")</f>
        <v/>
      </c>
      <c r="T907" s="70" t="str">
        <f>IFERROR(__xludf.DUMMYFUNCTION("IFERROR(VLOOKUP(F907,IMPORTRANGE(""1H3cO01obd5zFULYqaT5NAqecZBFFIHeDFn4CeQLZF3w"",""Form Responses 1!B:C""),2,FALSE),)"),"")</f>
        <v/>
      </c>
      <c r="U907" s="70" t="str">
        <f>IFERROR(__xludf.DUMMYFUNCTION("IFERROR(IF(COUNTIF(IMPORTRANGE(""1IG9qoa6PeLdDDFzKpW39lxXshN0-M8Z25a_R1EpsYyg"",""Form Responses 1!B:B""),F907)&gt;0,10,),0)"),"")</f>
        <v/>
      </c>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row>
    <row r="908">
      <c r="B908" s="70"/>
      <c r="C908" s="70"/>
      <c r="D908" s="70"/>
      <c r="E908" s="70"/>
      <c r="F908" s="70"/>
      <c r="G908" s="70"/>
      <c r="H908" s="70"/>
      <c r="I908" s="70"/>
      <c r="J908" s="70"/>
      <c r="K908" s="70"/>
      <c r="L908" s="70"/>
      <c r="M908" s="70"/>
      <c r="N908" s="70"/>
      <c r="O908" s="70"/>
      <c r="P908" s="70"/>
      <c r="Q908" s="70" t="str">
        <f>IFERROR(__xludf.DUMMYFUNCTION("IFERROR(IF(COUNTIF(IMPORTRANGE(""1WjiLR_MTMxI_IZUKuvPO4Sg2rTSIqBzP3edakSRXbOA"",""Form Responses 1!B:B""),F908)&gt;0,10,),0)"),"")</f>
        <v/>
      </c>
      <c r="R908" s="70" t="str">
        <f>IFERROR(__xludf.DUMMYFUNCTION("IFERROR(VLOOKUP(F908,IMPORTRANGE(""1Ixzbal5tEbtWhozsFEppQzOYE6ZSrkNXHg_HW5k3Wt4"",""Form Responses 1!B:C""),2,FALSE),)"),"")</f>
        <v/>
      </c>
      <c r="S908" s="70" t="str">
        <f>IFERROR(__xludf.DUMMYFUNCTION("IFERROR(VLOOKUP(F908,IMPORTRANGE(""1zxjtEKGvVIJPIDqZdnxENwVpPXYa88EihzyI44hcQUo"",""Form Responses 1!B:C""),2,FALSE),)"),"")</f>
        <v/>
      </c>
      <c r="T908" s="70" t="str">
        <f>IFERROR(__xludf.DUMMYFUNCTION("IFERROR(VLOOKUP(F908,IMPORTRANGE(""1H3cO01obd5zFULYqaT5NAqecZBFFIHeDFn4CeQLZF3w"",""Form Responses 1!B:C""),2,FALSE),)"),"")</f>
        <v/>
      </c>
      <c r="U908" s="70" t="str">
        <f>IFERROR(__xludf.DUMMYFUNCTION("IFERROR(IF(COUNTIF(IMPORTRANGE(""1IG9qoa6PeLdDDFzKpW39lxXshN0-M8Z25a_R1EpsYyg"",""Form Responses 1!B:B""),F908)&gt;0,10,),0)"),"")</f>
        <v/>
      </c>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row>
    <row r="909">
      <c r="B909" s="70"/>
      <c r="C909" s="70"/>
      <c r="D909" s="70"/>
      <c r="E909" s="70"/>
      <c r="F909" s="70"/>
      <c r="G909" s="70"/>
      <c r="H909" s="70"/>
      <c r="I909" s="70"/>
      <c r="J909" s="70"/>
      <c r="K909" s="70"/>
      <c r="L909" s="70"/>
      <c r="M909" s="70"/>
      <c r="N909" s="70"/>
      <c r="O909" s="70"/>
      <c r="P909" s="70"/>
      <c r="Q909" s="70" t="str">
        <f>IFERROR(__xludf.DUMMYFUNCTION("IFERROR(IF(COUNTIF(IMPORTRANGE(""1WjiLR_MTMxI_IZUKuvPO4Sg2rTSIqBzP3edakSRXbOA"",""Form Responses 1!B:B""),F909)&gt;0,10,),0)"),"")</f>
        <v/>
      </c>
      <c r="R909" s="70" t="str">
        <f>IFERROR(__xludf.DUMMYFUNCTION("IFERROR(VLOOKUP(F909,IMPORTRANGE(""1Ixzbal5tEbtWhozsFEppQzOYE6ZSrkNXHg_HW5k3Wt4"",""Form Responses 1!B:C""),2,FALSE),)"),"")</f>
        <v/>
      </c>
      <c r="S909" s="70" t="str">
        <f>IFERROR(__xludf.DUMMYFUNCTION("IFERROR(VLOOKUP(F909,IMPORTRANGE(""1zxjtEKGvVIJPIDqZdnxENwVpPXYa88EihzyI44hcQUo"",""Form Responses 1!B:C""),2,FALSE),)"),"")</f>
        <v/>
      </c>
      <c r="T909" s="70" t="str">
        <f>IFERROR(__xludf.DUMMYFUNCTION("IFERROR(VLOOKUP(F909,IMPORTRANGE(""1H3cO01obd5zFULYqaT5NAqecZBFFIHeDFn4CeQLZF3w"",""Form Responses 1!B:C""),2,FALSE),)"),"")</f>
        <v/>
      </c>
      <c r="U909" s="70" t="str">
        <f>IFERROR(__xludf.DUMMYFUNCTION("IFERROR(IF(COUNTIF(IMPORTRANGE(""1IG9qoa6PeLdDDFzKpW39lxXshN0-M8Z25a_R1EpsYyg"",""Form Responses 1!B:B""),F909)&gt;0,10,),0)"),"")</f>
        <v/>
      </c>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row>
    <row r="910">
      <c r="B910" s="70"/>
      <c r="C910" s="70"/>
      <c r="D910" s="70"/>
      <c r="E910" s="70"/>
      <c r="F910" s="70"/>
      <c r="G910" s="70"/>
      <c r="H910" s="70"/>
      <c r="I910" s="70"/>
      <c r="J910" s="70"/>
      <c r="K910" s="70"/>
      <c r="L910" s="70"/>
      <c r="M910" s="70"/>
      <c r="N910" s="70"/>
      <c r="O910" s="70"/>
      <c r="P910" s="70"/>
      <c r="Q910" s="70" t="str">
        <f>IFERROR(__xludf.DUMMYFUNCTION("IFERROR(IF(COUNTIF(IMPORTRANGE(""1WjiLR_MTMxI_IZUKuvPO4Sg2rTSIqBzP3edakSRXbOA"",""Form Responses 1!B:B""),F910)&gt;0,10,),0)"),"")</f>
        <v/>
      </c>
      <c r="R910" s="70" t="str">
        <f>IFERROR(__xludf.DUMMYFUNCTION("IFERROR(VLOOKUP(F910,IMPORTRANGE(""1Ixzbal5tEbtWhozsFEppQzOYE6ZSrkNXHg_HW5k3Wt4"",""Form Responses 1!B:C""),2,FALSE),)"),"")</f>
        <v/>
      </c>
      <c r="S910" s="70" t="str">
        <f>IFERROR(__xludf.DUMMYFUNCTION("IFERROR(VLOOKUP(F910,IMPORTRANGE(""1zxjtEKGvVIJPIDqZdnxENwVpPXYa88EihzyI44hcQUo"",""Form Responses 1!B:C""),2,FALSE),)"),"")</f>
        <v/>
      </c>
      <c r="T910" s="70" t="str">
        <f>IFERROR(__xludf.DUMMYFUNCTION("IFERROR(VLOOKUP(F910,IMPORTRANGE(""1H3cO01obd5zFULYqaT5NAqecZBFFIHeDFn4CeQLZF3w"",""Form Responses 1!B:C""),2,FALSE),)"),"")</f>
        <v/>
      </c>
      <c r="U910" s="70" t="str">
        <f>IFERROR(__xludf.DUMMYFUNCTION("IFERROR(IF(COUNTIF(IMPORTRANGE(""1IG9qoa6PeLdDDFzKpW39lxXshN0-M8Z25a_R1EpsYyg"",""Form Responses 1!B:B""),F910)&gt;0,10,),0)"),"")</f>
        <v/>
      </c>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row>
    <row r="911">
      <c r="B911" s="70"/>
      <c r="C911" s="70"/>
      <c r="D911" s="70"/>
      <c r="E911" s="70"/>
      <c r="F911" s="70"/>
      <c r="G911" s="70"/>
      <c r="H911" s="70"/>
      <c r="I911" s="70"/>
      <c r="J911" s="70"/>
      <c r="K911" s="70"/>
      <c r="L911" s="70"/>
      <c r="M911" s="70"/>
      <c r="N911" s="70"/>
      <c r="O911" s="70"/>
      <c r="P911" s="70"/>
      <c r="Q911" s="70" t="str">
        <f>IFERROR(__xludf.DUMMYFUNCTION("IFERROR(IF(COUNTIF(IMPORTRANGE(""1WjiLR_MTMxI_IZUKuvPO4Sg2rTSIqBzP3edakSRXbOA"",""Form Responses 1!B:B""),F911)&gt;0,10,),0)"),"")</f>
        <v/>
      </c>
      <c r="R911" s="70" t="str">
        <f>IFERROR(__xludf.DUMMYFUNCTION("IFERROR(VLOOKUP(F911,IMPORTRANGE(""1Ixzbal5tEbtWhozsFEppQzOYE6ZSrkNXHg_HW5k3Wt4"",""Form Responses 1!B:C""),2,FALSE),)"),"")</f>
        <v/>
      </c>
      <c r="S911" s="70" t="str">
        <f>IFERROR(__xludf.DUMMYFUNCTION("IFERROR(VLOOKUP(F911,IMPORTRANGE(""1zxjtEKGvVIJPIDqZdnxENwVpPXYa88EihzyI44hcQUo"",""Form Responses 1!B:C""),2,FALSE),)"),"")</f>
        <v/>
      </c>
      <c r="T911" s="70" t="str">
        <f>IFERROR(__xludf.DUMMYFUNCTION("IFERROR(VLOOKUP(F911,IMPORTRANGE(""1H3cO01obd5zFULYqaT5NAqecZBFFIHeDFn4CeQLZF3w"",""Form Responses 1!B:C""),2,FALSE),)"),"")</f>
        <v/>
      </c>
      <c r="U911" s="70" t="str">
        <f>IFERROR(__xludf.DUMMYFUNCTION("IFERROR(IF(COUNTIF(IMPORTRANGE(""1IG9qoa6PeLdDDFzKpW39lxXshN0-M8Z25a_R1EpsYyg"",""Form Responses 1!B:B""),F911)&gt;0,10,),0)"),"")</f>
        <v/>
      </c>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row>
    <row r="912">
      <c r="B912" s="70"/>
      <c r="C912" s="70"/>
      <c r="D912" s="70"/>
      <c r="E912" s="70"/>
      <c r="F912" s="70"/>
      <c r="G912" s="70"/>
      <c r="H912" s="70"/>
      <c r="I912" s="70"/>
      <c r="J912" s="70"/>
      <c r="K912" s="70"/>
      <c r="L912" s="70"/>
      <c r="M912" s="70"/>
      <c r="N912" s="70"/>
      <c r="O912" s="70"/>
      <c r="P912" s="70"/>
      <c r="Q912" s="70" t="str">
        <f>IFERROR(__xludf.DUMMYFUNCTION("IFERROR(IF(COUNTIF(IMPORTRANGE(""1WjiLR_MTMxI_IZUKuvPO4Sg2rTSIqBzP3edakSRXbOA"",""Form Responses 1!B:B""),F912)&gt;0,10,),0)"),"")</f>
        <v/>
      </c>
      <c r="R912" s="70" t="str">
        <f>IFERROR(__xludf.DUMMYFUNCTION("IFERROR(VLOOKUP(F912,IMPORTRANGE(""1Ixzbal5tEbtWhozsFEppQzOYE6ZSrkNXHg_HW5k3Wt4"",""Form Responses 1!B:C""),2,FALSE),)"),"")</f>
        <v/>
      </c>
      <c r="S912" s="70" t="str">
        <f>IFERROR(__xludf.DUMMYFUNCTION("IFERROR(VLOOKUP(F912,IMPORTRANGE(""1zxjtEKGvVIJPIDqZdnxENwVpPXYa88EihzyI44hcQUo"",""Form Responses 1!B:C""),2,FALSE),)"),"")</f>
        <v/>
      </c>
      <c r="T912" s="70" t="str">
        <f>IFERROR(__xludf.DUMMYFUNCTION("IFERROR(VLOOKUP(F912,IMPORTRANGE(""1H3cO01obd5zFULYqaT5NAqecZBFFIHeDFn4CeQLZF3w"",""Form Responses 1!B:C""),2,FALSE),)"),"")</f>
        <v/>
      </c>
      <c r="U912" s="70" t="str">
        <f>IFERROR(__xludf.DUMMYFUNCTION("IFERROR(IF(COUNTIF(IMPORTRANGE(""1IG9qoa6PeLdDDFzKpW39lxXshN0-M8Z25a_R1EpsYyg"",""Form Responses 1!B:B""),F912)&gt;0,10,),0)"),"")</f>
        <v/>
      </c>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row>
    <row r="913">
      <c r="B913" s="70"/>
      <c r="C913" s="70"/>
      <c r="D913" s="70"/>
      <c r="E913" s="70"/>
      <c r="F913" s="70"/>
      <c r="G913" s="70"/>
      <c r="H913" s="70"/>
      <c r="I913" s="70"/>
      <c r="J913" s="70"/>
      <c r="K913" s="70"/>
      <c r="L913" s="70"/>
      <c r="M913" s="70"/>
      <c r="N913" s="70"/>
      <c r="O913" s="70"/>
      <c r="P913" s="70"/>
      <c r="Q913" s="70" t="str">
        <f>IFERROR(__xludf.DUMMYFUNCTION("IFERROR(IF(COUNTIF(IMPORTRANGE(""1WjiLR_MTMxI_IZUKuvPO4Sg2rTSIqBzP3edakSRXbOA"",""Form Responses 1!B:B""),F913)&gt;0,10,),0)"),"")</f>
        <v/>
      </c>
      <c r="R913" s="70" t="str">
        <f>IFERROR(__xludf.DUMMYFUNCTION("IFERROR(VLOOKUP(F913,IMPORTRANGE(""1Ixzbal5tEbtWhozsFEppQzOYE6ZSrkNXHg_HW5k3Wt4"",""Form Responses 1!B:C""),2,FALSE),)"),"")</f>
        <v/>
      </c>
      <c r="S913" s="70" t="str">
        <f>IFERROR(__xludf.DUMMYFUNCTION("IFERROR(VLOOKUP(F913,IMPORTRANGE(""1zxjtEKGvVIJPIDqZdnxENwVpPXYa88EihzyI44hcQUo"",""Form Responses 1!B:C""),2,FALSE),)"),"")</f>
        <v/>
      </c>
      <c r="T913" s="70" t="str">
        <f>IFERROR(__xludf.DUMMYFUNCTION("IFERROR(VLOOKUP(F913,IMPORTRANGE(""1H3cO01obd5zFULYqaT5NAqecZBFFIHeDFn4CeQLZF3w"",""Form Responses 1!B:C""),2,FALSE),)"),"")</f>
        <v/>
      </c>
      <c r="U913" s="70" t="str">
        <f>IFERROR(__xludf.DUMMYFUNCTION("IFERROR(IF(COUNTIF(IMPORTRANGE(""1IG9qoa6PeLdDDFzKpW39lxXshN0-M8Z25a_R1EpsYyg"",""Form Responses 1!B:B""),F913)&gt;0,10,),0)"),"")</f>
        <v/>
      </c>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row>
    <row r="914">
      <c r="B914" s="70"/>
      <c r="C914" s="70"/>
      <c r="D914" s="70"/>
      <c r="E914" s="70"/>
      <c r="F914" s="70"/>
      <c r="G914" s="70"/>
      <c r="H914" s="70"/>
      <c r="I914" s="70"/>
      <c r="J914" s="70"/>
      <c r="K914" s="70"/>
      <c r="L914" s="70"/>
      <c r="M914" s="70"/>
      <c r="N914" s="70"/>
      <c r="O914" s="70"/>
      <c r="P914" s="70"/>
      <c r="Q914" s="70" t="str">
        <f>IFERROR(__xludf.DUMMYFUNCTION("IFERROR(IF(COUNTIF(IMPORTRANGE(""1WjiLR_MTMxI_IZUKuvPO4Sg2rTSIqBzP3edakSRXbOA"",""Form Responses 1!B:B""),F914)&gt;0,10,),0)"),"")</f>
        <v/>
      </c>
      <c r="R914" s="70" t="str">
        <f>IFERROR(__xludf.DUMMYFUNCTION("IFERROR(VLOOKUP(F914,IMPORTRANGE(""1Ixzbal5tEbtWhozsFEppQzOYE6ZSrkNXHg_HW5k3Wt4"",""Form Responses 1!B:C""),2,FALSE),)"),"")</f>
        <v/>
      </c>
      <c r="S914" s="70" t="str">
        <f>IFERROR(__xludf.DUMMYFUNCTION("IFERROR(VLOOKUP(F914,IMPORTRANGE(""1zxjtEKGvVIJPIDqZdnxENwVpPXYa88EihzyI44hcQUo"",""Form Responses 1!B:C""),2,FALSE),)"),"")</f>
        <v/>
      </c>
      <c r="T914" s="70" t="str">
        <f>IFERROR(__xludf.DUMMYFUNCTION("IFERROR(VLOOKUP(F914,IMPORTRANGE(""1H3cO01obd5zFULYqaT5NAqecZBFFIHeDFn4CeQLZF3w"",""Form Responses 1!B:C""),2,FALSE),)"),"")</f>
        <v/>
      </c>
      <c r="U914" s="70" t="str">
        <f>IFERROR(__xludf.DUMMYFUNCTION("IFERROR(IF(COUNTIF(IMPORTRANGE(""1IG9qoa6PeLdDDFzKpW39lxXshN0-M8Z25a_R1EpsYyg"",""Form Responses 1!B:B""),F914)&gt;0,10,),0)"),"")</f>
        <v/>
      </c>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row>
    <row r="915">
      <c r="B915" s="70"/>
      <c r="C915" s="70"/>
      <c r="D915" s="70"/>
      <c r="E915" s="70"/>
      <c r="F915" s="70"/>
      <c r="G915" s="70"/>
      <c r="H915" s="70"/>
      <c r="I915" s="70"/>
      <c r="J915" s="70"/>
      <c r="K915" s="70"/>
      <c r="L915" s="70"/>
      <c r="M915" s="70"/>
      <c r="N915" s="70"/>
      <c r="O915" s="70"/>
      <c r="P915" s="70"/>
      <c r="Q915" s="70" t="str">
        <f>IFERROR(__xludf.DUMMYFUNCTION("IFERROR(IF(COUNTIF(IMPORTRANGE(""1WjiLR_MTMxI_IZUKuvPO4Sg2rTSIqBzP3edakSRXbOA"",""Form Responses 1!B:B""),F915)&gt;0,10,),0)"),"")</f>
        <v/>
      </c>
      <c r="R915" s="70" t="str">
        <f>IFERROR(__xludf.DUMMYFUNCTION("IFERROR(VLOOKUP(F915,IMPORTRANGE(""1Ixzbal5tEbtWhozsFEppQzOYE6ZSrkNXHg_HW5k3Wt4"",""Form Responses 1!B:C""),2,FALSE),)"),"")</f>
        <v/>
      </c>
      <c r="S915" s="70" t="str">
        <f>IFERROR(__xludf.DUMMYFUNCTION("IFERROR(VLOOKUP(F915,IMPORTRANGE(""1zxjtEKGvVIJPIDqZdnxENwVpPXYa88EihzyI44hcQUo"",""Form Responses 1!B:C""),2,FALSE),)"),"")</f>
        <v/>
      </c>
      <c r="T915" s="70" t="str">
        <f>IFERROR(__xludf.DUMMYFUNCTION("IFERROR(VLOOKUP(F915,IMPORTRANGE(""1H3cO01obd5zFULYqaT5NAqecZBFFIHeDFn4CeQLZF3w"",""Form Responses 1!B:C""),2,FALSE),)"),"")</f>
        <v/>
      </c>
      <c r="U915" s="70" t="str">
        <f>IFERROR(__xludf.DUMMYFUNCTION("IFERROR(IF(COUNTIF(IMPORTRANGE(""1IG9qoa6PeLdDDFzKpW39lxXshN0-M8Z25a_R1EpsYyg"",""Form Responses 1!B:B""),F915)&gt;0,10,),0)"),"")</f>
        <v/>
      </c>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row>
    <row r="916">
      <c r="B916" s="70"/>
      <c r="C916" s="70"/>
      <c r="D916" s="70"/>
      <c r="E916" s="70"/>
      <c r="F916" s="70"/>
      <c r="G916" s="70"/>
      <c r="H916" s="70"/>
      <c r="I916" s="70"/>
      <c r="J916" s="70"/>
      <c r="K916" s="70"/>
      <c r="L916" s="70"/>
      <c r="M916" s="70"/>
      <c r="N916" s="70"/>
      <c r="O916" s="70"/>
      <c r="P916" s="70"/>
      <c r="Q916" s="70" t="str">
        <f>IFERROR(__xludf.DUMMYFUNCTION("IFERROR(IF(COUNTIF(IMPORTRANGE(""1WjiLR_MTMxI_IZUKuvPO4Sg2rTSIqBzP3edakSRXbOA"",""Form Responses 1!B:B""),F916)&gt;0,10,),0)"),"")</f>
        <v/>
      </c>
      <c r="R916" s="70" t="str">
        <f>IFERROR(__xludf.DUMMYFUNCTION("IFERROR(VLOOKUP(F916,IMPORTRANGE(""1Ixzbal5tEbtWhozsFEppQzOYE6ZSrkNXHg_HW5k3Wt4"",""Form Responses 1!B:C""),2,FALSE),)"),"")</f>
        <v/>
      </c>
      <c r="S916" s="70" t="str">
        <f>IFERROR(__xludf.DUMMYFUNCTION("IFERROR(VLOOKUP(F916,IMPORTRANGE(""1zxjtEKGvVIJPIDqZdnxENwVpPXYa88EihzyI44hcQUo"",""Form Responses 1!B:C""),2,FALSE),)"),"")</f>
        <v/>
      </c>
      <c r="T916" s="70" t="str">
        <f>IFERROR(__xludf.DUMMYFUNCTION("IFERROR(VLOOKUP(F916,IMPORTRANGE(""1H3cO01obd5zFULYqaT5NAqecZBFFIHeDFn4CeQLZF3w"",""Form Responses 1!B:C""),2,FALSE),)"),"")</f>
        <v/>
      </c>
      <c r="U916" s="70" t="str">
        <f>IFERROR(__xludf.DUMMYFUNCTION("IFERROR(IF(COUNTIF(IMPORTRANGE(""1IG9qoa6PeLdDDFzKpW39lxXshN0-M8Z25a_R1EpsYyg"",""Form Responses 1!B:B""),F916)&gt;0,10,),0)"),"")</f>
        <v/>
      </c>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row>
    <row r="917">
      <c r="B917" s="70"/>
      <c r="C917" s="70"/>
      <c r="D917" s="70"/>
      <c r="E917" s="70"/>
      <c r="F917" s="70"/>
      <c r="G917" s="70"/>
      <c r="H917" s="70"/>
      <c r="I917" s="70"/>
      <c r="J917" s="70"/>
      <c r="K917" s="70"/>
      <c r="L917" s="70"/>
      <c r="M917" s="70"/>
      <c r="N917" s="70"/>
      <c r="O917" s="70"/>
      <c r="P917" s="70"/>
      <c r="Q917" s="70" t="str">
        <f>IFERROR(__xludf.DUMMYFUNCTION("IFERROR(IF(COUNTIF(IMPORTRANGE(""1WjiLR_MTMxI_IZUKuvPO4Sg2rTSIqBzP3edakSRXbOA"",""Form Responses 1!B:B""),F917)&gt;0,10,),0)"),"")</f>
        <v/>
      </c>
      <c r="R917" s="70" t="str">
        <f>IFERROR(__xludf.DUMMYFUNCTION("IFERROR(VLOOKUP(F917,IMPORTRANGE(""1Ixzbal5tEbtWhozsFEppQzOYE6ZSrkNXHg_HW5k3Wt4"",""Form Responses 1!B:C""),2,FALSE),)"),"")</f>
        <v/>
      </c>
      <c r="S917" s="70" t="str">
        <f>IFERROR(__xludf.DUMMYFUNCTION("IFERROR(VLOOKUP(F917,IMPORTRANGE(""1zxjtEKGvVIJPIDqZdnxENwVpPXYa88EihzyI44hcQUo"",""Form Responses 1!B:C""),2,FALSE),)"),"")</f>
        <v/>
      </c>
      <c r="T917" s="70" t="str">
        <f>IFERROR(__xludf.DUMMYFUNCTION("IFERROR(VLOOKUP(F917,IMPORTRANGE(""1H3cO01obd5zFULYqaT5NAqecZBFFIHeDFn4CeQLZF3w"",""Form Responses 1!B:C""),2,FALSE),)"),"")</f>
        <v/>
      </c>
      <c r="U917" s="70" t="str">
        <f>IFERROR(__xludf.DUMMYFUNCTION("IFERROR(IF(COUNTIF(IMPORTRANGE(""1IG9qoa6PeLdDDFzKpW39lxXshN0-M8Z25a_R1EpsYyg"",""Form Responses 1!B:B""),F917)&gt;0,10,),0)"),"")</f>
        <v/>
      </c>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row>
    <row r="918">
      <c r="B918" s="70"/>
      <c r="C918" s="70"/>
      <c r="D918" s="70"/>
      <c r="E918" s="70"/>
      <c r="F918" s="70"/>
      <c r="G918" s="70"/>
      <c r="H918" s="70"/>
      <c r="I918" s="70"/>
      <c r="J918" s="70"/>
      <c r="K918" s="70"/>
      <c r="L918" s="70"/>
      <c r="M918" s="70"/>
      <c r="N918" s="70"/>
      <c r="O918" s="70"/>
      <c r="P918" s="70"/>
      <c r="Q918" s="70" t="str">
        <f>IFERROR(__xludf.DUMMYFUNCTION("IFERROR(IF(COUNTIF(IMPORTRANGE(""1WjiLR_MTMxI_IZUKuvPO4Sg2rTSIqBzP3edakSRXbOA"",""Form Responses 1!B:B""),F918)&gt;0,10,),0)"),"")</f>
        <v/>
      </c>
      <c r="R918" s="70" t="str">
        <f>IFERROR(__xludf.DUMMYFUNCTION("IFERROR(VLOOKUP(F918,IMPORTRANGE(""1Ixzbal5tEbtWhozsFEppQzOYE6ZSrkNXHg_HW5k3Wt4"",""Form Responses 1!B:C""),2,FALSE),)"),"")</f>
        <v/>
      </c>
      <c r="S918" s="70" t="str">
        <f>IFERROR(__xludf.DUMMYFUNCTION("IFERROR(VLOOKUP(F918,IMPORTRANGE(""1zxjtEKGvVIJPIDqZdnxENwVpPXYa88EihzyI44hcQUo"",""Form Responses 1!B:C""),2,FALSE),)"),"")</f>
        <v/>
      </c>
      <c r="T918" s="70" t="str">
        <f>IFERROR(__xludf.DUMMYFUNCTION("IFERROR(VLOOKUP(F918,IMPORTRANGE(""1H3cO01obd5zFULYqaT5NAqecZBFFIHeDFn4CeQLZF3w"",""Form Responses 1!B:C""),2,FALSE),)"),"")</f>
        <v/>
      </c>
      <c r="U918" s="70" t="str">
        <f>IFERROR(__xludf.DUMMYFUNCTION("IFERROR(IF(COUNTIF(IMPORTRANGE(""1IG9qoa6PeLdDDFzKpW39lxXshN0-M8Z25a_R1EpsYyg"",""Form Responses 1!B:B""),F918)&gt;0,10,),0)"),"")</f>
        <v/>
      </c>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row>
    <row r="919">
      <c r="B919" s="70"/>
      <c r="C919" s="70"/>
      <c r="D919" s="70"/>
      <c r="E919" s="70"/>
      <c r="F919" s="70"/>
      <c r="G919" s="70"/>
      <c r="H919" s="70"/>
      <c r="I919" s="70"/>
      <c r="J919" s="70"/>
      <c r="K919" s="70"/>
      <c r="L919" s="70"/>
      <c r="M919" s="70"/>
      <c r="N919" s="70"/>
      <c r="O919" s="70"/>
      <c r="P919" s="70"/>
      <c r="Q919" s="70" t="str">
        <f>IFERROR(__xludf.DUMMYFUNCTION("IFERROR(IF(COUNTIF(IMPORTRANGE(""1WjiLR_MTMxI_IZUKuvPO4Sg2rTSIqBzP3edakSRXbOA"",""Form Responses 1!B:B""),F919)&gt;0,10,),0)"),"")</f>
        <v/>
      </c>
      <c r="R919" s="70" t="str">
        <f>IFERROR(__xludf.DUMMYFUNCTION("IFERROR(VLOOKUP(F919,IMPORTRANGE(""1Ixzbal5tEbtWhozsFEppQzOYE6ZSrkNXHg_HW5k3Wt4"",""Form Responses 1!B:C""),2,FALSE),)"),"")</f>
        <v/>
      </c>
      <c r="S919" s="70" t="str">
        <f>IFERROR(__xludf.DUMMYFUNCTION("IFERROR(VLOOKUP(F919,IMPORTRANGE(""1zxjtEKGvVIJPIDqZdnxENwVpPXYa88EihzyI44hcQUo"",""Form Responses 1!B:C""),2,FALSE),)"),"")</f>
        <v/>
      </c>
      <c r="T919" s="70" t="str">
        <f>IFERROR(__xludf.DUMMYFUNCTION("IFERROR(VLOOKUP(F919,IMPORTRANGE(""1H3cO01obd5zFULYqaT5NAqecZBFFIHeDFn4CeQLZF3w"",""Form Responses 1!B:C""),2,FALSE),)"),"")</f>
        <v/>
      </c>
      <c r="U919" s="70" t="str">
        <f>IFERROR(__xludf.DUMMYFUNCTION("IFERROR(IF(COUNTIF(IMPORTRANGE(""1IG9qoa6PeLdDDFzKpW39lxXshN0-M8Z25a_R1EpsYyg"",""Form Responses 1!B:B""),F919)&gt;0,10,),0)"),"")</f>
        <v/>
      </c>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row>
    <row r="920">
      <c r="B920" s="70"/>
      <c r="C920" s="70"/>
      <c r="D920" s="70"/>
      <c r="E920" s="70"/>
      <c r="F920" s="70"/>
      <c r="G920" s="70"/>
      <c r="H920" s="70"/>
      <c r="I920" s="70"/>
      <c r="J920" s="70"/>
      <c r="K920" s="70"/>
      <c r="L920" s="70"/>
      <c r="M920" s="70"/>
      <c r="N920" s="70"/>
      <c r="O920" s="70"/>
      <c r="P920" s="70"/>
      <c r="Q920" s="70" t="str">
        <f>IFERROR(__xludf.DUMMYFUNCTION("IFERROR(IF(COUNTIF(IMPORTRANGE(""1WjiLR_MTMxI_IZUKuvPO4Sg2rTSIqBzP3edakSRXbOA"",""Form Responses 1!B:B""),F920)&gt;0,10,),0)"),"")</f>
        <v/>
      </c>
      <c r="R920" s="70" t="str">
        <f>IFERROR(__xludf.DUMMYFUNCTION("IFERROR(VLOOKUP(F920,IMPORTRANGE(""1Ixzbal5tEbtWhozsFEppQzOYE6ZSrkNXHg_HW5k3Wt4"",""Form Responses 1!B:C""),2,FALSE),)"),"")</f>
        <v/>
      </c>
      <c r="S920" s="70" t="str">
        <f>IFERROR(__xludf.DUMMYFUNCTION("IFERROR(VLOOKUP(F920,IMPORTRANGE(""1zxjtEKGvVIJPIDqZdnxENwVpPXYa88EihzyI44hcQUo"",""Form Responses 1!B:C""),2,FALSE),)"),"")</f>
        <v/>
      </c>
      <c r="T920" s="70" t="str">
        <f>IFERROR(__xludf.DUMMYFUNCTION("IFERROR(VLOOKUP(F920,IMPORTRANGE(""1H3cO01obd5zFULYqaT5NAqecZBFFIHeDFn4CeQLZF3w"",""Form Responses 1!B:C""),2,FALSE),)"),"")</f>
        <v/>
      </c>
      <c r="U920" s="70" t="str">
        <f>IFERROR(__xludf.DUMMYFUNCTION("IFERROR(IF(COUNTIF(IMPORTRANGE(""1IG9qoa6PeLdDDFzKpW39lxXshN0-M8Z25a_R1EpsYyg"",""Form Responses 1!B:B""),F920)&gt;0,10,),0)"),"")</f>
        <v/>
      </c>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row>
    <row r="921">
      <c r="B921" s="70"/>
      <c r="C921" s="70"/>
      <c r="D921" s="70"/>
      <c r="E921" s="70"/>
      <c r="F921" s="70"/>
      <c r="G921" s="70"/>
      <c r="H921" s="70"/>
      <c r="I921" s="70"/>
      <c r="J921" s="70"/>
      <c r="K921" s="70"/>
      <c r="L921" s="70"/>
      <c r="M921" s="70"/>
      <c r="N921" s="70"/>
      <c r="O921" s="70"/>
      <c r="P921" s="70"/>
      <c r="Q921" s="70" t="str">
        <f>IFERROR(__xludf.DUMMYFUNCTION("IFERROR(IF(COUNTIF(IMPORTRANGE(""1WjiLR_MTMxI_IZUKuvPO4Sg2rTSIqBzP3edakSRXbOA"",""Form Responses 1!B:B""),F921)&gt;0,10,),0)"),"")</f>
        <v/>
      </c>
      <c r="R921" s="70" t="str">
        <f>IFERROR(__xludf.DUMMYFUNCTION("IFERROR(VLOOKUP(F921,IMPORTRANGE(""1Ixzbal5tEbtWhozsFEppQzOYE6ZSrkNXHg_HW5k3Wt4"",""Form Responses 1!B:C""),2,FALSE),)"),"")</f>
        <v/>
      </c>
      <c r="S921" s="70" t="str">
        <f>IFERROR(__xludf.DUMMYFUNCTION("IFERROR(VLOOKUP(F921,IMPORTRANGE(""1zxjtEKGvVIJPIDqZdnxENwVpPXYa88EihzyI44hcQUo"",""Form Responses 1!B:C""),2,FALSE),)"),"")</f>
        <v/>
      </c>
      <c r="T921" s="70" t="str">
        <f>IFERROR(__xludf.DUMMYFUNCTION("IFERROR(VLOOKUP(F921,IMPORTRANGE(""1H3cO01obd5zFULYqaT5NAqecZBFFIHeDFn4CeQLZF3w"",""Form Responses 1!B:C""),2,FALSE),)"),"")</f>
        <v/>
      </c>
      <c r="U921" s="70" t="str">
        <f>IFERROR(__xludf.DUMMYFUNCTION("IFERROR(IF(COUNTIF(IMPORTRANGE(""1IG9qoa6PeLdDDFzKpW39lxXshN0-M8Z25a_R1EpsYyg"",""Form Responses 1!B:B""),F921)&gt;0,10,),0)"),"")</f>
        <v/>
      </c>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row>
    <row r="922">
      <c r="B922" s="70"/>
      <c r="C922" s="70"/>
      <c r="D922" s="70"/>
      <c r="E922" s="70"/>
      <c r="F922" s="70"/>
      <c r="G922" s="70"/>
      <c r="H922" s="70"/>
      <c r="I922" s="70"/>
      <c r="J922" s="70"/>
      <c r="K922" s="70"/>
      <c r="L922" s="70"/>
      <c r="M922" s="70"/>
      <c r="N922" s="70"/>
      <c r="O922" s="70"/>
      <c r="P922" s="70"/>
      <c r="Q922" s="70" t="str">
        <f>IFERROR(__xludf.DUMMYFUNCTION("IFERROR(IF(COUNTIF(IMPORTRANGE(""1WjiLR_MTMxI_IZUKuvPO4Sg2rTSIqBzP3edakSRXbOA"",""Form Responses 1!B:B""),F922)&gt;0,10,),0)"),"")</f>
        <v/>
      </c>
      <c r="R922" s="70" t="str">
        <f>IFERROR(__xludf.DUMMYFUNCTION("IFERROR(VLOOKUP(F922,IMPORTRANGE(""1Ixzbal5tEbtWhozsFEppQzOYE6ZSrkNXHg_HW5k3Wt4"",""Form Responses 1!B:C""),2,FALSE),)"),"")</f>
        <v/>
      </c>
      <c r="S922" s="70" t="str">
        <f>IFERROR(__xludf.DUMMYFUNCTION("IFERROR(VLOOKUP(F922,IMPORTRANGE(""1zxjtEKGvVIJPIDqZdnxENwVpPXYa88EihzyI44hcQUo"",""Form Responses 1!B:C""),2,FALSE),)"),"")</f>
        <v/>
      </c>
      <c r="T922" s="70" t="str">
        <f>IFERROR(__xludf.DUMMYFUNCTION("IFERROR(VLOOKUP(F922,IMPORTRANGE(""1H3cO01obd5zFULYqaT5NAqecZBFFIHeDFn4CeQLZF3w"",""Form Responses 1!B:C""),2,FALSE),)"),"")</f>
        <v/>
      </c>
      <c r="U922" s="70" t="str">
        <f>IFERROR(__xludf.DUMMYFUNCTION("IFERROR(IF(COUNTIF(IMPORTRANGE(""1IG9qoa6PeLdDDFzKpW39lxXshN0-M8Z25a_R1EpsYyg"",""Form Responses 1!B:B""),F922)&gt;0,10,),0)"),"")</f>
        <v/>
      </c>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row>
    <row r="923">
      <c r="B923" s="70"/>
      <c r="C923" s="70"/>
      <c r="D923" s="70"/>
      <c r="E923" s="70"/>
      <c r="F923" s="70"/>
      <c r="G923" s="70"/>
      <c r="H923" s="70"/>
      <c r="I923" s="70"/>
      <c r="J923" s="70"/>
      <c r="K923" s="70"/>
      <c r="L923" s="70"/>
      <c r="M923" s="70"/>
      <c r="N923" s="70"/>
      <c r="O923" s="70"/>
      <c r="P923" s="70"/>
      <c r="Q923" s="70" t="str">
        <f>IFERROR(__xludf.DUMMYFUNCTION("IFERROR(IF(COUNTIF(IMPORTRANGE(""1WjiLR_MTMxI_IZUKuvPO4Sg2rTSIqBzP3edakSRXbOA"",""Form Responses 1!B:B""),F923)&gt;0,10,),0)"),"")</f>
        <v/>
      </c>
      <c r="R923" s="70" t="str">
        <f>IFERROR(__xludf.DUMMYFUNCTION("IFERROR(VLOOKUP(F923,IMPORTRANGE(""1Ixzbal5tEbtWhozsFEppQzOYE6ZSrkNXHg_HW5k3Wt4"",""Form Responses 1!B:C""),2,FALSE),)"),"")</f>
        <v/>
      </c>
      <c r="S923" s="70" t="str">
        <f>IFERROR(__xludf.DUMMYFUNCTION("IFERROR(VLOOKUP(F923,IMPORTRANGE(""1zxjtEKGvVIJPIDqZdnxENwVpPXYa88EihzyI44hcQUo"",""Form Responses 1!B:C""),2,FALSE),)"),"")</f>
        <v/>
      </c>
      <c r="T923" s="70" t="str">
        <f>IFERROR(__xludf.DUMMYFUNCTION("IFERROR(VLOOKUP(F923,IMPORTRANGE(""1H3cO01obd5zFULYqaT5NAqecZBFFIHeDFn4CeQLZF3w"",""Form Responses 1!B:C""),2,FALSE),)"),"")</f>
        <v/>
      </c>
      <c r="U923" s="70" t="str">
        <f>IFERROR(__xludf.DUMMYFUNCTION("IFERROR(IF(COUNTIF(IMPORTRANGE(""1IG9qoa6PeLdDDFzKpW39lxXshN0-M8Z25a_R1EpsYyg"",""Form Responses 1!B:B""),F923)&gt;0,10,),0)"),"")</f>
        <v/>
      </c>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row>
    <row r="924">
      <c r="B924" s="70"/>
      <c r="C924" s="70"/>
      <c r="D924" s="70"/>
      <c r="E924" s="70"/>
      <c r="F924" s="70"/>
      <c r="G924" s="70"/>
      <c r="H924" s="70"/>
      <c r="I924" s="70"/>
      <c r="J924" s="70"/>
      <c r="K924" s="70"/>
      <c r="L924" s="70"/>
      <c r="M924" s="70"/>
      <c r="N924" s="70"/>
      <c r="O924" s="70"/>
      <c r="P924" s="70"/>
      <c r="Q924" s="70" t="str">
        <f>IFERROR(__xludf.DUMMYFUNCTION("IFERROR(IF(COUNTIF(IMPORTRANGE(""1WjiLR_MTMxI_IZUKuvPO4Sg2rTSIqBzP3edakSRXbOA"",""Form Responses 1!B:B""),F924)&gt;0,10,),0)"),"")</f>
        <v/>
      </c>
      <c r="R924" s="70" t="str">
        <f>IFERROR(__xludf.DUMMYFUNCTION("IFERROR(VLOOKUP(F924,IMPORTRANGE(""1Ixzbal5tEbtWhozsFEppQzOYE6ZSrkNXHg_HW5k3Wt4"",""Form Responses 1!B:C""),2,FALSE),)"),"")</f>
        <v/>
      </c>
      <c r="S924" s="70" t="str">
        <f>IFERROR(__xludf.DUMMYFUNCTION("IFERROR(VLOOKUP(F924,IMPORTRANGE(""1zxjtEKGvVIJPIDqZdnxENwVpPXYa88EihzyI44hcQUo"",""Form Responses 1!B:C""),2,FALSE),)"),"")</f>
        <v/>
      </c>
      <c r="T924" s="70" t="str">
        <f>IFERROR(__xludf.DUMMYFUNCTION("IFERROR(VLOOKUP(F924,IMPORTRANGE(""1H3cO01obd5zFULYqaT5NAqecZBFFIHeDFn4CeQLZF3w"",""Form Responses 1!B:C""),2,FALSE),)"),"")</f>
        <v/>
      </c>
      <c r="U924" s="70" t="str">
        <f>IFERROR(__xludf.DUMMYFUNCTION("IFERROR(IF(COUNTIF(IMPORTRANGE(""1IG9qoa6PeLdDDFzKpW39lxXshN0-M8Z25a_R1EpsYyg"",""Form Responses 1!B:B""),F924)&gt;0,10,),0)"),"")</f>
        <v/>
      </c>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row>
    <row r="925">
      <c r="B925" s="70"/>
      <c r="C925" s="70"/>
      <c r="D925" s="70"/>
      <c r="E925" s="70"/>
      <c r="F925" s="70"/>
      <c r="G925" s="70"/>
      <c r="H925" s="70"/>
      <c r="I925" s="70"/>
      <c r="J925" s="70"/>
      <c r="K925" s="70"/>
      <c r="L925" s="70"/>
      <c r="M925" s="70"/>
      <c r="N925" s="70"/>
      <c r="O925" s="70"/>
      <c r="P925" s="70"/>
      <c r="Q925" s="70" t="str">
        <f>IFERROR(__xludf.DUMMYFUNCTION("IFERROR(IF(COUNTIF(IMPORTRANGE(""1WjiLR_MTMxI_IZUKuvPO4Sg2rTSIqBzP3edakSRXbOA"",""Form Responses 1!B:B""),F925)&gt;0,10,),0)"),"")</f>
        <v/>
      </c>
      <c r="R925" s="70" t="str">
        <f>IFERROR(__xludf.DUMMYFUNCTION("IFERROR(VLOOKUP(F925,IMPORTRANGE(""1Ixzbal5tEbtWhozsFEppQzOYE6ZSrkNXHg_HW5k3Wt4"",""Form Responses 1!B:C""),2,FALSE),)"),"")</f>
        <v/>
      </c>
      <c r="S925" s="70" t="str">
        <f>IFERROR(__xludf.DUMMYFUNCTION("IFERROR(VLOOKUP(F925,IMPORTRANGE(""1zxjtEKGvVIJPIDqZdnxENwVpPXYa88EihzyI44hcQUo"",""Form Responses 1!B:C""),2,FALSE),)"),"")</f>
        <v/>
      </c>
      <c r="T925" s="70" t="str">
        <f>IFERROR(__xludf.DUMMYFUNCTION("IFERROR(VLOOKUP(F925,IMPORTRANGE(""1H3cO01obd5zFULYqaT5NAqecZBFFIHeDFn4CeQLZF3w"",""Form Responses 1!B:C""),2,FALSE),)"),"")</f>
        <v/>
      </c>
      <c r="U925" s="70" t="str">
        <f>IFERROR(__xludf.DUMMYFUNCTION("IFERROR(IF(COUNTIF(IMPORTRANGE(""1IG9qoa6PeLdDDFzKpW39lxXshN0-M8Z25a_R1EpsYyg"",""Form Responses 1!B:B""),F925)&gt;0,10,),0)"),"")</f>
        <v/>
      </c>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row>
    <row r="926">
      <c r="B926" s="70"/>
      <c r="C926" s="70"/>
      <c r="D926" s="70"/>
      <c r="E926" s="70"/>
      <c r="F926" s="70"/>
      <c r="G926" s="70"/>
      <c r="H926" s="70"/>
      <c r="I926" s="70"/>
      <c r="J926" s="70"/>
      <c r="K926" s="70"/>
      <c r="L926" s="70"/>
      <c r="M926" s="70"/>
      <c r="N926" s="70"/>
      <c r="O926" s="70"/>
      <c r="P926" s="70"/>
      <c r="Q926" s="70" t="str">
        <f>IFERROR(__xludf.DUMMYFUNCTION("IFERROR(IF(COUNTIF(IMPORTRANGE(""1WjiLR_MTMxI_IZUKuvPO4Sg2rTSIqBzP3edakSRXbOA"",""Form Responses 1!B:B""),F926)&gt;0,10,),0)"),"")</f>
        <v/>
      </c>
      <c r="R926" s="70" t="str">
        <f>IFERROR(__xludf.DUMMYFUNCTION("IFERROR(VLOOKUP(F926,IMPORTRANGE(""1Ixzbal5tEbtWhozsFEppQzOYE6ZSrkNXHg_HW5k3Wt4"",""Form Responses 1!B:C""),2,FALSE),)"),"")</f>
        <v/>
      </c>
      <c r="S926" s="70" t="str">
        <f>IFERROR(__xludf.DUMMYFUNCTION("IFERROR(VLOOKUP(F926,IMPORTRANGE(""1zxjtEKGvVIJPIDqZdnxENwVpPXYa88EihzyI44hcQUo"",""Form Responses 1!B:C""),2,FALSE),)"),"")</f>
        <v/>
      </c>
      <c r="T926" s="70" t="str">
        <f>IFERROR(__xludf.DUMMYFUNCTION("IFERROR(VLOOKUP(F926,IMPORTRANGE(""1H3cO01obd5zFULYqaT5NAqecZBFFIHeDFn4CeQLZF3w"",""Form Responses 1!B:C""),2,FALSE),)"),"")</f>
        <v/>
      </c>
      <c r="U926" s="70" t="str">
        <f>IFERROR(__xludf.DUMMYFUNCTION("IFERROR(IF(COUNTIF(IMPORTRANGE(""1IG9qoa6PeLdDDFzKpW39lxXshN0-M8Z25a_R1EpsYyg"",""Form Responses 1!B:B""),F926)&gt;0,10,),0)"),"")</f>
        <v/>
      </c>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row>
    <row r="927">
      <c r="B927" s="70"/>
      <c r="C927" s="70"/>
      <c r="D927" s="70"/>
      <c r="E927" s="70"/>
      <c r="F927" s="70"/>
      <c r="G927" s="70"/>
      <c r="H927" s="70"/>
      <c r="I927" s="70"/>
      <c r="J927" s="70"/>
      <c r="K927" s="70"/>
      <c r="L927" s="70"/>
      <c r="M927" s="70"/>
      <c r="N927" s="70"/>
      <c r="O927" s="70"/>
      <c r="P927" s="70"/>
      <c r="Q927" s="70" t="str">
        <f>IFERROR(__xludf.DUMMYFUNCTION("IFERROR(IF(COUNTIF(IMPORTRANGE(""1WjiLR_MTMxI_IZUKuvPO4Sg2rTSIqBzP3edakSRXbOA"",""Form Responses 1!B:B""),F927)&gt;0,10,),0)"),"")</f>
        <v/>
      </c>
      <c r="R927" s="70" t="str">
        <f>IFERROR(__xludf.DUMMYFUNCTION("IFERROR(VLOOKUP(F927,IMPORTRANGE(""1Ixzbal5tEbtWhozsFEppQzOYE6ZSrkNXHg_HW5k3Wt4"",""Form Responses 1!B:C""),2,FALSE),)"),"")</f>
        <v/>
      </c>
      <c r="S927" s="70" t="str">
        <f>IFERROR(__xludf.DUMMYFUNCTION("IFERROR(VLOOKUP(F927,IMPORTRANGE(""1zxjtEKGvVIJPIDqZdnxENwVpPXYa88EihzyI44hcQUo"",""Form Responses 1!B:C""),2,FALSE),)"),"")</f>
        <v/>
      </c>
      <c r="T927" s="70" t="str">
        <f>IFERROR(__xludf.DUMMYFUNCTION("IFERROR(VLOOKUP(F927,IMPORTRANGE(""1H3cO01obd5zFULYqaT5NAqecZBFFIHeDFn4CeQLZF3w"",""Form Responses 1!B:C""),2,FALSE),)"),"")</f>
        <v/>
      </c>
      <c r="U927" s="70" t="str">
        <f>IFERROR(__xludf.DUMMYFUNCTION("IFERROR(IF(COUNTIF(IMPORTRANGE(""1IG9qoa6PeLdDDFzKpW39lxXshN0-M8Z25a_R1EpsYyg"",""Form Responses 1!B:B""),F927)&gt;0,10,),0)"),"")</f>
        <v/>
      </c>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row>
    <row r="928">
      <c r="B928" s="70"/>
      <c r="C928" s="70"/>
      <c r="D928" s="70"/>
      <c r="E928" s="70"/>
      <c r="F928" s="70"/>
      <c r="G928" s="70"/>
      <c r="H928" s="70"/>
      <c r="I928" s="70"/>
      <c r="J928" s="70"/>
      <c r="K928" s="70"/>
      <c r="L928" s="70"/>
      <c r="M928" s="70"/>
      <c r="N928" s="70"/>
      <c r="O928" s="70"/>
      <c r="P928" s="70"/>
      <c r="Q928" s="70" t="str">
        <f>IFERROR(__xludf.DUMMYFUNCTION("IFERROR(IF(COUNTIF(IMPORTRANGE(""1WjiLR_MTMxI_IZUKuvPO4Sg2rTSIqBzP3edakSRXbOA"",""Form Responses 1!B:B""),F928)&gt;0,10,),0)"),"")</f>
        <v/>
      </c>
      <c r="R928" s="70" t="str">
        <f>IFERROR(__xludf.DUMMYFUNCTION("IFERROR(VLOOKUP(F928,IMPORTRANGE(""1Ixzbal5tEbtWhozsFEppQzOYE6ZSrkNXHg_HW5k3Wt4"",""Form Responses 1!B:C""),2,FALSE),)"),"")</f>
        <v/>
      </c>
      <c r="S928" s="70" t="str">
        <f>IFERROR(__xludf.DUMMYFUNCTION("IFERROR(VLOOKUP(F928,IMPORTRANGE(""1zxjtEKGvVIJPIDqZdnxENwVpPXYa88EihzyI44hcQUo"",""Form Responses 1!B:C""),2,FALSE),)"),"")</f>
        <v/>
      </c>
      <c r="T928" s="70" t="str">
        <f>IFERROR(__xludf.DUMMYFUNCTION("IFERROR(VLOOKUP(F928,IMPORTRANGE(""1H3cO01obd5zFULYqaT5NAqecZBFFIHeDFn4CeQLZF3w"",""Form Responses 1!B:C""),2,FALSE),)"),"")</f>
        <v/>
      </c>
      <c r="U928" s="70" t="str">
        <f>IFERROR(__xludf.DUMMYFUNCTION("IFERROR(IF(COUNTIF(IMPORTRANGE(""1IG9qoa6PeLdDDFzKpW39lxXshN0-M8Z25a_R1EpsYyg"",""Form Responses 1!B:B""),F928)&gt;0,10,),0)"),"")</f>
        <v/>
      </c>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row>
    <row r="929">
      <c r="B929" s="70"/>
      <c r="C929" s="70"/>
      <c r="D929" s="70"/>
      <c r="E929" s="70"/>
      <c r="F929" s="70"/>
      <c r="G929" s="70"/>
      <c r="H929" s="70"/>
      <c r="I929" s="70"/>
      <c r="J929" s="70"/>
      <c r="K929" s="70"/>
      <c r="L929" s="70"/>
      <c r="M929" s="70"/>
      <c r="N929" s="70"/>
      <c r="O929" s="70"/>
      <c r="P929" s="70"/>
      <c r="Q929" s="70" t="str">
        <f>IFERROR(__xludf.DUMMYFUNCTION("IFERROR(IF(COUNTIF(IMPORTRANGE(""1WjiLR_MTMxI_IZUKuvPO4Sg2rTSIqBzP3edakSRXbOA"",""Form Responses 1!B:B""),F929)&gt;0,10,),0)"),"")</f>
        <v/>
      </c>
      <c r="R929" s="70" t="str">
        <f>IFERROR(__xludf.DUMMYFUNCTION("IFERROR(VLOOKUP(F929,IMPORTRANGE(""1Ixzbal5tEbtWhozsFEppQzOYE6ZSrkNXHg_HW5k3Wt4"",""Form Responses 1!B:C""),2,FALSE),)"),"")</f>
        <v/>
      </c>
      <c r="S929" s="70" t="str">
        <f>IFERROR(__xludf.DUMMYFUNCTION("IFERROR(VLOOKUP(F929,IMPORTRANGE(""1zxjtEKGvVIJPIDqZdnxENwVpPXYa88EihzyI44hcQUo"",""Form Responses 1!B:C""),2,FALSE),)"),"")</f>
        <v/>
      </c>
      <c r="T929" s="70" t="str">
        <f>IFERROR(__xludf.DUMMYFUNCTION("IFERROR(VLOOKUP(F929,IMPORTRANGE(""1H3cO01obd5zFULYqaT5NAqecZBFFIHeDFn4CeQLZF3w"",""Form Responses 1!B:C""),2,FALSE),)"),"")</f>
        <v/>
      </c>
      <c r="U929" s="70" t="str">
        <f>IFERROR(__xludf.DUMMYFUNCTION("IFERROR(IF(COUNTIF(IMPORTRANGE(""1IG9qoa6PeLdDDFzKpW39lxXshN0-M8Z25a_R1EpsYyg"",""Form Responses 1!B:B""),F929)&gt;0,10,),0)"),"")</f>
        <v/>
      </c>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row>
    <row r="930">
      <c r="B930" s="70"/>
      <c r="C930" s="70"/>
      <c r="D930" s="70"/>
      <c r="E930" s="70"/>
      <c r="F930" s="70"/>
      <c r="G930" s="70"/>
      <c r="H930" s="70"/>
      <c r="I930" s="70"/>
      <c r="J930" s="70"/>
      <c r="K930" s="70"/>
      <c r="L930" s="70"/>
      <c r="M930" s="70"/>
      <c r="N930" s="70"/>
      <c r="O930" s="70"/>
      <c r="P930" s="70"/>
      <c r="Q930" s="70" t="str">
        <f>IFERROR(__xludf.DUMMYFUNCTION("IFERROR(IF(COUNTIF(IMPORTRANGE(""1WjiLR_MTMxI_IZUKuvPO4Sg2rTSIqBzP3edakSRXbOA"",""Form Responses 1!B:B""),F930)&gt;0,10,),0)"),"")</f>
        <v/>
      </c>
      <c r="R930" s="70" t="str">
        <f>IFERROR(__xludf.DUMMYFUNCTION("IFERROR(VLOOKUP(F930,IMPORTRANGE(""1Ixzbal5tEbtWhozsFEppQzOYE6ZSrkNXHg_HW5k3Wt4"",""Form Responses 1!B:C""),2,FALSE),)"),"")</f>
        <v/>
      </c>
      <c r="S930" s="70" t="str">
        <f>IFERROR(__xludf.DUMMYFUNCTION("IFERROR(VLOOKUP(F930,IMPORTRANGE(""1zxjtEKGvVIJPIDqZdnxENwVpPXYa88EihzyI44hcQUo"",""Form Responses 1!B:C""),2,FALSE),)"),"")</f>
        <v/>
      </c>
      <c r="T930" s="70" t="str">
        <f>IFERROR(__xludf.DUMMYFUNCTION("IFERROR(VLOOKUP(F930,IMPORTRANGE(""1H3cO01obd5zFULYqaT5NAqecZBFFIHeDFn4CeQLZF3w"",""Form Responses 1!B:C""),2,FALSE),)"),"")</f>
        <v/>
      </c>
      <c r="U930" s="70" t="str">
        <f>IFERROR(__xludf.DUMMYFUNCTION("IFERROR(IF(COUNTIF(IMPORTRANGE(""1IG9qoa6PeLdDDFzKpW39lxXshN0-M8Z25a_R1EpsYyg"",""Form Responses 1!B:B""),F930)&gt;0,10,),0)"),"")</f>
        <v/>
      </c>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row>
    <row r="931">
      <c r="B931" s="70"/>
      <c r="C931" s="70"/>
      <c r="D931" s="70"/>
      <c r="E931" s="70"/>
      <c r="F931" s="70"/>
      <c r="G931" s="70"/>
      <c r="H931" s="70"/>
      <c r="I931" s="70"/>
      <c r="J931" s="70"/>
      <c r="K931" s="70"/>
      <c r="L931" s="70"/>
      <c r="M931" s="70"/>
      <c r="N931" s="70"/>
      <c r="O931" s="70"/>
      <c r="P931" s="70"/>
      <c r="Q931" s="70" t="str">
        <f>IFERROR(__xludf.DUMMYFUNCTION("IFERROR(IF(COUNTIF(IMPORTRANGE(""1WjiLR_MTMxI_IZUKuvPO4Sg2rTSIqBzP3edakSRXbOA"",""Form Responses 1!B:B""),F931)&gt;0,10,),0)"),"")</f>
        <v/>
      </c>
      <c r="R931" s="70" t="str">
        <f>IFERROR(__xludf.DUMMYFUNCTION("IFERROR(VLOOKUP(F931,IMPORTRANGE(""1Ixzbal5tEbtWhozsFEppQzOYE6ZSrkNXHg_HW5k3Wt4"",""Form Responses 1!B:C""),2,FALSE),)"),"")</f>
        <v/>
      </c>
      <c r="S931" s="70" t="str">
        <f>IFERROR(__xludf.DUMMYFUNCTION("IFERROR(VLOOKUP(F931,IMPORTRANGE(""1zxjtEKGvVIJPIDqZdnxENwVpPXYa88EihzyI44hcQUo"",""Form Responses 1!B:C""),2,FALSE),)"),"")</f>
        <v/>
      </c>
      <c r="T931" s="70" t="str">
        <f>IFERROR(__xludf.DUMMYFUNCTION("IFERROR(VLOOKUP(F931,IMPORTRANGE(""1H3cO01obd5zFULYqaT5NAqecZBFFIHeDFn4CeQLZF3w"",""Form Responses 1!B:C""),2,FALSE),)"),"")</f>
        <v/>
      </c>
      <c r="U931" s="70" t="str">
        <f>IFERROR(__xludf.DUMMYFUNCTION("IFERROR(IF(COUNTIF(IMPORTRANGE(""1IG9qoa6PeLdDDFzKpW39lxXshN0-M8Z25a_R1EpsYyg"",""Form Responses 1!B:B""),F931)&gt;0,10,),0)"),"")</f>
        <v/>
      </c>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row>
    <row r="932">
      <c r="B932" s="70"/>
      <c r="C932" s="70"/>
      <c r="D932" s="70"/>
      <c r="E932" s="70"/>
      <c r="F932" s="70"/>
      <c r="G932" s="70"/>
      <c r="H932" s="70"/>
      <c r="I932" s="70"/>
      <c r="J932" s="70"/>
      <c r="K932" s="70"/>
      <c r="L932" s="70"/>
      <c r="M932" s="70"/>
      <c r="N932" s="70"/>
      <c r="O932" s="70"/>
      <c r="P932" s="70"/>
      <c r="Q932" s="70" t="str">
        <f>IFERROR(__xludf.DUMMYFUNCTION("IFERROR(IF(COUNTIF(IMPORTRANGE(""1WjiLR_MTMxI_IZUKuvPO4Sg2rTSIqBzP3edakSRXbOA"",""Form Responses 1!B:B""),F932)&gt;0,10,),0)"),"")</f>
        <v/>
      </c>
      <c r="R932" s="70" t="str">
        <f>IFERROR(__xludf.DUMMYFUNCTION("IFERROR(VLOOKUP(F932,IMPORTRANGE(""1Ixzbal5tEbtWhozsFEppQzOYE6ZSrkNXHg_HW5k3Wt4"",""Form Responses 1!B:C""),2,FALSE),)"),"")</f>
        <v/>
      </c>
      <c r="S932" s="70" t="str">
        <f>IFERROR(__xludf.DUMMYFUNCTION("IFERROR(VLOOKUP(F932,IMPORTRANGE(""1zxjtEKGvVIJPIDqZdnxENwVpPXYa88EihzyI44hcQUo"",""Form Responses 1!B:C""),2,FALSE),)"),"")</f>
        <v/>
      </c>
      <c r="T932" s="70" t="str">
        <f>IFERROR(__xludf.DUMMYFUNCTION("IFERROR(VLOOKUP(F932,IMPORTRANGE(""1H3cO01obd5zFULYqaT5NAqecZBFFIHeDFn4CeQLZF3w"",""Form Responses 1!B:C""),2,FALSE),)"),"")</f>
        <v/>
      </c>
      <c r="U932" s="70" t="str">
        <f>IFERROR(__xludf.DUMMYFUNCTION("IFERROR(IF(COUNTIF(IMPORTRANGE(""1IG9qoa6PeLdDDFzKpW39lxXshN0-M8Z25a_R1EpsYyg"",""Form Responses 1!B:B""),F932)&gt;0,10,),0)"),"")</f>
        <v/>
      </c>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row>
    <row r="933">
      <c r="B933" s="70"/>
      <c r="C933" s="70"/>
      <c r="D933" s="70"/>
      <c r="E933" s="70"/>
      <c r="F933" s="70"/>
      <c r="G933" s="70"/>
      <c r="H933" s="70"/>
      <c r="I933" s="70"/>
      <c r="J933" s="70"/>
      <c r="K933" s="70"/>
      <c r="L933" s="70"/>
      <c r="M933" s="70"/>
      <c r="N933" s="70"/>
      <c r="O933" s="70"/>
      <c r="P933" s="70"/>
      <c r="Q933" s="70" t="str">
        <f>IFERROR(__xludf.DUMMYFUNCTION("IFERROR(IF(COUNTIF(IMPORTRANGE(""1WjiLR_MTMxI_IZUKuvPO4Sg2rTSIqBzP3edakSRXbOA"",""Form Responses 1!B:B""),F933)&gt;0,10,),0)"),"")</f>
        <v/>
      </c>
      <c r="R933" s="70" t="str">
        <f>IFERROR(__xludf.DUMMYFUNCTION("IFERROR(VLOOKUP(F933,IMPORTRANGE(""1Ixzbal5tEbtWhozsFEppQzOYE6ZSrkNXHg_HW5k3Wt4"",""Form Responses 1!B:C""),2,FALSE),)"),"")</f>
        <v/>
      </c>
      <c r="S933" s="70" t="str">
        <f>IFERROR(__xludf.DUMMYFUNCTION("IFERROR(VLOOKUP(F933,IMPORTRANGE(""1zxjtEKGvVIJPIDqZdnxENwVpPXYa88EihzyI44hcQUo"",""Form Responses 1!B:C""),2,FALSE),)"),"")</f>
        <v/>
      </c>
      <c r="T933" s="70" t="str">
        <f>IFERROR(__xludf.DUMMYFUNCTION("IFERROR(VLOOKUP(F933,IMPORTRANGE(""1H3cO01obd5zFULYqaT5NAqecZBFFIHeDFn4CeQLZF3w"",""Form Responses 1!B:C""),2,FALSE),)"),"")</f>
        <v/>
      </c>
      <c r="U933" s="70" t="str">
        <f>IFERROR(__xludf.DUMMYFUNCTION("IFERROR(IF(COUNTIF(IMPORTRANGE(""1IG9qoa6PeLdDDFzKpW39lxXshN0-M8Z25a_R1EpsYyg"",""Form Responses 1!B:B""),F933)&gt;0,10,),0)"),"")</f>
        <v/>
      </c>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row>
    <row r="934">
      <c r="B934" s="70"/>
      <c r="C934" s="70"/>
      <c r="D934" s="70"/>
      <c r="E934" s="70"/>
      <c r="F934" s="70"/>
      <c r="G934" s="70"/>
      <c r="H934" s="70"/>
      <c r="I934" s="70"/>
      <c r="J934" s="70"/>
      <c r="K934" s="70"/>
      <c r="L934" s="70"/>
      <c r="M934" s="70"/>
      <c r="N934" s="70"/>
      <c r="O934" s="70"/>
      <c r="P934" s="70"/>
      <c r="Q934" s="70" t="str">
        <f>IFERROR(__xludf.DUMMYFUNCTION("IFERROR(IF(COUNTIF(IMPORTRANGE(""1WjiLR_MTMxI_IZUKuvPO4Sg2rTSIqBzP3edakSRXbOA"",""Form Responses 1!B:B""),F934)&gt;0,10,),0)"),"")</f>
        <v/>
      </c>
      <c r="R934" s="70" t="str">
        <f>IFERROR(__xludf.DUMMYFUNCTION("IFERROR(VLOOKUP(F934,IMPORTRANGE(""1Ixzbal5tEbtWhozsFEppQzOYE6ZSrkNXHg_HW5k3Wt4"",""Form Responses 1!B:C""),2,FALSE),)"),"")</f>
        <v/>
      </c>
      <c r="S934" s="70" t="str">
        <f>IFERROR(__xludf.DUMMYFUNCTION("IFERROR(VLOOKUP(F934,IMPORTRANGE(""1zxjtEKGvVIJPIDqZdnxENwVpPXYa88EihzyI44hcQUo"",""Form Responses 1!B:C""),2,FALSE),)"),"")</f>
        <v/>
      </c>
      <c r="T934" s="70" t="str">
        <f>IFERROR(__xludf.DUMMYFUNCTION("IFERROR(VLOOKUP(F934,IMPORTRANGE(""1H3cO01obd5zFULYqaT5NAqecZBFFIHeDFn4CeQLZF3w"",""Form Responses 1!B:C""),2,FALSE),)"),"")</f>
        <v/>
      </c>
      <c r="U934" s="70" t="str">
        <f>IFERROR(__xludf.DUMMYFUNCTION("IFERROR(IF(COUNTIF(IMPORTRANGE(""1IG9qoa6PeLdDDFzKpW39lxXshN0-M8Z25a_R1EpsYyg"",""Form Responses 1!B:B""),F934)&gt;0,10,),0)"),"")</f>
        <v/>
      </c>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row>
    <row r="935">
      <c r="B935" s="70"/>
      <c r="C935" s="70"/>
      <c r="D935" s="70"/>
      <c r="E935" s="70"/>
      <c r="F935" s="70"/>
      <c r="G935" s="70"/>
      <c r="H935" s="70"/>
      <c r="I935" s="70"/>
      <c r="J935" s="70"/>
      <c r="K935" s="70"/>
      <c r="L935" s="70"/>
      <c r="M935" s="70"/>
      <c r="N935" s="70"/>
      <c r="O935" s="70"/>
      <c r="P935" s="70"/>
      <c r="Q935" s="70" t="str">
        <f>IFERROR(__xludf.DUMMYFUNCTION("IFERROR(IF(COUNTIF(IMPORTRANGE(""1WjiLR_MTMxI_IZUKuvPO4Sg2rTSIqBzP3edakSRXbOA"",""Form Responses 1!B:B""),F935)&gt;0,10,),0)"),"")</f>
        <v/>
      </c>
      <c r="R935" s="70" t="str">
        <f>IFERROR(__xludf.DUMMYFUNCTION("IFERROR(VLOOKUP(F935,IMPORTRANGE(""1Ixzbal5tEbtWhozsFEppQzOYE6ZSrkNXHg_HW5k3Wt4"",""Form Responses 1!B:C""),2,FALSE),)"),"")</f>
        <v/>
      </c>
      <c r="S935" s="70" t="str">
        <f>IFERROR(__xludf.DUMMYFUNCTION("IFERROR(VLOOKUP(F935,IMPORTRANGE(""1zxjtEKGvVIJPIDqZdnxENwVpPXYa88EihzyI44hcQUo"",""Form Responses 1!B:C""),2,FALSE),)"),"")</f>
        <v/>
      </c>
      <c r="T935" s="70" t="str">
        <f>IFERROR(__xludf.DUMMYFUNCTION("IFERROR(VLOOKUP(F935,IMPORTRANGE(""1H3cO01obd5zFULYqaT5NAqecZBFFIHeDFn4CeQLZF3w"",""Form Responses 1!B:C""),2,FALSE),)"),"")</f>
        <v/>
      </c>
      <c r="U935" s="70" t="str">
        <f>IFERROR(__xludf.DUMMYFUNCTION("IFERROR(IF(COUNTIF(IMPORTRANGE(""1IG9qoa6PeLdDDFzKpW39lxXshN0-M8Z25a_R1EpsYyg"",""Form Responses 1!B:B""),F935)&gt;0,10,),0)"),"")</f>
        <v/>
      </c>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row>
    <row r="936">
      <c r="B936" s="70"/>
      <c r="C936" s="70"/>
      <c r="D936" s="70"/>
      <c r="E936" s="70"/>
      <c r="F936" s="70"/>
      <c r="G936" s="70"/>
      <c r="H936" s="70"/>
      <c r="I936" s="70"/>
      <c r="J936" s="70"/>
      <c r="K936" s="70"/>
      <c r="L936" s="70"/>
      <c r="M936" s="70"/>
      <c r="N936" s="70"/>
      <c r="O936" s="70"/>
      <c r="P936" s="70"/>
      <c r="Q936" s="70" t="str">
        <f>IFERROR(__xludf.DUMMYFUNCTION("IFERROR(IF(COUNTIF(IMPORTRANGE(""1WjiLR_MTMxI_IZUKuvPO4Sg2rTSIqBzP3edakSRXbOA"",""Form Responses 1!B:B""),F936)&gt;0,10,),0)"),"")</f>
        <v/>
      </c>
      <c r="R936" s="70" t="str">
        <f>IFERROR(__xludf.DUMMYFUNCTION("IFERROR(VLOOKUP(F936,IMPORTRANGE(""1Ixzbal5tEbtWhozsFEppQzOYE6ZSrkNXHg_HW5k3Wt4"",""Form Responses 1!B:C""),2,FALSE),)"),"")</f>
        <v/>
      </c>
      <c r="S936" s="70" t="str">
        <f>IFERROR(__xludf.DUMMYFUNCTION("IFERROR(VLOOKUP(F936,IMPORTRANGE(""1zxjtEKGvVIJPIDqZdnxENwVpPXYa88EihzyI44hcQUo"",""Form Responses 1!B:C""),2,FALSE),)"),"")</f>
        <v/>
      </c>
      <c r="T936" s="70" t="str">
        <f>IFERROR(__xludf.DUMMYFUNCTION("IFERROR(VLOOKUP(F936,IMPORTRANGE(""1H3cO01obd5zFULYqaT5NAqecZBFFIHeDFn4CeQLZF3w"",""Form Responses 1!B:C""),2,FALSE),)"),"")</f>
        <v/>
      </c>
      <c r="U936" s="70" t="str">
        <f>IFERROR(__xludf.DUMMYFUNCTION("IFERROR(IF(COUNTIF(IMPORTRANGE(""1IG9qoa6PeLdDDFzKpW39lxXshN0-M8Z25a_R1EpsYyg"",""Form Responses 1!B:B""),F936)&gt;0,10,),0)"),"")</f>
        <v/>
      </c>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row>
    <row r="937">
      <c r="B937" s="70"/>
      <c r="C937" s="70"/>
      <c r="D937" s="70"/>
      <c r="E937" s="70"/>
      <c r="F937" s="70"/>
      <c r="G937" s="70"/>
      <c r="H937" s="70"/>
      <c r="I937" s="70"/>
      <c r="J937" s="70"/>
      <c r="K937" s="70"/>
      <c r="L937" s="70"/>
      <c r="M937" s="70"/>
      <c r="N937" s="70"/>
      <c r="O937" s="70"/>
      <c r="P937" s="70"/>
      <c r="Q937" s="70" t="str">
        <f>IFERROR(__xludf.DUMMYFUNCTION("IFERROR(IF(COUNTIF(IMPORTRANGE(""1WjiLR_MTMxI_IZUKuvPO4Sg2rTSIqBzP3edakSRXbOA"",""Form Responses 1!B:B""),F937)&gt;0,10,),0)"),"")</f>
        <v/>
      </c>
      <c r="R937" s="70" t="str">
        <f>IFERROR(__xludf.DUMMYFUNCTION("IFERROR(VLOOKUP(F937,IMPORTRANGE(""1Ixzbal5tEbtWhozsFEppQzOYE6ZSrkNXHg_HW5k3Wt4"",""Form Responses 1!B:C""),2,FALSE),)"),"")</f>
        <v/>
      </c>
      <c r="S937" s="70" t="str">
        <f>IFERROR(__xludf.DUMMYFUNCTION("IFERROR(VLOOKUP(F937,IMPORTRANGE(""1zxjtEKGvVIJPIDqZdnxENwVpPXYa88EihzyI44hcQUo"",""Form Responses 1!B:C""),2,FALSE),)"),"")</f>
        <v/>
      </c>
      <c r="T937" s="70" t="str">
        <f>IFERROR(__xludf.DUMMYFUNCTION("IFERROR(VLOOKUP(F937,IMPORTRANGE(""1H3cO01obd5zFULYqaT5NAqecZBFFIHeDFn4CeQLZF3w"",""Form Responses 1!B:C""),2,FALSE),)"),"")</f>
        <v/>
      </c>
      <c r="U937" s="70" t="str">
        <f>IFERROR(__xludf.DUMMYFUNCTION("IFERROR(IF(COUNTIF(IMPORTRANGE(""1IG9qoa6PeLdDDFzKpW39lxXshN0-M8Z25a_R1EpsYyg"",""Form Responses 1!B:B""),F937)&gt;0,10,),0)"),"")</f>
        <v/>
      </c>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row>
    <row r="938">
      <c r="B938" s="70"/>
      <c r="C938" s="70"/>
      <c r="D938" s="70"/>
      <c r="E938" s="70"/>
      <c r="F938" s="70"/>
      <c r="G938" s="70"/>
      <c r="H938" s="70"/>
      <c r="I938" s="70"/>
      <c r="J938" s="70"/>
      <c r="K938" s="70"/>
      <c r="L938" s="70"/>
      <c r="M938" s="70"/>
      <c r="N938" s="70"/>
      <c r="O938" s="70"/>
      <c r="P938" s="70"/>
      <c r="Q938" s="70" t="str">
        <f>IFERROR(__xludf.DUMMYFUNCTION("IFERROR(IF(COUNTIF(IMPORTRANGE(""1WjiLR_MTMxI_IZUKuvPO4Sg2rTSIqBzP3edakSRXbOA"",""Form Responses 1!B:B""),F938)&gt;0,10,),0)"),"")</f>
        <v/>
      </c>
      <c r="R938" s="70" t="str">
        <f>IFERROR(__xludf.DUMMYFUNCTION("IFERROR(VLOOKUP(F938,IMPORTRANGE(""1Ixzbal5tEbtWhozsFEppQzOYE6ZSrkNXHg_HW5k3Wt4"",""Form Responses 1!B:C""),2,FALSE),)"),"")</f>
        <v/>
      </c>
      <c r="S938" s="70" t="str">
        <f>IFERROR(__xludf.DUMMYFUNCTION("IFERROR(VLOOKUP(F938,IMPORTRANGE(""1zxjtEKGvVIJPIDqZdnxENwVpPXYa88EihzyI44hcQUo"",""Form Responses 1!B:C""),2,FALSE),)"),"")</f>
        <v/>
      </c>
      <c r="T938" s="70" t="str">
        <f>IFERROR(__xludf.DUMMYFUNCTION("IFERROR(VLOOKUP(F938,IMPORTRANGE(""1H3cO01obd5zFULYqaT5NAqecZBFFIHeDFn4CeQLZF3w"",""Form Responses 1!B:C""),2,FALSE),)"),"")</f>
        <v/>
      </c>
      <c r="U938" s="70" t="str">
        <f>IFERROR(__xludf.DUMMYFUNCTION("IFERROR(IF(COUNTIF(IMPORTRANGE(""1IG9qoa6PeLdDDFzKpW39lxXshN0-M8Z25a_R1EpsYyg"",""Form Responses 1!B:B""),F938)&gt;0,10,),0)"),"")</f>
        <v/>
      </c>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row>
    <row r="939">
      <c r="B939" s="70"/>
      <c r="C939" s="70"/>
      <c r="D939" s="70"/>
      <c r="E939" s="70"/>
      <c r="F939" s="70"/>
      <c r="G939" s="70"/>
      <c r="H939" s="70"/>
      <c r="I939" s="70"/>
      <c r="J939" s="70"/>
      <c r="K939" s="70"/>
      <c r="L939" s="70"/>
      <c r="M939" s="70"/>
      <c r="N939" s="70"/>
      <c r="O939" s="70"/>
      <c r="P939" s="70"/>
      <c r="Q939" s="70" t="str">
        <f>IFERROR(__xludf.DUMMYFUNCTION("IFERROR(IF(COUNTIF(IMPORTRANGE(""1WjiLR_MTMxI_IZUKuvPO4Sg2rTSIqBzP3edakSRXbOA"",""Form Responses 1!B:B""),F939)&gt;0,10,),0)"),"")</f>
        <v/>
      </c>
      <c r="R939" s="70" t="str">
        <f>IFERROR(__xludf.DUMMYFUNCTION("IFERROR(VLOOKUP(F939,IMPORTRANGE(""1Ixzbal5tEbtWhozsFEppQzOYE6ZSrkNXHg_HW5k3Wt4"",""Form Responses 1!B:C""),2,FALSE),)"),"")</f>
        <v/>
      </c>
      <c r="S939" s="70" t="str">
        <f>IFERROR(__xludf.DUMMYFUNCTION("IFERROR(VLOOKUP(F939,IMPORTRANGE(""1zxjtEKGvVIJPIDqZdnxENwVpPXYa88EihzyI44hcQUo"",""Form Responses 1!B:C""),2,FALSE),)"),"")</f>
        <v/>
      </c>
      <c r="T939" s="70" t="str">
        <f>IFERROR(__xludf.DUMMYFUNCTION("IFERROR(VLOOKUP(F939,IMPORTRANGE(""1H3cO01obd5zFULYqaT5NAqecZBFFIHeDFn4CeQLZF3w"",""Form Responses 1!B:C""),2,FALSE),)"),"")</f>
        <v/>
      </c>
      <c r="U939" s="70" t="str">
        <f>IFERROR(__xludf.DUMMYFUNCTION("IFERROR(IF(COUNTIF(IMPORTRANGE(""1IG9qoa6PeLdDDFzKpW39lxXshN0-M8Z25a_R1EpsYyg"",""Form Responses 1!B:B""),F939)&gt;0,10,),0)"),"")</f>
        <v/>
      </c>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row>
    <row r="940">
      <c r="B940" s="70"/>
      <c r="C940" s="70"/>
      <c r="D940" s="70"/>
      <c r="E940" s="70"/>
      <c r="F940" s="70"/>
      <c r="G940" s="70"/>
      <c r="H940" s="70"/>
      <c r="I940" s="70"/>
      <c r="J940" s="70"/>
      <c r="K940" s="70"/>
      <c r="L940" s="70"/>
      <c r="M940" s="70"/>
      <c r="N940" s="70"/>
      <c r="O940" s="70"/>
      <c r="P940" s="70"/>
      <c r="Q940" s="70" t="str">
        <f>IFERROR(__xludf.DUMMYFUNCTION("IFERROR(IF(COUNTIF(IMPORTRANGE(""1WjiLR_MTMxI_IZUKuvPO4Sg2rTSIqBzP3edakSRXbOA"",""Form Responses 1!B:B""),F940)&gt;0,10,),0)"),"")</f>
        <v/>
      </c>
      <c r="R940" s="70" t="str">
        <f>IFERROR(__xludf.DUMMYFUNCTION("IFERROR(VLOOKUP(F940,IMPORTRANGE(""1Ixzbal5tEbtWhozsFEppQzOYE6ZSrkNXHg_HW5k3Wt4"",""Form Responses 1!B:C""),2,FALSE),)"),"")</f>
        <v/>
      </c>
      <c r="S940" s="70" t="str">
        <f>IFERROR(__xludf.DUMMYFUNCTION("IFERROR(VLOOKUP(F940,IMPORTRANGE(""1zxjtEKGvVIJPIDqZdnxENwVpPXYa88EihzyI44hcQUo"",""Form Responses 1!B:C""),2,FALSE),)"),"")</f>
        <v/>
      </c>
      <c r="T940" s="70" t="str">
        <f>IFERROR(__xludf.DUMMYFUNCTION("IFERROR(VLOOKUP(F940,IMPORTRANGE(""1H3cO01obd5zFULYqaT5NAqecZBFFIHeDFn4CeQLZF3w"",""Form Responses 1!B:C""),2,FALSE),)"),"")</f>
        <v/>
      </c>
      <c r="U940" s="70" t="str">
        <f>IFERROR(__xludf.DUMMYFUNCTION("IFERROR(IF(COUNTIF(IMPORTRANGE(""1IG9qoa6PeLdDDFzKpW39lxXshN0-M8Z25a_R1EpsYyg"",""Form Responses 1!B:B""),F940)&gt;0,10,),0)"),"")</f>
        <v/>
      </c>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row>
    <row r="941">
      <c r="B941" s="70"/>
      <c r="C941" s="70"/>
      <c r="D941" s="70"/>
      <c r="E941" s="70"/>
      <c r="F941" s="70"/>
      <c r="G941" s="70"/>
      <c r="H941" s="70"/>
      <c r="I941" s="70"/>
      <c r="J941" s="70"/>
      <c r="K941" s="70"/>
      <c r="L941" s="70"/>
      <c r="M941" s="70"/>
      <c r="N941" s="70"/>
      <c r="O941" s="70"/>
      <c r="P941" s="70"/>
      <c r="Q941" s="70" t="str">
        <f>IFERROR(__xludf.DUMMYFUNCTION("IFERROR(IF(COUNTIF(IMPORTRANGE(""1WjiLR_MTMxI_IZUKuvPO4Sg2rTSIqBzP3edakSRXbOA"",""Form Responses 1!B:B""),F941)&gt;0,10,),0)"),"")</f>
        <v/>
      </c>
      <c r="R941" s="70" t="str">
        <f>IFERROR(__xludf.DUMMYFUNCTION("IFERROR(VLOOKUP(F941,IMPORTRANGE(""1Ixzbal5tEbtWhozsFEppQzOYE6ZSrkNXHg_HW5k3Wt4"",""Form Responses 1!B:C""),2,FALSE),)"),"")</f>
        <v/>
      </c>
      <c r="S941" s="70" t="str">
        <f>IFERROR(__xludf.DUMMYFUNCTION("IFERROR(VLOOKUP(F941,IMPORTRANGE(""1zxjtEKGvVIJPIDqZdnxENwVpPXYa88EihzyI44hcQUo"",""Form Responses 1!B:C""),2,FALSE),)"),"")</f>
        <v/>
      </c>
      <c r="T941" s="70" t="str">
        <f>IFERROR(__xludf.DUMMYFUNCTION("IFERROR(VLOOKUP(F941,IMPORTRANGE(""1H3cO01obd5zFULYqaT5NAqecZBFFIHeDFn4CeQLZF3w"",""Form Responses 1!B:C""),2,FALSE),)"),"")</f>
        <v/>
      </c>
      <c r="U941" s="70" t="str">
        <f>IFERROR(__xludf.DUMMYFUNCTION("IFERROR(IF(COUNTIF(IMPORTRANGE(""1IG9qoa6PeLdDDFzKpW39lxXshN0-M8Z25a_R1EpsYyg"",""Form Responses 1!B:B""),F941)&gt;0,10,),0)"),"")</f>
        <v/>
      </c>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row>
    <row r="942">
      <c r="B942" s="70"/>
      <c r="C942" s="70"/>
      <c r="D942" s="70"/>
      <c r="E942" s="70"/>
      <c r="F942" s="70"/>
      <c r="G942" s="70"/>
      <c r="H942" s="70"/>
      <c r="I942" s="70"/>
      <c r="J942" s="70"/>
      <c r="K942" s="70"/>
      <c r="L942" s="70"/>
      <c r="M942" s="70"/>
      <c r="N942" s="70"/>
      <c r="O942" s="70"/>
      <c r="P942" s="70"/>
      <c r="Q942" s="70" t="str">
        <f>IFERROR(__xludf.DUMMYFUNCTION("IFERROR(IF(COUNTIF(IMPORTRANGE(""1WjiLR_MTMxI_IZUKuvPO4Sg2rTSIqBzP3edakSRXbOA"",""Form Responses 1!B:B""),F942)&gt;0,10,),0)"),"")</f>
        <v/>
      </c>
      <c r="R942" s="70" t="str">
        <f>IFERROR(__xludf.DUMMYFUNCTION("IFERROR(VLOOKUP(F942,IMPORTRANGE(""1Ixzbal5tEbtWhozsFEppQzOYE6ZSrkNXHg_HW5k3Wt4"",""Form Responses 1!B:C""),2,FALSE),)"),"")</f>
        <v/>
      </c>
      <c r="S942" s="70" t="str">
        <f>IFERROR(__xludf.DUMMYFUNCTION("IFERROR(VLOOKUP(F942,IMPORTRANGE(""1zxjtEKGvVIJPIDqZdnxENwVpPXYa88EihzyI44hcQUo"",""Form Responses 1!B:C""),2,FALSE),)"),"")</f>
        <v/>
      </c>
      <c r="T942" s="70" t="str">
        <f>IFERROR(__xludf.DUMMYFUNCTION("IFERROR(VLOOKUP(F942,IMPORTRANGE(""1H3cO01obd5zFULYqaT5NAqecZBFFIHeDFn4CeQLZF3w"",""Form Responses 1!B:C""),2,FALSE),)"),"")</f>
        <v/>
      </c>
      <c r="U942" s="70" t="str">
        <f>IFERROR(__xludf.DUMMYFUNCTION("IFERROR(IF(COUNTIF(IMPORTRANGE(""1IG9qoa6PeLdDDFzKpW39lxXshN0-M8Z25a_R1EpsYyg"",""Form Responses 1!B:B""),F942)&gt;0,10,),0)"),"")</f>
        <v/>
      </c>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row>
    <row r="943">
      <c r="B943" s="70"/>
      <c r="C943" s="70"/>
      <c r="D943" s="70"/>
      <c r="E943" s="70"/>
      <c r="F943" s="70"/>
      <c r="G943" s="70"/>
      <c r="H943" s="70"/>
      <c r="I943" s="70"/>
      <c r="J943" s="70"/>
      <c r="K943" s="70"/>
      <c r="L943" s="70"/>
      <c r="M943" s="70"/>
      <c r="N943" s="70"/>
      <c r="O943" s="70"/>
      <c r="P943" s="70"/>
      <c r="Q943" s="70" t="str">
        <f>IFERROR(__xludf.DUMMYFUNCTION("IFERROR(IF(COUNTIF(IMPORTRANGE(""1WjiLR_MTMxI_IZUKuvPO4Sg2rTSIqBzP3edakSRXbOA"",""Form Responses 1!B:B""),F943)&gt;0,10,),0)"),"")</f>
        <v/>
      </c>
      <c r="R943" s="70" t="str">
        <f>IFERROR(__xludf.DUMMYFUNCTION("IFERROR(VLOOKUP(F943,IMPORTRANGE(""1Ixzbal5tEbtWhozsFEppQzOYE6ZSrkNXHg_HW5k3Wt4"",""Form Responses 1!B:C""),2,FALSE),)"),"")</f>
        <v/>
      </c>
      <c r="S943" s="70" t="str">
        <f>IFERROR(__xludf.DUMMYFUNCTION("IFERROR(VLOOKUP(F943,IMPORTRANGE(""1zxjtEKGvVIJPIDqZdnxENwVpPXYa88EihzyI44hcQUo"",""Form Responses 1!B:C""),2,FALSE),)"),"")</f>
        <v/>
      </c>
      <c r="T943" s="70" t="str">
        <f>IFERROR(__xludf.DUMMYFUNCTION("IFERROR(VLOOKUP(F943,IMPORTRANGE(""1H3cO01obd5zFULYqaT5NAqecZBFFIHeDFn4CeQLZF3w"",""Form Responses 1!B:C""),2,FALSE),)"),"")</f>
        <v/>
      </c>
      <c r="U943" s="70" t="str">
        <f>IFERROR(__xludf.DUMMYFUNCTION("IFERROR(IF(COUNTIF(IMPORTRANGE(""1IG9qoa6PeLdDDFzKpW39lxXshN0-M8Z25a_R1EpsYyg"",""Form Responses 1!B:B""),F943)&gt;0,10,),0)"),"")</f>
        <v/>
      </c>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row>
    <row r="944">
      <c r="B944" s="70"/>
      <c r="C944" s="70"/>
      <c r="D944" s="70"/>
      <c r="E944" s="70"/>
      <c r="F944" s="70"/>
      <c r="G944" s="70"/>
      <c r="H944" s="70"/>
      <c r="I944" s="70"/>
      <c r="J944" s="70"/>
      <c r="K944" s="70"/>
      <c r="L944" s="70"/>
      <c r="M944" s="70"/>
      <c r="N944" s="70"/>
      <c r="O944" s="70"/>
      <c r="P944" s="70"/>
      <c r="Q944" s="70" t="str">
        <f>IFERROR(__xludf.DUMMYFUNCTION("IFERROR(IF(COUNTIF(IMPORTRANGE(""1WjiLR_MTMxI_IZUKuvPO4Sg2rTSIqBzP3edakSRXbOA"",""Form Responses 1!B:B""),F944)&gt;0,10,),0)"),"")</f>
        <v/>
      </c>
      <c r="R944" s="70" t="str">
        <f>IFERROR(__xludf.DUMMYFUNCTION("IFERROR(VLOOKUP(F944,IMPORTRANGE(""1Ixzbal5tEbtWhozsFEppQzOYE6ZSrkNXHg_HW5k3Wt4"",""Form Responses 1!B:C""),2,FALSE),)"),"")</f>
        <v/>
      </c>
      <c r="S944" s="70" t="str">
        <f>IFERROR(__xludf.DUMMYFUNCTION("IFERROR(VLOOKUP(F944,IMPORTRANGE(""1zxjtEKGvVIJPIDqZdnxENwVpPXYa88EihzyI44hcQUo"",""Form Responses 1!B:C""),2,FALSE),)"),"")</f>
        <v/>
      </c>
      <c r="T944" s="70" t="str">
        <f>IFERROR(__xludf.DUMMYFUNCTION("IFERROR(VLOOKUP(F944,IMPORTRANGE(""1H3cO01obd5zFULYqaT5NAqecZBFFIHeDFn4CeQLZF3w"",""Form Responses 1!B:C""),2,FALSE),)"),"")</f>
        <v/>
      </c>
      <c r="U944" s="70" t="str">
        <f>IFERROR(__xludf.DUMMYFUNCTION("IFERROR(IF(COUNTIF(IMPORTRANGE(""1IG9qoa6PeLdDDFzKpW39lxXshN0-M8Z25a_R1EpsYyg"",""Form Responses 1!B:B""),F944)&gt;0,10,),0)"),"")</f>
        <v/>
      </c>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row>
    <row r="945">
      <c r="B945" s="70"/>
      <c r="C945" s="70"/>
      <c r="D945" s="70"/>
      <c r="E945" s="70"/>
      <c r="F945" s="70"/>
      <c r="G945" s="70"/>
      <c r="H945" s="70"/>
      <c r="I945" s="70"/>
      <c r="J945" s="70"/>
      <c r="K945" s="70"/>
      <c r="L945" s="70"/>
      <c r="M945" s="70"/>
      <c r="N945" s="70"/>
      <c r="O945" s="70"/>
      <c r="P945" s="70"/>
      <c r="Q945" s="70" t="str">
        <f>IFERROR(__xludf.DUMMYFUNCTION("IFERROR(IF(COUNTIF(IMPORTRANGE(""1WjiLR_MTMxI_IZUKuvPO4Sg2rTSIqBzP3edakSRXbOA"",""Form Responses 1!B:B""),F945)&gt;0,10,),0)"),"")</f>
        <v/>
      </c>
      <c r="R945" s="70" t="str">
        <f>IFERROR(__xludf.DUMMYFUNCTION("IFERROR(VLOOKUP(F945,IMPORTRANGE(""1Ixzbal5tEbtWhozsFEppQzOYE6ZSrkNXHg_HW5k3Wt4"",""Form Responses 1!B:C""),2,FALSE),)"),"")</f>
        <v/>
      </c>
      <c r="S945" s="70" t="str">
        <f>IFERROR(__xludf.DUMMYFUNCTION("IFERROR(VLOOKUP(F945,IMPORTRANGE(""1zxjtEKGvVIJPIDqZdnxENwVpPXYa88EihzyI44hcQUo"",""Form Responses 1!B:C""),2,FALSE),)"),"")</f>
        <v/>
      </c>
      <c r="T945" s="70" t="str">
        <f>IFERROR(__xludf.DUMMYFUNCTION("IFERROR(VLOOKUP(F945,IMPORTRANGE(""1H3cO01obd5zFULYqaT5NAqecZBFFIHeDFn4CeQLZF3w"",""Form Responses 1!B:C""),2,FALSE),)"),"")</f>
        <v/>
      </c>
      <c r="U945" s="70" t="str">
        <f>IFERROR(__xludf.DUMMYFUNCTION("IFERROR(IF(COUNTIF(IMPORTRANGE(""1IG9qoa6PeLdDDFzKpW39lxXshN0-M8Z25a_R1EpsYyg"",""Form Responses 1!B:B""),F945)&gt;0,10,),0)"),"")</f>
        <v/>
      </c>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row>
    <row r="946">
      <c r="B946" s="70"/>
      <c r="C946" s="70"/>
      <c r="D946" s="70"/>
      <c r="E946" s="70"/>
      <c r="F946" s="70"/>
      <c r="G946" s="70"/>
      <c r="H946" s="70"/>
      <c r="I946" s="70"/>
      <c r="J946" s="70"/>
      <c r="K946" s="70"/>
      <c r="L946" s="70"/>
      <c r="M946" s="70"/>
      <c r="N946" s="70"/>
      <c r="O946" s="70"/>
      <c r="P946" s="70"/>
      <c r="Q946" s="70" t="str">
        <f>IFERROR(__xludf.DUMMYFUNCTION("IFERROR(IF(COUNTIF(IMPORTRANGE(""1WjiLR_MTMxI_IZUKuvPO4Sg2rTSIqBzP3edakSRXbOA"",""Form Responses 1!B:B""),F946)&gt;0,10,),0)"),"")</f>
        <v/>
      </c>
      <c r="R946" s="70" t="str">
        <f>IFERROR(__xludf.DUMMYFUNCTION("IFERROR(VLOOKUP(F946,IMPORTRANGE(""1Ixzbal5tEbtWhozsFEppQzOYE6ZSrkNXHg_HW5k3Wt4"",""Form Responses 1!B:C""),2,FALSE),)"),"")</f>
        <v/>
      </c>
      <c r="S946" s="70" t="str">
        <f>IFERROR(__xludf.DUMMYFUNCTION("IFERROR(VLOOKUP(F946,IMPORTRANGE(""1zxjtEKGvVIJPIDqZdnxENwVpPXYa88EihzyI44hcQUo"",""Form Responses 1!B:C""),2,FALSE),)"),"")</f>
        <v/>
      </c>
      <c r="T946" s="70" t="str">
        <f>IFERROR(__xludf.DUMMYFUNCTION("IFERROR(VLOOKUP(F946,IMPORTRANGE(""1H3cO01obd5zFULYqaT5NAqecZBFFIHeDFn4CeQLZF3w"",""Form Responses 1!B:C""),2,FALSE),)"),"")</f>
        <v/>
      </c>
      <c r="U946" s="70" t="str">
        <f>IFERROR(__xludf.DUMMYFUNCTION("IFERROR(IF(COUNTIF(IMPORTRANGE(""1IG9qoa6PeLdDDFzKpW39lxXshN0-M8Z25a_R1EpsYyg"",""Form Responses 1!B:B""),F946)&gt;0,10,),0)"),"")</f>
        <v/>
      </c>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row>
    <row r="947">
      <c r="B947" s="70"/>
      <c r="C947" s="70"/>
      <c r="D947" s="70"/>
      <c r="E947" s="70"/>
      <c r="F947" s="70"/>
      <c r="G947" s="70"/>
      <c r="H947" s="70"/>
      <c r="I947" s="70"/>
      <c r="J947" s="70"/>
      <c r="K947" s="70"/>
      <c r="L947" s="70"/>
      <c r="M947" s="70"/>
      <c r="N947" s="70"/>
      <c r="O947" s="70"/>
      <c r="P947" s="70"/>
      <c r="Q947" s="70" t="str">
        <f>IFERROR(__xludf.DUMMYFUNCTION("IFERROR(IF(COUNTIF(IMPORTRANGE(""1WjiLR_MTMxI_IZUKuvPO4Sg2rTSIqBzP3edakSRXbOA"",""Form Responses 1!B:B""),F947)&gt;0,10,),0)"),"")</f>
        <v/>
      </c>
      <c r="R947" s="70" t="str">
        <f>IFERROR(__xludf.DUMMYFUNCTION("IFERROR(VLOOKUP(F947,IMPORTRANGE(""1Ixzbal5tEbtWhozsFEppQzOYE6ZSrkNXHg_HW5k3Wt4"",""Form Responses 1!B:C""),2,FALSE),)"),"")</f>
        <v/>
      </c>
      <c r="S947" s="70" t="str">
        <f>IFERROR(__xludf.DUMMYFUNCTION("IFERROR(VLOOKUP(F947,IMPORTRANGE(""1zxjtEKGvVIJPIDqZdnxENwVpPXYa88EihzyI44hcQUo"",""Form Responses 1!B:C""),2,FALSE),)"),"")</f>
        <v/>
      </c>
      <c r="T947" s="70" t="str">
        <f>IFERROR(__xludf.DUMMYFUNCTION("IFERROR(VLOOKUP(F947,IMPORTRANGE(""1H3cO01obd5zFULYqaT5NAqecZBFFIHeDFn4CeQLZF3w"",""Form Responses 1!B:C""),2,FALSE),)"),"")</f>
        <v/>
      </c>
      <c r="U947" s="70" t="str">
        <f>IFERROR(__xludf.DUMMYFUNCTION("IFERROR(IF(COUNTIF(IMPORTRANGE(""1IG9qoa6PeLdDDFzKpW39lxXshN0-M8Z25a_R1EpsYyg"",""Form Responses 1!B:B""),F947)&gt;0,10,),0)"),"")</f>
        <v/>
      </c>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row>
    <row r="948">
      <c r="B948" s="70"/>
      <c r="C948" s="70"/>
      <c r="D948" s="70"/>
      <c r="E948" s="70"/>
      <c r="F948" s="70"/>
      <c r="G948" s="70"/>
      <c r="H948" s="70"/>
      <c r="I948" s="70"/>
      <c r="J948" s="70"/>
      <c r="K948" s="70"/>
      <c r="L948" s="70"/>
      <c r="M948" s="70"/>
      <c r="N948" s="70"/>
      <c r="O948" s="70"/>
      <c r="P948" s="70"/>
      <c r="Q948" s="70" t="str">
        <f>IFERROR(__xludf.DUMMYFUNCTION("IFERROR(IF(COUNTIF(IMPORTRANGE(""1WjiLR_MTMxI_IZUKuvPO4Sg2rTSIqBzP3edakSRXbOA"",""Form Responses 1!B:B""),F948)&gt;0,10,),0)"),"")</f>
        <v/>
      </c>
      <c r="R948" s="70" t="str">
        <f>IFERROR(__xludf.DUMMYFUNCTION("IFERROR(VLOOKUP(F948,IMPORTRANGE(""1Ixzbal5tEbtWhozsFEppQzOYE6ZSrkNXHg_HW5k3Wt4"",""Form Responses 1!B:C""),2,FALSE),)"),"")</f>
        <v/>
      </c>
      <c r="S948" s="70" t="str">
        <f>IFERROR(__xludf.DUMMYFUNCTION("IFERROR(VLOOKUP(F948,IMPORTRANGE(""1zxjtEKGvVIJPIDqZdnxENwVpPXYa88EihzyI44hcQUo"",""Form Responses 1!B:C""),2,FALSE),)"),"")</f>
        <v/>
      </c>
      <c r="T948" s="70" t="str">
        <f>IFERROR(__xludf.DUMMYFUNCTION("IFERROR(VLOOKUP(F948,IMPORTRANGE(""1H3cO01obd5zFULYqaT5NAqecZBFFIHeDFn4CeQLZF3w"",""Form Responses 1!B:C""),2,FALSE),)"),"")</f>
        <v/>
      </c>
      <c r="U948" s="70" t="str">
        <f>IFERROR(__xludf.DUMMYFUNCTION("IFERROR(IF(COUNTIF(IMPORTRANGE(""1IG9qoa6PeLdDDFzKpW39lxXshN0-M8Z25a_R1EpsYyg"",""Form Responses 1!B:B""),F948)&gt;0,10,),0)"),"")</f>
        <v/>
      </c>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row>
    <row r="949">
      <c r="B949" s="70"/>
      <c r="C949" s="70"/>
      <c r="D949" s="70"/>
      <c r="E949" s="70"/>
      <c r="F949" s="70"/>
      <c r="G949" s="70"/>
      <c r="H949" s="70"/>
      <c r="I949" s="70"/>
      <c r="J949" s="70"/>
      <c r="K949" s="70"/>
      <c r="L949" s="70"/>
      <c r="M949" s="70"/>
      <c r="N949" s="70"/>
      <c r="O949" s="70"/>
      <c r="P949" s="70"/>
      <c r="Q949" s="70" t="str">
        <f>IFERROR(__xludf.DUMMYFUNCTION("IFERROR(IF(COUNTIF(IMPORTRANGE(""1WjiLR_MTMxI_IZUKuvPO4Sg2rTSIqBzP3edakSRXbOA"",""Form Responses 1!B:B""),F949)&gt;0,10,),0)"),"")</f>
        <v/>
      </c>
      <c r="R949" s="70" t="str">
        <f>IFERROR(__xludf.DUMMYFUNCTION("IFERROR(VLOOKUP(F949,IMPORTRANGE(""1Ixzbal5tEbtWhozsFEppQzOYE6ZSrkNXHg_HW5k3Wt4"",""Form Responses 1!B:C""),2,FALSE),)"),"")</f>
        <v/>
      </c>
      <c r="S949" s="70" t="str">
        <f>IFERROR(__xludf.DUMMYFUNCTION("IFERROR(VLOOKUP(F949,IMPORTRANGE(""1zxjtEKGvVIJPIDqZdnxENwVpPXYa88EihzyI44hcQUo"",""Form Responses 1!B:C""),2,FALSE),)"),"")</f>
        <v/>
      </c>
      <c r="T949" s="70" t="str">
        <f>IFERROR(__xludf.DUMMYFUNCTION("IFERROR(VLOOKUP(F949,IMPORTRANGE(""1H3cO01obd5zFULYqaT5NAqecZBFFIHeDFn4CeQLZF3w"",""Form Responses 1!B:C""),2,FALSE),)"),"")</f>
        <v/>
      </c>
      <c r="U949" s="70" t="str">
        <f>IFERROR(__xludf.DUMMYFUNCTION("IFERROR(IF(COUNTIF(IMPORTRANGE(""1IG9qoa6PeLdDDFzKpW39lxXshN0-M8Z25a_R1EpsYyg"",""Form Responses 1!B:B""),F949)&gt;0,10,),0)"),"")</f>
        <v/>
      </c>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row>
    <row r="950">
      <c r="B950" s="70"/>
      <c r="C950" s="70"/>
      <c r="D950" s="70"/>
      <c r="E950" s="70"/>
      <c r="F950" s="70"/>
      <c r="G950" s="70"/>
      <c r="H950" s="70"/>
      <c r="I950" s="70"/>
      <c r="J950" s="70"/>
      <c r="K950" s="70"/>
      <c r="L950" s="70"/>
      <c r="M950" s="70"/>
      <c r="N950" s="70"/>
      <c r="O950" s="70"/>
      <c r="P950" s="70"/>
      <c r="Q950" s="70" t="str">
        <f>IFERROR(__xludf.DUMMYFUNCTION("IFERROR(IF(COUNTIF(IMPORTRANGE(""1WjiLR_MTMxI_IZUKuvPO4Sg2rTSIqBzP3edakSRXbOA"",""Form Responses 1!B:B""),F950)&gt;0,10,),0)"),"")</f>
        <v/>
      </c>
      <c r="R950" s="70" t="str">
        <f>IFERROR(__xludf.DUMMYFUNCTION("IFERROR(VLOOKUP(F950,IMPORTRANGE(""1Ixzbal5tEbtWhozsFEppQzOYE6ZSrkNXHg_HW5k3Wt4"",""Form Responses 1!B:C""),2,FALSE),)"),"")</f>
        <v/>
      </c>
      <c r="S950" s="70" t="str">
        <f>IFERROR(__xludf.DUMMYFUNCTION("IFERROR(VLOOKUP(F950,IMPORTRANGE(""1zxjtEKGvVIJPIDqZdnxENwVpPXYa88EihzyI44hcQUo"",""Form Responses 1!B:C""),2,FALSE),)"),"")</f>
        <v/>
      </c>
      <c r="T950" s="70" t="str">
        <f>IFERROR(__xludf.DUMMYFUNCTION("IFERROR(VLOOKUP(F950,IMPORTRANGE(""1H3cO01obd5zFULYqaT5NAqecZBFFIHeDFn4CeQLZF3w"",""Form Responses 1!B:C""),2,FALSE),)"),"")</f>
        <v/>
      </c>
      <c r="U950" s="70" t="str">
        <f>IFERROR(__xludf.DUMMYFUNCTION("IFERROR(IF(COUNTIF(IMPORTRANGE(""1IG9qoa6PeLdDDFzKpW39lxXshN0-M8Z25a_R1EpsYyg"",""Form Responses 1!B:B""),F950)&gt;0,10,),0)"),"")</f>
        <v/>
      </c>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row>
    <row r="951">
      <c r="B951" s="70"/>
      <c r="C951" s="70"/>
      <c r="D951" s="70"/>
      <c r="E951" s="70"/>
      <c r="F951" s="70"/>
      <c r="G951" s="70"/>
      <c r="H951" s="70"/>
      <c r="I951" s="70"/>
      <c r="J951" s="70"/>
      <c r="K951" s="70"/>
      <c r="L951" s="70"/>
      <c r="M951" s="70"/>
      <c r="N951" s="70"/>
      <c r="O951" s="70"/>
      <c r="P951" s="70"/>
      <c r="Q951" s="70" t="str">
        <f>IFERROR(__xludf.DUMMYFUNCTION("IFERROR(IF(COUNTIF(IMPORTRANGE(""1WjiLR_MTMxI_IZUKuvPO4Sg2rTSIqBzP3edakSRXbOA"",""Form Responses 1!B:B""),F951)&gt;0,10,),0)"),"")</f>
        <v/>
      </c>
      <c r="R951" s="70" t="str">
        <f>IFERROR(__xludf.DUMMYFUNCTION("IFERROR(VLOOKUP(F951,IMPORTRANGE(""1Ixzbal5tEbtWhozsFEppQzOYE6ZSrkNXHg_HW5k3Wt4"",""Form Responses 1!B:C""),2,FALSE),)"),"")</f>
        <v/>
      </c>
      <c r="S951" s="70" t="str">
        <f>IFERROR(__xludf.DUMMYFUNCTION("IFERROR(VLOOKUP(F951,IMPORTRANGE(""1zxjtEKGvVIJPIDqZdnxENwVpPXYa88EihzyI44hcQUo"",""Form Responses 1!B:C""),2,FALSE),)"),"")</f>
        <v/>
      </c>
      <c r="T951" s="70" t="str">
        <f>IFERROR(__xludf.DUMMYFUNCTION("IFERROR(VLOOKUP(F951,IMPORTRANGE(""1H3cO01obd5zFULYqaT5NAqecZBFFIHeDFn4CeQLZF3w"",""Form Responses 1!B:C""),2,FALSE),)"),"")</f>
        <v/>
      </c>
      <c r="U951" s="70" t="str">
        <f>IFERROR(__xludf.DUMMYFUNCTION("IFERROR(IF(COUNTIF(IMPORTRANGE(""1IG9qoa6PeLdDDFzKpW39lxXshN0-M8Z25a_R1EpsYyg"",""Form Responses 1!B:B""),F951)&gt;0,10,),0)"),"")</f>
        <v/>
      </c>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row>
    <row r="952">
      <c r="B952" s="70"/>
      <c r="C952" s="70"/>
      <c r="D952" s="70"/>
      <c r="E952" s="70"/>
      <c r="F952" s="70"/>
      <c r="G952" s="70"/>
      <c r="H952" s="70"/>
      <c r="I952" s="70"/>
      <c r="J952" s="70"/>
      <c r="K952" s="70"/>
      <c r="L952" s="70"/>
      <c r="M952" s="70"/>
      <c r="N952" s="70"/>
      <c r="O952" s="70"/>
      <c r="P952" s="70"/>
      <c r="Q952" s="70" t="str">
        <f>IFERROR(__xludf.DUMMYFUNCTION("IFERROR(IF(COUNTIF(IMPORTRANGE(""1WjiLR_MTMxI_IZUKuvPO4Sg2rTSIqBzP3edakSRXbOA"",""Form Responses 1!B:B""),F952)&gt;0,10,),0)"),"")</f>
        <v/>
      </c>
      <c r="R952" s="70" t="str">
        <f>IFERROR(__xludf.DUMMYFUNCTION("IFERROR(VLOOKUP(F952,IMPORTRANGE(""1Ixzbal5tEbtWhozsFEppQzOYE6ZSrkNXHg_HW5k3Wt4"",""Form Responses 1!B:C""),2,FALSE),)"),"")</f>
        <v/>
      </c>
      <c r="S952" s="70" t="str">
        <f>IFERROR(__xludf.DUMMYFUNCTION("IFERROR(VLOOKUP(F952,IMPORTRANGE(""1zxjtEKGvVIJPIDqZdnxENwVpPXYa88EihzyI44hcQUo"",""Form Responses 1!B:C""),2,FALSE),)"),"")</f>
        <v/>
      </c>
      <c r="T952" s="70" t="str">
        <f>IFERROR(__xludf.DUMMYFUNCTION("IFERROR(VLOOKUP(F952,IMPORTRANGE(""1H3cO01obd5zFULYqaT5NAqecZBFFIHeDFn4CeQLZF3w"",""Form Responses 1!B:C""),2,FALSE),)"),"")</f>
        <v/>
      </c>
      <c r="U952" s="70" t="str">
        <f>IFERROR(__xludf.DUMMYFUNCTION("IFERROR(IF(COUNTIF(IMPORTRANGE(""1IG9qoa6PeLdDDFzKpW39lxXshN0-M8Z25a_R1EpsYyg"",""Form Responses 1!B:B""),F952)&gt;0,10,),0)"),"")</f>
        <v/>
      </c>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row>
    <row r="953">
      <c r="B953" s="70"/>
      <c r="C953" s="70"/>
      <c r="D953" s="70"/>
      <c r="E953" s="70"/>
      <c r="F953" s="70"/>
      <c r="G953" s="70"/>
      <c r="H953" s="70"/>
      <c r="I953" s="70"/>
      <c r="J953" s="70"/>
      <c r="K953" s="70"/>
      <c r="L953" s="70"/>
      <c r="M953" s="70"/>
      <c r="N953" s="70"/>
      <c r="O953" s="70"/>
      <c r="P953" s="70"/>
      <c r="Q953" s="70" t="str">
        <f>IFERROR(__xludf.DUMMYFUNCTION("IFERROR(IF(COUNTIF(IMPORTRANGE(""1WjiLR_MTMxI_IZUKuvPO4Sg2rTSIqBzP3edakSRXbOA"",""Form Responses 1!B:B""),F953)&gt;0,10,),0)"),"")</f>
        <v/>
      </c>
      <c r="R953" s="70" t="str">
        <f>IFERROR(__xludf.DUMMYFUNCTION("IFERROR(VLOOKUP(F953,IMPORTRANGE(""1Ixzbal5tEbtWhozsFEppQzOYE6ZSrkNXHg_HW5k3Wt4"",""Form Responses 1!B:C""),2,FALSE),)"),"")</f>
        <v/>
      </c>
      <c r="S953" s="70" t="str">
        <f>IFERROR(__xludf.DUMMYFUNCTION("IFERROR(VLOOKUP(F953,IMPORTRANGE(""1zxjtEKGvVIJPIDqZdnxENwVpPXYa88EihzyI44hcQUo"",""Form Responses 1!B:C""),2,FALSE),)"),"")</f>
        <v/>
      </c>
      <c r="T953" s="70" t="str">
        <f>IFERROR(__xludf.DUMMYFUNCTION("IFERROR(VLOOKUP(F953,IMPORTRANGE(""1H3cO01obd5zFULYqaT5NAqecZBFFIHeDFn4CeQLZF3w"",""Form Responses 1!B:C""),2,FALSE),)"),"")</f>
        <v/>
      </c>
      <c r="U953" s="70" t="str">
        <f>IFERROR(__xludf.DUMMYFUNCTION("IFERROR(IF(COUNTIF(IMPORTRANGE(""1IG9qoa6PeLdDDFzKpW39lxXshN0-M8Z25a_R1EpsYyg"",""Form Responses 1!B:B""),F953)&gt;0,10,),0)"),"")</f>
        <v/>
      </c>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row>
    <row r="954">
      <c r="B954" s="70"/>
      <c r="C954" s="70"/>
      <c r="D954" s="70"/>
      <c r="E954" s="70"/>
      <c r="F954" s="70"/>
      <c r="G954" s="70"/>
      <c r="H954" s="70"/>
      <c r="I954" s="70"/>
      <c r="J954" s="70"/>
      <c r="K954" s="70"/>
      <c r="L954" s="70"/>
      <c r="M954" s="70"/>
      <c r="N954" s="70"/>
      <c r="O954" s="70"/>
      <c r="P954" s="70"/>
      <c r="Q954" s="70" t="str">
        <f>IFERROR(__xludf.DUMMYFUNCTION("IFERROR(IF(COUNTIF(IMPORTRANGE(""1WjiLR_MTMxI_IZUKuvPO4Sg2rTSIqBzP3edakSRXbOA"",""Form Responses 1!B:B""),F954)&gt;0,10,),0)"),"")</f>
        <v/>
      </c>
      <c r="R954" s="70" t="str">
        <f>IFERROR(__xludf.DUMMYFUNCTION("IFERROR(VLOOKUP(F954,IMPORTRANGE(""1Ixzbal5tEbtWhozsFEppQzOYE6ZSrkNXHg_HW5k3Wt4"",""Form Responses 1!B:C""),2,FALSE),)"),"")</f>
        <v/>
      </c>
      <c r="S954" s="70" t="str">
        <f>IFERROR(__xludf.DUMMYFUNCTION("IFERROR(VLOOKUP(F954,IMPORTRANGE(""1zxjtEKGvVIJPIDqZdnxENwVpPXYa88EihzyI44hcQUo"",""Form Responses 1!B:C""),2,FALSE),)"),"")</f>
        <v/>
      </c>
      <c r="T954" s="70" t="str">
        <f>IFERROR(__xludf.DUMMYFUNCTION("IFERROR(VLOOKUP(F954,IMPORTRANGE(""1H3cO01obd5zFULYqaT5NAqecZBFFIHeDFn4CeQLZF3w"",""Form Responses 1!B:C""),2,FALSE),)"),"")</f>
        <v/>
      </c>
      <c r="U954" s="70" t="str">
        <f>IFERROR(__xludf.DUMMYFUNCTION("IFERROR(IF(COUNTIF(IMPORTRANGE(""1IG9qoa6PeLdDDFzKpW39lxXshN0-M8Z25a_R1EpsYyg"",""Form Responses 1!B:B""),F954)&gt;0,10,),0)"),"")</f>
        <v/>
      </c>
      <c r="V954" s="70"/>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row>
    <row r="955">
      <c r="B955" s="70"/>
      <c r="C955" s="70"/>
      <c r="D955" s="70"/>
      <c r="E955" s="70"/>
      <c r="F955" s="70"/>
      <c r="G955" s="70"/>
      <c r="H955" s="70"/>
      <c r="I955" s="70"/>
      <c r="J955" s="70"/>
      <c r="K955" s="70"/>
      <c r="L955" s="70"/>
      <c r="M955" s="70"/>
      <c r="N955" s="70"/>
      <c r="O955" s="70"/>
      <c r="P955" s="70"/>
      <c r="Q955" s="70" t="str">
        <f>IFERROR(__xludf.DUMMYFUNCTION("IFERROR(IF(COUNTIF(IMPORTRANGE(""1WjiLR_MTMxI_IZUKuvPO4Sg2rTSIqBzP3edakSRXbOA"",""Form Responses 1!B:B""),F955)&gt;0,10,),0)"),"")</f>
        <v/>
      </c>
      <c r="R955" s="70" t="str">
        <f>IFERROR(__xludf.DUMMYFUNCTION("IFERROR(VLOOKUP(F955,IMPORTRANGE(""1Ixzbal5tEbtWhozsFEppQzOYE6ZSrkNXHg_HW5k3Wt4"",""Form Responses 1!B:C""),2,FALSE),)"),"")</f>
        <v/>
      </c>
      <c r="S955" s="70" t="str">
        <f>IFERROR(__xludf.DUMMYFUNCTION("IFERROR(VLOOKUP(F955,IMPORTRANGE(""1zxjtEKGvVIJPIDqZdnxENwVpPXYa88EihzyI44hcQUo"",""Form Responses 1!B:C""),2,FALSE),)"),"")</f>
        <v/>
      </c>
      <c r="T955" s="70" t="str">
        <f>IFERROR(__xludf.DUMMYFUNCTION("IFERROR(VLOOKUP(F955,IMPORTRANGE(""1H3cO01obd5zFULYqaT5NAqecZBFFIHeDFn4CeQLZF3w"",""Form Responses 1!B:C""),2,FALSE),)"),"")</f>
        <v/>
      </c>
      <c r="U955" s="70" t="str">
        <f>IFERROR(__xludf.DUMMYFUNCTION("IFERROR(IF(COUNTIF(IMPORTRANGE(""1IG9qoa6PeLdDDFzKpW39lxXshN0-M8Z25a_R1EpsYyg"",""Form Responses 1!B:B""),F955)&gt;0,10,),0)"),"")</f>
        <v/>
      </c>
      <c r="V955" s="70"/>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row>
    <row r="956">
      <c r="B956" s="70"/>
      <c r="C956" s="70"/>
      <c r="D956" s="70"/>
      <c r="E956" s="70"/>
      <c r="F956" s="70"/>
      <c r="G956" s="70"/>
      <c r="H956" s="70"/>
      <c r="I956" s="70"/>
      <c r="J956" s="70"/>
      <c r="K956" s="70"/>
      <c r="L956" s="70"/>
      <c r="M956" s="70"/>
      <c r="N956" s="70"/>
      <c r="O956" s="70"/>
      <c r="P956" s="70"/>
      <c r="Q956" s="70" t="str">
        <f>IFERROR(__xludf.DUMMYFUNCTION("IFERROR(IF(COUNTIF(IMPORTRANGE(""1WjiLR_MTMxI_IZUKuvPO4Sg2rTSIqBzP3edakSRXbOA"",""Form Responses 1!B:B""),F956)&gt;0,10,),0)"),"")</f>
        <v/>
      </c>
      <c r="R956" s="70" t="str">
        <f>IFERROR(__xludf.DUMMYFUNCTION("IFERROR(VLOOKUP(F956,IMPORTRANGE(""1Ixzbal5tEbtWhozsFEppQzOYE6ZSrkNXHg_HW5k3Wt4"",""Form Responses 1!B:C""),2,FALSE),)"),"")</f>
        <v/>
      </c>
      <c r="S956" s="70" t="str">
        <f>IFERROR(__xludf.DUMMYFUNCTION("IFERROR(VLOOKUP(F956,IMPORTRANGE(""1zxjtEKGvVIJPIDqZdnxENwVpPXYa88EihzyI44hcQUo"",""Form Responses 1!B:C""),2,FALSE),)"),"")</f>
        <v/>
      </c>
      <c r="T956" s="70" t="str">
        <f>IFERROR(__xludf.DUMMYFUNCTION("IFERROR(VLOOKUP(F956,IMPORTRANGE(""1H3cO01obd5zFULYqaT5NAqecZBFFIHeDFn4CeQLZF3w"",""Form Responses 1!B:C""),2,FALSE),)"),"")</f>
        <v/>
      </c>
      <c r="U956" s="70" t="str">
        <f>IFERROR(__xludf.DUMMYFUNCTION("IFERROR(IF(COUNTIF(IMPORTRANGE(""1IG9qoa6PeLdDDFzKpW39lxXshN0-M8Z25a_R1EpsYyg"",""Form Responses 1!B:B""),F956)&gt;0,10,),0)"),"")</f>
        <v/>
      </c>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row>
    <row r="957">
      <c r="B957" s="70"/>
      <c r="C957" s="70"/>
      <c r="D957" s="70"/>
      <c r="E957" s="70"/>
      <c r="F957" s="70"/>
      <c r="G957" s="70"/>
      <c r="H957" s="70"/>
      <c r="I957" s="70"/>
      <c r="J957" s="70"/>
      <c r="K957" s="70"/>
      <c r="L957" s="70"/>
      <c r="M957" s="70"/>
      <c r="N957" s="70"/>
      <c r="O957" s="70"/>
      <c r="P957" s="70"/>
      <c r="Q957" s="70" t="str">
        <f>IFERROR(__xludf.DUMMYFUNCTION("IFERROR(IF(COUNTIF(IMPORTRANGE(""1WjiLR_MTMxI_IZUKuvPO4Sg2rTSIqBzP3edakSRXbOA"",""Form Responses 1!B:B""),F957)&gt;0,10,),0)"),"")</f>
        <v/>
      </c>
      <c r="R957" s="70" t="str">
        <f>IFERROR(__xludf.DUMMYFUNCTION("IFERROR(VLOOKUP(F957,IMPORTRANGE(""1Ixzbal5tEbtWhozsFEppQzOYE6ZSrkNXHg_HW5k3Wt4"",""Form Responses 1!B:C""),2,FALSE),)"),"")</f>
        <v/>
      </c>
      <c r="S957" s="70" t="str">
        <f>IFERROR(__xludf.DUMMYFUNCTION("IFERROR(VLOOKUP(F957,IMPORTRANGE(""1zxjtEKGvVIJPIDqZdnxENwVpPXYa88EihzyI44hcQUo"",""Form Responses 1!B:C""),2,FALSE),)"),"")</f>
        <v/>
      </c>
      <c r="T957" s="70" t="str">
        <f>IFERROR(__xludf.DUMMYFUNCTION("IFERROR(VLOOKUP(F957,IMPORTRANGE(""1H3cO01obd5zFULYqaT5NAqecZBFFIHeDFn4CeQLZF3w"",""Form Responses 1!B:C""),2,FALSE),)"),"")</f>
        <v/>
      </c>
      <c r="U957" s="70" t="str">
        <f>IFERROR(__xludf.DUMMYFUNCTION("IFERROR(IF(COUNTIF(IMPORTRANGE(""1IG9qoa6PeLdDDFzKpW39lxXshN0-M8Z25a_R1EpsYyg"",""Form Responses 1!B:B""),F957)&gt;0,10,),0)"),"")</f>
        <v/>
      </c>
      <c r="V957" s="70"/>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row>
    <row r="958">
      <c r="B958" s="70"/>
      <c r="C958" s="70"/>
      <c r="D958" s="70"/>
      <c r="E958" s="70"/>
      <c r="F958" s="70"/>
      <c r="G958" s="70"/>
      <c r="H958" s="70"/>
      <c r="I958" s="70"/>
      <c r="J958" s="70"/>
      <c r="K958" s="70"/>
      <c r="L958" s="70"/>
      <c r="M958" s="70"/>
      <c r="N958" s="70"/>
      <c r="O958" s="70"/>
      <c r="P958" s="70"/>
      <c r="Q958" s="70" t="str">
        <f>IFERROR(__xludf.DUMMYFUNCTION("IFERROR(IF(COUNTIF(IMPORTRANGE(""1WjiLR_MTMxI_IZUKuvPO4Sg2rTSIqBzP3edakSRXbOA"",""Form Responses 1!B:B""),F958)&gt;0,10,),0)"),"")</f>
        <v/>
      </c>
      <c r="R958" s="70" t="str">
        <f>IFERROR(__xludf.DUMMYFUNCTION("IFERROR(VLOOKUP(F958,IMPORTRANGE(""1Ixzbal5tEbtWhozsFEppQzOYE6ZSrkNXHg_HW5k3Wt4"",""Form Responses 1!B:C""),2,FALSE),)"),"")</f>
        <v/>
      </c>
      <c r="S958" s="70" t="str">
        <f>IFERROR(__xludf.DUMMYFUNCTION("IFERROR(VLOOKUP(F958,IMPORTRANGE(""1zxjtEKGvVIJPIDqZdnxENwVpPXYa88EihzyI44hcQUo"",""Form Responses 1!B:C""),2,FALSE),)"),"")</f>
        <v/>
      </c>
      <c r="T958" s="70" t="str">
        <f>IFERROR(__xludf.DUMMYFUNCTION("IFERROR(VLOOKUP(F958,IMPORTRANGE(""1H3cO01obd5zFULYqaT5NAqecZBFFIHeDFn4CeQLZF3w"",""Form Responses 1!B:C""),2,FALSE),)"),"")</f>
        <v/>
      </c>
      <c r="U958" s="70" t="str">
        <f>IFERROR(__xludf.DUMMYFUNCTION("IFERROR(IF(COUNTIF(IMPORTRANGE(""1IG9qoa6PeLdDDFzKpW39lxXshN0-M8Z25a_R1EpsYyg"",""Form Responses 1!B:B""),F958)&gt;0,10,),0)"),"")</f>
        <v/>
      </c>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row>
    <row r="959">
      <c r="B959" s="70"/>
      <c r="C959" s="70"/>
      <c r="D959" s="70"/>
      <c r="E959" s="70"/>
      <c r="F959" s="70"/>
      <c r="G959" s="70"/>
      <c r="H959" s="70"/>
      <c r="I959" s="70"/>
      <c r="J959" s="70"/>
      <c r="K959" s="70"/>
      <c r="L959" s="70"/>
      <c r="M959" s="70"/>
      <c r="N959" s="70"/>
      <c r="O959" s="70"/>
      <c r="P959" s="70"/>
      <c r="Q959" s="70" t="str">
        <f>IFERROR(__xludf.DUMMYFUNCTION("IFERROR(IF(COUNTIF(IMPORTRANGE(""1WjiLR_MTMxI_IZUKuvPO4Sg2rTSIqBzP3edakSRXbOA"",""Form Responses 1!B:B""),F959)&gt;0,10,),0)"),"")</f>
        <v/>
      </c>
      <c r="R959" s="70" t="str">
        <f>IFERROR(__xludf.DUMMYFUNCTION("IFERROR(VLOOKUP(F959,IMPORTRANGE(""1Ixzbal5tEbtWhozsFEppQzOYE6ZSrkNXHg_HW5k3Wt4"",""Form Responses 1!B:C""),2,FALSE),)"),"")</f>
        <v/>
      </c>
      <c r="S959" s="70" t="str">
        <f>IFERROR(__xludf.DUMMYFUNCTION("IFERROR(VLOOKUP(F959,IMPORTRANGE(""1zxjtEKGvVIJPIDqZdnxENwVpPXYa88EihzyI44hcQUo"",""Form Responses 1!B:C""),2,FALSE),)"),"")</f>
        <v/>
      </c>
      <c r="T959" s="70" t="str">
        <f>IFERROR(__xludf.DUMMYFUNCTION("IFERROR(VLOOKUP(F959,IMPORTRANGE(""1H3cO01obd5zFULYqaT5NAqecZBFFIHeDFn4CeQLZF3w"",""Form Responses 1!B:C""),2,FALSE),)"),"")</f>
        <v/>
      </c>
      <c r="U959" s="70" t="str">
        <f>IFERROR(__xludf.DUMMYFUNCTION("IFERROR(IF(COUNTIF(IMPORTRANGE(""1IG9qoa6PeLdDDFzKpW39lxXshN0-M8Z25a_R1EpsYyg"",""Form Responses 1!B:B""),F959)&gt;0,10,),0)"),"")</f>
        <v/>
      </c>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row>
    <row r="960">
      <c r="B960" s="70"/>
      <c r="C960" s="70"/>
      <c r="D960" s="70"/>
      <c r="E960" s="70"/>
      <c r="F960" s="70"/>
      <c r="G960" s="70"/>
      <c r="H960" s="70"/>
      <c r="I960" s="70"/>
      <c r="J960" s="70"/>
      <c r="K960" s="70"/>
      <c r="L960" s="70"/>
      <c r="M960" s="70"/>
      <c r="N960" s="70"/>
      <c r="O960" s="70"/>
      <c r="P960" s="70"/>
      <c r="Q960" s="70" t="str">
        <f>IFERROR(__xludf.DUMMYFUNCTION("IFERROR(IF(COUNTIF(IMPORTRANGE(""1WjiLR_MTMxI_IZUKuvPO4Sg2rTSIqBzP3edakSRXbOA"",""Form Responses 1!B:B""),F960)&gt;0,10,),0)"),"")</f>
        <v/>
      </c>
      <c r="R960" s="70" t="str">
        <f>IFERROR(__xludf.DUMMYFUNCTION("IFERROR(VLOOKUP(F960,IMPORTRANGE(""1Ixzbal5tEbtWhozsFEppQzOYE6ZSrkNXHg_HW5k3Wt4"",""Form Responses 1!B:C""),2,FALSE),)"),"")</f>
        <v/>
      </c>
      <c r="S960" s="70" t="str">
        <f>IFERROR(__xludf.DUMMYFUNCTION("IFERROR(VLOOKUP(F960,IMPORTRANGE(""1zxjtEKGvVIJPIDqZdnxENwVpPXYa88EihzyI44hcQUo"",""Form Responses 1!B:C""),2,FALSE),)"),"")</f>
        <v/>
      </c>
      <c r="T960" s="70" t="str">
        <f>IFERROR(__xludf.DUMMYFUNCTION("IFERROR(VLOOKUP(F960,IMPORTRANGE(""1H3cO01obd5zFULYqaT5NAqecZBFFIHeDFn4CeQLZF3w"",""Form Responses 1!B:C""),2,FALSE),)"),"")</f>
        <v/>
      </c>
      <c r="U960" s="70" t="str">
        <f>IFERROR(__xludf.DUMMYFUNCTION("IFERROR(IF(COUNTIF(IMPORTRANGE(""1IG9qoa6PeLdDDFzKpW39lxXshN0-M8Z25a_R1EpsYyg"",""Form Responses 1!B:B""),F960)&gt;0,10,),0)"),"")</f>
        <v/>
      </c>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row>
    <row r="961">
      <c r="B961" s="70"/>
      <c r="C961" s="70"/>
      <c r="D961" s="70"/>
      <c r="E961" s="70"/>
      <c r="F961" s="70"/>
      <c r="G961" s="70"/>
      <c r="H961" s="70"/>
      <c r="I961" s="70"/>
      <c r="J961" s="70"/>
      <c r="K961" s="70"/>
      <c r="L961" s="70"/>
      <c r="M961" s="70"/>
      <c r="N961" s="70"/>
      <c r="O961" s="70"/>
      <c r="P961" s="70"/>
      <c r="Q961" s="70" t="str">
        <f>IFERROR(__xludf.DUMMYFUNCTION("IFERROR(IF(COUNTIF(IMPORTRANGE(""1WjiLR_MTMxI_IZUKuvPO4Sg2rTSIqBzP3edakSRXbOA"",""Form Responses 1!B:B""),F961)&gt;0,10,),0)"),"")</f>
        <v/>
      </c>
      <c r="R961" s="70" t="str">
        <f>IFERROR(__xludf.DUMMYFUNCTION("IFERROR(VLOOKUP(F961,IMPORTRANGE(""1Ixzbal5tEbtWhozsFEppQzOYE6ZSrkNXHg_HW5k3Wt4"",""Form Responses 1!B:C""),2,FALSE),)"),"")</f>
        <v/>
      </c>
      <c r="S961" s="70" t="str">
        <f>IFERROR(__xludf.DUMMYFUNCTION("IFERROR(VLOOKUP(F961,IMPORTRANGE(""1zxjtEKGvVIJPIDqZdnxENwVpPXYa88EihzyI44hcQUo"",""Form Responses 1!B:C""),2,FALSE),)"),"")</f>
        <v/>
      </c>
      <c r="T961" s="70" t="str">
        <f>IFERROR(__xludf.DUMMYFUNCTION("IFERROR(VLOOKUP(F961,IMPORTRANGE(""1H3cO01obd5zFULYqaT5NAqecZBFFIHeDFn4CeQLZF3w"",""Form Responses 1!B:C""),2,FALSE),)"),"")</f>
        <v/>
      </c>
      <c r="U961" s="70" t="str">
        <f>IFERROR(__xludf.DUMMYFUNCTION("IFERROR(IF(COUNTIF(IMPORTRANGE(""1IG9qoa6PeLdDDFzKpW39lxXshN0-M8Z25a_R1EpsYyg"",""Form Responses 1!B:B""),F961)&gt;0,10,),0)"),"")</f>
        <v/>
      </c>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row>
    <row r="962">
      <c r="B962" s="70"/>
      <c r="C962" s="70"/>
      <c r="D962" s="70"/>
      <c r="E962" s="70"/>
      <c r="F962" s="70"/>
      <c r="G962" s="70"/>
      <c r="H962" s="70"/>
      <c r="I962" s="70"/>
      <c r="J962" s="70"/>
      <c r="K962" s="70"/>
      <c r="L962" s="70"/>
      <c r="M962" s="70"/>
      <c r="N962" s="70"/>
      <c r="O962" s="70"/>
      <c r="P962" s="70"/>
      <c r="Q962" s="70" t="str">
        <f>IFERROR(__xludf.DUMMYFUNCTION("IFERROR(IF(COUNTIF(IMPORTRANGE(""1WjiLR_MTMxI_IZUKuvPO4Sg2rTSIqBzP3edakSRXbOA"",""Form Responses 1!B:B""),F962)&gt;0,10,),0)"),"")</f>
        <v/>
      </c>
      <c r="R962" s="70" t="str">
        <f>IFERROR(__xludf.DUMMYFUNCTION("IFERROR(VLOOKUP(F962,IMPORTRANGE(""1Ixzbal5tEbtWhozsFEppQzOYE6ZSrkNXHg_HW5k3Wt4"",""Form Responses 1!B:C""),2,FALSE),)"),"")</f>
        <v/>
      </c>
      <c r="S962" s="70" t="str">
        <f>IFERROR(__xludf.DUMMYFUNCTION("IFERROR(VLOOKUP(F962,IMPORTRANGE(""1zxjtEKGvVIJPIDqZdnxENwVpPXYa88EihzyI44hcQUo"",""Form Responses 1!B:C""),2,FALSE),)"),"")</f>
        <v/>
      </c>
      <c r="T962" s="70" t="str">
        <f>IFERROR(__xludf.DUMMYFUNCTION("IFERROR(VLOOKUP(F962,IMPORTRANGE(""1H3cO01obd5zFULYqaT5NAqecZBFFIHeDFn4CeQLZF3w"",""Form Responses 1!B:C""),2,FALSE),)"),"")</f>
        <v/>
      </c>
      <c r="U962" s="70" t="str">
        <f>IFERROR(__xludf.DUMMYFUNCTION("IFERROR(IF(COUNTIF(IMPORTRANGE(""1IG9qoa6PeLdDDFzKpW39lxXshN0-M8Z25a_R1EpsYyg"",""Form Responses 1!B:B""),F962)&gt;0,10,),0)"),"")</f>
        <v/>
      </c>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row>
    <row r="963">
      <c r="B963" s="70"/>
      <c r="C963" s="70"/>
      <c r="D963" s="70"/>
      <c r="E963" s="70"/>
      <c r="F963" s="70"/>
      <c r="G963" s="70"/>
      <c r="H963" s="70"/>
      <c r="I963" s="70"/>
      <c r="J963" s="70"/>
      <c r="K963" s="70"/>
      <c r="L963" s="70"/>
      <c r="M963" s="70"/>
      <c r="N963" s="70"/>
      <c r="O963" s="70"/>
      <c r="P963" s="70"/>
      <c r="Q963" s="70" t="str">
        <f>IFERROR(__xludf.DUMMYFUNCTION("IFERROR(IF(COUNTIF(IMPORTRANGE(""1WjiLR_MTMxI_IZUKuvPO4Sg2rTSIqBzP3edakSRXbOA"",""Form Responses 1!B:B""),F963)&gt;0,10,),0)"),"")</f>
        <v/>
      </c>
      <c r="R963" s="70" t="str">
        <f>IFERROR(__xludf.DUMMYFUNCTION("IFERROR(VLOOKUP(F963,IMPORTRANGE(""1Ixzbal5tEbtWhozsFEppQzOYE6ZSrkNXHg_HW5k3Wt4"",""Form Responses 1!B:C""),2,FALSE),)"),"")</f>
        <v/>
      </c>
      <c r="S963" s="70" t="str">
        <f>IFERROR(__xludf.DUMMYFUNCTION("IFERROR(VLOOKUP(F963,IMPORTRANGE(""1zxjtEKGvVIJPIDqZdnxENwVpPXYa88EihzyI44hcQUo"",""Form Responses 1!B:C""),2,FALSE),)"),"")</f>
        <v/>
      </c>
      <c r="T963" s="70" t="str">
        <f>IFERROR(__xludf.DUMMYFUNCTION("IFERROR(VLOOKUP(F963,IMPORTRANGE(""1H3cO01obd5zFULYqaT5NAqecZBFFIHeDFn4CeQLZF3w"",""Form Responses 1!B:C""),2,FALSE),)"),"")</f>
        <v/>
      </c>
      <c r="U963" s="70" t="str">
        <f>IFERROR(__xludf.DUMMYFUNCTION("IFERROR(IF(COUNTIF(IMPORTRANGE(""1IG9qoa6PeLdDDFzKpW39lxXshN0-M8Z25a_R1EpsYyg"",""Form Responses 1!B:B""),F963)&gt;0,10,),0)"),"")</f>
        <v/>
      </c>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row>
    <row r="964">
      <c r="B964" s="70"/>
      <c r="C964" s="70"/>
      <c r="D964" s="70"/>
      <c r="E964" s="70"/>
      <c r="F964" s="70"/>
      <c r="G964" s="70"/>
      <c r="H964" s="70"/>
      <c r="I964" s="70"/>
      <c r="J964" s="70"/>
      <c r="K964" s="70"/>
      <c r="L964" s="70"/>
      <c r="M964" s="70"/>
      <c r="N964" s="70"/>
      <c r="O964" s="70"/>
      <c r="P964" s="70"/>
      <c r="Q964" s="70" t="str">
        <f>IFERROR(__xludf.DUMMYFUNCTION("IFERROR(IF(COUNTIF(IMPORTRANGE(""1WjiLR_MTMxI_IZUKuvPO4Sg2rTSIqBzP3edakSRXbOA"",""Form Responses 1!B:B""),F964)&gt;0,10,),0)"),"")</f>
        <v/>
      </c>
      <c r="R964" s="70" t="str">
        <f>IFERROR(__xludf.DUMMYFUNCTION("IFERROR(VLOOKUP(F964,IMPORTRANGE(""1Ixzbal5tEbtWhozsFEppQzOYE6ZSrkNXHg_HW5k3Wt4"",""Form Responses 1!B:C""),2,FALSE),)"),"")</f>
        <v/>
      </c>
      <c r="S964" s="70" t="str">
        <f>IFERROR(__xludf.DUMMYFUNCTION("IFERROR(VLOOKUP(F964,IMPORTRANGE(""1zxjtEKGvVIJPIDqZdnxENwVpPXYa88EihzyI44hcQUo"",""Form Responses 1!B:C""),2,FALSE),)"),"")</f>
        <v/>
      </c>
      <c r="T964" s="70" t="str">
        <f>IFERROR(__xludf.DUMMYFUNCTION("IFERROR(VLOOKUP(F964,IMPORTRANGE(""1H3cO01obd5zFULYqaT5NAqecZBFFIHeDFn4CeQLZF3w"",""Form Responses 1!B:C""),2,FALSE),)"),"")</f>
        <v/>
      </c>
      <c r="U964" s="70" t="str">
        <f>IFERROR(__xludf.DUMMYFUNCTION("IFERROR(IF(COUNTIF(IMPORTRANGE(""1IG9qoa6PeLdDDFzKpW39lxXshN0-M8Z25a_R1EpsYyg"",""Form Responses 1!B:B""),F964)&gt;0,10,),0)"),"")</f>
        <v/>
      </c>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row>
    <row r="965">
      <c r="B965" s="70"/>
      <c r="C965" s="70"/>
      <c r="D965" s="70"/>
      <c r="E965" s="70"/>
      <c r="F965" s="70"/>
      <c r="G965" s="70"/>
      <c r="H965" s="70"/>
      <c r="I965" s="70"/>
      <c r="J965" s="70"/>
      <c r="K965" s="70"/>
      <c r="L965" s="70"/>
      <c r="M965" s="70"/>
      <c r="N965" s="70"/>
      <c r="O965" s="70"/>
      <c r="P965" s="70"/>
      <c r="Q965" s="70" t="str">
        <f>IFERROR(__xludf.DUMMYFUNCTION("IFERROR(IF(COUNTIF(IMPORTRANGE(""1WjiLR_MTMxI_IZUKuvPO4Sg2rTSIqBzP3edakSRXbOA"",""Form Responses 1!B:B""),F965)&gt;0,10,),0)"),"")</f>
        <v/>
      </c>
      <c r="R965" s="70" t="str">
        <f>IFERROR(__xludf.DUMMYFUNCTION("IFERROR(VLOOKUP(F965,IMPORTRANGE(""1Ixzbal5tEbtWhozsFEppQzOYE6ZSrkNXHg_HW5k3Wt4"",""Form Responses 1!B:C""),2,FALSE),)"),"")</f>
        <v/>
      </c>
      <c r="S965" s="70" t="str">
        <f>IFERROR(__xludf.DUMMYFUNCTION("IFERROR(VLOOKUP(F965,IMPORTRANGE(""1zxjtEKGvVIJPIDqZdnxENwVpPXYa88EihzyI44hcQUo"",""Form Responses 1!B:C""),2,FALSE),)"),"")</f>
        <v/>
      </c>
      <c r="T965" s="70" t="str">
        <f>IFERROR(__xludf.DUMMYFUNCTION("IFERROR(VLOOKUP(F965,IMPORTRANGE(""1H3cO01obd5zFULYqaT5NAqecZBFFIHeDFn4CeQLZF3w"",""Form Responses 1!B:C""),2,FALSE),)"),"")</f>
        <v/>
      </c>
      <c r="U965" s="70" t="str">
        <f>IFERROR(__xludf.DUMMYFUNCTION("IFERROR(IF(COUNTIF(IMPORTRANGE(""1IG9qoa6PeLdDDFzKpW39lxXshN0-M8Z25a_R1EpsYyg"",""Form Responses 1!B:B""),F965)&gt;0,10,),0)"),"")</f>
        <v/>
      </c>
      <c r="V965" s="70"/>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row>
    <row r="966">
      <c r="B966" s="70"/>
      <c r="C966" s="70"/>
      <c r="D966" s="70"/>
      <c r="E966" s="70"/>
      <c r="F966" s="70"/>
      <c r="G966" s="70"/>
      <c r="H966" s="70"/>
      <c r="I966" s="70"/>
      <c r="J966" s="70"/>
      <c r="K966" s="70"/>
      <c r="L966" s="70"/>
      <c r="M966" s="70"/>
      <c r="N966" s="70"/>
      <c r="O966" s="70"/>
      <c r="P966" s="70"/>
      <c r="Q966" s="70" t="str">
        <f>IFERROR(__xludf.DUMMYFUNCTION("IFERROR(IF(COUNTIF(IMPORTRANGE(""1WjiLR_MTMxI_IZUKuvPO4Sg2rTSIqBzP3edakSRXbOA"",""Form Responses 1!B:B""),F966)&gt;0,10,),0)"),"")</f>
        <v/>
      </c>
      <c r="R966" s="70" t="str">
        <f>IFERROR(__xludf.DUMMYFUNCTION("IFERROR(VLOOKUP(F966,IMPORTRANGE(""1Ixzbal5tEbtWhozsFEppQzOYE6ZSrkNXHg_HW5k3Wt4"",""Form Responses 1!B:C""),2,FALSE),)"),"")</f>
        <v/>
      </c>
      <c r="S966" s="70" t="str">
        <f>IFERROR(__xludf.DUMMYFUNCTION("IFERROR(VLOOKUP(F966,IMPORTRANGE(""1zxjtEKGvVIJPIDqZdnxENwVpPXYa88EihzyI44hcQUo"",""Form Responses 1!B:C""),2,FALSE),)"),"")</f>
        <v/>
      </c>
      <c r="T966" s="70" t="str">
        <f>IFERROR(__xludf.DUMMYFUNCTION("IFERROR(VLOOKUP(F966,IMPORTRANGE(""1H3cO01obd5zFULYqaT5NAqecZBFFIHeDFn4CeQLZF3w"",""Form Responses 1!B:C""),2,FALSE),)"),"")</f>
        <v/>
      </c>
      <c r="U966" s="70" t="str">
        <f>IFERROR(__xludf.DUMMYFUNCTION("IFERROR(IF(COUNTIF(IMPORTRANGE(""1IG9qoa6PeLdDDFzKpW39lxXshN0-M8Z25a_R1EpsYyg"",""Form Responses 1!B:B""),F966)&gt;0,10,),0)"),"")</f>
        <v/>
      </c>
      <c r="V966" s="70"/>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row>
    <row r="967">
      <c r="B967" s="70"/>
      <c r="C967" s="70"/>
      <c r="D967" s="70"/>
      <c r="E967" s="70"/>
      <c r="F967" s="70"/>
      <c r="G967" s="70"/>
      <c r="H967" s="70"/>
      <c r="I967" s="70"/>
      <c r="J967" s="70"/>
      <c r="K967" s="70"/>
      <c r="L967" s="70"/>
      <c r="M967" s="70"/>
      <c r="N967" s="70"/>
      <c r="O967" s="70"/>
      <c r="P967" s="70"/>
      <c r="Q967" s="70" t="str">
        <f>IFERROR(__xludf.DUMMYFUNCTION("IFERROR(IF(COUNTIF(IMPORTRANGE(""1WjiLR_MTMxI_IZUKuvPO4Sg2rTSIqBzP3edakSRXbOA"",""Form Responses 1!B:B""),F967)&gt;0,10,),0)"),"")</f>
        <v/>
      </c>
      <c r="R967" s="70" t="str">
        <f>IFERROR(__xludf.DUMMYFUNCTION("IFERROR(VLOOKUP(F967,IMPORTRANGE(""1Ixzbal5tEbtWhozsFEppQzOYE6ZSrkNXHg_HW5k3Wt4"",""Form Responses 1!B:C""),2,FALSE),)"),"")</f>
        <v/>
      </c>
      <c r="S967" s="70" t="str">
        <f>IFERROR(__xludf.DUMMYFUNCTION("IFERROR(VLOOKUP(F967,IMPORTRANGE(""1zxjtEKGvVIJPIDqZdnxENwVpPXYa88EihzyI44hcQUo"",""Form Responses 1!B:C""),2,FALSE),)"),"")</f>
        <v/>
      </c>
      <c r="T967" s="70" t="str">
        <f>IFERROR(__xludf.DUMMYFUNCTION("IFERROR(VLOOKUP(F967,IMPORTRANGE(""1H3cO01obd5zFULYqaT5NAqecZBFFIHeDFn4CeQLZF3w"",""Form Responses 1!B:C""),2,FALSE),)"),"")</f>
        <v/>
      </c>
      <c r="U967" s="70" t="str">
        <f>IFERROR(__xludf.DUMMYFUNCTION("IFERROR(IF(COUNTIF(IMPORTRANGE(""1IG9qoa6PeLdDDFzKpW39lxXshN0-M8Z25a_R1EpsYyg"",""Form Responses 1!B:B""),F967)&gt;0,10,),0)"),"")</f>
        <v/>
      </c>
      <c r="V967" s="70"/>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row>
    <row r="968">
      <c r="B968" s="70"/>
      <c r="C968" s="70"/>
      <c r="D968" s="70"/>
      <c r="E968" s="70"/>
      <c r="F968" s="70"/>
      <c r="G968" s="70"/>
      <c r="H968" s="70"/>
      <c r="I968" s="70"/>
      <c r="J968" s="70"/>
      <c r="K968" s="70"/>
      <c r="L968" s="70"/>
      <c r="M968" s="70"/>
      <c r="N968" s="70"/>
      <c r="O968" s="70"/>
      <c r="P968" s="70"/>
      <c r="Q968" s="70" t="str">
        <f>IFERROR(__xludf.DUMMYFUNCTION("IFERROR(IF(COUNTIF(IMPORTRANGE(""1WjiLR_MTMxI_IZUKuvPO4Sg2rTSIqBzP3edakSRXbOA"",""Form Responses 1!B:B""),F968)&gt;0,10,),0)"),"")</f>
        <v/>
      </c>
      <c r="R968" s="70" t="str">
        <f>IFERROR(__xludf.DUMMYFUNCTION("IFERROR(VLOOKUP(F968,IMPORTRANGE(""1Ixzbal5tEbtWhozsFEppQzOYE6ZSrkNXHg_HW5k3Wt4"",""Form Responses 1!B:C""),2,FALSE),)"),"")</f>
        <v/>
      </c>
      <c r="S968" s="70" t="str">
        <f>IFERROR(__xludf.DUMMYFUNCTION("IFERROR(VLOOKUP(F968,IMPORTRANGE(""1zxjtEKGvVIJPIDqZdnxENwVpPXYa88EihzyI44hcQUo"",""Form Responses 1!B:C""),2,FALSE),)"),"")</f>
        <v/>
      </c>
      <c r="T968" s="70" t="str">
        <f>IFERROR(__xludf.DUMMYFUNCTION("IFERROR(VLOOKUP(F968,IMPORTRANGE(""1H3cO01obd5zFULYqaT5NAqecZBFFIHeDFn4CeQLZF3w"",""Form Responses 1!B:C""),2,FALSE),)"),"")</f>
        <v/>
      </c>
      <c r="U968" s="70" t="str">
        <f>IFERROR(__xludf.DUMMYFUNCTION("IFERROR(IF(COUNTIF(IMPORTRANGE(""1IG9qoa6PeLdDDFzKpW39lxXshN0-M8Z25a_R1EpsYyg"",""Form Responses 1!B:B""),F968)&gt;0,10,),0)"),"")</f>
        <v/>
      </c>
      <c r="V968" s="70"/>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row>
    <row r="969">
      <c r="B969" s="70"/>
      <c r="C969" s="70"/>
      <c r="D969" s="70"/>
      <c r="E969" s="70"/>
      <c r="F969" s="70"/>
      <c r="G969" s="70"/>
      <c r="H969" s="70"/>
      <c r="I969" s="70"/>
      <c r="J969" s="70"/>
      <c r="K969" s="70"/>
      <c r="L969" s="70"/>
      <c r="M969" s="70"/>
      <c r="N969" s="70"/>
      <c r="O969" s="70"/>
      <c r="P969" s="70"/>
      <c r="Q969" s="70" t="str">
        <f>IFERROR(__xludf.DUMMYFUNCTION("IFERROR(IF(COUNTIF(IMPORTRANGE(""1WjiLR_MTMxI_IZUKuvPO4Sg2rTSIqBzP3edakSRXbOA"",""Form Responses 1!B:B""),F969)&gt;0,10,),0)"),"")</f>
        <v/>
      </c>
      <c r="R969" s="70" t="str">
        <f>IFERROR(__xludf.DUMMYFUNCTION("IFERROR(VLOOKUP(F969,IMPORTRANGE(""1Ixzbal5tEbtWhozsFEppQzOYE6ZSrkNXHg_HW5k3Wt4"",""Form Responses 1!B:C""),2,FALSE),)"),"")</f>
        <v/>
      </c>
      <c r="S969" s="70" t="str">
        <f>IFERROR(__xludf.DUMMYFUNCTION("IFERROR(VLOOKUP(F969,IMPORTRANGE(""1zxjtEKGvVIJPIDqZdnxENwVpPXYa88EihzyI44hcQUo"",""Form Responses 1!B:C""),2,FALSE),)"),"")</f>
        <v/>
      </c>
      <c r="T969" s="70" t="str">
        <f>IFERROR(__xludf.DUMMYFUNCTION("IFERROR(VLOOKUP(F969,IMPORTRANGE(""1H3cO01obd5zFULYqaT5NAqecZBFFIHeDFn4CeQLZF3w"",""Form Responses 1!B:C""),2,FALSE),)"),"")</f>
        <v/>
      </c>
      <c r="U969" s="70" t="str">
        <f>IFERROR(__xludf.DUMMYFUNCTION("IFERROR(IF(COUNTIF(IMPORTRANGE(""1IG9qoa6PeLdDDFzKpW39lxXshN0-M8Z25a_R1EpsYyg"",""Form Responses 1!B:B""),F969)&gt;0,10,),0)"),"")</f>
        <v/>
      </c>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row>
    <row r="970">
      <c r="B970" s="70"/>
      <c r="C970" s="70"/>
      <c r="D970" s="70"/>
      <c r="E970" s="70"/>
      <c r="F970" s="70"/>
      <c r="G970" s="70"/>
      <c r="H970" s="70"/>
      <c r="I970" s="70"/>
      <c r="J970" s="70"/>
      <c r="K970" s="70"/>
      <c r="L970" s="70"/>
      <c r="M970" s="70"/>
      <c r="N970" s="70"/>
      <c r="O970" s="70"/>
      <c r="P970" s="70"/>
      <c r="Q970" s="70" t="str">
        <f>IFERROR(__xludf.DUMMYFUNCTION("IFERROR(IF(COUNTIF(IMPORTRANGE(""1WjiLR_MTMxI_IZUKuvPO4Sg2rTSIqBzP3edakSRXbOA"",""Form Responses 1!B:B""),F970)&gt;0,10,),0)"),"")</f>
        <v/>
      </c>
      <c r="R970" s="70" t="str">
        <f>IFERROR(__xludf.DUMMYFUNCTION("IFERROR(VLOOKUP(F970,IMPORTRANGE(""1Ixzbal5tEbtWhozsFEppQzOYE6ZSrkNXHg_HW5k3Wt4"",""Form Responses 1!B:C""),2,FALSE),)"),"")</f>
        <v/>
      </c>
      <c r="S970" s="70" t="str">
        <f>IFERROR(__xludf.DUMMYFUNCTION("IFERROR(VLOOKUP(F970,IMPORTRANGE(""1zxjtEKGvVIJPIDqZdnxENwVpPXYa88EihzyI44hcQUo"",""Form Responses 1!B:C""),2,FALSE),)"),"")</f>
        <v/>
      </c>
      <c r="T970" s="70" t="str">
        <f>IFERROR(__xludf.DUMMYFUNCTION("IFERROR(VLOOKUP(F970,IMPORTRANGE(""1H3cO01obd5zFULYqaT5NAqecZBFFIHeDFn4CeQLZF3w"",""Form Responses 1!B:C""),2,FALSE),)"),"")</f>
        <v/>
      </c>
      <c r="U970" s="70" t="str">
        <f>IFERROR(__xludf.DUMMYFUNCTION("IFERROR(IF(COUNTIF(IMPORTRANGE(""1IG9qoa6PeLdDDFzKpW39lxXshN0-M8Z25a_R1EpsYyg"",""Form Responses 1!B:B""),F970)&gt;0,10,),0)"),"")</f>
        <v/>
      </c>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row>
    <row r="971">
      <c r="B971" s="70"/>
      <c r="C971" s="70"/>
      <c r="D971" s="70"/>
      <c r="E971" s="70"/>
      <c r="F971" s="70"/>
      <c r="G971" s="70"/>
      <c r="H971" s="70"/>
      <c r="I971" s="70"/>
      <c r="J971" s="70"/>
      <c r="K971" s="70"/>
      <c r="L971" s="70"/>
      <c r="M971" s="70"/>
      <c r="N971" s="70"/>
      <c r="O971" s="70"/>
      <c r="P971" s="70"/>
      <c r="Q971" s="70" t="str">
        <f>IFERROR(__xludf.DUMMYFUNCTION("IFERROR(IF(COUNTIF(IMPORTRANGE(""1WjiLR_MTMxI_IZUKuvPO4Sg2rTSIqBzP3edakSRXbOA"",""Form Responses 1!B:B""),F971)&gt;0,10,),0)"),"")</f>
        <v/>
      </c>
      <c r="R971" s="70" t="str">
        <f>IFERROR(__xludf.DUMMYFUNCTION("IFERROR(VLOOKUP(F971,IMPORTRANGE(""1Ixzbal5tEbtWhozsFEppQzOYE6ZSrkNXHg_HW5k3Wt4"",""Form Responses 1!B:C""),2,FALSE),)"),"")</f>
        <v/>
      </c>
      <c r="S971" s="70" t="str">
        <f>IFERROR(__xludf.DUMMYFUNCTION("IFERROR(VLOOKUP(F971,IMPORTRANGE(""1zxjtEKGvVIJPIDqZdnxENwVpPXYa88EihzyI44hcQUo"",""Form Responses 1!B:C""),2,FALSE),)"),"")</f>
        <v/>
      </c>
      <c r="T971" s="70" t="str">
        <f>IFERROR(__xludf.DUMMYFUNCTION("IFERROR(VLOOKUP(F971,IMPORTRANGE(""1H3cO01obd5zFULYqaT5NAqecZBFFIHeDFn4CeQLZF3w"",""Form Responses 1!B:C""),2,FALSE),)"),"")</f>
        <v/>
      </c>
      <c r="U971" s="70" t="str">
        <f>IFERROR(__xludf.DUMMYFUNCTION("IFERROR(IF(COUNTIF(IMPORTRANGE(""1IG9qoa6PeLdDDFzKpW39lxXshN0-M8Z25a_R1EpsYyg"",""Form Responses 1!B:B""),F971)&gt;0,10,),0)"),"")</f>
        <v/>
      </c>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row>
    <row r="972">
      <c r="B972" s="70"/>
      <c r="C972" s="70"/>
      <c r="D972" s="70"/>
      <c r="E972" s="70"/>
      <c r="F972" s="70"/>
      <c r="G972" s="70"/>
      <c r="H972" s="70"/>
      <c r="I972" s="70"/>
      <c r="J972" s="70"/>
      <c r="K972" s="70"/>
      <c r="L972" s="70"/>
      <c r="M972" s="70"/>
      <c r="N972" s="70"/>
      <c r="O972" s="70"/>
      <c r="P972" s="70"/>
      <c r="Q972" s="70" t="str">
        <f>IFERROR(__xludf.DUMMYFUNCTION("IFERROR(IF(COUNTIF(IMPORTRANGE(""1WjiLR_MTMxI_IZUKuvPO4Sg2rTSIqBzP3edakSRXbOA"",""Form Responses 1!B:B""),F972)&gt;0,10,),0)"),"")</f>
        <v/>
      </c>
      <c r="R972" s="70" t="str">
        <f>IFERROR(__xludf.DUMMYFUNCTION("IFERROR(VLOOKUP(F972,IMPORTRANGE(""1Ixzbal5tEbtWhozsFEppQzOYE6ZSrkNXHg_HW5k3Wt4"",""Form Responses 1!B:C""),2,FALSE),)"),"")</f>
        <v/>
      </c>
      <c r="S972" s="70" t="str">
        <f>IFERROR(__xludf.DUMMYFUNCTION("IFERROR(VLOOKUP(F972,IMPORTRANGE(""1zxjtEKGvVIJPIDqZdnxENwVpPXYa88EihzyI44hcQUo"",""Form Responses 1!B:C""),2,FALSE),)"),"")</f>
        <v/>
      </c>
      <c r="T972" s="70" t="str">
        <f>IFERROR(__xludf.DUMMYFUNCTION("IFERROR(VLOOKUP(F972,IMPORTRANGE(""1H3cO01obd5zFULYqaT5NAqecZBFFIHeDFn4CeQLZF3w"",""Form Responses 1!B:C""),2,FALSE),)"),"")</f>
        <v/>
      </c>
      <c r="U972" s="70" t="str">
        <f>IFERROR(__xludf.DUMMYFUNCTION("IFERROR(IF(COUNTIF(IMPORTRANGE(""1IG9qoa6PeLdDDFzKpW39lxXshN0-M8Z25a_R1EpsYyg"",""Form Responses 1!B:B""),F972)&gt;0,10,),0)"),"")</f>
        <v/>
      </c>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row>
    <row r="973">
      <c r="B973" s="70"/>
      <c r="C973" s="70"/>
      <c r="D973" s="70"/>
      <c r="E973" s="70"/>
      <c r="F973" s="70"/>
      <c r="G973" s="70"/>
      <c r="H973" s="70"/>
      <c r="I973" s="70"/>
      <c r="J973" s="70"/>
      <c r="K973" s="70"/>
      <c r="L973" s="70"/>
      <c r="M973" s="70"/>
      <c r="N973" s="70"/>
      <c r="O973" s="70"/>
      <c r="P973" s="70"/>
      <c r="Q973" s="70" t="str">
        <f>IFERROR(__xludf.DUMMYFUNCTION("IFERROR(IF(COUNTIF(IMPORTRANGE(""1WjiLR_MTMxI_IZUKuvPO4Sg2rTSIqBzP3edakSRXbOA"",""Form Responses 1!B:B""),F973)&gt;0,10,),0)"),"")</f>
        <v/>
      </c>
      <c r="R973" s="70" t="str">
        <f>IFERROR(__xludf.DUMMYFUNCTION("IFERROR(VLOOKUP(F973,IMPORTRANGE(""1Ixzbal5tEbtWhozsFEppQzOYE6ZSrkNXHg_HW5k3Wt4"",""Form Responses 1!B:C""),2,FALSE),)"),"")</f>
        <v/>
      </c>
      <c r="S973" s="70" t="str">
        <f>IFERROR(__xludf.DUMMYFUNCTION("IFERROR(VLOOKUP(F973,IMPORTRANGE(""1zxjtEKGvVIJPIDqZdnxENwVpPXYa88EihzyI44hcQUo"",""Form Responses 1!B:C""),2,FALSE),)"),"")</f>
        <v/>
      </c>
      <c r="T973" s="70" t="str">
        <f>IFERROR(__xludf.DUMMYFUNCTION("IFERROR(VLOOKUP(F973,IMPORTRANGE(""1H3cO01obd5zFULYqaT5NAqecZBFFIHeDFn4CeQLZF3w"",""Form Responses 1!B:C""),2,FALSE),)"),"")</f>
        <v/>
      </c>
      <c r="U973" s="70" t="str">
        <f>IFERROR(__xludf.DUMMYFUNCTION("IFERROR(IF(COUNTIF(IMPORTRANGE(""1IG9qoa6PeLdDDFzKpW39lxXshN0-M8Z25a_R1EpsYyg"",""Form Responses 1!B:B""),F973)&gt;0,10,),0)"),"")</f>
        <v/>
      </c>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row>
    <row r="974">
      <c r="B974" s="70"/>
      <c r="C974" s="70"/>
      <c r="D974" s="70"/>
      <c r="E974" s="70"/>
      <c r="F974" s="70"/>
      <c r="G974" s="70"/>
      <c r="H974" s="70"/>
      <c r="I974" s="70"/>
      <c r="J974" s="70"/>
      <c r="K974" s="70"/>
      <c r="L974" s="70"/>
      <c r="M974" s="70"/>
      <c r="N974" s="70"/>
      <c r="O974" s="70"/>
      <c r="P974" s="70"/>
      <c r="Q974" s="70" t="str">
        <f>IFERROR(__xludf.DUMMYFUNCTION("IFERROR(IF(COUNTIF(IMPORTRANGE(""1WjiLR_MTMxI_IZUKuvPO4Sg2rTSIqBzP3edakSRXbOA"",""Form Responses 1!B:B""),F974)&gt;0,10,),0)"),"")</f>
        <v/>
      </c>
      <c r="R974" s="70" t="str">
        <f>IFERROR(__xludf.DUMMYFUNCTION("IFERROR(VLOOKUP(F974,IMPORTRANGE(""1Ixzbal5tEbtWhozsFEppQzOYE6ZSrkNXHg_HW5k3Wt4"",""Form Responses 1!B:C""),2,FALSE),)"),"")</f>
        <v/>
      </c>
      <c r="S974" s="70" t="str">
        <f>IFERROR(__xludf.DUMMYFUNCTION("IFERROR(VLOOKUP(F974,IMPORTRANGE(""1zxjtEKGvVIJPIDqZdnxENwVpPXYa88EihzyI44hcQUo"",""Form Responses 1!B:C""),2,FALSE),)"),"")</f>
        <v/>
      </c>
      <c r="T974" s="70" t="str">
        <f>IFERROR(__xludf.DUMMYFUNCTION("IFERROR(VLOOKUP(F974,IMPORTRANGE(""1H3cO01obd5zFULYqaT5NAqecZBFFIHeDFn4CeQLZF3w"",""Form Responses 1!B:C""),2,FALSE),)"),"")</f>
        <v/>
      </c>
      <c r="U974" s="70" t="str">
        <f>IFERROR(__xludf.DUMMYFUNCTION("IFERROR(IF(COUNTIF(IMPORTRANGE(""1IG9qoa6PeLdDDFzKpW39lxXshN0-M8Z25a_R1EpsYyg"",""Form Responses 1!B:B""),F974)&gt;0,10,),0)"),"")</f>
        <v/>
      </c>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row>
    <row r="975">
      <c r="B975" s="70"/>
      <c r="C975" s="70"/>
      <c r="D975" s="70"/>
      <c r="E975" s="70"/>
      <c r="F975" s="70"/>
      <c r="G975" s="70"/>
      <c r="H975" s="70"/>
      <c r="I975" s="70"/>
      <c r="J975" s="70"/>
      <c r="K975" s="70"/>
      <c r="L975" s="70"/>
      <c r="M975" s="70"/>
      <c r="N975" s="70"/>
      <c r="O975" s="70"/>
      <c r="P975" s="70"/>
      <c r="Q975" s="70" t="str">
        <f>IFERROR(__xludf.DUMMYFUNCTION("IFERROR(IF(COUNTIF(IMPORTRANGE(""1WjiLR_MTMxI_IZUKuvPO4Sg2rTSIqBzP3edakSRXbOA"",""Form Responses 1!B:B""),F975)&gt;0,10,),0)"),"")</f>
        <v/>
      </c>
      <c r="R975" s="70" t="str">
        <f>IFERROR(__xludf.DUMMYFUNCTION("IFERROR(VLOOKUP(F975,IMPORTRANGE(""1Ixzbal5tEbtWhozsFEppQzOYE6ZSrkNXHg_HW5k3Wt4"",""Form Responses 1!B:C""),2,FALSE),)"),"")</f>
        <v/>
      </c>
      <c r="S975" s="70" t="str">
        <f>IFERROR(__xludf.DUMMYFUNCTION("IFERROR(VLOOKUP(F975,IMPORTRANGE(""1zxjtEKGvVIJPIDqZdnxENwVpPXYa88EihzyI44hcQUo"",""Form Responses 1!B:C""),2,FALSE),)"),"")</f>
        <v/>
      </c>
      <c r="T975" s="70" t="str">
        <f>IFERROR(__xludf.DUMMYFUNCTION("IFERROR(VLOOKUP(F975,IMPORTRANGE(""1H3cO01obd5zFULYqaT5NAqecZBFFIHeDFn4CeQLZF3w"",""Form Responses 1!B:C""),2,FALSE),)"),"")</f>
        <v/>
      </c>
      <c r="U975" s="70" t="str">
        <f>IFERROR(__xludf.DUMMYFUNCTION("IFERROR(IF(COUNTIF(IMPORTRANGE(""1IG9qoa6PeLdDDFzKpW39lxXshN0-M8Z25a_R1EpsYyg"",""Form Responses 1!B:B""),F975)&gt;0,10,),0)"),"")</f>
        <v/>
      </c>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row>
    <row r="976">
      <c r="B976" s="70"/>
      <c r="C976" s="70"/>
      <c r="D976" s="70"/>
      <c r="E976" s="70"/>
      <c r="F976" s="70"/>
      <c r="G976" s="70"/>
      <c r="H976" s="70"/>
      <c r="I976" s="70"/>
      <c r="J976" s="70"/>
      <c r="K976" s="70"/>
      <c r="L976" s="70"/>
      <c r="M976" s="70"/>
      <c r="N976" s="70"/>
      <c r="O976" s="70"/>
      <c r="P976" s="70"/>
      <c r="Q976" s="70" t="str">
        <f>IFERROR(__xludf.DUMMYFUNCTION("IFERROR(IF(COUNTIF(IMPORTRANGE(""1WjiLR_MTMxI_IZUKuvPO4Sg2rTSIqBzP3edakSRXbOA"",""Form Responses 1!B:B""),F976)&gt;0,10,),0)"),"")</f>
        <v/>
      </c>
      <c r="R976" s="70" t="str">
        <f>IFERROR(__xludf.DUMMYFUNCTION("IFERROR(VLOOKUP(F976,IMPORTRANGE(""1Ixzbal5tEbtWhozsFEppQzOYE6ZSrkNXHg_HW5k3Wt4"",""Form Responses 1!B:C""),2,FALSE),)"),"")</f>
        <v/>
      </c>
      <c r="S976" s="70" t="str">
        <f>IFERROR(__xludf.DUMMYFUNCTION("IFERROR(VLOOKUP(F976,IMPORTRANGE(""1zxjtEKGvVIJPIDqZdnxENwVpPXYa88EihzyI44hcQUo"",""Form Responses 1!B:C""),2,FALSE),)"),"")</f>
        <v/>
      </c>
      <c r="T976" s="70" t="str">
        <f>IFERROR(__xludf.DUMMYFUNCTION("IFERROR(VLOOKUP(F976,IMPORTRANGE(""1H3cO01obd5zFULYqaT5NAqecZBFFIHeDFn4CeQLZF3w"",""Form Responses 1!B:C""),2,FALSE),)"),"")</f>
        <v/>
      </c>
      <c r="U976" s="70" t="str">
        <f>IFERROR(__xludf.DUMMYFUNCTION("IFERROR(IF(COUNTIF(IMPORTRANGE(""1IG9qoa6PeLdDDFzKpW39lxXshN0-M8Z25a_R1EpsYyg"",""Form Responses 1!B:B""),F976)&gt;0,10,),0)"),"")</f>
        <v/>
      </c>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row>
    <row r="977">
      <c r="B977" s="70"/>
      <c r="C977" s="70"/>
      <c r="D977" s="70"/>
      <c r="E977" s="70"/>
      <c r="F977" s="70"/>
      <c r="G977" s="70"/>
      <c r="H977" s="70"/>
      <c r="I977" s="70"/>
      <c r="J977" s="70"/>
      <c r="K977" s="70"/>
      <c r="L977" s="70"/>
      <c r="M977" s="70"/>
      <c r="N977" s="70"/>
      <c r="O977" s="70"/>
      <c r="P977" s="70"/>
      <c r="Q977" s="70" t="str">
        <f>IFERROR(__xludf.DUMMYFUNCTION("IFERROR(IF(COUNTIF(IMPORTRANGE(""1WjiLR_MTMxI_IZUKuvPO4Sg2rTSIqBzP3edakSRXbOA"",""Form Responses 1!B:B""),F977)&gt;0,10,),0)"),"")</f>
        <v/>
      </c>
      <c r="R977" s="70" t="str">
        <f>IFERROR(__xludf.DUMMYFUNCTION("IFERROR(VLOOKUP(F977,IMPORTRANGE(""1Ixzbal5tEbtWhozsFEppQzOYE6ZSrkNXHg_HW5k3Wt4"",""Form Responses 1!B:C""),2,FALSE),)"),"")</f>
        <v/>
      </c>
      <c r="S977" s="70" t="str">
        <f>IFERROR(__xludf.DUMMYFUNCTION("IFERROR(VLOOKUP(F977,IMPORTRANGE(""1zxjtEKGvVIJPIDqZdnxENwVpPXYa88EihzyI44hcQUo"",""Form Responses 1!B:C""),2,FALSE),)"),"")</f>
        <v/>
      </c>
      <c r="T977" s="70" t="str">
        <f>IFERROR(__xludf.DUMMYFUNCTION("IFERROR(VLOOKUP(F977,IMPORTRANGE(""1H3cO01obd5zFULYqaT5NAqecZBFFIHeDFn4CeQLZF3w"",""Form Responses 1!B:C""),2,FALSE),)"),"")</f>
        <v/>
      </c>
      <c r="U977" s="70" t="str">
        <f>IFERROR(__xludf.DUMMYFUNCTION("IFERROR(IF(COUNTIF(IMPORTRANGE(""1IG9qoa6PeLdDDFzKpW39lxXshN0-M8Z25a_R1EpsYyg"",""Form Responses 1!B:B""),F977)&gt;0,10,),0)"),"")</f>
        <v/>
      </c>
      <c r="V977" s="70"/>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row>
    <row r="978">
      <c r="B978" s="70"/>
      <c r="C978" s="70"/>
      <c r="D978" s="70"/>
      <c r="E978" s="70"/>
      <c r="F978" s="70"/>
      <c r="G978" s="70"/>
      <c r="H978" s="70"/>
      <c r="I978" s="70"/>
      <c r="J978" s="70"/>
      <c r="K978" s="70"/>
      <c r="L978" s="70"/>
      <c r="M978" s="70"/>
      <c r="N978" s="70"/>
      <c r="O978" s="70"/>
      <c r="P978" s="70"/>
      <c r="Q978" s="70" t="str">
        <f>IFERROR(__xludf.DUMMYFUNCTION("IFERROR(IF(COUNTIF(IMPORTRANGE(""1WjiLR_MTMxI_IZUKuvPO4Sg2rTSIqBzP3edakSRXbOA"",""Form Responses 1!B:B""),F978)&gt;0,10,),0)"),"")</f>
        <v/>
      </c>
      <c r="R978" s="70" t="str">
        <f>IFERROR(__xludf.DUMMYFUNCTION("IFERROR(VLOOKUP(F978,IMPORTRANGE(""1Ixzbal5tEbtWhozsFEppQzOYE6ZSrkNXHg_HW5k3Wt4"",""Form Responses 1!B:C""),2,FALSE),)"),"")</f>
        <v/>
      </c>
      <c r="S978" s="70" t="str">
        <f>IFERROR(__xludf.DUMMYFUNCTION("IFERROR(VLOOKUP(F978,IMPORTRANGE(""1zxjtEKGvVIJPIDqZdnxENwVpPXYa88EihzyI44hcQUo"",""Form Responses 1!B:C""),2,FALSE),)"),"")</f>
        <v/>
      </c>
      <c r="T978" s="70" t="str">
        <f>IFERROR(__xludf.DUMMYFUNCTION("IFERROR(VLOOKUP(F978,IMPORTRANGE(""1H3cO01obd5zFULYqaT5NAqecZBFFIHeDFn4CeQLZF3w"",""Form Responses 1!B:C""),2,FALSE),)"),"")</f>
        <v/>
      </c>
      <c r="U978" s="70" t="str">
        <f>IFERROR(__xludf.DUMMYFUNCTION("IFERROR(IF(COUNTIF(IMPORTRANGE(""1IG9qoa6PeLdDDFzKpW39lxXshN0-M8Z25a_R1EpsYyg"",""Form Responses 1!B:B""),F978)&gt;0,10,),0)"),"")</f>
        <v/>
      </c>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row>
    <row r="979">
      <c r="B979" s="70"/>
      <c r="C979" s="70"/>
      <c r="D979" s="70"/>
      <c r="E979" s="70"/>
      <c r="F979" s="70"/>
      <c r="G979" s="70"/>
      <c r="H979" s="70"/>
      <c r="I979" s="70"/>
      <c r="J979" s="70"/>
      <c r="K979" s="70"/>
      <c r="L979" s="70"/>
      <c r="M979" s="70"/>
      <c r="N979" s="70"/>
      <c r="O979" s="70"/>
      <c r="P979" s="70"/>
      <c r="Q979" s="70" t="str">
        <f>IFERROR(__xludf.DUMMYFUNCTION("IFERROR(IF(COUNTIF(IMPORTRANGE(""1WjiLR_MTMxI_IZUKuvPO4Sg2rTSIqBzP3edakSRXbOA"",""Form Responses 1!B:B""),F979)&gt;0,10,),0)"),"")</f>
        <v/>
      </c>
      <c r="R979" s="70" t="str">
        <f>IFERROR(__xludf.DUMMYFUNCTION("IFERROR(VLOOKUP(F979,IMPORTRANGE(""1Ixzbal5tEbtWhozsFEppQzOYE6ZSrkNXHg_HW5k3Wt4"",""Form Responses 1!B:C""),2,FALSE),)"),"")</f>
        <v/>
      </c>
      <c r="S979" s="70" t="str">
        <f>IFERROR(__xludf.DUMMYFUNCTION("IFERROR(VLOOKUP(F979,IMPORTRANGE(""1zxjtEKGvVIJPIDqZdnxENwVpPXYa88EihzyI44hcQUo"",""Form Responses 1!B:C""),2,FALSE),)"),"")</f>
        <v/>
      </c>
      <c r="T979" s="70" t="str">
        <f>IFERROR(__xludf.DUMMYFUNCTION("IFERROR(VLOOKUP(F979,IMPORTRANGE(""1H3cO01obd5zFULYqaT5NAqecZBFFIHeDFn4CeQLZF3w"",""Form Responses 1!B:C""),2,FALSE),)"),"")</f>
        <v/>
      </c>
      <c r="U979" s="70" t="str">
        <f>IFERROR(__xludf.DUMMYFUNCTION("IFERROR(IF(COUNTIF(IMPORTRANGE(""1IG9qoa6PeLdDDFzKpW39lxXshN0-M8Z25a_R1EpsYyg"",""Form Responses 1!B:B""),F979)&gt;0,10,),0)"),"")</f>
        <v/>
      </c>
      <c r="V979" s="70"/>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row>
    <row r="980">
      <c r="B980" s="70"/>
      <c r="C980" s="70"/>
      <c r="D980" s="70"/>
      <c r="E980" s="70"/>
      <c r="F980" s="70"/>
      <c r="G980" s="70"/>
      <c r="H980" s="70"/>
      <c r="I980" s="70"/>
      <c r="J980" s="70"/>
      <c r="K980" s="70"/>
      <c r="L980" s="70"/>
      <c r="M980" s="70"/>
      <c r="N980" s="70"/>
      <c r="O980" s="70"/>
      <c r="P980" s="70"/>
      <c r="Q980" s="70" t="str">
        <f>IFERROR(__xludf.DUMMYFUNCTION("IFERROR(IF(COUNTIF(IMPORTRANGE(""1WjiLR_MTMxI_IZUKuvPO4Sg2rTSIqBzP3edakSRXbOA"",""Form Responses 1!B:B""),F980)&gt;0,10,),0)"),"")</f>
        <v/>
      </c>
      <c r="R980" s="70" t="str">
        <f>IFERROR(__xludf.DUMMYFUNCTION("IFERROR(VLOOKUP(F980,IMPORTRANGE(""1Ixzbal5tEbtWhozsFEppQzOYE6ZSrkNXHg_HW5k3Wt4"",""Form Responses 1!B:C""),2,FALSE),)"),"")</f>
        <v/>
      </c>
      <c r="S980" s="70" t="str">
        <f>IFERROR(__xludf.DUMMYFUNCTION("IFERROR(VLOOKUP(F980,IMPORTRANGE(""1zxjtEKGvVIJPIDqZdnxENwVpPXYa88EihzyI44hcQUo"",""Form Responses 1!B:C""),2,FALSE),)"),"")</f>
        <v/>
      </c>
      <c r="T980" s="70" t="str">
        <f>IFERROR(__xludf.DUMMYFUNCTION("IFERROR(VLOOKUP(F980,IMPORTRANGE(""1H3cO01obd5zFULYqaT5NAqecZBFFIHeDFn4CeQLZF3w"",""Form Responses 1!B:C""),2,FALSE),)"),"")</f>
        <v/>
      </c>
      <c r="U980" s="70" t="str">
        <f>IFERROR(__xludf.DUMMYFUNCTION("IFERROR(IF(COUNTIF(IMPORTRANGE(""1IG9qoa6PeLdDDFzKpW39lxXshN0-M8Z25a_R1EpsYyg"",""Form Responses 1!B:B""),F980)&gt;0,10,),0)"),"")</f>
        <v/>
      </c>
      <c r="V980" s="70"/>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row>
    <row r="981">
      <c r="B981" s="70"/>
      <c r="C981" s="70"/>
      <c r="D981" s="70"/>
      <c r="E981" s="70"/>
      <c r="F981" s="70"/>
      <c r="G981" s="70"/>
      <c r="H981" s="70"/>
      <c r="I981" s="70"/>
      <c r="J981" s="70"/>
      <c r="K981" s="70"/>
      <c r="L981" s="70"/>
      <c r="M981" s="70"/>
      <c r="N981" s="70"/>
      <c r="O981" s="70"/>
      <c r="P981" s="70"/>
      <c r="Q981" s="70" t="str">
        <f>IFERROR(__xludf.DUMMYFUNCTION("IFERROR(IF(COUNTIF(IMPORTRANGE(""1WjiLR_MTMxI_IZUKuvPO4Sg2rTSIqBzP3edakSRXbOA"",""Form Responses 1!B:B""),F981)&gt;0,10,),0)"),"")</f>
        <v/>
      </c>
      <c r="R981" s="70" t="str">
        <f>IFERROR(__xludf.DUMMYFUNCTION("IFERROR(VLOOKUP(F981,IMPORTRANGE(""1Ixzbal5tEbtWhozsFEppQzOYE6ZSrkNXHg_HW5k3Wt4"",""Form Responses 1!B:C""),2,FALSE),)"),"")</f>
        <v/>
      </c>
      <c r="S981" s="70" t="str">
        <f>IFERROR(__xludf.DUMMYFUNCTION("IFERROR(VLOOKUP(F981,IMPORTRANGE(""1zxjtEKGvVIJPIDqZdnxENwVpPXYa88EihzyI44hcQUo"",""Form Responses 1!B:C""),2,FALSE),)"),"")</f>
        <v/>
      </c>
      <c r="T981" s="70" t="str">
        <f>IFERROR(__xludf.DUMMYFUNCTION("IFERROR(VLOOKUP(F981,IMPORTRANGE(""1H3cO01obd5zFULYqaT5NAqecZBFFIHeDFn4CeQLZF3w"",""Form Responses 1!B:C""),2,FALSE),)"),"")</f>
        <v/>
      </c>
      <c r="U981" s="70" t="str">
        <f>IFERROR(__xludf.DUMMYFUNCTION("IFERROR(IF(COUNTIF(IMPORTRANGE(""1IG9qoa6PeLdDDFzKpW39lxXshN0-M8Z25a_R1EpsYyg"",""Form Responses 1!B:B""),F981)&gt;0,10,),0)"),"")</f>
        <v/>
      </c>
      <c r="V981" s="70"/>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row>
    <row r="982">
      <c r="B982" s="70"/>
      <c r="C982" s="70"/>
      <c r="D982" s="70"/>
      <c r="E982" s="70"/>
      <c r="F982" s="70"/>
      <c r="G982" s="70"/>
      <c r="H982" s="70"/>
      <c r="I982" s="70"/>
      <c r="J982" s="70"/>
      <c r="K982" s="70"/>
      <c r="L982" s="70"/>
      <c r="M982" s="70"/>
      <c r="N982" s="70"/>
      <c r="O982" s="70"/>
      <c r="P982" s="70"/>
      <c r="Q982" s="70" t="str">
        <f>IFERROR(__xludf.DUMMYFUNCTION("IFERROR(IF(COUNTIF(IMPORTRANGE(""1WjiLR_MTMxI_IZUKuvPO4Sg2rTSIqBzP3edakSRXbOA"",""Form Responses 1!B:B""),F982)&gt;0,10,),0)"),"")</f>
        <v/>
      </c>
      <c r="R982" s="70" t="str">
        <f>IFERROR(__xludf.DUMMYFUNCTION("IFERROR(VLOOKUP(F982,IMPORTRANGE(""1Ixzbal5tEbtWhozsFEppQzOYE6ZSrkNXHg_HW5k3Wt4"",""Form Responses 1!B:C""),2,FALSE),)"),"")</f>
        <v/>
      </c>
      <c r="S982" s="70" t="str">
        <f>IFERROR(__xludf.DUMMYFUNCTION("IFERROR(VLOOKUP(F982,IMPORTRANGE(""1zxjtEKGvVIJPIDqZdnxENwVpPXYa88EihzyI44hcQUo"",""Form Responses 1!B:C""),2,FALSE),)"),"")</f>
        <v/>
      </c>
      <c r="T982" s="70" t="str">
        <f>IFERROR(__xludf.DUMMYFUNCTION("IFERROR(VLOOKUP(F982,IMPORTRANGE(""1H3cO01obd5zFULYqaT5NAqecZBFFIHeDFn4CeQLZF3w"",""Form Responses 1!B:C""),2,FALSE),)"),"")</f>
        <v/>
      </c>
      <c r="U982" s="70" t="str">
        <f>IFERROR(__xludf.DUMMYFUNCTION("IFERROR(IF(COUNTIF(IMPORTRANGE(""1IG9qoa6PeLdDDFzKpW39lxXshN0-M8Z25a_R1EpsYyg"",""Form Responses 1!B:B""),F982)&gt;0,10,),0)"),"")</f>
        <v/>
      </c>
      <c r="V982" s="70"/>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row>
    <row r="983">
      <c r="B983" s="70"/>
      <c r="C983" s="70"/>
      <c r="D983" s="70"/>
      <c r="E983" s="70"/>
      <c r="F983" s="70"/>
      <c r="G983" s="70"/>
      <c r="H983" s="70"/>
      <c r="I983" s="70"/>
      <c r="J983" s="70"/>
      <c r="K983" s="70"/>
      <c r="L983" s="70"/>
      <c r="M983" s="70"/>
      <c r="N983" s="70"/>
      <c r="O983" s="70"/>
      <c r="P983" s="70"/>
      <c r="Q983" s="70" t="str">
        <f>IFERROR(__xludf.DUMMYFUNCTION("IFERROR(IF(COUNTIF(IMPORTRANGE(""1WjiLR_MTMxI_IZUKuvPO4Sg2rTSIqBzP3edakSRXbOA"",""Form Responses 1!B:B""),F983)&gt;0,10,),0)"),"")</f>
        <v/>
      </c>
      <c r="R983" s="70" t="str">
        <f>IFERROR(__xludf.DUMMYFUNCTION("IFERROR(VLOOKUP(F983,IMPORTRANGE(""1Ixzbal5tEbtWhozsFEppQzOYE6ZSrkNXHg_HW5k3Wt4"",""Form Responses 1!B:C""),2,FALSE),)"),"")</f>
        <v/>
      </c>
      <c r="S983" s="70" t="str">
        <f>IFERROR(__xludf.DUMMYFUNCTION("IFERROR(VLOOKUP(F983,IMPORTRANGE(""1zxjtEKGvVIJPIDqZdnxENwVpPXYa88EihzyI44hcQUo"",""Form Responses 1!B:C""),2,FALSE),)"),"")</f>
        <v/>
      </c>
      <c r="T983" s="70" t="str">
        <f>IFERROR(__xludf.DUMMYFUNCTION("IFERROR(VLOOKUP(F983,IMPORTRANGE(""1H3cO01obd5zFULYqaT5NAqecZBFFIHeDFn4CeQLZF3w"",""Form Responses 1!B:C""),2,FALSE),)"),"")</f>
        <v/>
      </c>
      <c r="U983" s="70" t="str">
        <f>IFERROR(__xludf.DUMMYFUNCTION("IFERROR(IF(COUNTIF(IMPORTRANGE(""1IG9qoa6PeLdDDFzKpW39lxXshN0-M8Z25a_R1EpsYyg"",""Form Responses 1!B:B""),F983)&gt;0,10,),0)"),"")</f>
        <v/>
      </c>
      <c r="V983" s="70"/>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row>
    <row r="984">
      <c r="B984" s="70"/>
      <c r="C984" s="70"/>
      <c r="D984" s="70"/>
      <c r="E984" s="70"/>
      <c r="F984" s="70"/>
      <c r="G984" s="70"/>
      <c r="H984" s="70"/>
      <c r="I984" s="70"/>
      <c r="J984" s="70"/>
      <c r="K984" s="70"/>
      <c r="L984" s="70"/>
      <c r="M984" s="70"/>
      <c r="N984" s="70"/>
      <c r="O984" s="70"/>
      <c r="P984" s="70"/>
      <c r="Q984" s="70" t="str">
        <f>IFERROR(__xludf.DUMMYFUNCTION("IFERROR(IF(COUNTIF(IMPORTRANGE(""1WjiLR_MTMxI_IZUKuvPO4Sg2rTSIqBzP3edakSRXbOA"",""Form Responses 1!B:B""),F984)&gt;0,10,),0)"),"")</f>
        <v/>
      </c>
      <c r="R984" s="70" t="str">
        <f>IFERROR(__xludf.DUMMYFUNCTION("IFERROR(VLOOKUP(F984,IMPORTRANGE(""1Ixzbal5tEbtWhozsFEppQzOYE6ZSrkNXHg_HW5k3Wt4"",""Form Responses 1!B:C""),2,FALSE),)"),"")</f>
        <v/>
      </c>
      <c r="S984" s="70" t="str">
        <f>IFERROR(__xludf.DUMMYFUNCTION("IFERROR(VLOOKUP(F984,IMPORTRANGE(""1zxjtEKGvVIJPIDqZdnxENwVpPXYa88EihzyI44hcQUo"",""Form Responses 1!B:C""),2,FALSE),)"),"")</f>
        <v/>
      </c>
      <c r="T984" s="70" t="str">
        <f>IFERROR(__xludf.DUMMYFUNCTION("IFERROR(VLOOKUP(F984,IMPORTRANGE(""1H3cO01obd5zFULYqaT5NAqecZBFFIHeDFn4CeQLZF3w"",""Form Responses 1!B:C""),2,FALSE),)"),"")</f>
        <v/>
      </c>
      <c r="U984" s="70" t="str">
        <f>IFERROR(__xludf.DUMMYFUNCTION("IFERROR(IF(COUNTIF(IMPORTRANGE(""1IG9qoa6PeLdDDFzKpW39lxXshN0-M8Z25a_R1EpsYyg"",""Form Responses 1!B:B""),F984)&gt;0,10,),0)"),"")</f>
        <v/>
      </c>
      <c r="V984" s="70"/>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row>
    <row r="985">
      <c r="B985" s="70"/>
      <c r="C985" s="70"/>
      <c r="D985" s="70"/>
      <c r="E985" s="70"/>
      <c r="F985" s="70"/>
      <c r="G985" s="70"/>
      <c r="H985" s="70"/>
      <c r="I985" s="70"/>
      <c r="J985" s="70"/>
      <c r="K985" s="70"/>
      <c r="L985" s="70"/>
      <c r="M985" s="70"/>
      <c r="N985" s="70"/>
      <c r="O985" s="70"/>
      <c r="P985" s="70"/>
      <c r="Q985" s="70" t="str">
        <f>IFERROR(__xludf.DUMMYFUNCTION("IFERROR(IF(COUNTIF(IMPORTRANGE(""1WjiLR_MTMxI_IZUKuvPO4Sg2rTSIqBzP3edakSRXbOA"",""Form Responses 1!B:B""),F985)&gt;0,10,),0)"),"")</f>
        <v/>
      </c>
      <c r="R985" s="70" t="str">
        <f>IFERROR(__xludf.DUMMYFUNCTION("IFERROR(VLOOKUP(F985,IMPORTRANGE(""1Ixzbal5tEbtWhozsFEppQzOYE6ZSrkNXHg_HW5k3Wt4"",""Form Responses 1!B:C""),2,FALSE),)"),"")</f>
        <v/>
      </c>
      <c r="S985" s="70" t="str">
        <f>IFERROR(__xludf.DUMMYFUNCTION("IFERROR(VLOOKUP(F985,IMPORTRANGE(""1zxjtEKGvVIJPIDqZdnxENwVpPXYa88EihzyI44hcQUo"",""Form Responses 1!B:C""),2,FALSE),)"),"")</f>
        <v/>
      </c>
      <c r="T985" s="70" t="str">
        <f>IFERROR(__xludf.DUMMYFUNCTION("IFERROR(VLOOKUP(F985,IMPORTRANGE(""1H3cO01obd5zFULYqaT5NAqecZBFFIHeDFn4CeQLZF3w"",""Form Responses 1!B:C""),2,FALSE),)"),"")</f>
        <v/>
      </c>
      <c r="U985" s="70" t="str">
        <f>IFERROR(__xludf.DUMMYFUNCTION("IFERROR(IF(COUNTIF(IMPORTRANGE(""1IG9qoa6PeLdDDFzKpW39lxXshN0-M8Z25a_R1EpsYyg"",""Form Responses 1!B:B""),F985)&gt;0,10,),0)"),"")</f>
        <v/>
      </c>
      <c r="V985" s="70"/>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c r="AU985" s="70"/>
    </row>
    <row r="986">
      <c r="B986" s="70"/>
      <c r="C986" s="70"/>
      <c r="D986" s="70"/>
      <c r="E986" s="70"/>
      <c r="F986" s="70"/>
      <c r="G986" s="70"/>
      <c r="H986" s="70"/>
      <c r="I986" s="70"/>
      <c r="J986" s="70"/>
      <c r="K986" s="70"/>
      <c r="L986" s="70"/>
      <c r="M986" s="70"/>
      <c r="N986" s="70"/>
      <c r="O986" s="70"/>
      <c r="P986" s="70"/>
      <c r="Q986" s="70" t="str">
        <f>IFERROR(__xludf.DUMMYFUNCTION("IFERROR(IF(COUNTIF(IMPORTRANGE(""1WjiLR_MTMxI_IZUKuvPO4Sg2rTSIqBzP3edakSRXbOA"",""Form Responses 1!B:B""),F986)&gt;0,10,),0)"),"")</f>
        <v/>
      </c>
      <c r="R986" s="70" t="str">
        <f>IFERROR(__xludf.DUMMYFUNCTION("IFERROR(VLOOKUP(F986,IMPORTRANGE(""1Ixzbal5tEbtWhozsFEppQzOYE6ZSrkNXHg_HW5k3Wt4"",""Form Responses 1!B:C""),2,FALSE),)"),"")</f>
        <v/>
      </c>
      <c r="S986" s="70" t="str">
        <f>IFERROR(__xludf.DUMMYFUNCTION("IFERROR(VLOOKUP(F986,IMPORTRANGE(""1zxjtEKGvVIJPIDqZdnxENwVpPXYa88EihzyI44hcQUo"",""Form Responses 1!B:C""),2,FALSE),)"),"")</f>
        <v/>
      </c>
      <c r="T986" s="70" t="str">
        <f>IFERROR(__xludf.DUMMYFUNCTION("IFERROR(VLOOKUP(F986,IMPORTRANGE(""1H3cO01obd5zFULYqaT5NAqecZBFFIHeDFn4CeQLZF3w"",""Form Responses 1!B:C""),2,FALSE),)"),"")</f>
        <v/>
      </c>
      <c r="U986" s="70" t="str">
        <f>IFERROR(__xludf.DUMMYFUNCTION("IFERROR(IF(COUNTIF(IMPORTRANGE(""1IG9qoa6PeLdDDFzKpW39lxXshN0-M8Z25a_R1EpsYyg"",""Form Responses 1!B:B""),F986)&gt;0,10,),0)"),"")</f>
        <v/>
      </c>
      <c r="V986" s="70"/>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c r="AU986" s="70"/>
    </row>
    <row r="987">
      <c r="B987" s="70"/>
      <c r="C987" s="70"/>
      <c r="D987" s="70"/>
      <c r="E987" s="70"/>
      <c r="F987" s="70"/>
      <c r="G987" s="70"/>
      <c r="H987" s="70"/>
      <c r="I987" s="70"/>
      <c r="J987" s="70"/>
      <c r="K987" s="70"/>
      <c r="L987" s="70"/>
      <c r="M987" s="70"/>
      <c r="N987" s="70"/>
      <c r="O987" s="70"/>
      <c r="P987" s="70"/>
      <c r="Q987" s="70" t="str">
        <f>IFERROR(__xludf.DUMMYFUNCTION("IFERROR(IF(COUNTIF(IMPORTRANGE(""1WjiLR_MTMxI_IZUKuvPO4Sg2rTSIqBzP3edakSRXbOA"",""Form Responses 1!B:B""),F987)&gt;0,10,),0)"),"")</f>
        <v/>
      </c>
      <c r="R987" s="70" t="str">
        <f>IFERROR(__xludf.DUMMYFUNCTION("IFERROR(VLOOKUP(F987,IMPORTRANGE(""1Ixzbal5tEbtWhozsFEppQzOYE6ZSrkNXHg_HW5k3Wt4"",""Form Responses 1!B:C""),2,FALSE),)"),"")</f>
        <v/>
      </c>
      <c r="S987" s="70" t="str">
        <f>IFERROR(__xludf.DUMMYFUNCTION("IFERROR(VLOOKUP(F987,IMPORTRANGE(""1zxjtEKGvVIJPIDqZdnxENwVpPXYa88EihzyI44hcQUo"",""Form Responses 1!B:C""),2,FALSE),)"),"")</f>
        <v/>
      </c>
      <c r="T987" s="70" t="str">
        <f>IFERROR(__xludf.DUMMYFUNCTION("IFERROR(VLOOKUP(F987,IMPORTRANGE(""1H3cO01obd5zFULYqaT5NAqecZBFFIHeDFn4CeQLZF3w"",""Form Responses 1!B:C""),2,FALSE),)"),"")</f>
        <v/>
      </c>
      <c r="U987" s="70" t="str">
        <f>IFERROR(__xludf.DUMMYFUNCTION("IFERROR(IF(COUNTIF(IMPORTRANGE(""1IG9qoa6PeLdDDFzKpW39lxXshN0-M8Z25a_R1EpsYyg"",""Form Responses 1!B:B""),F987)&gt;0,10,),0)"),"")</f>
        <v/>
      </c>
      <c r="V987" s="70"/>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c r="AU987" s="70"/>
    </row>
    <row r="988">
      <c r="B988" s="70"/>
      <c r="C988" s="70"/>
      <c r="D988" s="70"/>
      <c r="E988" s="70"/>
      <c r="F988" s="70"/>
      <c r="G988" s="70"/>
      <c r="H988" s="70"/>
      <c r="I988" s="70"/>
      <c r="J988" s="70"/>
      <c r="K988" s="70"/>
      <c r="L988" s="70"/>
      <c r="M988" s="70"/>
      <c r="N988" s="70"/>
      <c r="O988" s="70"/>
      <c r="P988" s="70"/>
      <c r="Q988" s="70" t="str">
        <f>IFERROR(__xludf.DUMMYFUNCTION("IFERROR(IF(COUNTIF(IMPORTRANGE(""1WjiLR_MTMxI_IZUKuvPO4Sg2rTSIqBzP3edakSRXbOA"",""Form Responses 1!B:B""),F988)&gt;0,10,),0)"),"")</f>
        <v/>
      </c>
      <c r="R988" s="70" t="str">
        <f>IFERROR(__xludf.DUMMYFUNCTION("IFERROR(VLOOKUP(F988,IMPORTRANGE(""1Ixzbal5tEbtWhozsFEppQzOYE6ZSrkNXHg_HW5k3Wt4"",""Form Responses 1!B:C""),2,FALSE),)"),"")</f>
        <v/>
      </c>
      <c r="S988" s="70" t="str">
        <f>IFERROR(__xludf.DUMMYFUNCTION("IFERROR(VLOOKUP(F988,IMPORTRANGE(""1zxjtEKGvVIJPIDqZdnxENwVpPXYa88EihzyI44hcQUo"",""Form Responses 1!B:C""),2,FALSE),)"),"")</f>
        <v/>
      </c>
      <c r="T988" s="70" t="str">
        <f>IFERROR(__xludf.DUMMYFUNCTION("IFERROR(VLOOKUP(F988,IMPORTRANGE(""1H3cO01obd5zFULYqaT5NAqecZBFFIHeDFn4CeQLZF3w"",""Form Responses 1!B:C""),2,FALSE),)"),"")</f>
        <v/>
      </c>
      <c r="U988" s="70" t="str">
        <f>IFERROR(__xludf.DUMMYFUNCTION("IFERROR(IF(COUNTIF(IMPORTRANGE(""1IG9qoa6PeLdDDFzKpW39lxXshN0-M8Z25a_R1EpsYyg"",""Form Responses 1!B:B""),F988)&gt;0,10,),0)"),"")</f>
        <v/>
      </c>
      <c r="V988" s="70"/>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c r="AU988" s="70"/>
    </row>
    <row r="989">
      <c r="B989" s="70"/>
      <c r="C989" s="70"/>
      <c r="D989" s="70"/>
      <c r="E989" s="70"/>
      <c r="F989" s="70"/>
      <c r="G989" s="70"/>
      <c r="H989" s="70"/>
      <c r="I989" s="70"/>
      <c r="J989" s="70"/>
      <c r="K989" s="70"/>
      <c r="L989" s="70"/>
      <c r="M989" s="70"/>
      <c r="N989" s="70"/>
      <c r="O989" s="70"/>
      <c r="P989" s="70"/>
      <c r="Q989" s="70" t="str">
        <f>IFERROR(__xludf.DUMMYFUNCTION("IFERROR(IF(COUNTIF(IMPORTRANGE(""1WjiLR_MTMxI_IZUKuvPO4Sg2rTSIqBzP3edakSRXbOA"",""Form Responses 1!B:B""),F989)&gt;0,10,),0)"),"")</f>
        <v/>
      </c>
      <c r="R989" s="70" t="str">
        <f>IFERROR(__xludf.DUMMYFUNCTION("IFERROR(VLOOKUP(F989,IMPORTRANGE(""1Ixzbal5tEbtWhozsFEppQzOYE6ZSrkNXHg_HW5k3Wt4"",""Form Responses 1!B:C""),2,FALSE),)"),"")</f>
        <v/>
      </c>
      <c r="S989" s="70" t="str">
        <f>IFERROR(__xludf.DUMMYFUNCTION("IFERROR(VLOOKUP(F989,IMPORTRANGE(""1zxjtEKGvVIJPIDqZdnxENwVpPXYa88EihzyI44hcQUo"",""Form Responses 1!B:C""),2,FALSE),)"),"")</f>
        <v/>
      </c>
      <c r="T989" s="70" t="str">
        <f>IFERROR(__xludf.DUMMYFUNCTION("IFERROR(VLOOKUP(F989,IMPORTRANGE(""1H3cO01obd5zFULYqaT5NAqecZBFFIHeDFn4CeQLZF3w"",""Form Responses 1!B:C""),2,FALSE),)"),"")</f>
        <v/>
      </c>
      <c r="U989" s="70" t="str">
        <f>IFERROR(__xludf.DUMMYFUNCTION("IFERROR(IF(COUNTIF(IMPORTRANGE(""1IG9qoa6PeLdDDFzKpW39lxXshN0-M8Z25a_R1EpsYyg"",""Form Responses 1!B:B""),F989)&gt;0,10,),0)"),"")</f>
        <v/>
      </c>
      <c r="V989" s="70"/>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row>
    <row r="990">
      <c r="B990" s="70"/>
      <c r="C990" s="70"/>
      <c r="D990" s="70"/>
      <c r="E990" s="70"/>
      <c r="F990" s="70"/>
      <c r="G990" s="70"/>
      <c r="H990" s="70"/>
      <c r="I990" s="70"/>
      <c r="J990" s="70"/>
      <c r="K990" s="70"/>
      <c r="L990" s="70"/>
      <c r="M990" s="70"/>
      <c r="N990" s="70"/>
      <c r="O990" s="70"/>
      <c r="P990" s="70"/>
      <c r="Q990" s="70" t="str">
        <f>IFERROR(__xludf.DUMMYFUNCTION("IFERROR(IF(COUNTIF(IMPORTRANGE(""1WjiLR_MTMxI_IZUKuvPO4Sg2rTSIqBzP3edakSRXbOA"",""Form Responses 1!B:B""),F990)&gt;0,10,),0)"),"")</f>
        <v/>
      </c>
      <c r="R990" s="70" t="str">
        <f>IFERROR(__xludf.DUMMYFUNCTION("IFERROR(VLOOKUP(F990,IMPORTRANGE(""1Ixzbal5tEbtWhozsFEppQzOYE6ZSrkNXHg_HW5k3Wt4"",""Form Responses 1!B:C""),2,FALSE),)"),"")</f>
        <v/>
      </c>
      <c r="S990" s="70" t="str">
        <f>IFERROR(__xludf.DUMMYFUNCTION("IFERROR(VLOOKUP(F990,IMPORTRANGE(""1zxjtEKGvVIJPIDqZdnxENwVpPXYa88EihzyI44hcQUo"",""Form Responses 1!B:C""),2,FALSE),)"),"")</f>
        <v/>
      </c>
      <c r="T990" s="70" t="str">
        <f>IFERROR(__xludf.DUMMYFUNCTION("IFERROR(VLOOKUP(F990,IMPORTRANGE(""1H3cO01obd5zFULYqaT5NAqecZBFFIHeDFn4CeQLZF3w"",""Form Responses 1!B:C""),2,FALSE),)"),"")</f>
        <v/>
      </c>
      <c r="U990" s="70" t="str">
        <f>IFERROR(__xludf.DUMMYFUNCTION("IFERROR(IF(COUNTIF(IMPORTRANGE(""1IG9qoa6PeLdDDFzKpW39lxXshN0-M8Z25a_R1EpsYyg"",""Form Responses 1!B:B""),F990)&gt;0,10,),0)"),"")</f>
        <v/>
      </c>
      <c r="V990" s="70"/>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row>
    <row r="991">
      <c r="B991" s="70"/>
      <c r="C991" s="70"/>
      <c r="D991" s="70"/>
      <c r="E991" s="70"/>
      <c r="F991" s="70"/>
      <c r="G991" s="70"/>
      <c r="H991" s="70"/>
      <c r="I991" s="70"/>
      <c r="J991" s="70"/>
      <c r="K991" s="70"/>
      <c r="L991" s="70"/>
      <c r="M991" s="70"/>
      <c r="N991" s="70"/>
      <c r="O991" s="70"/>
      <c r="P991" s="70"/>
      <c r="Q991" s="70" t="str">
        <f>IFERROR(__xludf.DUMMYFUNCTION("IFERROR(IF(COUNTIF(IMPORTRANGE(""1WjiLR_MTMxI_IZUKuvPO4Sg2rTSIqBzP3edakSRXbOA"",""Form Responses 1!B:B""),F991)&gt;0,10,),0)"),"")</f>
        <v/>
      </c>
      <c r="R991" s="70" t="str">
        <f>IFERROR(__xludf.DUMMYFUNCTION("IFERROR(VLOOKUP(F991,IMPORTRANGE(""1Ixzbal5tEbtWhozsFEppQzOYE6ZSrkNXHg_HW5k3Wt4"",""Form Responses 1!B:C""),2,FALSE),)"),"")</f>
        <v/>
      </c>
      <c r="S991" s="70" t="str">
        <f>IFERROR(__xludf.DUMMYFUNCTION("IFERROR(VLOOKUP(F991,IMPORTRANGE(""1zxjtEKGvVIJPIDqZdnxENwVpPXYa88EihzyI44hcQUo"",""Form Responses 1!B:C""),2,FALSE),)"),"")</f>
        <v/>
      </c>
      <c r="T991" s="70" t="str">
        <f>IFERROR(__xludf.DUMMYFUNCTION("IFERROR(VLOOKUP(F991,IMPORTRANGE(""1H3cO01obd5zFULYqaT5NAqecZBFFIHeDFn4CeQLZF3w"",""Form Responses 1!B:C""),2,FALSE),)"),"")</f>
        <v/>
      </c>
      <c r="U991" s="70" t="str">
        <f>IFERROR(__xludf.DUMMYFUNCTION("IFERROR(IF(COUNTIF(IMPORTRANGE(""1IG9qoa6PeLdDDFzKpW39lxXshN0-M8Z25a_R1EpsYyg"",""Form Responses 1!B:B""),F991)&gt;0,10,),0)"),"")</f>
        <v/>
      </c>
      <c r="V991" s="70"/>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row>
    <row r="992">
      <c r="B992" s="70"/>
      <c r="C992" s="70"/>
      <c r="D992" s="70"/>
      <c r="E992" s="70"/>
      <c r="F992" s="70"/>
      <c r="G992" s="70"/>
      <c r="H992" s="70"/>
      <c r="I992" s="70"/>
      <c r="J992" s="70"/>
      <c r="K992" s="70"/>
      <c r="L992" s="70"/>
      <c r="M992" s="70"/>
      <c r="N992" s="70"/>
      <c r="O992" s="70"/>
      <c r="P992" s="70"/>
      <c r="Q992" s="70" t="str">
        <f>IFERROR(__xludf.DUMMYFUNCTION("IFERROR(IF(COUNTIF(IMPORTRANGE(""1WjiLR_MTMxI_IZUKuvPO4Sg2rTSIqBzP3edakSRXbOA"",""Form Responses 1!B:B""),F992)&gt;0,10,),0)"),"")</f>
        <v/>
      </c>
      <c r="R992" s="70" t="str">
        <f>IFERROR(__xludf.DUMMYFUNCTION("IFERROR(VLOOKUP(F992,IMPORTRANGE(""1Ixzbal5tEbtWhozsFEppQzOYE6ZSrkNXHg_HW5k3Wt4"",""Form Responses 1!B:C""),2,FALSE),)"),"")</f>
        <v/>
      </c>
      <c r="S992" s="70" t="str">
        <f>IFERROR(__xludf.DUMMYFUNCTION("IFERROR(VLOOKUP(F992,IMPORTRANGE(""1zxjtEKGvVIJPIDqZdnxENwVpPXYa88EihzyI44hcQUo"",""Form Responses 1!B:C""),2,FALSE),)"),"")</f>
        <v/>
      </c>
      <c r="T992" s="70" t="str">
        <f>IFERROR(__xludf.DUMMYFUNCTION("IFERROR(VLOOKUP(F992,IMPORTRANGE(""1H3cO01obd5zFULYqaT5NAqecZBFFIHeDFn4CeQLZF3w"",""Form Responses 1!B:C""),2,FALSE),)"),"")</f>
        <v/>
      </c>
      <c r="U992" s="70" t="str">
        <f>IFERROR(__xludf.DUMMYFUNCTION("IFERROR(IF(COUNTIF(IMPORTRANGE(""1IG9qoa6PeLdDDFzKpW39lxXshN0-M8Z25a_R1EpsYyg"",""Form Responses 1!B:B""),F992)&gt;0,10,),0)"),"")</f>
        <v/>
      </c>
      <c r="V992" s="70"/>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row>
    <row r="993">
      <c r="B993" s="70"/>
      <c r="C993" s="70"/>
      <c r="D993" s="70"/>
      <c r="E993" s="70"/>
      <c r="F993" s="70"/>
      <c r="G993" s="70"/>
      <c r="H993" s="70"/>
      <c r="I993" s="70"/>
      <c r="J993" s="70"/>
      <c r="K993" s="70"/>
      <c r="L993" s="70"/>
      <c r="M993" s="70"/>
      <c r="N993" s="70"/>
      <c r="O993" s="70"/>
      <c r="P993" s="70"/>
      <c r="Q993" s="70" t="str">
        <f>IFERROR(__xludf.DUMMYFUNCTION("IFERROR(IF(COUNTIF(IMPORTRANGE(""1WjiLR_MTMxI_IZUKuvPO4Sg2rTSIqBzP3edakSRXbOA"",""Form Responses 1!B:B""),F993)&gt;0,10,),0)"),"")</f>
        <v/>
      </c>
      <c r="R993" s="70" t="str">
        <f>IFERROR(__xludf.DUMMYFUNCTION("IFERROR(VLOOKUP(F993,IMPORTRANGE(""1Ixzbal5tEbtWhozsFEppQzOYE6ZSrkNXHg_HW5k3Wt4"",""Form Responses 1!B:C""),2,FALSE),)"),"")</f>
        <v/>
      </c>
      <c r="S993" s="70" t="str">
        <f>IFERROR(__xludf.DUMMYFUNCTION("IFERROR(VLOOKUP(F993,IMPORTRANGE(""1zxjtEKGvVIJPIDqZdnxENwVpPXYa88EihzyI44hcQUo"",""Form Responses 1!B:C""),2,FALSE),)"),"")</f>
        <v/>
      </c>
      <c r="T993" s="70" t="str">
        <f>IFERROR(__xludf.DUMMYFUNCTION("IFERROR(VLOOKUP(F993,IMPORTRANGE(""1H3cO01obd5zFULYqaT5NAqecZBFFIHeDFn4CeQLZF3w"",""Form Responses 1!B:C""),2,FALSE),)"),"")</f>
        <v/>
      </c>
      <c r="U993" s="70" t="str">
        <f>IFERROR(__xludf.DUMMYFUNCTION("IFERROR(IF(COUNTIF(IMPORTRANGE(""1IG9qoa6PeLdDDFzKpW39lxXshN0-M8Z25a_R1EpsYyg"",""Form Responses 1!B:B""),F993)&gt;0,10,),0)"),"")</f>
        <v/>
      </c>
      <c r="V993" s="70"/>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row>
    <row r="994">
      <c r="B994" s="70"/>
      <c r="C994" s="70"/>
      <c r="D994" s="70"/>
      <c r="E994" s="70"/>
      <c r="F994" s="70"/>
      <c r="G994" s="70"/>
      <c r="H994" s="70"/>
      <c r="I994" s="70"/>
      <c r="J994" s="70"/>
      <c r="K994" s="70"/>
      <c r="L994" s="70"/>
      <c r="M994" s="70"/>
      <c r="N994" s="70"/>
      <c r="O994" s="70"/>
      <c r="P994" s="70"/>
      <c r="Q994" s="70" t="str">
        <f>IFERROR(__xludf.DUMMYFUNCTION("IFERROR(IF(COUNTIF(IMPORTRANGE(""1WjiLR_MTMxI_IZUKuvPO4Sg2rTSIqBzP3edakSRXbOA"",""Form Responses 1!B:B""),F994)&gt;0,10,),0)"),"")</f>
        <v/>
      </c>
      <c r="R994" s="70" t="str">
        <f>IFERROR(__xludf.DUMMYFUNCTION("IFERROR(VLOOKUP(F994,IMPORTRANGE(""1Ixzbal5tEbtWhozsFEppQzOYE6ZSrkNXHg_HW5k3Wt4"",""Form Responses 1!B:C""),2,FALSE),)"),"")</f>
        <v/>
      </c>
      <c r="S994" s="70" t="str">
        <f>IFERROR(__xludf.DUMMYFUNCTION("IFERROR(VLOOKUP(F994,IMPORTRANGE(""1zxjtEKGvVIJPIDqZdnxENwVpPXYa88EihzyI44hcQUo"",""Form Responses 1!B:C""),2,FALSE),)"),"")</f>
        <v/>
      </c>
      <c r="T994" s="70" t="str">
        <f>IFERROR(__xludf.DUMMYFUNCTION("IFERROR(VLOOKUP(F994,IMPORTRANGE(""1H3cO01obd5zFULYqaT5NAqecZBFFIHeDFn4CeQLZF3w"",""Form Responses 1!B:C""),2,FALSE),)"),"")</f>
        <v/>
      </c>
      <c r="U994" s="70" t="str">
        <f>IFERROR(__xludf.DUMMYFUNCTION("IFERROR(IF(COUNTIF(IMPORTRANGE(""1IG9qoa6PeLdDDFzKpW39lxXshN0-M8Z25a_R1EpsYyg"",""Form Responses 1!B:B""),F994)&gt;0,10,),0)"),"")</f>
        <v/>
      </c>
      <c r="V994" s="70"/>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row>
    <row r="995">
      <c r="B995" s="70"/>
      <c r="C995" s="70"/>
      <c r="D995" s="70"/>
      <c r="E995" s="70"/>
      <c r="F995" s="70"/>
      <c r="G995" s="70"/>
      <c r="H995" s="70"/>
      <c r="I995" s="70"/>
      <c r="J995" s="70"/>
      <c r="K995" s="70"/>
      <c r="L995" s="70"/>
      <c r="M995" s="70"/>
      <c r="N995" s="70"/>
      <c r="O995" s="70"/>
      <c r="P995" s="70"/>
      <c r="Q995" s="70" t="str">
        <f>IFERROR(__xludf.DUMMYFUNCTION("IFERROR(IF(COUNTIF(IMPORTRANGE(""1WjiLR_MTMxI_IZUKuvPO4Sg2rTSIqBzP3edakSRXbOA"",""Form Responses 1!B:B""),F995)&gt;0,10,),0)"),"")</f>
        <v/>
      </c>
      <c r="R995" s="70" t="str">
        <f>IFERROR(__xludf.DUMMYFUNCTION("IFERROR(VLOOKUP(F995,IMPORTRANGE(""1Ixzbal5tEbtWhozsFEppQzOYE6ZSrkNXHg_HW5k3Wt4"",""Form Responses 1!B:C""),2,FALSE),)"),"")</f>
        <v/>
      </c>
      <c r="S995" s="70" t="str">
        <f>IFERROR(__xludf.DUMMYFUNCTION("IFERROR(VLOOKUP(F995,IMPORTRANGE(""1zxjtEKGvVIJPIDqZdnxENwVpPXYa88EihzyI44hcQUo"",""Form Responses 1!B:C""),2,FALSE),)"),"")</f>
        <v/>
      </c>
      <c r="T995" s="70" t="str">
        <f>IFERROR(__xludf.DUMMYFUNCTION("IFERROR(VLOOKUP(F995,IMPORTRANGE(""1H3cO01obd5zFULYqaT5NAqecZBFFIHeDFn4CeQLZF3w"",""Form Responses 1!B:C""),2,FALSE),)"),"")</f>
        <v/>
      </c>
      <c r="U995" s="70" t="str">
        <f>IFERROR(__xludf.DUMMYFUNCTION("IFERROR(IF(COUNTIF(IMPORTRANGE(""1IG9qoa6PeLdDDFzKpW39lxXshN0-M8Z25a_R1EpsYyg"",""Form Responses 1!B:B""),F995)&gt;0,10,),0)"),"")</f>
        <v/>
      </c>
      <c r="V995" s="70"/>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row>
    <row r="996">
      <c r="B996" s="70"/>
      <c r="C996" s="70"/>
      <c r="D996" s="70"/>
      <c r="E996" s="70"/>
      <c r="F996" s="70"/>
      <c r="G996" s="70"/>
      <c r="H996" s="70"/>
      <c r="I996" s="70"/>
      <c r="J996" s="70"/>
      <c r="K996" s="70"/>
      <c r="L996" s="70"/>
      <c r="M996" s="70"/>
      <c r="N996" s="70"/>
      <c r="O996" s="70"/>
      <c r="P996" s="70"/>
      <c r="Q996" s="70" t="str">
        <f>IFERROR(__xludf.DUMMYFUNCTION("IFERROR(IF(COUNTIF(IMPORTRANGE(""1WjiLR_MTMxI_IZUKuvPO4Sg2rTSIqBzP3edakSRXbOA"",""Form Responses 1!B:B""),F996)&gt;0,10,),0)"),"")</f>
        <v/>
      </c>
      <c r="R996" s="70" t="str">
        <f>IFERROR(__xludf.DUMMYFUNCTION("IFERROR(VLOOKUP(F996,IMPORTRANGE(""1Ixzbal5tEbtWhozsFEppQzOYE6ZSrkNXHg_HW5k3Wt4"",""Form Responses 1!B:C""),2,FALSE),)"),"")</f>
        <v/>
      </c>
      <c r="S996" s="70" t="str">
        <f>IFERROR(__xludf.DUMMYFUNCTION("IFERROR(VLOOKUP(F996,IMPORTRANGE(""1zxjtEKGvVIJPIDqZdnxENwVpPXYa88EihzyI44hcQUo"",""Form Responses 1!B:C""),2,FALSE),)"),"")</f>
        <v/>
      </c>
      <c r="T996" s="70" t="str">
        <f>IFERROR(__xludf.DUMMYFUNCTION("IFERROR(VLOOKUP(F996,IMPORTRANGE(""1H3cO01obd5zFULYqaT5NAqecZBFFIHeDFn4CeQLZF3w"",""Form Responses 1!B:C""),2,FALSE),)"),"")</f>
        <v/>
      </c>
      <c r="U996" s="70" t="str">
        <f>IFERROR(__xludf.DUMMYFUNCTION("IFERROR(IF(COUNTIF(IMPORTRANGE(""1IG9qoa6PeLdDDFzKpW39lxXshN0-M8Z25a_R1EpsYyg"",""Form Responses 1!B:B""),F996)&gt;0,10,),0)"),"")</f>
        <v/>
      </c>
      <c r="V996" s="70"/>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row>
    <row r="997">
      <c r="B997" s="70"/>
      <c r="C997" s="70"/>
      <c r="D997" s="70"/>
      <c r="E997" s="70"/>
      <c r="F997" s="70"/>
      <c r="G997" s="70"/>
      <c r="H997" s="70"/>
      <c r="I997" s="70"/>
      <c r="J997" s="70"/>
      <c r="K997" s="70"/>
      <c r="L997" s="70"/>
      <c r="M997" s="70"/>
      <c r="N997" s="70"/>
      <c r="O997" s="70"/>
      <c r="P997" s="70"/>
      <c r="Q997" s="70" t="str">
        <f>IFERROR(__xludf.DUMMYFUNCTION("IFERROR(IF(COUNTIF(IMPORTRANGE(""1WjiLR_MTMxI_IZUKuvPO4Sg2rTSIqBzP3edakSRXbOA"",""Form Responses 1!B:B""),F997)&gt;0,10,),0)"),"")</f>
        <v/>
      </c>
      <c r="R997" s="70" t="str">
        <f>IFERROR(__xludf.DUMMYFUNCTION("IFERROR(VLOOKUP(F997,IMPORTRANGE(""1Ixzbal5tEbtWhozsFEppQzOYE6ZSrkNXHg_HW5k3Wt4"",""Form Responses 1!B:C""),2,FALSE),)"),"")</f>
        <v/>
      </c>
      <c r="S997" s="70" t="str">
        <f>IFERROR(__xludf.DUMMYFUNCTION("IFERROR(VLOOKUP(F997,IMPORTRANGE(""1zxjtEKGvVIJPIDqZdnxENwVpPXYa88EihzyI44hcQUo"",""Form Responses 1!B:C""),2,FALSE),)"),"")</f>
        <v/>
      </c>
      <c r="T997" s="70" t="str">
        <f>IFERROR(__xludf.DUMMYFUNCTION("IFERROR(VLOOKUP(F997,IMPORTRANGE(""1H3cO01obd5zFULYqaT5NAqecZBFFIHeDFn4CeQLZF3w"",""Form Responses 1!B:C""),2,FALSE),)"),"")</f>
        <v/>
      </c>
      <c r="U997" s="70" t="str">
        <f>IFERROR(__xludf.DUMMYFUNCTION("IFERROR(IF(COUNTIF(IMPORTRANGE(""1IG9qoa6PeLdDDFzKpW39lxXshN0-M8Z25a_R1EpsYyg"",""Form Responses 1!B:B""),F997)&gt;0,10,),0)"),"")</f>
        <v/>
      </c>
      <c r="V997" s="70"/>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row>
    <row r="998">
      <c r="B998" s="70"/>
      <c r="C998" s="70"/>
      <c r="D998" s="70"/>
      <c r="E998" s="70"/>
      <c r="F998" s="70"/>
      <c r="G998" s="70"/>
      <c r="H998" s="70"/>
      <c r="I998" s="70"/>
      <c r="J998" s="70"/>
      <c r="K998" s="70"/>
      <c r="L998" s="70"/>
      <c r="M998" s="70"/>
      <c r="N998" s="70"/>
      <c r="O998" s="70"/>
      <c r="P998" s="70"/>
      <c r="Q998" s="70" t="str">
        <f>IFERROR(__xludf.DUMMYFUNCTION("IFERROR(IF(COUNTIF(IMPORTRANGE(""1WjiLR_MTMxI_IZUKuvPO4Sg2rTSIqBzP3edakSRXbOA"",""Form Responses 1!B:B""),F998)&gt;0,10,),0)"),"")</f>
        <v/>
      </c>
      <c r="R998" s="70" t="str">
        <f>IFERROR(__xludf.DUMMYFUNCTION("IFERROR(VLOOKUP(F998,IMPORTRANGE(""1Ixzbal5tEbtWhozsFEppQzOYE6ZSrkNXHg_HW5k3Wt4"",""Form Responses 1!B:C""),2,FALSE),)"),"")</f>
        <v/>
      </c>
      <c r="S998" s="70" t="str">
        <f>IFERROR(__xludf.DUMMYFUNCTION("IFERROR(VLOOKUP(F998,IMPORTRANGE(""1zxjtEKGvVIJPIDqZdnxENwVpPXYa88EihzyI44hcQUo"",""Form Responses 1!B:C""),2,FALSE),)"),"")</f>
        <v/>
      </c>
      <c r="T998" s="70" t="str">
        <f>IFERROR(__xludf.DUMMYFUNCTION("IFERROR(VLOOKUP(F998,IMPORTRANGE(""1H3cO01obd5zFULYqaT5NAqecZBFFIHeDFn4CeQLZF3w"",""Form Responses 1!B:C""),2,FALSE),)"),"")</f>
        <v/>
      </c>
      <c r="U998" s="70" t="str">
        <f>IFERROR(__xludf.DUMMYFUNCTION("IFERROR(IF(COUNTIF(IMPORTRANGE(""1IG9qoa6PeLdDDFzKpW39lxXshN0-M8Z25a_R1EpsYyg"",""Form Responses 1!B:B""),F998)&gt;0,10,),0)"),"")</f>
        <v/>
      </c>
      <c r="V998" s="70"/>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row>
    <row r="999">
      <c r="B999" s="70"/>
      <c r="C999" s="70"/>
      <c r="D999" s="70"/>
      <c r="E999" s="70"/>
      <c r="F999" s="70"/>
      <c r="G999" s="70"/>
      <c r="H999" s="70"/>
      <c r="I999" s="70"/>
      <c r="J999" s="70"/>
      <c r="K999" s="70"/>
      <c r="L999" s="70"/>
      <c r="M999" s="70"/>
      <c r="N999" s="70"/>
      <c r="O999" s="70"/>
      <c r="P999" s="70"/>
      <c r="Q999" s="70" t="str">
        <f>IFERROR(__xludf.DUMMYFUNCTION("IFERROR(IF(COUNTIF(IMPORTRANGE(""1WjiLR_MTMxI_IZUKuvPO4Sg2rTSIqBzP3edakSRXbOA"",""Form Responses 1!B:B""),F999)&gt;0,10,),0)"),"")</f>
        <v/>
      </c>
      <c r="R999" s="70" t="str">
        <f>IFERROR(__xludf.DUMMYFUNCTION("IFERROR(VLOOKUP(F999,IMPORTRANGE(""1Ixzbal5tEbtWhozsFEppQzOYE6ZSrkNXHg_HW5k3Wt4"",""Form Responses 1!B:C""),2,FALSE),)"),"")</f>
        <v/>
      </c>
      <c r="S999" s="70" t="str">
        <f>IFERROR(__xludf.DUMMYFUNCTION("IFERROR(VLOOKUP(F999,IMPORTRANGE(""1zxjtEKGvVIJPIDqZdnxENwVpPXYa88EihzyI44hcQUo"",""Form Responses 1!B:C""),2,FALSE),)"),"")</f>
        <v/>
      </c>
      <c r="T999" s="70" t="str">
        <f>IFERROR(__xludf.DUMMYFUNCTION("IFERROR(VLOOKUP(F999,IMPORTRANGE(""1H3cO01obd5zFULYqaT5NAqecZBFFIHeDFn4CeQLZF3w"",""Form Responses 1!B:C""),2,FALSE),)"),"")</f>
        <v/>
      </c>
      <c r="U999" s="70" t="str">
        <f>IFERROR(__xludf.DUMMYFUNCTION("IFERROR(IF(COUNTIF(IMPORTRANGE(""1IG9qoa6PeLdDDFzKpW39lxXshN0-M8Z25a_R1EpsYyg"",""Form Responses 1!B:B""),F999)&gt;0,10,),0)"),"")</f>
        <v/>
      </c>
      <c r="V999" s="70"/>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row>
  </sheetData>
  <hyperlinks>
    <hyperlink r:id="rId2" ref="B1"/>
    <hyperlink r:id="rId3" ref="C1"/>
    <hyperlink r:id="rId4" ref="D1"/>
    <hyperlink r:id="rId5" ref="E1"/>
    <hyperlink r:id="rId6" ref="F1"/>
    <hyperlink r:id="rId7" ref="G1"/>
    <hyperlink r:id="rId8" ref="H1"/>
    <hyperlink r:id="rId9" ref="I1"/>
    <hyperlink r:id="rId10" ref="J1"/>
    <hyperlink r:id="rId11" ref="K1"/>
    <hyperlink r:id="rId12" ref="L1"/>
    <hyperlink r:id="rId13" ref="M1"/>
    <hyperlink r:id="rId14" ref="N1"/>
    <hyperlink r:id="rId15" ref="O1"/>
    <hyperlink r:id="rId16" ref="P1"/>
    <hyperlink r:id="rId17" ref="Q1"/>
    <hyperlink r:id="rId18" ref="R1"/>
    <hyperlink r:id="rId19" ref="S1"/>
    <hyperlink r:id="rId20" ref="T1"/>
    <hyperlink r:id="rId21" ref="U1"/>
    <hyperlink r:id="rId22" location="responses" ref="W1"/>
    <hyperlink r:id="rId23" ref="X1"/>
    <hyperlink r:id="rId24" ref="Y1"/>
    <hyperlink r:id="rId25" ref="Z1"/>
    <hyperlink r:id="rId26" ref="AA1"/>
    <hyperlink r:id="rId27" ref="AB1"/>
    <hyperlink r:id="rId28" ref="AC1"/>
    <hyperlink r:id="rId29" ref="AD1"/>
    <hyperlink r:id="rId30" ref="AE1"/>
    <hyperlink r:id="rId31" ref="AF1"/>
  </hyperlinks>
  <drawing r:id="rId32"/>
  <legacyDrawing r:id="rId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v>46003.52621836806</v>
      </c>
      <c r="B1" s="39" t="s">
        <v>449</v>
      </c>
      <c r="C1" s="39" t="s">
        <v>417</v>
      </c>
      <c r="D1" s="39" t="s">
        <v>450</v>
      </c>
      <c r="E1" s="39" t="s">
        <v>451</v>
      </c>
      <c r="H1" s="39" t="s">
        <v>452</v>
      </c>
    </row>
    <row r="2">
      <c r="A2" s="41">
        <v>46003.52621837963</v>
      </c>
      <c r="B2" s="39" t="s">
        <v>449</v>
      </c>
      <c r="C2" s="39" t="s">
        <v>418</v>
      </c>
      <c r="D2" s="39" t="s">
        <v>450</v>
      </c>
      <c r="E2" s="39" t="s">
        <v>451</v>
      </c>
      <c r="H2" s="39" t="s">
        <v>452</v>
      </c>
    </row>
    <row r="3">
      <c r="A3" s="41">
        <v>46003.52670998842</v>
      </c>
      <c r="B3" s="39" t="s">
        <v>449</v>
      </c>
      <c r="C3" s="39" t="s">
        <v>206</v>
      </c>
      <c r="D3" s="39" t="s">
        <v>328</v>
      </c>
      <c r="E3" s="39" t="s">
        <v>453</v>
      </c>
      <c r="F3" s="40">
        <v>20.0</v>
      </c>
      <c r="G3" s="40">
        <v>20.0</v>
      </c>
      <c r="H3" s="39" t="s">
        <v>454</v>
      </c>
    </row>
    <row r="4">
      <c r="A4" s="41">
        <v>46003.52670998842</v>
      </c>
      <c r="B4" s="39" t="s">
        <v>449</v>
      </c>
      <c r="C4" s="39" t="s">
        <v>206</v>
      </c>
      <c r="D4" s="39" t="s">
        <v>330</v>
      </c>
      <c r="E4" s="39" t="s">
        <v>453</v>
      </c>
      <c r="F4" s="40">
        <v>20.0</v>
      </c>
      <c r="G4" s="40">
        <v>20.0</v>
      </c>
      <c r="H4" s="39" t="s">
        <v>454</v>
      </c>
    </row>
    <row r="5">
      <c r="A5" s="41">
        <v>46003.52670998842</v>
      </c>
      <c r="B5" s="39" t="s">
        <v>449</v>
      </c>
      <c r="C5" s="39" t="s">
        <v>206</v>
      </c>
      <c r="D5" s="39" t="s">
        <v>348</v>
      </c>
      <c r="E5" s="39" t="s">
        <v>453</v>
      </c>
      <c r="F5" s="40">
        <v>20.0</v>
      </c>
      <c r="G5" s="40">
        <v>20.0</v>
      </c>
      <c r="H5" s="39" t="s">
        <v>454</v>
      </c>
    </row>
    <row r="6">
      <c r="A6" s="41">
        <v>46003.52670998842</v>
      </c>
      <c r="B6" s="39" t="s">
        <v>449</v>
      </c>
      <c r="C6" s="39" t="s">
        <v>206</v>
      </c>
      <c r="D6" s="39" t="s">
        <v>350</v>
      </c>
      <c r="E6" s="39" t="s">
        <v>453</v>
      </c>
      <c r="F6" s="40">
        <v>20.0</v>
      </c>
      <c r="G6" s="40">
        <v>20.0</v>
      </c>
      <c r="H6" s="39" t="s">
        <v>454</v>
      </c>
    </row>
    <row r="7">
      <c r="A7" s="41">
        <v>46003.52670998842</v>
      </c>
      <c r="B7" s="39" t="s">
        <v>449</v>
      </c>
      <c r="C7" s="39" t="s">
        <v>206</v>
      </c>
      <c r="D7" s="39" t="s">
        <v>359</v>
      </c>
      <c r="E7" s="39" t="s">
        <v>453</v>
      </c>
      <c r="F7" s="40">
        <v>10.0</v>
      </c>
      <c r="G7" s="40">
        <v>10.0</v>
      </c>
      <c r="H7" s="39" t="s">
        <v>454</v>
      </c>
    </row>
    <row r="8">
      <c r="A8" s="41">
        <v>46003.52670998842</v>
      </c>
      <c r="B8" s="39" t="s">
        <v>449</v>
      </c>
      <c r="C8" s="39" t="s">
        <v>206</v>
      </c>
      <c r="D8" s="39" t="s">
        <v>361</v>
      </c>
      <c r="E8" s="39" t="s">
        <v>453</v>
      </c>
      <c r="F8" s="40">
        <v>20.0</v>
      </c>
      <c r="G8" s="40">
        <v>20.0</v>
      </c>
      <c r="H8" s="39" t="s">
        <v>454</v>
      </c>
    </row>
    <row r="9">
      <c r="A9" s="41">
        <v>46003.52670998842</v>
      </c>
      <c r="B9" s="39" t="s">
        <v>449</v>
      </c>
      <c r="C9" s="39" t="s">
        <v>207</v>
      </c>
      <c r="D9" s="39" t="s">
        <v>359</v>
      </c>
      <c r="E9" s="39" t="s">
        <v>453</v>
      </c>
      <c r="F9" s="40">
        <v>10.0</v>
      </c>
      <c r="G9" s="40">
        <v>10.0</v>
      </c>
      <c r="H9" s="39" t="s">
        <v>454</v>
      </c>
    </row>
    <row r="10">
      <c r="A10" s="41">
        <v>46003.52670998842</v>
      </c>
      <c r="B10" s="39" t="s">
        <v>449</v>
      </c>
      <c r="C10" s="39" t="s">
        <v>209</v>
      </c>
      <c r="D10" s="39" t="s">
        <v>348</v>
      </c>
      <c r="E10" s="39" t="s">
        <v>453</v>
      </c>
      <c r="F10" s="40">
        <v>20.0</v>
      </c>
      <c r="G10" s="40">
        <v>20.0</v>
      </c>
      <c r="H10" s="39" t="s">
        <v>454</v>
      </c>
    </row>
    <row r="11">
      <c r="A11" s="41">
        <v>46003.52670998842</v>
      </c>
      <c r="B11" s="39" t="s">
        <v>449</v>
      </c>
      <c r="C11" s="39" t="s">
        <v>209</v>
      </c>
      <c r="D11" s="39" t="s">
        <v>350</v>
      </c>
      <c r="E11" s="39" t="s">
        <v>453</v>
      </c>
      <c r="F11" s="40">
        <v>20.0</v>
      </c>
      <c r="G11" s="40">
        <v>20.0</v>
      </c>
      <c r="H11" s="39" t="s">
        <v>454</v>
      </c>
    </row>
    <row r="12">
      <c r="A12" s="41">
        <v>46003.52670998842</v>
      </c>
      <c r="B12" s="39" t="s">
        <v>449</v>
      </c>
      <c r="C12" s="39" t="s">
        <v>209</v>
      </c>
      <c r="D12" s="39" t="s">
        <v>359</v>
      </c>
      <c r="E12" s="39" t="s">
        <v>453</v>
      </c>
      <c r="F12" s="40">
        <v>10.0</v>
      </c>
      <c r="G12" s="40">
        <v>10.0</v>
      </c>
      <c r="H12" s="39" t="s">
        <v>454</v>
      </c>
    </row>
    <row r="13">
      <c r="A13" s="41">
        <v>46003.52670998842</v>
      </c>
      <c r="B13" s="39" t="s">
        <v>449</v>
      </c>
      <c r="C13" s="39" t="s">
        <v>209</v>
      </c>
      <c r="D13" s="39" t="s">
        <v>361</v>
      </c>
      <c r="E13" s="39" t="s">
        <v>453</v>
      </c>
      <c r="F13" s="40">
        <v>20.0</v>
      </c>
      <c r="G13" s="40">
        <v>20.0</v>
      </c>
      <c r="H13" s="39" t="s">
        <v>454</v>
      </c>
    </row>
    <row r="14">
      <c r="A14" s="41">
        <v>46003.52670998842</v>
      </c>
      <c r="B14" s="39" t="s">
        <v>449</v>
      </c>
      <c r="C14" s="39" t="s">
        <v>209</v>
      </c>
      <c r="D14" s="39" t="s">
        <v>353</v>
      </c>
      <c r="E14" s="39" t="s">
        <v>451</v>
      </c>
      <c r="G14" s="40">
        <v>16.0</v>
      </c>
      <c r="H14" s="39" t="s">
        <v>455</v>
      </c>
    </row>
    <row r="15">
      <c r="A15" s="41">
        <v>46003.52670998842</v>
      </c>
      <c r="B15" s="39" t="s">
        <v>449</v>
      </c>
      <c r="C15" s="39" t="s">
        <v>210</v>
      </c>
      <c r="D15" s="39" t="s">
        <v>328</v>
      </c>
      <c r="E15" s="39" t="s">
        <v>453</v>
      </c>
      <c r="F15" s="40">
        <v>20.0</v>
      </c>
      <c r="G15" s="40">
        <v>20.0</v>
      </c>
      <c r="H15" s="39" t="s">
        <v>454</v>
      </c>
    </row>
    <row r="16">
      <c r="A16" s="41">
        <v>46003.52670998842</v>
      </c>
      <c r="B16" s="39" t="s">
        <v>449</v>
      </c>
      <c r="C16" s="39" t="s">
        <v>211</v>
      </c>
      <c r="D16" s="39" t="s">
        <v>328</v>
      </c>
      <c r="E16" s="39" t="s">
        <v>453</v>
      </c>
      <c r="F16" s="40">
        <v>20.0</v>
      </c>
      <c r="G16" s="40">
        <v>20.0</v>
      </c>
      <c r="H16" s="39" t="s">
        <v>454</v>
      </c>
    </row>
    <row r="17">
      <c r="A17" s="41">
        <v>46003.52670998842</v>
      </c>
      <c r="B17" s="39" t="s">
        <v>449</v>
      </c>
      <c r="C17" s="39" t="s">
        <v>211</v>
      </c>
      <c r="D17" s="39" t="s">
        <v>348</v>
      </c>
      <c r="E17" s="39" t="s">
        <v>453</v>
      </c>
      <c r="F17" s="40">
        <v>20.0</v>
      </c>
      <c r="G17" s="40">
        <v>20.0</v>
      </c>
      <c r="H17" s="39" t="s">
        <v>454</v>
      </c>
    </row>
    <row r="18">
      <c r="A18" s="41">
        <v>46003.52670998842</v>
      </c>
      <c r="B18" s="39" t="s">
        <v>449</v>
      </c>
      <c r="C18" s="39" t="s">
        <v>211</v>
      </c>
      <c r="D18" s="39" t="s">
        <v>359</v>
      </c>
      <c r="E18" s="39" t="s">
        <v>453</v>
      </c>
      <c r="F18" s="40">
        <v>10.0</v>
      </c>
      <c r="G18" s="40">
        <v>10.0</v>
      </c>
      <c r="H18" s="39" t="s">
        <v>454</v>
      </c>
    </row>
    <row r="19">
      <c r="A19" s="41">
        <v>46003.52670998842</v>
      </c>
      <c r="B19" s="39" t="s">
        <v>449</v>
      </c>
      <c r="C19" s="39" t="s">
        <v>211</v>
      </c>
      <c r="D19" s="39" t="s">
        <v>353</v>
      </c>
      <c r="E19" s="39" t="s">
        <v>451</v>
      </c>
      <c r="G19" s="40">
        <v>16.0</v>
      </c>
      <c r="H19" s="39" t="s">
        <v>455</v>
      </c>
    </row>
    <row r="20">
      <c r="A20" s="41">
        <v>46003.52670998842</v>
      </c>
      <c r="B20" s="39" t="s">
        <v>449</v>
      </c>
      <c r="C20" s="39" t="s">
        <v>216</v>
      </c>
      <c r="D20" s="39" t="s">
        <v>348</v>
      </c>
      <c r="E20" s="39" t="s">
        <v>453</v>
      </c>
      <c r="F20" s="40">
        <v>20.0</v>
      </c>
      <c r="G20" s="40">
        <v>20.0</v>
      </c>
      <c r="H20" s="39" t="s">
        <v>454</v>
      </c>
    </row>
    <row r="21">
      <c r="A21" s="41">
        <v>46003.52670998842</v>
      </c>
      <c r="B21" s="39" t="s">
        <v>449</v>
      </c>
      <c r="C21" s="39" t="s">
        <v>216</v>
      </c>
      <c r="D21" s="39" t="s">
        <v>350</v>
      </c>
      <c r="E21" s="39" t="s">
        <v>453</v>
      </c>
      <c r="F21" s="40">
        <v>20.0</v>
      </c>
      <c r="G21" s="40">
        <v>20.0</v>
      </c>
      <c r="H21" s="39" t="s">
        <v>454</v>
      </c>
    </row>
    <row r="22">
      <c r="A22" s="41">
        <v>46003.52670998842</v>
      </c>
      <c r="B22" s="39" t="s">
        <v>449</v>
      </c>
      <c r="C22" s="39" t="s">
        <v>216</v>
      </c>
      <c r="D22" s="39" t="s">
        <v>359</v>
      </c>
      <c r="E22" s="39" t="s">
        <v>453</v>
      </c>
      <c r="F22" s="40">
        <v>10.0</v>
      </c>
      <c r="G22" s="40">
        <v>10.0</v>
      </c>
      <c r="H22" s="39" t="s">
        <v>454</v>
      </c>
    </row>
    <row r="23">
      <c r="A23" s="41">
        <v>46003.52670998842</v>
      </c>
      <c r="B23" s="39" t="s">
        <v>449</v>
      </c>
      <c r="C23" s="39" t="s">
        <v>220</v>
      </c>
      <c r="D23" s="39" t="s">
        <v>328</v>
      </c>
      <c r="E23" s="39" t="s">
        <v>453</v>
      </c>
      <c r="F23" s="40">
        <v>20.0</v>
      </c>
      <c r="G23" s="40">
        <v>20.0</v>
      </c>
      <c r="H23" s="39" t="s">
        <v>454</v>
      </c>
    </row>
    <row r="24">
      <c r="A24" s="41">
        <v>46003.52670998842</v>
      </c>
      <c r="B24" s="39" t="s">
        <v>449</v>
      </c>
      <c r="C24" s="39" t="s">
        <v>221</v>
      </c>
      <c r="D24" s="39" t="s">
        <v>359</v>
      </c>
      <c r="E24" s="39" t="s">
        <v>453</v>
      </c>
      <c r="F24" s="40">
        <v>10.0</v>
      </c>
      <c r="G24" s="40">
        <v>10.0</v>
      </c>
      <c r="H24" s="39" t="s">
        <v>454</v>
      </c>
    </row>
    <row r="25">
      <c r="A25" s="41">
        <v>46003.52670998842</v>
      </c>
      <c r="B25" s="39" t="s">
        <v>449</v>
      </c>
      <c r="C25" s="39" t="s">
        <v>222</v>
      </c>
      <c r="D25" s="39" t="s">
        <v>328</v>
      </c>
      <c r="E25" s="39" t="s">
        <v>453</v>
      </c>
      <c r="F25" s="40">
        <v>20.0</v>
      </c>
      <c r="G25" s="40">
        <v>20.0</v>
      </c>
      <c r="H25" s="39" t="s">
        <v>454</v>
      </c>
    </row>
    <row r="26">
      <c r="A26" s="41">
        <v>46003.52670998842</v>
      </c>
      <c r="B26" s="39" t="s">
        <v>449</v>
      </c>
      <c r="C26" s="39" t="s">
        <v>224</v>
      </c>
      <c r="D26" s="39" t="s">
        <v>328</v>
      </c>
      <c r="E26" s="39" t="s">
        <v>453</v>
      </c>
      <c r="F26" s="40">
        <v>20.0</v>
      </c>
      <c r="G26" s="40">
        <v>20.0</v>
      </c>
      <c r="H26" s="39" t="s">
        <v>454</v>
      </c>
    </row>
    <row r="27">
      <c r="A27" s="41">
        <v>46003.52670998842</v>
      </c>
      <c r="B27" s="39" t="s">
        <v>449</v>
      </c>
      <c r="C27" s="39" t="s">
        <v>224</v>
      </c>
      <c r="D27" s="39" t="s">
        <v>359</v>
      </c>
      <c r="E27" s="39" t="s">
        <v>453</v>
      </c>
      <c r="F27" s="40">
        <v>10.0</v>
      </c>
      <c r="G27" s="40">
        <v>10.0</v>
      </c>
      <c r="H27" s="39" t="s">
        <v>454</v>
      </c>
    </row>
    <row r="28">
      <c r="A28" s="41">
        <v>46003.52670998842</v>
      </c>
      <c r="B28" s="39" t="s">
        <v>449</v>
      </c>
      <c r="C28" s="39" t="s">
        <v>226</v>
      </c>
      <c r="D28" s="39" t="s">
        <v>328</v>
      </c>
      <c r="E28" s="39" t="s">
        <v>453</v>
      </c>
      <c r="F28" s="40">
        <v>20.0</v>
      </c>
      <c r="G28" s="40">
        <v>20.0</v>
      </c>
      <c r="H28" s="39" t="s">
        <v>454</v>
      </c>
    </row>
    <row r="29">
      <c r="A29" s="41">
        <v>46003.52670998842</v>
      </c>
      <c r="B29" s="39" t="s">
        <v>449</v>
      </c>
      <c r="C29" s="39" t="s">
        <v>226</v>
      </c>
      <c r="D29" s="39" t="s">
        <v>330</v>
      </c>
      <c r="E29" s="39" t="s">
        <v>453</v>
      </c>
      <c r="F29" s="40">
        <v>20.0</v>
      </c>
      <c r="G29" s="40">
        <v>20.0</v>
      </c>
      <c r="H29" s="39" t="s">
        <v>454</v>
      </c>
    </row>
    <row r="30">
      <c r="A30" s="41">
        <v>46003.52670998842</v>
      </c>
      <c r="B30" s="39" t="s">
        <v>449</v>
      </c>
      <c r="C30" s="39" t="s">
        <v>227</v>
      </c>
      <c r="D30" s="39" t="s">
        <v>353</v>
      </c>
      <c r="E30" s="39" t="s">
        <v>451</v>
      </c>
      <c r="G30" s="40">
        <v>5.0</v>
      </c>
      <c r="H30" s="39" t="s">
        <v>455</v>
      </c>
    </row>
    <row r="31">
      <c r="A31" s="41">
        <v>46003.52670998842</v>
      </c>
      <c r="B31" s="39" t="s">
        <v>449</v>
      </c>
      <c r="C31" s="39" t="s">
        <v>228</v>
      </c>
      <c r="D31" s="39" t="s">
        <v>328</v>
      </c>
      <c r="E31" s="39" t="s">
        <v>453</v>
      </c>
      <c r="F31" s="40">
        <v>20.0</v>
      </c>
      <c r="G31" s="40">
        <v>20.0</v>
      </c>
      <c r="H31" s="39" t="s">
        <v>454</v>
      </c>
    </row>
    <row r="32">
      <c r="A32" s="41">
        <v>46003.52670998842</v>
      </c>
      <c r="B32" s="39" t="s">
        <v>449</v>
      </c>
      <c r="C32" s="39" t="s">
        <v>229</v>
      </c>
      <c r="D32" s="39" t="s">
        <v>328</v>
      </c>
      <c r="E32" s="39" t="s">
        <v>453</v>
      </c>
      <c r="F32" s="40">
        <v>20.0</v>
      </c>
      <c r="G32" s="40">
        <v>20.0</v>
      </c>
      <c r="H32" s="39" t="s">
        <v>454</v>
      </c>
    </row>
    <row r="33">
      <c r="A33" s="41">
        <v>46003.52670998842</v>
      </c>
      <c r="B33" s="39" t="s">
        <v>449</v>
      </c>
      <c r="C33" s="39" t="s">
        <v>230</v>
      </c>
      <c r="D33" s="39" t="s">
        <v>328</v>
      </c>
      <c r="E33" s="39" t="s">
        <v>453</v>
      </c>
      <c r="F33" s="40">
        <v>20.0</v>
      </c>
      <c r="G33" s="40">
        <v>20.0</v>
      </c>
      <c r="H33" s="39" t="s">
        <v>454</v>
      </c>
    </row>
    <row r="34">
      <c r="A34" s="41">
        <v>46003.52670998842</v>
      </c>
      <c r="B34" s="39" t="s">
        <v>449</v>
      </c>
      <c r="C34" s="39" t="s">
        <v>230</v>
      </c>
      <c r="D34" s="39" t="s">
        <v>330</v>
      </c>
      <c r="E34" s="39" t="s">
        <v>453</v>
      </c>
      <c r="F34" s="40">
        <v>20.0</v>
      </c>
      <c r="G34" s="40">
        <v>20.0</v>
      </c>
      <c r="H34" s="39" t="s">
        <v>454</v>
      </c>
    </row>
    <row r="35">
      <c r="A35" s="41">
        <v>46003.52670998842</v>
      </c>
      <c r="B35" s="39" t="s">
        <v>449</v>
      </c>
      <c r="C35" s="39" t="s">
        <v>231</v>
      </c>
      <c r="D35" s="39" t="s">
        <v>328</v>
      </c>
      <c r="E35" s="39" t="s">
        <v>453</v>
      </c>
      <c r="F35" s="40">
        <v>20.0</v>
      </c>
      <c r="G35" s="40">
        <v>20.0</v>
      </c>
      <c r="H35" s="39" t="s">
        <v>454</v>
      </c>
    </row>
    <row r="36">
      <c r="A36" s="41">
        <v>46003.52670998842</v>
      </c>
      <c r="B36" s="39" t="s">
        <v>449</v>
      </c>
      <c r="C36" s="39" t="s">
        <v>232</v>
      </c>
      <c r="D36" s="39" t="s">
        <v>359</v>
      </c>
      <c r="E36" s="39" t="s">
        <v>453</v>
      </c>
      <c r="F36" s="40">
        <v>10.0</v>
      </c>
      <c r="G36" s="40">
        <v>10.0</v>
      </c>
      <c r="H36" s="39" t="s">
        <v>454</v>
      </c>
    </row>
    <row r="37">
      <c r="A37" s="41">
        <v>46003.52670998842</v>
      </c>
      <c r="B37" s="39" t="s">
        <v>449</v>
      </c>
      <c r="C37" s="39" t="s">
        <v>232</v>
      </c>
      <c r="D37" s="39" t="s">
        <v>353</v>
      </c>
      <c r="E37" s="39" t="s">
        <v>451</v>
      </c>
      <c r="G37" s="40">
        <v>8.0</v>
      </c>
      <c r="H37" s="39" t="s">
        <v>455</v>
      </c>
    </row>
    <row r="38">
      <c r="A38" s="41">
        <v>46003.52670998842</v>
      </c>
      <c r="B38" s="39" t="s">
        <v>449</v>
      </c>
      <c r="C38" s="39" t="s">
        <v>233</v>
      </c>
      <c r="D38" s="39" t="s">
        <v>353</v>
      </c>
      <c r="E38" s="39" t="s">
        <v>451</v>
      </c>
      <c r="G38" s="40">
        <v>10.0</v>
      </c>
      <c r="H38" s="39" t="s">
        <v>455</v>
      </c>
    </row>
    <row r="39">
      <c r="A39" s="41">
        <v>46003.52670998842</v>
      </c>
      <c r="B39" s="39" t="s">
        <v>449</v>
      </c>
      <c r="C39" s="39" t="s">
        <v>234</v>
      </c>
      <c r="D39" s="39" t="s">
        <v>353</v>
      </c>
      <c r="E39" s="39" t="s">
        <v>451</v>
      </c>
      <c r="G39" s="40">
        <v>4.0</v>
      </c>
      <c r="H39" s="39" t="s">
        <v>455</v>
      </c>
    </row>
    <row r="40">
      <c r="A40" s="41">
        <v>46003.52670998842</v>
      </c>
      <c r="B40" s="39" t="s">
        <v>449</v>
      </c>
      <c r="C40" s="39" t="s">
        <v>238</v>
      </c>
      <c r="D40" s="39" t="s">
        <v>359</v>
      </c>
      <c r="E40" s="39" t="s">
        <v>453</v>
      </c>
      <c r="F40" s="40">
        <v>10.0</v>
      </c>
      <c r="G40" s="40">
        <v>10.0</v>
      </c>
      <c r="H40" s="39" t="s">
        <v>454</v>
      </c>
    </row>
    <row r="41">
      <c r="A41" s="41">
        <v>46003.52670998842</v>
      </c>
      <c r="B41" s="39" t="s">
        <v>449</v>
      </c>
      <c r="C41" s="39" t="s">
        <v>240</v>
      </c>
      <c r="D41" s="39" t="s">
        <v>328</v>
      </c>
      <c r="E41" s="39" t="s">
        <v>453</v>
      </c>
      <c r="F41" s="40">
        <v>20.0</v>
      </c>
      <c r="G41" s="40">
        <v>20.0</v>
      </c>
      <c r="H41" s="39" t="s">
        <v>454</v>
      </c>
    </row>
    <row r="42">
      <c r="A42" s="41">
        <v>46003.52670998842</v>
      </c>
      <c r="B42" s="39" t="s">
        <v>449</v>
      </c>
      <c r="C42" s="39" t="s">
        <v>240</v>
      </c>
      <c r="D42" s="39" t="s">
        <v>340</v>
      </c>
      <c r="E42" s="39" t="s">
        <v>453</v>
      </c>
      <c r="F42" s="40">
        <v>20.0</v>
      </c>
      <c r="G42" s="40">
        <v>20.0</v>
      </c>
      <c r="H42" s="39" t="s">
        <v>454</v>
      </c>
    </row>
    <row r="43">
      <c r="A43" s="41">
        <v>46003.52670998842</v>
      </c>
      <c r="B43" s="39" t="s">
        <v>449</v>
      </c>
      <c r="C43" s="39" t="s">
        <v>240</v>
      </c>
      <c r="D43" s="39" t="s">
        <v>359</v>
      </c>
      <c r="E43" s="39" t="s">
        <v>453</v>
      </c>
      <c r="F43" s="40">
        <v>10.0</v>
      </c>
      <c r="G43" s="40">
        <v>10.0</v>
      </c>
      <c r="H43" s="39" t="s">
        <v>454</v>
      </c>
    </row>
    <row r="44">
      <c r="A44" s="41">
        <v>46003.52670998842</v>
      </c>
      <c r="B44" s="39" t="s">
        <v>449</v>
      </c>
      <c r="C44" s="39" t="s">
        <v>240</v>
      </c>
      <c r="D44" s="39" t="s">
        <v>353</v>
      </c>
      <c r="E44" s="39" t="s">
        <v>451</v>
      </c>
      <c r="G44" s="40">
        <v>8.0</v>
      </c>
      <c r="H44" s="39" t="s">
        <v>455</v>
      </c>
    </row>
    <row r="45">
      <c r="A45" s="41">
        <v>46003.52670998842</v>
      </c>
      <c r="B45" s="39" t="s">
        <v>449</v>
      </c>
      <c r="C45" s="39" t="s">
        <v>242</v>
      </c>
      <c r="D45" s="39" t="s">
        <v>353</v>
      </c>
      <c r="E45" s="39" t="s">
        <v>451</v>
      </c>
      <c r="G45" s="40">
        <v>2.0</v>
      </c>
      <c r="H45" s="39" t="s">
        <v>455</v>
      </c>
    </row>
    <row r="46">
      <c r="A46" s="41">
        <v>46003.52670998842</v>
      </c>
      <c r="B46" s="39" t="s">
        <v>449</v>
      </c>
      <c r="C46" s="39" t="s">
        <v>243</v>
      </c>
      <c r="D46" s="39" t="s">
        <v>353</v>
      </c>
      <c r="E46" s="39" t="s">
        <v>451</v>
      </c>
      <c r="G46" s="40">
        <v>8.0</v>
      </c>
      <c r="H46" s="39" t="s">
        <v>455</v>
      </c>
    </row>
    <row r="47">
      <c r="A47" s="41">
        <v>46003.52670998842</v>
      </c>
      <c r="B47" s="39" t="s">
        <v>449</v>
      </c>
      <c r="C47" s="39" t="s">
        <v>244</v>
      </c>
      <c r="D47" s="39" t="s">
        <v>353</v>
      </c>
      <c r="E47" s="39" t="s">
        <v>451</v>
      </c>
      <c r="G47" s="40">
        <v>0.0</v>
      </c>
      <c r="H47" s="39" t="s">
        <v>455</v>
      </c>
    </row>
    <row r="48">
      <c r="A48" s="41">
        <v>46003.52670998842</v>
      </c>
      <c r="B48" s="39" t="s">
        <v>449</v>
      </c>
      <c r="C48" s="39" t="s">
        <v>245</v>
      </c>
      <c r="D48" s="39" t="s">
        <v>359</v>
      </c>
      <c r="E48" s="39" t="s">
        <v>453</v>
      </c>
      <c r="F48" s="40">
        <v>10.0</v>
      </c>
      <c r="G48" s="40">
        <v>10.0</v>
      </c>
      <c r="H48" s="39" t="s">
        <v>454</v>
      </c>
    </row>
    <row r="49">
      <c r="A49" s="41">
        <v>46003.52670998842</v>
      </c>
      <c r="B49" s="39" t="s">
        <v>449</v>
      </c>
      <c r="C49" s="39" t="s">
        <v>248</v>
      </c>
      <c r="D49" s="39" t="s">
        <v>328</v>
      </c>
      <c r="E49" s="39" t="s">
        <v>453</v>
      </c>
      <c r="F49" s="40">
        <v>20.0</v>
      </c>
      <c r="G49" s="40">
        <v>20.0</v>
      </c>
      <c r="H49" s="39" t="s">
        <v>454</v>
      </c>
    </row>
    <row r="50">
      <c r="A50" s="41">
        <v>46003.52670998842</v>
      </c>
      <c r="B50" s="39" t="s">
        <v>449</v>
      </c>
      <c r="C50" s="39" t="s">
        <v>248</v>
      </c>
      <c r="D50" s="39" t="s">
        <v>359</v>
      </c>
      <c r="E50" s="39" t="s">
        <v>453</v>
      </c>
      <c r="F50" s="40">
        <v>10.0</v>
      </c>
      <c r="G50" s="40">
        <v>10.0</v>
      </c>
      <c r="H50" s="39" t="s">
        <v>454</v>
      </c>
    </row>
    <row r="51">
      <c r="A51" s="41">
        <v>46003.52670998842</v>
      </c>
      <c r="B51" s="39" t="s">
        <v>449</v>
      </c>
      <c r="C51" s="39" t="s">
        <v>249</v>
      </c>
      <c r="D51" s="39" t="s">
        <v>328</v>
      </c>
      <c r="E51" s="39" t="s">
        <v>453</v>
      </c>
      <c r="F51" s="40">
        <v>20.0</v>
      </c>
      <c r="G51" s="40">
        <v>20.0</v>
      </c>
      <c r="H51" s="39" t="s">
        <v>454</v>
      </c>
    </row>
    <row r="52">
      <c r="A52" s="41">
        <v>46003.52670998842</v>
      </c>
      <c r="B52" s="39" t="s">
        <v>449</v>
      </c>
      <c r="C52" s="39" t="s">
        <v>250</v>
      </c>
      <c r="D52" s="39" t="s">
        <v>359</v>
      </c>
      <c r="E52" s="39" t="s">
        <v>453</v>
      </c>
      <c r="F52" s="40">
        <v>10.0</v>
      </c>
      <c r="G52" s="40">
        <v>10.0</v>
      </c>
      <c r="H52" s="39" t="s">
        <v>454</v>
      </c>
    </row>
    <row r="53">
      <c r="A53" s="41">
        <v>46003.52670998842</v>
      </c>
      <c r="B53" s="39" t="s">
        <v>449</v>
      </c>
      <c r="C53" s="39" t="s">
        <v>250</v>
      </c>
      <c r="D53" s="39" t="s">
        <v>353</v>
      </c>
      <c r="E53" s="39" t="s">
        <v>451</v>
      </c>
      <c r="G53" s="40">
        <v>14.0</v>
      </c>
      <c r="H53" s="39" t="s">
        <v>455</v>
      </c>
    </row>
    <row r="54">
      <c r="A54" s="41">
        <v>46003.52670998842</v>
      </c>
      <c r="B54" s="39" t="s">
        <v>449</v>
      </c>
      <c r="C54" s="39" t="s">
        <v>251</v>
      </c>
      <c r="D54" s="39" t="s">
        <v>328</v>
      </c>
      <c r="E54" s="39" t="s">
        <v>453</v>
      </c>
      <c r="F54" s="40">
        <v>20.0</v>
      </c>
      <c r="G54" s="40">
        <v>20.0</v>
      </c>
      <c r="H54" s="39" t="s">
        <v>454</v>
      </c>
    </row>
    <row r="55">
      <c r="A55" s="41">
        <v>46003.52670998842</v>
      </c>
      <c r="B55" s="39" t="s">
        <v>449</v>
      </c>
      <c r="C55" s="39" t="s">
        <v>251</v>
      </c>
      <c r="D55" s="39" t="s">
        <v>350</v>
      </c>
      <c r="E55" s="39" t="s">
        <v>453</v>
      </c>
      <c r="F55" s="40">
        <v>20.0</v>
      </c>
      <c r="G55" s="40">
        <v>20.0</v>
      </c>
      <c r="H55" s="39" t="s">
        <v>454</v>
      </c>
    </row>
    <row r="56">
      <c r="A56" s="41">
        <v>46003.52670998842</v>
      </c>
      <c r="B56" s="39" t="s">
        <v>449</v>
      </c>
      <c r="C56" s="39" t="s">
        <v>252</v>
      </c>
      <c r="D56" s="39" t="s">
        <v>328</v>
      </c>
      <c r="E56" s="39" t="s">
        <v>453</v>
      </c>
      <c r="F56" s="40">
        <v>20.0</v>
      </c>
      <c r="G56" s="40">
        <v>20.0</v>
      </c>
      <c r="H56" s="39" t="s">
        <v>454</v>
      </c>
    </row>
    <row r="57">
      <c r="A57" s="41">
        <v>46003.52670998842</v>
      </c>
      <c r="B57" s="39" t="s">
        <v>449</v>
      </c>
      <c r="C57" s="39" t="s">
        <v>253</v>
      </c>
      <c r="D57" s="39" t="s">
        <v>328</v>
      </c>
      <c r="E57" s="39" t="s">
        <v>453</v>
      </c>
      <c r="F57" s="40">
        <v>20.0</v>
      </c>
      <c r="G57" s="40">
        <v>20.0</v>
      </c>
      <c r="H57" s="39" t="s">
        <v>454</v>
      </c>
    </row>
    <row r="58">
      <c r="A58" s="41">
        <v>46003.52670998842</v>
      </c>
      <c r="B58" s="39" t="s">
        <v>449</v>
      </c>
      <c r="C58" s="39" t="s">
        <v>253</v>
      </c>
      <c r="D58" s="39" t="s">
        <v>330</v>
      </c>
      <c r="E58" s="39" t="s">
        <v>453</v>
      </c>
      <c r="F58" s="40">
        <v>20.0</v>
      </c>
      <c r="G58" s="40">
        <v>20.0</v>
      </c>
      <c r="H58" s="39" t="s">
        <v>454</v>
      </c>
    </row>
    <row r="59">
      <c r="A59" s="41">
        <v>46003.52670998842</v>
      </c>
      <c r="B59" s="39" t="s">
        <v>449</v>
      </c>
      <c r="C59" s="39" t="s">
        <v>253</v>
      </c>
      <c r="D59" s="39" t="s">
        <v>348</v>
      </c>
      <c r="E59" s="39" t="s">
        <v>453</v>
      </c>
      <c r="F59" s="40">
        <v>20.0</v>
      </c>
      <c r="G59" s="40">
        <v>20.0</v>
      </c>
      <c r="H59" s="39" t="s">
        <v>454</v>
      </c>
    </row>
    <row r="60">
      <c r="A60" s="41">
        <v>46003.52670998842</v>
      </c>
      <c r="B60" s="39" t="s">
        <v>449</v>
      </c>
      <c r="C60" s="39" t="s">
        <v>253</v>
      </c>
      <c r="D60" s="39" t="s">
        <v>350</v>
      </c>
      <c r="E60" s="39" t="s">
        <v>453</v>
      </c>
      <c r="F60" s="40">
        <v>20.0</v>
      </c>
      <c r="G60" s="40">
        <v>20.0</v>
      </c>
      <c r="H60" s="39" t="s">
        <v>454</v>
      </c>
    </row>
    <row r="61">
      <c r="A61" s="41">
        <v>46003.52671049768</v>
      </c>
      <c r="B61" s="39" t="s">
        <v>449</v>
      </c>
      <c r="C61" s="39" t="s">
        <v>456</v>
      </c>
      <c r="D61" s="39" t="s">
        <v>457</v>
      </c>
      <c r="E61" s="39" t="s">
        <v>458</v>
      </c>
      <c r="H61" s="39" t="s">
        <v>459</v>
      </c>
    </row>
    <row r="62">
      <c r="A62" s="41">
        <v>46003.52692268518</v>
      </c>
      <c r="B62" s="39" t="s">
        <v>460</v>
      </c>
      <c r="C62" s="39" t="s">
        <v>447</v>
      </c>
      <c r="D62" s="39" t="s">
        <v>450</v>
      </c>
      <c r="E62" s="39" t="s">
        <v>451</v>
      </c>
      <c r="H62" s="39" t="s">
        <v>452</v>
      </c>
    </row>
    <row r="63">
      <c r="A63" s="41">
        <v>46003.5269227199</v>
      </c>
      <c r="B63" s="39" t="s">
        <v>460</v>
      </c>
      <c r="C63" s="39" t="s">
        <v>448</v>
      </c>
      <c r="D63" s="39" t="s">
        <v>450</v>
      </c>
      <c r="E63" s="39" t="s">
        <v>451</v>
      </c>
      <c r="H63" s="39" t="s">
        <v>452</v>
      </c>
    </row>
    <row r="64">
      <c r="A64" s="41">
        <v>46003.52861540509</v>
      </c>
      <c r="B64" s="39" t="s">
        <v>460</v>
      </c>
      <c r="C64" s="39" t="s">
        <v>254</v>
      </c>
      <c r="D64" s="39" t="s">
        <v>437</v>
      </c>
      <c r="E64" s="39" t="s">
        <v>453</v>
      </c>
      <c r="F64" s="40">
        <v>0.0</v>
      </c>
      <c r="G64" s="40">
        <v>9.0</v>
      </c>
      <c r="H64" s="39" t="s">
        <v>454</v>
      </c>
    </row>
    <row r="65">
      <c r="A65" s="41">
        <v>46003.52861540509</v>
      </c>
      <c r="B65" s="39" t="s">
        <v>460</v>
      </c>
      <c r="C65" s="39" t="s">
        <v>254</v>
      </c>
      <c r="D65" s="39" t="s">
        <v>438</v>
      </c>
      <c r="E65" s="39" t="s">
        <v>453</v>
      </c>
      <c r="F65" s="40">
        <v>0.0</v>
      </c>
      <c r="G65" s="40">
        <v>16.0</v>
      </c>
      <c r="H65" s="39" t="s">
        <v>454</v>
      </c>
    </row>
    <row r="66">
      <c r="A66" s="41">
        <v>46003.52861540509</v>
      </c>
      <c r="B66" s="39" t="s">
        <v>460</v>
      </c>
      <c r="C66" s="39" t="s">
        <v>254</v>
      </c>
      <c r="D66" s="39" t="s">
        <v>442</v>
      </c>
      <c r="E66" s="39" t="s">
        <v>453</v>
      </c>
      <c r="F66" s="40">
        <v>0.0</v>
      </c>
      <c r="G66" s="40">
        <v>9.0</v>
      </c>
      <c r="H66" s="39" t="s">
        <v>461</v>
      </c>
    </row>
    <row r="67">
      <c r="A67" s="41">
        <v>46003.52861540509</v>
      </c>
      <c r="B67" s="39" t="s">
        <v>460</v>
      </c>
      <c r="C67" s="39" t="s">
        <v>254</v>
      </c>
      <c r="D67" s="39" t="s">
        <v>443</v>
      </c>
      <c r="E67" s="39" t="s">
        <v>453</v>
      </c>
      <c r="F67" s="40">
        <v>0.0</v>
      </c>
      <c r="G67" s="40">
        <v>16.0</v>
      </c>
      <c r="H67" s="39" t="s">
        <v>461</v>
      </c>
    </row>
    <row r="68">
      <c r="A68" s="41">
        <v>46003.52861540509</v>
      </c>
      <c r="B68" s="39" t="s">
        <v>460</v>
      </c>
      <c r="C68" s="39" t="s">
        <v>254</v>
      </c>
      <c r="D68" s="39" t="s">
        <v>444</v>
      </c>
      <c r="E68" s="39" t="s">
        <v>453</v>
      </c>
      <c r="F68" s="39" t="s">
        <v>462</v>
      </c>
      <c r="G68" s="40">
        <v>0.0</v>
      </c>
      <c r="H68" s="39" t="s">
        <v>461</v>
      </c>
    </row>
    <row r="69">
      <c r="A69" s="41">
        <v>46003.52861540509</v>
      </c>
      <c r="B69" s="39" t="s">
        <v>460</v>
      </c>
      <c r="C69" s="39" t="s">
        <v>257</v>
      </c>
      <c r="D69" s="39" t="s">
        <v>437</v>
      </c>
      <c r="E69" s="39" t="s">
        <v>453</v>
      </c>
      <c r="F69" s="40">
        <v>0.0</v>
      </c>
      <c r="G69" s="40">
        <v>9.0</v>
      </c>
      <c r="H69" s="39" t="s">
        <v>454</v>
      </c>
    </row>
    <row r="70">
      <c r="A70" s="41">
        <v>46003.52861540509</v>
      </c>
      <c r="B70" s="39" t="s">
        <v>460</v>
      </c>
      <c r="C70" s="39" t="s">
        <v>257</v>
      </c>
      <c r="D70" s="39" t="s">
        <v>442</v>
      </c>
      <c r="E70" s="39" t="s">
        <v>453</v>
      </c>
      <c r="F70" s="40">
        <v>0.0</v>
      </c>
      <c r="G70" s="40">
        <v>9.0</v>
      </c>
      <c r="H70" s="39" t="s">
        <v>461</v>
      </c>
    </row>
    <row r="71">
      <c r="A71" s="41">
        <v>46003.52861540509</v>
      </c>
      <c r="B71" s="39" t="s">
        <v>460</v>
      </c>
      <c r="C71" s="39" t="s">
        <v>258</v>
      </c>
      <c r="D71" s="39" t="s">
        <v>437</v>
      </c>
      <c r="E71" s="39" t="s">
        <v>453</v>
      </c>
      <c r="F71" s="40">
        <v>0.0</v>
      </c>
      <c r="G71" s="40">
        <v>8.0</v>
      </c>
      <c r="H71" s="39" t="s">
        <v>454</v>
      </c>
    </row>
    <row r="72">
      <c r="A72" s="41">
        <v>46003.52861540509</v>
      </c>
      <c r="B72" s="39" t="s">
        <v>460</v>
      </c>
      <c r="C72" s="39" t="s">
        <v>258</v>
      </c>
      <c r="D72" s="39" t="s">
        <v>442</v>
      </c>
      <c r="E72" s="39" t="s">
        <v>453</v>
      </c>
      <c r="F72" s="40">
        <v>0.0</v>
      </c>
      <c r="G72" s="40">
        <v>8.0</v>
      </c>
      <c r="H72" s="39" t="s">
        <v>461</v>
      </c>
    </row>
    <row r="73">
      <c r="A73" s="41">
        <v>46003.52861540509</v>
      </c>
      <c r="B73" s="39" t="s">
        <v>460</v>
      </c>
      <c r="C73" s="39" t="s">
        <v>260</v>
      </c>
      <c r="D73" s="39" t="s">
        <v>428</v>
      </c>
      <c r="E73" s="39" t="s">
        <v>453</v>
      </c>
      <c r="F73" s="40">
        <v>20.0</v>
      </c>
      <c r="G73" s="40">
        <v>20.0</v>
      </c>
      <c r="H73" s="39" t="s">
        <v>454</v>
      </c>
    </row>
    <row r="74">
      <c r="A74" s="41">
        <v>46003.52861540509</v>
      </c>
      <c r="B74" s="39" t="s">
        <v>460</v>
      </c>
      <c r="C74" s="39" t="s">
        <v>260</v>
      </c>
      <c r="D74" s="39" t="s">
        <v>437</v>
      </c>
      <c r="E74" s="39" t="s">
        <v>453</v>
      </c>
      <c r="F74" s="40">
        <v>0.0</v>
      </c>
      <c r="G74" s="40">
        <v>9.0</v>
      </c>
      <c r="H74" s="39" t="s">
        <v>454</v>
      </c>
    </row>
    <row r="75">
      <c r="A75" s="41">
        <v>46003.52861540509</v>
      </c>
      <c r="B75" s="39" t="s">
        <v>460</v>
      </c>
      <c r="C75" s="39" t="s">
        <v>260</v>
      </c>
      <c r="D75" s="39" t="s">
        <v>438</v>
      </c>
      <c r="E75" s="39" t="s">
        <v>453</v>
      </c>
      <c r="F75" s="40">
        <v>0.0</v>
      </c>
      <c r="G75" s="40">
        <v>16.0</v>
      </c>
      <c r="H75" s="39" t="s">
        <v>454</v>
      </c>
    </row>
    <row r="76">
      <c r="A76" s="41">
        <v>46003.52861540509</v>
      </c>
      <c r="B76" s="39" t="s">
        <v>460</v>
      </c>
      <c r="C76" s="39" t="s">
        <v>260</v>
      </c>
      <c r="D76" s="39" t="s">
        <v>439</v>
      </c>
      <c r="E76" s="39" t="s">
        <v>453</v>
      </c>
      <c r="F76" s="40">
        <v>0.0</v>
      </c>
      <c r="G76" s="40">
        <v>17.0</v>
      </c>
      <c r="H76" s="39" t="s">
        <v>454</v>
      </c>
    </row>
    <row r="77">
      <c r="A77" s="41">
        <v>46003.52861540509</v>
      </c>
      <c r="B77" s="39" t="s">
        <v>460</v>
      </c>
      <c r="C77" s="39" t="s">
        <v>260</v>
      </c>
      <c r="D77" s="39" t="s">
        <v>440</v>
      </c>
      <c r="E77" s="39" t="s">
        <v>453</v>
      </c>
      <c r="F77" s="40">
        <v>0.0</v>
      </c>
      <c r="G77" s="40">
        <v>20.0</v>
      </c>
      <c r="H77" s="39" t="s">
        <v>454</v>
      </c>
    </row>
    <row r="78">
      <c r="A78" s="41">
        <v>46003.52861540509</v>
      </c>
      <c r="B78" s="39" t="s">
        <v>460</v>
      </c>
      <c r="C78" s="39" t="s">
        <v>260</v>
      </c>
      <c r="D78" s="39" t="s">
        <v>441</v>
      </c>
      <c r="E78" s="39" t="s">
        <v>453</v>
      </c>
      <c r="F78" s="40">
        <v>0.0</v>
      </c>
      <c r="G78" s="40">
        <v>17.0</v>
      </c>
      <c r="H78" s="39" t="s">
        <v>454</v>
      </c>
    </row>
    <row r="79">
      <c r="A79" s="41">
        <v>46003.52861540509</v>
      </c>
      <c r="B79" s="39" t="s">
        <v>460</v>
      </c>
      <c r="C79" s="39" t="s">
        <v>260</v>
      </c>
      <c r="D79" s="39" t="s">
        <v>442</v>
      </c>
      <c r="E79" s="39" t="s">
        <v>453</v>
      </c>
      <c r="F79" s="40">
        <v>0.0</v>
      </c>
      <c r="G79" s="40">
        <v>9.0</v>
      </c>
      <c r="H79" s="39" t="s">
        <v>461</v>
      </c>
    </row>
    <row r="80">
      <c r="A80" s="41">
        <v>46003.52861540509</v>
      </c>
      <c r="B80" s="39" t="s">
        <v>460</v>
      </c>
      <c r="C80" s="39" t="s">
        <v>260</v>
      </c>
      <c r="D80" s="39" t="s">
        <v>443</v>
      </c>
      <c r="E80" s="39" t="s">
        <v>453</v>
      </c>
      <c r="F80" s="40">
        <v>0.0</v>
      </c>
      <c r="G80" s="40">
        <v>16.0</v>
      </c>
      <c r="H80" s="39" t="s">
        <v>461</v>
      </c>
    </row>
    <row r="81">
      <c r="A81" s="41">
        <v>46003.52861540509</v>
      </c>
      <c r="B81" s="39" t="s">
        <v>460</v>
      </c>
      <c r="C81" s="39" t="s">
        <v>260</v>
      </c>
      <c r="D81" s="39" t="s">
        <v>444</v>
      </c>
      <c r="E81" s="39" t="s">
        <v>453</v>
      </c>
      <c r="F81" s="40">
        <v>0.0</v>
      </c>
      <c r="G81" s="40">
        <v>17.0</v>
      </c>
      <c r="H81" s="39" t="s">
        <v>461</v>
      </c>
    </row>
    <row r="82">
      <c r="A82" s="41">
        <v>46003.52861540509</v>
      </c>
      <c r="B82" s="39" t="s">
        <v>460</v>
      </c>
      <c r="C82" s="39" t="s">
        <v>260</v>
      </c>
      <c r="D82" s="39" t="s">
        <v>445</v>
      </c>
      <c r="E82" s="39" t="s">
        <v>453</v>
      </c>
      <c r="F82" s="40">
        <v>0.0</v>
      </c>
      <c r="G82" s="40">
        <v>20.0</v>
      </c>
      <c r="H82" s="39" t="s">
        <v>461</v>
      </c>
    </row>
    <row r="83">
      <c r="A83" s="41">
        <v>46003.52861540509</v>
      </c>
      <c r="B83" s="39" t="s">
        <v>460</v>
      </c>
      <c r="C83" s="39" t="s">
        <v>260</v>
      </c>
      <c r="D83" s="39" t="s">
        <v>446</v>
      </c>
      <c r="E83" s="39" t="s">
        <v>453</v>
      </c>
      <c r="F83" s="40">
        <v>0.0</v>
      </c>
      <c r="G83" s="40">
        <v>17.0</v>
      </c>
      <c r="H83" s="39" t="s">
        <v>461</v>
      </c>
    </row>
    <row r="84">
      <c r="A84" s="41">
        <v>46003.52861540509</v>
      </c>
      <c r="B84" s="39" t="s">
        <v>460</v>
      </c>
      <c r="C84" s="39" t="s">
        <v>261</v>
      </c>
      <c r="D84" s="39" t="s">
        <v>437</v>
      </c>
      <c r="E84" s="39" t="s">
        <v>453</v>
      </c>
      <c r="F84" s="40">
        <v>0.0</v>
      </c>
      <c r="G84" s="40">
        <v>9.0</v>
      </c>
      <c r="H84" s="39" t="s">
        <v>454</v>
      </c>
    </row>
    <row r="85">
      <c r="A85" s="41">
        <v>46003.52861540509</v>
      </c>
      <c r="B85" s="39" t="s">
        <v>460</v>
      </c>
      <c r="C85" s="39" t="s">
        <v>261</v>
      </c>
      <c r="D85" s="39" t="s">
        <v>442</v>
      </c>
      <c r="E85" s="39" t="s">
        <v>453</v>
      </c>
      <c r="F85" s="40">
        <v>0.0</v>
      </c>
      <c r="G85" s="40">
        <v>9.0</v>
      </c>
      <c r="H85" s="39" t="s">
        <v>461</v>
      </c>
    </row>
    <row r="86">
      <c r="A86" s="41">
        <v>46003.52861540509</v>
      </c>
      <c r="B86" s="39" t="s">
        <v>460</v>
      </c>
      <c r="C86" s="39" t="s">
        <v>262</v>
      </c>
      <c r="D86" s="39" t="s">
        <v>428</v>
      </c>
      <c r="E86" s="39" t="s">
        <v>453</v>
      </c>
      <c r="F86" s="40">
        <v>20.0</v>
      </c>
      <c r="G86" s="40">
        <v>20.0</v>
      </c>
      <c r="H86" s="39" t="s">
        <v>454</v>
      </c>
    </row>
    <row r="87">
      <c r="A87" s="41">
        <v>46003.52861540509</v>
      </c>
      <c r="B87" s="39" t="s">
        <v>460</v>
      </c>
      <c r="C87" s="39" t="s">
        <v>262</v>
      </c>
      <c r="D87" s="39" t="s">
        <v>429</v>
      </c>
      <c r="E87" s="39" t="s">
        <v>453</v>
      </c>
      <c r="F87" s="40">
        <v>20.0</v>
      </c>
      <c r="G87" s="40">
        <v>20.0</v>
      </c>
      <c r="H87" s="39" t="s">
        <v>454</v>
      </c>
    </row>
    <row r="88">
      <c r="A88" s="41">
        <v>46003.52861540509</v>
      </c>
      <c r="B88" s="39" t="s">
        <v>460</v>
      </c>
      <c r="C88" s="39" t="s">
        <v>262</v>
      </c>
      <c r="D88" s="39" t="s">
        <v>430</v>
      </c>
      <c r="E88" s="39" t="s">
        <v>453</v>
      </c>
      <c r="F88" s="40">
        <v>20.0</v>
      </c>
      <c r="G88" s="40">
        <v>20.0</v>
      </c>
      <c r="H88" s="39" t="s">
        <v>454</v>
      </c>
    </row>
    <row r="89">
      <c r="A89" s="41">
        <v>46003.52861540509</v>
      </c>
      <c r="B89" s="39" t="s">
        <v>460</v>
      </c>
      <c r="C89" s="39" t="s">
        <v>262</v>
      </c>
      <c r="D89" s="39" t="s">
        <v>437</v>
      </c>
      <c r="E89" s="39" t="s">
        <v>453</v>
      </c>
      <c r="F89" s="40">
        <v>3.0</v>
      </c>
      <c r="G89" s="40">
        <v>12.0</v>
      </c>
      <c r="H89" s="39" t="s">
        <v>454</v>
      </c>
    </row>
    <row r="90">
      <c r="A90" s="41">
        <v>46003.52861540509</v>
      </c>
      <c r="B90" s="39" t="s">
        <v>460</v>
      </c>
      <c r="C90" s="39" t="s">
        <v>262</v>
      </c>
      <c r="D90" s="39" t="s">
        <v>438</v>
      </c>
      <c r="E90" s="39" t="s">
        <v>453</v>
      </c>
      <c r="F90" s="40">
        <v>4.0</v>
      </c>
      <c r="G90" s="40">
        <v>20.0</v>
      </c>
      <c r="H90" s="39" t="s">
        <v>454</v>
      </c>
    </row>
    <row r="91">
      <c r="A91" s="41">
        <v>46003.52861540509</v>
      </c>
      <c r="B91" s="39" t="s">
        <v>460</v>
      </c>
      <c r="C91" s="39" t="s">
        <v>262</v>
      </c>
      <c r="D91" s="39" t="s">
        <v>442</v>
      </c>
      <c r="E91" s="39" t="s">
        <v>453</v>
      </c>
      <c r="F91" s="40">
        <v>3.0</v>
      </c>
      <c r="G91" s="40">
        <v>12.0</v>
      </c>
      <c r="H91" s="39" t="s">
        <v>461</v>
      </c>
    </row>
    <row r="92">
      <c r="A92" s="41">
        <v>46003.52861540509</v>
      </c>
      <c r="B92" s="39" t="s">
        <v>460</v>
      </c>
      <c r="C92" s="39" t="s">
        <v>262</v>
      </c>
      <c r="D92" s="39" t="s">
        <v>443</v>
      </c>
      <c r="E92" s="39" t="s">
        <v>453</v>
      </c>
      <c r="F92" s="40">
        <v>4.0</v>
      </c>
      <c r="G92" s="40">
        <v>20.0</v>
      </c>
      <c r="H92" s="39" t="s">
        <v>461</v>
      </c>
    </row>
    <row r="93">
      <c r="A93" s="41">
        <v>46003.52861540509</v>
      </c>
      <c r="B93" s="39" t="s">
        <v>460</v>
      </c>
      <c r="C93" s="39" t="s">
        <v>263</v>
      </c>
      <c r="D93" s="39" t="s">
        <v>437</v>
      </c>
      <c r="E93" s="39" t="s">
        <v>453</v>
      </c>
      <c r="F93" s="40">
        <v>0.0</v>
      </c>
      <c r="G93" s="40">
        <v>9.0</v>
      </c>
      <c r="H93" s="39" t="s">
        <v>454</v>
      </c>
    </row>
    <row r="94">
      <c r="A94" s="41">
        <v>46003.52861540509</v>
      </c>
      <c r="B94" s="39" t="s">
        <v>460</v>
      </c>
      <c r="C94" s="39" t="s">
        <v>263</v>
      </c>
      <c r="D94" s="39" t="s">
        <v>438</v>
      </c>
      <c r="E94" s="39" t="s">
        <v>453</v>
      </c>
      <c r="F94" s="40">
        <v>0.0</v>
      </c>
      <c r="G94" s="40">
        <v>12.0</v>
      </c>
      <c r="H94" s="39" t="s">
        <v>454</v>
      </c>
    </row>
    <row r="95">
      <c r="A95" s="41">
        <v>46003.52861540509</v>
      </c>
      <c r="B95" s="39" t="s">
        <v>460</v>
      </c>
      <c r="C95" s="39" t="s">
        <v>263</v>
      </c>
      <c r="D95" s="39" t="s">
        <v>442</v>
      </c>
      <c r="E95" s="39" t="s">
        <v>453</v>
      </c>
      <c r="F95" s="40">
        <v>0.0</v>
      </c>
      <c r="G95" s="40">
        <v>9.0</v>
      </c>
      <c r="H95" s="39" t="s">
        <v>461</v>
      </c>
    </row>
    <row r="96">
      <c r="A96" s="41">
        <v>46003.52861540509</v>
      </c>
      <c r="B96" s="39" t="s">
        <v>460</v>
      </c>
      <c r="C96" s="39" t="s">
        <v>263</v>
      </c>
      <c r="D96" s="39" t="s">
        <v>443</v>
      </c>
      <c r="E96" s="39" t="s">
        <v>453</v>
      </c>
      <c r="F96" s="40">
        <v>0.0</v>
      </c>
      <c r="G96" s="40">
        <v>12.0</v>
      </c>
      <c r="H96" s="39" t="s">
        <v>461</v>
      </c>
    </row>
    <row r="97">
      <c r="A97" s="41">
        <v>46003.52861540509</v>
      </c>
      <c r="B97" s="39" t="s">
        <v>460</v>
      </c>
      <c r="C97" s="39" t="s">
        <v>265</v>
      </c>
      <c r="D97" s="39" t="s">
        <v>437</v>
      </c>
      <c r="E97" s="39" t="s">
        <v>453</v>
      </c>
      <c r="F97" s="40">
        <v>3.0</v>
      </c>
      <c r="G97" s="40">
        <v>12.0</v>
      </c>
      <c r="H97" s="39" t="s">
        <v>454</v>
      </c>
    </row>
    <row r="98">
      <c r="A98" s="41">
        <v>46003.52861540509</v>
      </c>
      <c r="B98" s="39" t="s">
        <v>460</v>
      </c>
      <c r="C98" s="39" t="s">
        <v>265</v>
      </c>
      <c r="D98" s="39" t="s">
        <v>442</v>
      </c>
      <c r="E98" s="39" t="s">
        <v>453</v>
      </c>
      <c r="F98" s="40">
        <v>3.0</v>
      </c>
      <c r="G98" s="40">
        <v>12.0</v>
      </c>
      <c r="H98" s="39" t="s">
        <v>461</v>
      </c>
    </row>
    <row r="99">
      <c r="A99" s="41">
        <v>46003.52861540509</v>
      </c>
      <c r="B99" s="39" t="s">
        <v>460</v>
      </c>
      <c r="C99" s="39" t="s">
        <v>266</v>
      </c>
      <c r="D99" s="39" t="s">
        <v>428</v>
      </c>
      <c r="E99" s="39" t="s">
        <v>453</v>
      </c>
      <c r="F99" s="40">
        <v>20.0</v>
      </c>
      <c r="G99" s="40">
        <v>20.0</v>
      </c>
      <c r="H99" s="39" t="s">
        <v>454</v>
      </c>
    </row>
    <row r="100">
      <c r="A100" s="41">
        <v>46003.52861540509</v>
      </c>
      <c r="B100" s="39" t="s">
        <v>460</v>
      </c>
      <c r="C100" s="39" t="s">
        <v>266</v>
      </c>
      <c r="D100" s="39" t="s">
        <v>429</v>
      </c>
      <c r="E100" s="39" t="s">
        <v>453</v>
      </c>
      <c r="F100" s="40">
        <v>20.0</v>
      </c>
      <c r="G100" s="40">
        <v>20.0</v>
      </c>
      <c r="H100" s="39" t="s">
        <v>454</v>
      </c>
    </row>
    <row r="101">
      <c r="A101" s="41">
        <v>46003.52861540509</v>
      </c>
      <c r="B101" s="39" t="s">
        <v>460</v>
      </c>
      <c r="C101" s="39" t="s">
        <v>266</v>
      </c>
      <c r="D101" s="39" t="s">
        <v>438</v>
      </c>
      <c r="E101" s="39" t="s">
        <v>453</v>
      </c>
      <c r="F101" s="40">
        <v>0.0</v>
      </c>
      <c r="G101" s="40">
        <v>4.0</v>
      </c>
      <c r="H101" s="39" t="s">
        <v>454</v>
      </c>
    </row>
    <row r="102">
      <c r="A102" s="41">
        <v>46003.52861540509</v>
      </c>
      <c r="B102" s="39" t="s">
        <v>460</v>
      </c>
      <c r="C102" s="39" t="s">
        <v>266</v>
      </c>
      <c r="D102" s="39" t="s">
        <v>442</v>
      </c>
      <c r="E102" s="39" t="s">
        <v>453</v>
      </c>
      <c r="F102" s="39" t="s">
        <v>462</v>
      </c>
      <c r="G102" s="40">
        <v>0.0</v>
      </c>
      <c r="H102" s="39" t="s">
        <v>461</v>
      </c>
    </row>
    <row r="103">
      <c r="A103" s="41">
        <v>46003.52861540509</v>
      </c>
      <c r="B103" s="39" t="s">
        <v>460</v>
      </c>
      <c r="C103" s="39" t="s">
        <v>266</v>
      </c>
      <c r="D103" s="39" t="s">
        <v>443</v>
      </c>
      <c r="E103" s="39" t="s">
        <v>453</v>
      </c>
      <c r="F103" s="39" t="s">
        <v>462</v>
      </c>
      <c r="G103" s="40">
        <v>4.0</v>
      </c>
      <c r="H103" s="39" t="s">
        <v>461</v>
      </c>
    </row>
    <row r="104">
      <c r="A104" s="41">
        <v>46003.52861540509</v>
      </c>
      <c r="B104" s="39" t="s">
        <v>460</v>
      </c>
      <c r="C104" s="39" t="s">
        <v>268</v>
      </c>
      <c r="D104" s="39" t="s">
        <v>437</v>
      </c>
      <c r="E104" s="39" t="s">
        <v>453</v>
      </c>
      <c r="F104" s="40">
        <v>0.0</v>
      </c>
      <c r="G104" s="40">
        <v>9.0</v>
      </c>
      <c r="H104" s="39" t="s">
        <v>454</v>
      </c>
    </row>
    <row r="105">
      <c r="A105" s="41">
        <v>46003.52861540509</v>
      </c>
      <c r="B105" s="39" t="s">
        <v>460</v>
      </c>
      <c r="C105" s="39" t="s">
        <v>268</v>
      </c>
      <c r="D105" s="39" t="s">
        <v>442</v>
      </c>
      <c r="E105" s="39" t="s">
        <v>453</v>
      </c>
      <c r="F105" s="40">
        <v>0.0</v>
      </c>
      <c r="G105" s="40">
        <v>9.0</v>
      </c>
      <c r="H105" s="39" t="s">
        <v>461</v>
      </c>
    </row>
    <row r="106">
      <c r="A106" s="41">
        <v>46003.52861540509</v>
      </c>
      <c r="B106" s="39" t="s">
        <v>460</v>
      </c>
      <c r="C106" s="39" t="s">
        <v>270</v>
      </c>
      <c r="D106" s="39" t="s">
        <v>437</v>
      </c>
      <c r="E106" s="39" t="s">
        <v>453</v>
      </c>
      <c r="F106" s="40">
        <v>0.0</v>
      </c>
      <c r="G106" s="40">
        <v>7.0</v>
      </c>
      <c r="H106" s="39" t="s">
        <v>454</v>
      </c>
    </row>
    <row r="107">
      <c r="A107" s="41">
        <v>46003.52861540509</v>
      </c>
      <c r="B107" s="39" t="s">
        <v>460</v>
      </c>
      <c r="C107" s="39" t="s">
        <v>270</v>
      </c>
      <c r="D107" s="39" t="s">
        <v>438</v>
      </c>
      <c r="E107" s="39" t="s">
        <v>453</v>
      </c>
      <c r="F107" s="40">
        <v>0.0</v>
      </c>
      <c r="G107" s="40">
        <v>8.0</v>
      </c>
      <c r="H107" s="39" t="s">
        <v>454</v>
      </c>
    </row>
    <row r="108">
      <c r="A108" s="41">
        <v>46003.52861540509</v>
      </c>
      <c r="B108" s="39" t="s">
        <v>460</v>
      </c>
      <c r="C108" s="39" t="s">
        <v>270</v>
      </c>
      <c r="D108" s="39" t="s">
        <v>442</v>
      </c>
      <c r="E108" s="39" t="s">
        <v>453</v>
      </c>
      <c r="F108" s="40">
        <v>0.0</v>
      </c>
      <c r="G108" s="40">
        <v>7.0</v>
      </c>
      <c r="H108" s="39" t="s">
        <v>461</v>
      </c>
    </row>
    <row r="109">
      <c r="A109" s="41">
        <v>46003.52861540509</v>
      </c>
      <c r="B109" s="39" t="s">
        <v>460</v>
      </c>
      <c r="C109" s="39" t="s">
        <v>270</v>
      </c>
      <c r="D109" s="39" t="s">
        <v>443</v>
      </c>
      <c r="E109" s="39" t="s">
        <v>453</v>
      </c>
      <c r="F109" s="40">
        <v>0.0</v>
      </c>
      <c r="G109" s="40">
        <v>8.0</v>
      </c>
      <c r="H109" s="39" t="s">
        <v>461</v>
      </c>
    </row>
    <row r="110">
      <c r="A110" s="41">
        <v>46003.52861540509</v>
      </c>
      <c r="B110" s="39" t="s">
        <v>460</v>
      </c>
      <c r="C110" s="39" t="s">
        <v>271</v>
      </c>
      <c r="D110" s="39" t="s">
        <v>437</v>
      </c>
      <c r="E110" s="39" t="s">
        <v>453</v>
      </c>
      <c r="F110" s="40">
        <v>0.0</v>
      </c>
      <c r="G110" s="40">
        <v>9.0</v>
      </c>
      <c r="H110" s="39" t="s">
        <v>454</v>
      </c>
    </row>
    <row r="111">
      <c r="A111" s="41">
        <v>46003.52861540509</v>
      </c>
      <c r="B111" s="39" t="s">
        <v>460</v>
      </c>
      <c r="C111" s="39" t="s">
        <v>271</v>
      </c>
      <c r="D111" s="39" t="s">
        <v>438</v>
      </c>
      <c r="E111" s="39" t="s">
        <v>453</v>
      </c>
      <c r="F111" s="40">
        <v>0.0</v>
      </c>
      <c r="G111" s="40">
        <v>11.0</v>
      </c>
      <c r="H111" s="39" t="s">
        <v>454</v>
      </c>
    </row>
    <row r="112">
      <c r="A112" s="41">
        <v>46003.52861540509</v>
      </c>
      <c r="B112" s="39" t="s">
        <v>460</v>
      </c>
      <c r="C112" s="39" t="s">
        <v>271</v>
      </c>
      <c r="D112" s="39" t="s">
        <v>439</v>
      </c>
      <c r="E112" s="39" t="s">
        <v>453</v>
      </c>
      <c r="F112" s="40">
        <v>0.0</v>
      </c>
      <c r="G112" s="40">
        <v>15.0</v>
      </c>
      <c r="H112" s="39" t="s">
        <v>454</v>
      </c>
    </row>
    <row r="113">
      <c r="A113" s="41">
        <v>46003.52861540509</v>
      </c>
      <c r="B113" s="39" t="s">
        <v>460</v>
      </c>
      <c r="C113" s="39" t="s">
        <v>271</v>
      </c>
      <c r="D113" s="39" t="s">
        <v>440</v>
      </c>
      <c r="E113" s="39" t="s">
        <v>453</v>
      </c>
      <c r="F113" s="40">
        <v>0.0</v>
      </c>
      <c r="G113" s="40">
        <v>20.0</v>
      </c>
      <c r="H113" s="39" t="s">
        <v>454</v>
      </c>
    </row>
    <row r="114">
      <c r="A114" s="41">
        <v>46003.52861540509</v>
      </c>
      <c r="B114" s="39" t="s">
        <v>460</v>
      </c>
      <c r="C114" s="39" t="s">
        <v>271</v>
      </c>
      <c r="D114" s="39" t="s">
        <v>441</v>
      </c>
      <c r="E114" s="39" t="s">
        <v>453</v>
      </c>
      <c r="F114" s="40">
        <v>0.0</v>
      </c>
      <c r="G114" s="40">
        <v>16.0</v>
      </c>
      <c r="H114" s="39" t="s">
        <v>454</v>
      </c>
    </row>
    <row r="115">
      <c r="A115" s="41">
        <v>46003.52861540509</v>
      </c>
      <c r="B115" s="39" t="s">
        <v>460</v>
      </c>
      <c r="C115" s="39" t="s">
        <v>271</v>
      </c>
      <c r="D115" s="39" t="s">
        <v>442</v>
      </c>
      <c r="E115" s="39" t="s">
        <v>453</v>
      </c>
      <c r="F115" s="40">
        <v>0.0</v>
      </c>
      <c r="G115" s="40">
        <v>9.0</v>
      </c>
      <c r="H115" s="39" t="s">
        <v>461</v>
      </c>
    </row>
    <row r="116">
      <c r="A116" s="41">
        <v>46003.52861540509</v>
      </c>
      <c r="B116" s="39" t="s">
        <v>460</v>
      </c>
      <c r="C116" s="39" t="s">
        <v>271</v>
      </c>
      <c r="D116" s="39" t="s">
        <v>443</v>
      </c>
      <c r="E116" s="39" t="s">
        <v>453</v>
      </c>
      <c r="F116" s="40">
        <v>0.0</v>
      </c>
      <c r="G116" s="40">
        <v>11.0</v>
      </c>
      <c r="H116" s="39" t="s">
        <v>461</v>
      </c>
    </row>
    <row r="117">
      <c r="A117" s="41">
        <v>46003.52861540509</v>
      </c>
      <c r="B117" s="39" t="s">
        <v>460</v>
      </c>
      <c r="C117" s="39" t="s">
        <v>271</v>
      </c>
      <c r="D117" s="39" t="s">
        <v>444</v>
      </c>
      <c r="E117" s="39" t="s">
        <v>453</v>
      </c>
      <c r="F117" s="40">
        <v>0.0</v>
      </c>
      <c r="G117" s="40">
        <v>15.0</v>
      </c>
      <c r="H117" s="39" t="s">
        <v>461</v>
      </c>
    </row>
    <row r="118">
      <c r="A118" s="41">
        <v>46003.52861540509</v>
      </c>
      <c r="B118" s="39" t="s">
        <v>460</v>
      </c>
      <c r="C118" s="39" t="s">
        <v>271</v>
      </c>
      <c r="D118" s="39" t="s">
        <v>445</v>
      </c>
      <c r="E118" s="39" t="s">
        <v>453</v>
      </c>
      <c r="F118" s="39" t="s">
        <v>462</v>
      </c>
      <c r="G118" s="40">
        <v>20.0</v>
      </c>
      <c r="H118" s="39" t="s">
        <v>461</v>
      </c>
    </row>
    <row r="119">
      <c r="A119" s="41">
        <v>46003.52861540509</v>
      </c>
      <c r="B119" s="39" t="s">
        <v>460</v>
      </c>
      <c r="C119" s="39" t="s">
        <v>271</v>
      </c>
      <c r="D119" s="39" t="s">
        <v>446</v>
      </c>
      <c r="E119" s="39" t="s">
        <v>453</v>
      </c>
      <c r="F119" s="40">
        <v>0.0</v>
      </c>
      <c r="G119" s="40">
        <v>16.0</v>
      </c>
      <c r="H119" s="39" t="s">
        <v>461</v>
      </c>
    </row>
    <row r="120">
      <c r="A120" s="41">
        <v>46003.52861540509</v>
      </c>
      <c r="B120" s="39" t="s">
        <v>460</v>
      </c>
      <c r="C120" s="39" t="s">
        <v>272</v>
      </c>
      <c r="D120" s="39" t="s">
        <v>437</v>
      </c>
      <c r="E120" s="39" t="s">
        <v>453</v>
      </c>
      <c r="F120" s="40">
        <v>0.0</v>
      </c>
      <c r="G120" s="40">
        <v>9.0</v>
      </c>
      <c r="H120" s="39" t="s">
        <v>454</v>
      </c>
    </row>
    <row r="121">
      <c r="A121" s="41">
        <v>46003.52861540509</v>
      </c>
      <c r="B121" s="39" t="s">
        <v>460</v>
      </c>
      <c r="C121" s="39" t="s">
        <v>272</v>
      </c>
      <c r="D121" s="39" t="s">
        <v>438</v>
      </c>
      <c r="E121" s="39" t="s">
        <v>453</v>
      </c>
      <c r="F121" s="40">
        <v>0.0</v>
      </c>
      <c r="G121" s="40">
        <v>16.0</v>
      </c>
      <c r="H121" s="39" t="s">
        <v>454</v>
      </c>
    </row>
    <row r="122">
      <c r="A122" s="41">
        <v>46003.52861540509</v>
      </c>
      <c r="B122" s="39" t="s">
        <v>460</v>
      </c>
      <c r="C122" s="39" t="s">
        <v>272</v>
      </c>
      <c r="D122" s="39" t="s">
        <v>440</v>
      </c>
      <c r="E122" s="39" t="s">
        <v>453</v>
      </c>
      <c r="F122" s="40">
        <v>0.0</v>
      </c>
      <c r="G122" s="40">
        <v>20.0</v>
      </c>
      <c r="H122" s="39" t="s">
        <v>454</v>
      </c>
    </row>
    <row r="123">
      <c r="A123" s="41">
        <v>46003.52861540509</v>
      </c>
      <c r="B123" s="39" t="s">
        <v>460</v>
      </c>
      <c r="C123" s="39" t="s">
        <v>272</v>
      </c>
      <c r="D123" s="39" t="s">
        <v>442</v>
      </c>
      <c r="E123" s="39" t="s">
        <v>453</v>
      </c>
      <c r="F123" s="40">
        <v>0.0</v>
      </c>
      <c r="G123" s="40">
        <v>9.0</v>
      </c>
      <c r="H123" s="39" t="s">
        <v>461</v>
      </c>
    </row>
    <row r="124">
      <c r="A124" s="41">
        <v>46003.52861540509</v>
      </c>
      <c r="B124" s="39" t="s">
        <v>460</v>
      </c>
      <c r="C124" s="39" t="s">
        <v>272</v>
      </c>
      <c r="D124" s="39" t="s">
        <v>443</v>
      </c>
      <c r="E124" s="39" t="s">
        <v>453</v>
      </c>
      <c r="F124" s="40">
        <v>0.0</v>
      </c>
      <c r="G124" s="40">
        <v>16.0</v>
      </c>
      <c r="H124" s="39" t="s">
        <v>461</v>
      </c>
    </row>
    <row r="125">
      <c r="A125" s="41">
        <v>46003.52861540509</v>
      </c>
      <c r="B125" s="39" t="s">
        <v>460</v>
      </c>
      <c r="C125" s="39" t="s">
        <v>272</v>
      </c>
      <c r="D125" s="39" t="s">
        <v>445</v>
      </c>
      <c r="E125" s="39" t="s">
        <v>453</v>
      </c>
      <c r="F125" s="40">
        <v>0.0</v>
      </c>
      <c r="G125" s="40">
        <v>20.0</v>
      </c>
      <c r="H125" s="39" t="s">
        <v>461</v>
      </c>
    </row>
    <row r="126">
      <c r="A126" s="41">
        <v>46003.52861540509</v>
      </c>
      <c r="B126" s="39" t="s">
        <v>460</v>
      </c>
      <c r="C126" s="39" t="s">
        <v>273</v>
      </c>
      <c r="D126" s="39" t="s">
        <v>437</v>
      </c>
      <c r="E126" s="39" t="s">
        <v>453</v>
      </c>
      <c r="F126" s="40">
        <v>3.0</v>
      </c>
      <c r="G126" s="40">
        <v>11.0</v>
      </c>
      <c r="H126" s="39" t="s">
        <v>454</v>
      </c>
    </row>
    <row r="127">
      <c r="A127" s="41">
        <v>46003.52861540509</v>
      </c>
      <c r="B127" s="39" t="s">
        <v>460</v>
      </c>
      <c r="C127" s="39" t="s">
        <v>273</v>
      </c>
      <c r="D127" s="39" t="s">
        <v>438</v>
      </c>
      <c r="E127" s="39" t="s">
        <v>453</v>
      </c>
      <c r="F127" s="40">
        <v>0.0</v>
      </c>
      <c r="G127" s="40">
        <v>12.0</v>
      </c>
      <c r="H127" s="39" t="s">
        <v>454</v>
      </c>
    </row>
    <row r="128">
      <c r="A128" s="41">
        <v>46003.52861540509</v>
      </c>
      <c r="B128" s="39" t="s">
        <v>460</v>
      </c>
      <c r="C128" s="39" t="s">
        <v>273</v>
      </c>
      <c r="D128" s="39" t="s">
        <v>440</v>
      </c>
      <c r="E128" s="39" t="s">
        <v>453</v>
      </c>
      <c r="F128" s="40">
        <v>0.0</v>
      </c>
      <c r="G128" s="40">
        <v>24.0</v>
      </c>
      <c r="H128" s="39" t="s">
        <v>454</v>
      </c>
    </row>
    <row r="129">
      <c r="A129" s="41">
        <v>46003.52861540509</v>
      </c>
      <c r="B129" s="39" t="s">
        <v>460</v>
      </c>
      <c r="C129" s="39" t="s">
        <v>273</v>
      </c>
      <c r="D129" s="39" t="s">
        <v>441</v>
      </c>
      <c r="E129" s="39" t="s">
        <v>453</v>
      </c>
      <c r="F129" s="40">
        <v>0.0</v>
      </c>
      <c r="G129" s="40">
        <v>4.0</v>
      </c>
      <c r="H129" s="39" t="s">
        <v>454</v>
      </c>
    </row>
    <row r="130">
      <c r="A130" s="41">
        <v>46003.52861540509</v>
      </c>
      <c r="B130" s="39" t="s">
        <v>460</v>
      </c>
      <c r="C130" s="39" t="s">
        <v>273</v>
      </c>
      <c r="D130" s="39" t="s">
        <v>442</v>
      </c>
      <c r="E130" s="39" t="s">
        <v>453</v>
      </c>
      <c r="F130" s="40">
        <v>3.0</v>
      </c>
      <c r="G130" s="40">
        <v>11.0</v>
      </c>
      <c r="H130" s="39" t="s">
        <v>461</v>
      </c>
    </row>
    <row r="131">
      <c r="A131" s="41">
        <v>46003.52861540509</v>
      </c>
      <c r="B131" s="39" t="s">
        <v>460</v>
      </c>
      <c r="C131" s="39" t="s">
        <v>273</v>
      </c>
      <c r="D131" s="39" t="s">
        <v>443</v>
      </c>
      <c r="E131" s="39" t="s">
        <v>453</v>
      </c>
      <c r="F131" s="40">
        <v>0.0</v>
      </c>
      <c r="G131" s="40">
        <v>12.0</v>
      </c>
      <c r="H131" s="39" t="s">
        <v>461</v>
      </c>
    </row>
    <row r="132">
      <c r="A132" s="41">
        <v>46003.52861540509</v>
      </c>
      <c r="B132" s="39" t="s">
        <v>460</v>
      </c>
      <c r="C132" s="39" t="s">
        <v>273</v>
      </c>
      <c r="D132" s="39" t="s">
        <v>444</v>
      </c>
      <c r="E132" s="39" t="s">
        <v>453</v>
      </c>
      <c r="F132" s="39" t="s">
        <v>462</v>
      </c>
      <c r="G132" s="40">
        <v>0.0</v>
      </c>
      <c r="H132" s="39" t="s">
        <v>461</v>
      </c>
    </row>
    <row r="133">
      <c r="A133" s="41">
        <v>46003.52861540509</v>
      </c>
      <c r="B133" s="39" t="s">
        <v>460</v>
      </c>
      <c r="C133" s="39" t="s">
        <v>273</v>
      </c>
      <c r="D133" s="39" t="s">
        <v>445</v>
      </c>
      <c r="E133" s="39" t="s">
        <v>453</v>
      </c>
      <c r="F133" s="40">
        <v>0.0</v>
      </c>
      <c r="G133" s="40">
        <v>24.0</v>
      </c>
      <c r="H133" s="39" t="s">
        <v>461</v>
      </c>
    </row>
    <row r="134">
      <c r="A134" s="41">
        <v>46003.52861540509</v>
      </c>
      <c r="B134" s="39" t="s">
        <v>460</v>
      </c>
      <c r="C134" s="39" t="s">
        <v>273</v>
      </c>
      <c r="D134" s="39" t="s">
        <v>446</v>
      </c>
      <c r="E134" s="39" t="s">
        <v>453</v>
      </c>
      <c r="F134" s="39" t="s">
        <v>462</v>
      </c>
      <c r="G134" s="40">
        <v>4.0</v>
      </c>
      <c r="H134" s="39" t="s">
        <v>461</v>
      </c>
    </row>
    <row r="135">
      <c r="A135" s="41">
        <v>46003.52861540509</v>
      </c>
      <c r="B135" s="39" t="s">
        <v>460</v>
      </c>
      <c r="C135" s="39" t="s">
        <v>276</v>
      </c>
      <c r="D135" s="39" t="s">
        <v>437</v>
      </c>
      <c r="E135" s="39" t="s">
        <v>453</v>
      </c>
      <c r="F135" s="40">
        <v>0.0</v>
      </c>
      <c r="G135" s="40">
        <v>9.0</v>
      </c>
      <c r="H135" s="39" t="s">
        <v>454</v>
      </c>
    </row>
    <row r="136">
      <c r="A136" s="41">
        <v>46003.52861540509</v>
      </c>
      <c r="B136" s="39" t="s">
        <v>460</v>
      </c>
      <c r="C136" s="39" t="s">
        <v>276</v>
      </c>
      <c r="D136" s="39" t="s">
        <v>442</v>
      </c>
      <c r="E136" s="39" t="s">
        <v>453</v>
      </c>
      <c r="F136" s="40">
        <v>0.0</v>
      </c>
      <c r="G136" s="40">
        <v>9.0</v>
      </c>
      <c r="H136" s="39" t="s">
        <v>461</v>
      </c>
    </row>
    <row r="137">
      <c r="A137" s="41">
        <v>46003.52861540509</v>
      </c>
      <c r="B137" s="39" t="s">
        <v>460</v>
      </c>
      <c r="C137" s="39" t="s">
        <v>277</v>
      </c>
      <c r="D137" s="39" t="s">
        <v>437</v>
      </c>
      <c r="E137" s="39" t="s">
        <v>453</v>
      </c>
      <c r="F137" s="40">
        <v>3.0</v>
      </c>
      <c r="G137" s="40">
        <v>12.0</v>
      </c>
      <c r="H137" s="39" t="s">
        <v>454</v>
      </c>
    </row>
    <row r="138">
      <c r="A138" s="41">
        <v>46003.52861540509</v>
      </c>
      <c r="B138" s="39" t="s">
        <v>460</v>
      </c>
      <c r="C138" s="39" t="s">
        <v>277</v>
      </c>
      <c r="D138" s="39" t="s">
        <v>442</v>
      </c>
      <c r="E138" s="39" t="s">
        <v>453</v>
      </c>
      <c r="F138" s="40">
        <v>3.0</v>
      </c>
      <c r="G138" s="40">
        <v>12.0</v>
      </c>
      <c r="H138" s="39" t="s">
        <v>461</v>
      </c>
    </row>
    <row r="139">
      <c r="A139" s="41">
        <v>46003.52861540509</v>
      </c>
      <c r="B139" s="39" t="s">
        <v>460</v>
      </c>
      <c r="C139" s="39" t="s">
        <v>278</v>
      </c>
      <c r="D139" s="39" t="s">
        <v>430</v>
      </c>
      <c r="E139" s="39" t="s">
        <v>453</v>
      </c>
      <c r="F139" s="40">
        <v>20.0</v>
      </c>
      <c r="G139" s="40">
        <v>20.0</v>
      </c>
      <c r="H139" s="39" t="s">
        <v>454</v>
      </c>
    </row>
    <row r="140">
      <c r="A140" s="41">
        <v>46003.52861540509</v>
      </c>
      <c r="B140" s="39" t="s">
        <v>460</v>
      </c>
      <c r="C140" s="39" t="s">
        <v>283</v>
      </c>
      <c r="D140" s="39" t="s">
        <v>437</v>
      </c>
      <c r="E140" s="39" t="s">
        <v>453</v>
      </c>
      <c r="F140" s="40">
        <v>0.0</v>
      </c>
      <c r="G140" s="40">
        <v>8.0</v>
      </c>
      <c r="H140" s="39" t="s">
        <v>454</v>
      </c>
    </row>
    <row r="141">
      <c r="A141" s="41">
        <v>46003.52861540509</v>
      </c>
      <c r="B141" s="39" t="s">
        <v>460</v>
      </c>
      <c r="C141" s="39" t="s">
        <v>283</v>
      </c>
      <c r="D141" s="39" t="s">
        <v>442</v>
      </c>
      <c r="E141" s="39" t="s">
        <v>453</v>
      </c>
      <c r="F141" s="39" t="s">
        <v>462</v>
      </c>
      <c r="G141" s="40">
        <v>8.0</v>
      </c>
      <c r="H141" s="39" t="s">
        <v>461</v>
      </c>
    </row>
    <row r="142">
      <c r="A142" s="41">
        <v>46003.52861540509</v>
      </c>
      <c r="B142" s="39" t="s">
        <v>460</v>
      </c>
      <c r="C142" s="39" t="s">
        <v>284</v>
      </c>
      <c r="D142" s="39" t="s">
        <v>430</v>
      </c>
      <c r="E142" s="39" t="s">
        <v>453</v>
      </c>
      <c r="F142" s="40">
        <v>20.0</v>
      </c>
      <c r="G142" s="40">
        <v>20.0</v>
      </c>
      <c r="H142" s="39" t="s">
        <v>454</v>
      </c>
    </row>
    <row r="143">
      <c r="A143" s="41">
        <v>46003.52861540509</v>
      </c>
      <c r="B143" s="39" t="s">
        <v>460</v>
      </c>
      <c r="C143" s="39" t="s">
        <v>284</v>
      </c>
      <c r="D143" s="39" t="s">
        <v>437</v>
      </c>
      <c r="E143" s="39" t="s">
        <v>453</v>
      </c>
      <c r="F143" s="40">
        <v>0.0</v>
      </c>
      <c r="G143" s="40">
        <v>9.0</v>
      </c>
      <c r="H143" s="39" t="s">
        <v>454</v>
      </c>
    </row>
    <row r="144">
      <c r="A144" s="41">
        <v>46003.52861540509</v>
      </c>
      <c r="B144" s="39" t="s">
        <v>460</v>
      </c>
      <c r="C144" s="39" t="s">
        <v>284</v>
      </c>
      <c r="D144" s="39" t="s">
        <v>442</v>
      </c>
      <c r="E144" s="39" t="s">
        <v>453</v>
      </c>
      <c r="F144" s="40">
        <v>0.0</v>
      </c>
      <c r="G144" s="40">
        <v>9.0</v>
      </c>
      <c r="H144" s="39" t="s">
        <v>461</v>
      </c>
    </row>
    <row r="145">
      <c r="A145" s="41">
        <v>46003.52861540509</v>
      </c>
      <c r="B145" s="39" t="s">
        <v>460</v>
      </c>
      <c r="C145" s="39" t="s">
        <v>285</v>
      </c>
      <c r="D145" s="39" t="s">
        <v>437</v>
      </c>
      <c r="E145" s="39" t="s">
        <v>453</v>
      </c>
      <c r="F145" s="40">
        <v>3.0</v>
      </c>
      <c r="G145" s="40">
        <v>12.0</v>
      </c>
      <c r="H145" s="39" t="s">
        <v>454</v>
      </c>
    </row>
    <row r="146">
      <c r="A146" s="41">
        <v>46003.52861540509</v>
      </c>
      <c r="B146" s="39" t="s">
        <v>460</v>
      </c>
      <c r="C146" s="39" t="s">
        <v>285</v>
      </c>
      <c r="D146" s="39" t="s">
        <v>442</v>
      </c>
      <c r="E146" s="39" t="s">
        <v>453</v>
      </c>
      <c r="F146" s="40">
        <v>3.0</v>
      </c>
      <c r="G146" s="40">
        <v>12.0</v>
      </c>
      <c r="H146" s="39" t="s">
        <v>461</v>
      </c>
    </row>
    <row r="147">
      <c r="A147" s="41">
        <v>46003.52861540509</v>
      </c>
      <c r="B147" s="39" t="s">
        <v>460</v>
      </c>
      <c r="C147" s="39" t="s">
        <v>286</v>
      </c>
      <c r="D147" s="39" t="s">
        <v>429</v>
      </c>
      <c r="E147" s="39" t="s">
        <v>453</v>
      </c>
      <c r="F147" s="40">
        <v>20.0</v>
      </c>
      <c r="G147" s="40">
        <v>20.0</v>
      </c>
      <c r="H147" s="39" t="s">
        <v>454</v>
      </c>
    </row>
    <row r="148">
      <c r="A148" s="41">
        <v>46003.52861540509</v>
      </c>
      <c r="B148" s="39" t="s">
        <v>460</v>
      </c>
      <c r="C148" s="39" t="s">
        <v>286</v>
      </c>
      <c r="D148" s="39" t="s">
        <v>437</v>
      </c>
      <c r="E148" s="39" t="s">
        <v>453</v>
      </c>
      <c r="F148" s="40">
        <v>3.0</v>
      </c>
      <c r="G148" s="40">
        <v>12.0</v>
      </c>
      <c r="H148" s="39" t="s">
        <v>454</v>
      </c>
    </row>
    <row r="149">
      <c r="A149" s="41">
        <v>46003.52861540509</v>
      </c>
      <c r="B149" s="39" t="s">
        <v>460</v>
      </c>
      <c r="C149" s="39" t="s">
        <v>286</v>
      </c>
      <c r="D149" s="39" t="s">
        <v>438</v>
      </c>
      <c r="E149" s="39" t="s">
        <v>453</v>
      </c>
      <c r="F149" s="40">
        <v>4.0</v>
      </c>
      <c r="G149" s="40">
        <v>16.0</v>
      </c>
      <c r="H149" s="39" t="s">
        <v>454</v>
      </c>
    </row>
    <row r="150">
      <c r="A150" s="41">
        <v>46003.52861540509</v>
      </c>
      <c r="B150" s="39" t="s">
        <v>460</v>
      </c>
      <c r="C150" s="39" t="s">
        <v>286</v>
      </c>
      <c r="D150" s="39" t="s">
        <v>439</v>
      </c>
      <c r="E150" s="39" t="s">
        <v>453</v>
      </c>
      <c r="F150" s="40">
        <v>0.0</v>
      </c>
      <c r="G150" s="40">
        <v>17.0</v>
      </c>
      <c r="H150" s="39" t="s">
        <v>454</v>
      </c>
    </row>
    <row r="151">
      <c r="A151" s="41">
        <v>46003.52861540509</v>
      </c>
      <c r="B151" s="39" t="s">
        <v>460</v>
      </c>
      <c r="C151" s="39" t="s">
        <v>286</v>
      </c>
      <c r="D151" s="39" t="s">
        <v>440</v>
      </c>
      <c r="E151" s="39" t="s">
        <v>453</v>
      </c>
      <c r="F151" s="40">
        <v>0.0</v>
      </c>
      <c r="G151" s="40">
        <v>24.0</v>
      </c>
      <c r="H151" s="39" t="s">
        <v>454</v>
      </c>
    </row>
    <row r="152">
      <c r="A152" s="41">
        <v>46003.52861540509</v>
      </c>
      <c r="B152" s="39" t="s">
        <v>460</v>
      </c>
      <c r="C152" s="39" t="s">
        <v>286</v>
      </c>
      <c r="D152" s="39" t="s">
        <v>441</v>
      </c>
      <c r="E152" s="39" t="s">
        <v>453</v>
      </c>
      <c r="F152" s="40">
        <v>4.0</v>
      </c>
      <c r="G152" s="40">
        <v>15.0</v>
      </c>
      <c r="H152" s="39" t="s">
        <v>454</v>
      </c>
    </row>
    <row r="153">
      <c r="A153" s="41">
        <v>46003.52861540509</v>
      </c>
      <c r="B153" s="39" t="s">
        <v>460</v>
      </c>
      <c r="C153" s="39" t="s">
        <v>286</v>
      </c>
      <c r="D153" s="39" t="s">
        <v>442</v>
      </c>
      <c r="E153" s="39" t="s">
        <v>453</v>
      </c>
      <c r="F153" s="40">
        <v>3.0</v>
      </c>
      <c r="G153" s="40">
        <v>12.0</v>
      </c>
      <c r="H153" s="39" t="s">
        <v>461</v>
      </c>
    </row>
    <row r="154">
      <c r="A154" s="41">
        <v>46003.52861540509</v>
      </c>
      <c r="B154" s="39" t="s">
        <v>460</v>
      </c>
      <c r="C154" s="39" t="s">
        <v>286</v>
      </c>
      <c r="D154" s="39" t="s">
        <v>443</v>
      </c>
      <c r="E154" s="39" t="s">
        <v>453</v>
      </c>
      <c r="F154" s="40">
        <v>4.0</v>
      </c>
      <c r="G154" s="40">
        <v>16.0</v>
      </c>
      <c r="H154" s="39" t="s">
        <v>461</v>
      </c>
    </row>
    <row r="155">
      <c r="A155" s="41">
        <v>46003.52861540509</v>
      </c>
      <c r="B155" s="39" t="s">
        <v>460</v>
      </c>
      <c r="C155" s="39" t="s">
        <v>286</v>
      </c>
      <c r="D155" s="39" t="s">
        <v>444</v>
      </c>
      <c r="E155" s="39" t="s">
        <v>453</v>
      </c>
      <c r="F155" s="40">
        <v>0.0</v>
      </c>
      <c r="G155" s="40">
        <v>17.0</v>
      </c>
      <c r="H155" s="39" t="s">
        <v>461</v>
      </c>
    </row>
    <row r="156">
      <c r="A156" s="41">
        <v>46003.52861540509</v>
      </c>
      <c r="B156" s="39" t="s">
        <v>460</v>
      </c>
      <c r="C156" s="39" t="s">
        <v>286</v>
      </c>
      <c r="D156" s="39" t="s">
        <v>445</v>
      </c>
      <c r="E156" s="39" t="s">
        <v>453</v>
      </c>
      <c r="F156" s="40">
        <v>0.0</v>
      </c>
      <c r="G156" s="40">
        <v>24.0</v>
      </c>
      <c r="H156" s="39" t="s">
        <v>461</v>
      </c>
    </row>
    <row r="157">
      <c r="A157" s="41">
        <v>46003.52861540509</v>
      </c>
      <c r="B157" s="39" t="s">
        <v>460</v>
      </c>
      <c r="C157" s="39" t="s">
        <v>286</v>
      </c>
      <c r="D157" s="39" t="s">
        <v>446</v>
      </c>
      <c r="E157" s="39" t="s">
        <v>453</v>
      </c>
      <c r="F157" s="40">
        <v>4.0</v>
      </c>
      <c r="G157" s="40">
        <v>15.0</v>
      </c>
      <c r="H157" s="39" t="s">
        <v>461</v>
      </c>
    </row>
    <row r="158">
      <c r="A158" s="41">
        <v>46003.52861540509</v>
      </c>
      <c r="B158" s="39" t="s">
        <v>460</v>
      </c>
      <c r="C158" s="39" t="s">
        <v>288</v>
      </c>
      <c r="D158" s="39" t="s">
        <v>428</v>
      </c>
      <c r="E158" s="39" t="s">
        <v>453</v>
      </c>
      <c r="F158" s="40">
        <v>20.0</v>
      </c>
      <c r="G158" s="40">
        <v>20.0</v>
      </c>
      <c r="H158" s="39" t="s">
        <v>454</v>
      </c>
    </row>
    <row r="159">
      <c r="A159" s="41">
        <v>46003.52861540509</v>
      </c>
      <c r="B159" s="39" t="s">
        <v>460</v>
      </c>
      <c r="C159" s="39" t="s">
        <v>288</v>
      </c>
      <c r="D159" s="39" t="s">
        <v>429</v>
      </c>
      <c r="E159" s="39" t="s">
        <v>453</v>
      </c>
      <c r="F159" s="40">
        <v>20.0</v>
      </c>
      <c r="G159" s="40">
        <v>20.0</v>
      </c>
      <c r="H159" s="39" t="s">
        <v>454</v>
      </c>
    </row>
    <row r="160">
      <c r="A160" s="41">
        <v>46003.52861540509</v>
      </c>
      <c r="B160" s="39" t="s">
        <v>460</v>
      </c>
      <c r="C160" s="39" t="s">
        <v>288</v>
      </c>
      <c r="D160" s="39" t="s">
        <v>430</v>
      </c>
      <c r="E160" s="39" t="s">
        <v>453</v>
      </c>
      <c r="F160" s="40">
        <v>20.0</v>
      </c>
      <c r="G160" s="40">
        <v>20.0</v>
      </c>
      <c r="H160" s="39" t="s">
        <v>454</v>
      </c>
    </row>
    <row r="161">
      <c r="A161" s="41">
        <v>46003.52861540509</v>
      </c>
      <c r="B161" s="39" t="s">
        <v>460</v>
      </c>
      <c r="C161" s="39" t="s">
        <v>288</v>
      </c>
      <c r="D161" s="39" t="s">
        <v>437</v>
      </c>
      <c r="E161" s="39" t="s">
        <v>453</v>
      </c>
      <c r="F161" s="40">
        <v>3.0</v>
      </c>
      <c r="G161" s="40">
        <v>12.0</v>
      </c>
      <c r="H161" s="39" t="s">
        <v>454</v>
      </c>
    </row>
    <row r="162">
      <c r="A162" s="41">
        <v>46003.52861540509</v>
      </c>
      <c r="B162" s="39" t="s">
        <v>460</v>
      </c>
      <c r="C162" s="39" t="s">
        <v>288</v>
      </c>
      <c r="D162" s="39" t="s">
        <v>438</v>
      </c>
      <c r="E162" s="39" t="s">
        <v>453</v>
      </c>
      <c r="F162" s="40">
        <v>4.0</v>
      </c>
      <c r="G162" s="40">
        <v>20.0</v>
      </c>
      <c r="H162" s="39" t="s">
        <v>454</v>
      </c>
    </row>
    <row r="163">
      <c r="A163" s="41">
        <v>46003.52861540509</v>
      </c>
      <c r="B163" s="39" t="s">
        <v>460</v>
      </c>
      <c r="C163" s="39" t="s">
        <v>288</v>
      </c>
      <c r="D163" s="39" t="s">
        <v>439</v>
      </c>
      <c r="E163" s="39" t="s">
        <v>453</v>
      </c>
      <c r="F163" s="40">
        <v>4.0</v>
      </c>
      <c r="G163" s="40">
        <v>21.0</v>
      </c>
      <c r="H163" s="39" t="s">
        <v>454</v>
      </c>
    </row>
    <row r="164">
      <c r="A164" s="41">
        <v>46003.52861540509</v>
      </c>
      <c r="B164" s="39" t="s">
        <v>460</v>
      </c>
      <c r="C164" s="39" t="s">
        <v>288</v>
      </c>
      <c r="D164" s="39" t="s">
        <v>440</v>
      </c>
      <c r="E164" s="39" t="s">
        <v>453</v>
      </c>
      <c r="F164" s="40">
        <v>0.0</v>
      </c>
      <c r="G164" s="40">
        <v>25.0</v>
      </c>
      <c r="H164" s="39" t="s">
        <v>454</v>
      </c>
    </row>
    <row r="165">
      <c r="A165" s="41">
        <v>46003.52861540509</v>
      </c>
      <c r="B165" s="39" t="s">
        <v>460</v>
      </c>
      <c r="C165" s="39" t="s">
        <v>288</v>
      </c>
      <c r="D165" s="39" t="s">
        <v>441</v>
      </c>
      <c r="E165" s="39" t="s">
        <v>453</v>
      </c>
      <c r="F165" s="40">
        <v>4.0</v>
      </c>
      <c r="G165" s="40">
        <v>22.0</v>
      </c>
      <c r="H165" s="39" t="s">
        <v>454</v>
      </c>
    </row>
    <row r="166">
      <c r="A166" s="41">
        <v>46003.52861540509</v>
      </c>
      <c r="B166" s="39" t="s">
        <v>460</v>
      </c>
      <c r="C166" s="39" t="s">
        <v>288</v>
      </c>
      <c r="D166" s="39" t="s">
        <v>442</v>
      </c>
      <c r="E166" s="39" t="s">
        <v>453</v>
      </c>
      <c r="F166" s="40">
        <v>3.0</v>
      </c>
      <c r="G166" s="40">
        <v>12.0</v>
      </c>
      <c r="H166" s="39" t="s">
        <v>461</v>
      </c>
    </row>
    <row r="167">
      <c r="A167" s="41">
        <v>46003.52861540509</v>
      </c>
      <c r="B167" s="39" t="s">
        <v>460</v>
      </c>
      <c r="C167" s="39" t="s">
        <v>288</v>
      </c>
      <c r="D167" s="39" t="s">
        <v>443</v>
      </c>
      <c r="E167" s="39" t="s">
        <v>453</v>
      </c>
      <c r="F167" s="40">
        <v>4.0</v>
      </c>
      <c r="G167" s="40">
        <v>20.0</v>
      </c>
      <c r="H167" s="39" t="s">
        <v>461</v>
      </c>
    </row>
    <row r="168">
      <c r="A168" s="41">
        <v>46003.52861540509</v>
      </c>
      <c r="B168" s="39" t="s">
        <v>460</v>
      </c>
      <c r="C168" s="39" t="s">
        <v>288</v>
      </c>
      <c r="D168" s="39" t="s">
        <v>444</v>
      </c>
      <c r="E168" s="39" t="s">
        <v>453</v>
      </c>
      <c r="F168" s="40">
        <v>4.0</v>
      </c>
      <c r="G168" s="40">
        <v>20.0</v>
      </c>
      <c r="H168" s="39" t="s">
        <v>461</v>
      </c>
    </row>
    <row r="169">
      <c r="A169" s="41">
        <v>46003.52861540509</v>
      </c>
      <c r="B169" s="39" t="s">
        <v>460</v>
      </c>
      <c r="C169" s="39" t="s">
        <v>288</v>
      </c>
      <c r="D169" s="39" t="s">
        <v>445</v>
      </c>
      <c r="E169" s="39" t="s">
        <v>453</v>
      </c>
      <c r="F169" s="40">
        <v>0.0</v>
      </c>
      <c r="G169" s="40">
        <v>25.0</v>
      </c>
      <c r="H169" s="39" t="s">
        <v>461</v>
      </c>
    </row>
    <row r="170">
      <c r="A170" s="41">
        <v>46003.52861540509</v>
      </c>
      <c r="B170" s="39" t="s">
        <v>460</v>
      </c>
      <c r="C170" s="39" t="s">
        <v>288</v>
      </c>
      <c r="D170" s="39" t="s">
        <v>446</v>
      </c>
      <c r="E170" s="39" t="s">
        <v>453</v>
      </c>
      <c r="F170" s="40">
        <v>4.0</v>
      </c>
      <c r="G170" s="40">
        <v>22.0</v>
      </c>
      <c r="H170" s="39" t="s">
        <v>461</v>
      </c>
    </row>
    <row r="171">
      <c r="A171" s="41">
        <v>46003.52861540509</v>
      </c>
      <c r="B171" s="39" t="s">
        <v>460</v>
      </c>
      <c r="C171" s="39" t="s">
        <v>291</v>
      </c>
      <c r="D171" s="39" t="s">
        <v>437</v>
      </c>
      <c r="E171" s="39" t="s">
        <v>453</v>
      </c>
      <c r="F171" s="40">
        <v>3.0</v>
      </c>
      <c r="G171" s="40">
        <v>12.0</v>
      </c>
      <c r="H171" s="39" t="s">
        <v>454</v>
      </c>
    </row>
    <row r="172">
      <c r="A172" s="41">
        <v>46003.52861540509</v>
      </c>
      <c r="B172" s="39" t="s">
        <v>460</v>
      </c>
      <c r="C172" s="39" t="s">
        <v>291</v>
      </c>
      <c r="D172" s="39" t="s">
        <v>442</v>
      </c>
      <c r="E172" s="39" t="s">
        <v>453</v>
      </c>
      <c r="F172" s="40">
        <v>3.0</v>
      </c>
      <c r="G172" s="40">
        <v>12.0</v>
      </c>
      <c r="H172" s="39" t="s">
        <v>461</v>
      </c>
    </row>
    <row r="173">
      <c r="A173" s="41">
        <v>46003.52861540509</v>
      </c>
      <c r="B173" s="39" t="s">
        <v>460</v>
      </c>
      <c r="C173" s="39" t="s">
        <v>292</v>
      </c>
      <c r="D173" s="39" t="s">
        <v>437</v>
      </c>
      <c r="E173" s="39" t="s">
        <v>453</v>
      </c>
      <c r="F173" s="40">
        <v>0.0</v>
      </c>
      <c r="G173" s="40">
        <v>9.0</v>
      </c>
      <c r="H173" s="39" t="s">
        <v>454</v>
      </c>
    </row>
    <row r="174">
      <c r="A174" s="41">
        <v>46003.52861540509</v>
      </c>
      <c r="B174" s="39" t="s">
        <v>460</v>
      </c>
      <c r="C174" s="39" t="s">
        <v>292</v>
      </c>
      <c r="D174" s="39" t="s">
        <v>438</v>
      </c>
      <c r="E174" s="39" t="s">
        <v>453</v>
      </c>
      <c r="F174" s="40">
        <v>0.0</v>
      </c>
      <c r="G174" s="40">
        <v>12.0</v>
      </c>
      <c r="H174" s="39" t="s">
        <v>454</v>
      </c>
    </row>
    <row r="175">
      <c r="A175" s="41">
        <v>46003.52861540509</v>
      </c>
      <c r="B175" s="39" t="s">
        <v>460</v>
      </c>
      <c r="C175" s="39" t="s">
        <v>292</v>
      </c>
      <c r="D175" s="39" t="s">
        <v>442</v>
      </c>
      <c r="E175" s="39" t="s">
        <v>453</v>
      </c>
      <c r="F175" s="40">
        <v>0.0</v>
      </c>
      <c r="G175" s="40">
        <v>9.0</v>
      </c>
      <c r="H175" s="39" t="s">
        <v>461</v>
      </c>
    </row>
    <row r="176">
      <c r="A176" s="41">
        <v>46003.52861540509</v>
      </c>
      <c r="B176" s="39" t="s">
        <v>460</v>
      </c>
      <c r="C176" s="39" t="s">
        <v>292</v>
      </c>
      <c r="D176" s="39" t="s">
        <v>443</v>
      </c>
      <c r="E176" s="39" t="s">
        <v>453</v>
      </c>
      <c r="F176" s="40">
        <v>0.0</v>
      </c>
      <c r="G176" s="40">
        <v>12.0</v>
      </c>
      <c r="H176" s="39" t="s">
        <v>461</v>
      </c>
    </row>
    <row r="177">
      <c r="A177" s="41">
        <v>46003.52861540509</v>
      </c>
      <c r="B177" s="39" t="s">
        <v>460</v>
      </c>
      <c r="C177" s="39" t="s">
        <v>293</v>
      </c>
      <c r="D177" s="39" t="s">
        <v>422</v>
      </c>
      <c r="E177" s="39" t="s">
        <v>453</v>
      </c>
      <c r="F177" s="40">
        <v>0.0</v>
      </c>
      <c r="G177" s="40">
        <v>10.0</v>
      </c>
      <c r="H177" s="39" t="s">
        <v>454</v>
      </c>
    </row>
    <row r="178">
      <c r="A178" s="41">
        <v>46003.52861540509</v>
      </c>
      <c r="B178" s="39" t="s">
        <v>460</v>
      </c>
      <c r="C178" s="39" t="s">
        <v>293</v>
      </c>
      <c r="D178" s="39" t="s">
        <v>424</v>
      </c>
      <c r="E178" s="39" t="s">
        <v>453</v>
      </c>
      <c r="F178" s="40">
        <v>0.0</v>
      </c>
      <c r="G178" s="40">
        <v>3.0</v>
      </c>
      <c r="H178" s="39" t="s">
        <v>454</v>
      </c>
    </row>
    <row r="179">
      <c r="A179" s="41">
        <v>46003.52861540509</v>
      </c>
      <c r="B179" s="39" t="s">
        <v>460</v>
      </c>
      <c r="C179" s="39" t="s">
        <v>293</v>
      </c>
      <c r="D179" s="39" t="s">
        <v>437</v>
      </c>
      <c r="E179" s="39" t="s">
        <v>453</v>
      </c>
      <c r="F179" s="40">
        <v>3.0</v>
      </c>
      <c r="G179" s="40">
        <v>12.0</v>
      </c>
      <c r="H179" s="39" t="s">
        <v>454</v>
      </c>
    </row>
    <row r="180">
      <c r="A180" s="41">
        <v>46003.52861540509</v>
      </c>
      <c r="B180" s="39" t="s">
        <v>460</v>
      </c>
      <c r="C180" s="39" t="s">
        <v>293</v>
      </c>
      <c r="D180" s="39" t="s">
        <v>442</v>
      </c>
      <c r="E180" s="39" t="s">
        <v>453</v>
      </c>
      <c r="F180" s="40">
        <v>3.0</v>
      </c>
      <c r="G180" s="40">
        <v>12.0</v>
      </c>
      <c r="H180" s="39" t="s">
        <v>461</v>
      </c>
    </row>
    <row r="181">
      <c r="A181" s="41">
        <v>46003.52861540509</v>
      </c>
      <c r="B181" s="39" t="s">
        <v>460</v>
      </c>
      <c r="C181" s="39" t="s">
        <v>294</v>
      </c>
      <c r="D181" s="39" t="s">
        <v>437</v>
      </c>
      <c r="E181" s="39" t="s">
        <v>453</v>
      </c>
      <c r="F181" s="40">
        <v>0.0</v>
      </c>
      <c r="G181" s="40">
        <v>8.0</v>
      </c>
      <c r="H181" s="39" t="s">
        <v>454</v>
      </c>
    </row>
    <row r="182">
      <c r="A182" s="41">
        <v>46003.52861540509</v>
      </c>
      <c r="B182" s="39" t="s">
        <v>460</v>
      </c>
      <c r="C182" s="39" t="s">
        <v>294</v>
      </c>
      <c r="D182" s="39" t="s">
        <v>442</v>
      </c>
      <c r="E182" s="39" t="s">
        <v>453</v>
      </c>
      <c r="F182" s="40">
        <v>0.0</v>
      </c>
      <c r="G182" s="40">
        <v>8.0</v>
      </c>
      <c r="H182" s="39" t="s">
        <v>461</v>
      </c>
    </row>
    <row r="183">
      <c r="A183" s="41">
        <v>46003.52861540509</v>
      </c>
      <c r="B183" s="39" t="s">
        <v>460</v>
      </c>
      <c r="C183" s="39" t="s">
        <v>295</v>
      </c>
      <c r="D183" s="39" t="s">
        <v>437</v>
      </c>
      <c r="E183" s="39" t="s">
        <v>453</v>
      </c>
      <c r="F183" s="40">
        <v>3.0</v>
      </c>
      <c r="G183" s="40">
        <v>12.0</v>
      </c>
      <c r="H183" s="39" t="s">
        <v>454</v>
      </c>
    </row>
    <row r="184">
      <c r="A184" s="41">
        <v>46003.52861540509</v>
      </c>
      <c r="B184" s="39" t="s">
        <v>460</v>
      </c>
      <c r="C184" s="39" t="s">
        <v>295</v>
      </c>
      <c r="D184" s="39" t="s">
        <v>438</v>
      </c>
      <c r="E184" s="39" t="s">
        <v>453</v>
      </c>
      <c r="F184" s="40">
        <v>0.0</v>
      </c>
      <c r="G184" s="40">
        <v>14.0</v>
      </c>
      <c r="H184" s="39" t="s">
        <v>454</v>
      </c>
    </row>
    <row r="185">
      <c r="A185" s="41">
        <v>46003.52861540509</v>
      </c>
      <c r="B185" s="39" t="s">
        <v>460</v>
      </c>
      <c r="C185" s="39" t="s">
        <v>295</v>
      </c>
      <c r="D185" s="39" t="s">
        <v>439</v>
      </c>
      <c r="E185" s="39" t="s">
        <v>453</v>
      </c>
      <c r="F185" s="40">
        <v>4.0</v>
      </c>
      <c r="G185" s="40">
        <v>21.0</v>
      </c>
      <c r="H185" s="39" t="s">
        <v>454</v>
      </c>
    </row>
    <row r="186">
      <c r="A186" s="41">
        <v>46003.52861540509</v>
      </c>
      <c r="B186" s="39" t="s">
        <v>460</v>
      </c>
      <c r="C186" s="39" t="s">
        <v>295</v>
      </c>
      <c r="D186" s="39" t="s">
        <v>440</v>
      </c>
      <c r="E186" s="39" t="s">
        <v>453</v>
      </c>
      <c r="F186" s="40">
        <v>0.0</v>
      </c>
      <c r="G186" s="40">
        <v>24.0</v>
      </c>
      <c r="H186" s="39" t="s">
        <v>454</v>
      </c>
    </row>
    <row r="187">
      <c r="A187" s="41">
        <v>46003.52861540509</v>
      </c>
      <c r="B187" s="39" t="s">
        <v>460</v>
      </c>
      <c r="C187" s="39" t="s">
        <v>295</v>
      </c>
      <c r="D187" s="39" t="s">
        <v>442</v>
      </c>
      <c r="E187" s="39" t="s">
        <v>453</v>
      </c>
      <c r="F187" s="40">
        <v>3.0</v>
      </c>
      <c r="G187" s="40">
        <v>12.0</v>
      </c>
      <c r="H187" s="39" t="s">
        <v>461</v>
      </c>
    </row>
    <row r="188">
      <c r="A188" s="41">
        <v>46003.52861540509</v>
      </c>
      <c r="B188" s="39" t="s">
        <v>460</v>
      </c>
      <c r="C188" s="39" t="s">
        <v>295</v>
      </c>
      <c r="D188" s="39" t="s">
        <v>443</v>
      </c>
      <c r="E188" s="39" t="s">
        <v>453</v>
      </c>
      <c r="F188" s="40">
        <v>0.0</v>
      </c>
      <c r="G188" s="40">
        <v>14.0</v>
      </c>
      <c r="H188" s="39" t="s">
        <v>461</v>
      </c>
    </row>
    <row r="189">
      <c r="A189" s="41">
        <v>46003.52861540509</v>
      </c>
      <c r="B189" s="39" t="s">
        <v>460</v>
      </c>
      <c r="C189" s="39" t="s">
        <v>295</v>
      </c>
      <c r="D189" s="39" t="s">
        <v>444</v>
      </c>
      <c r="E189" s="39" t="s">
        <v>453</v>
      </c>
      <c r="F189" s="40">
        <v>4.0</v>
      </c>
      <c r="G189" s="40">
        <v>20.0</v>
      </c>
      <c r="H189" s="39" t="s">
        <v>461</v>
      </c>
    </row>
    <row r="190">
      <c r="A190" s="41">
        <v>46003.52861540509</v>
      </c>
      <c r="B190" s="39" t="s">
        <v>460</v>
      </c>
      <c r="C190" s="39" t="s">
        <v>295</v>
      </c>
      <c r="D190" s="39" t="s">
        <v>445</v>
      </c>
      <c r="E190" s="39" t="s">
        <v>453</v>
      </c>
      <c r="F190" s="40">
        <v>0.0</v>
      </c>
      <c r="G190" s="40">
        <v>24.0</v>
      </c>
      <c r="H190" s="39" t="s">
        <v>461</v>
      </c>
    </row>
    <row r="191">
      <c r="A191" s="41">
        <v>46003.52861540509</v>
      </c>
      <c r="B191" s="39" t="s">
        <v>460</v>
      </c>
      <c r="C191" s="39" t="s">
        <v>296</v>
      </c>
      <c r="D191" s="39" t="s">
        <v>437</v>
      </c>
      <c r="E191" s="39" t="s">
        <v>453</v>
      </c>
      <c r="F191" s="40">
        <v>3.0</v>
      </c>
      <c r="G191" s="40">
        <v>12.0</v>
      </c>
      <c r="H191" s="39" t="s">
        <v>454</v>
      </c>
    </row>
    <row r="192">
      <c r="A192" s="41">
        <v>46003.52861540509</v>
      </c>
      <c r="B192" s="39" t="s">
        <v>460</v>
      </c>
      <c r="C192" s="39" t="s">
        <v>296</v>
      </c>
      <c r="D192" s="39" t="s">
        <v>442</v>
      </c>
      <c r="E192" s="39" t="s">
        <v>453</v>
      </c>
      <c r="F192" s="40">
        <v>3.0</v>
      </c>
      <c r="G192" s="40">
        <v>12.0</v>
      </c>
      <c r="H192" s="39" t="s">
        <v>461</v>
      </c>
    </row>
    <row r="193">
      <c r="A193" s="41">
        <v>46003.52861540509</v>
      </c>
      <c r="B193" s="39" t="s">
        <v>460</v>
      </c>
      <c r="C193" s="39" t="s">
        <v>297</v>
      </c>
      <c r="D193" s="39" t="s">
        <v>437</v>
      </c>
      <c r="E193" s="39" t="s">
        <v>453</v>
      </c>
      <c r="F193" s="40">
        <v>0.0</v>
      </c>
      <c r="G193" s="40">
        <v>9.0</v>
      </c>
      <c r="H193" s="39" t="s">
        <v>454</v>
      </c>
    </row>
    <row r="194">
      <c r="A194" s="41">
        <v>46003.52861540509</v>
      </c>
      <c r="B194" s="39" t="s">
        <v>460</v>
      </c>
      <c r="C194" s="39" t="s">
        <v>297</v>
      </c>
      <c r="D194" s="39" t="s">
        <v>438</v>
      </c>
      <c r="E194" s="39" t="s">
        <v>453</v>
      </c>
      <c r="F194" s="40">
        <v>4.0</v>
      </c>
      <c r="G194" s="40">
        <v>20.0</v>
      </c>
      <c r="H194" s="39" t="s">
        <v>454</v>
      </c>
    </row>
    <row r="195">
      <c r="A195" s="41">
        <v>46003.52861540509</v>
      </c>
      <c r="B195" s="39" t="s">
        <v>460</v>
      </c>
      <c r="C195" s="39" t="s">
        <v>297</v>
      </c>
      <c r="D195" s="39" t="s">
        <v>439</v>
      </c>
      <c r="E195" s="39" t="s">
        <v>453</v>
      </c>
      <c r="F195" s="40">
        <v>4.0</v>
      </c>
      <c r="G195" s="40">
        <v>21.0</v>
      </c>
      <c r="H195" s="39" t="s">
        <v>454</v>
      </c>
    </row>
    <row r="196">
      <c r="A196" s="41">
        <v>46003.52861540509</v>
      </c>
      <c r="B196" s="39" t="s">
        <v>460</v>
      </c>
      <c r="C196" s="39" t="s">
        <v>297</v>
      </c>
      <c r="D196" s="39" t="s">
        <v>441</v>
      </c>
      <c r="E196" s="39" t="s">
        <v>453</v>
      </c>
      <c r="F196" s="40">
        <v>4.0</v>
      </c>
      <c r="G196" s="40">
        <v>21.0</v>
      </c>
      <c r="H196" s="39" t="s">
        <v>454</v>
      </c>
    </row>
    <row r="197">
      <c r="A197" s="41">
        <v>46003.52861540509</v>
      </c>
      <c r="B197" s="39" t="s">
        <v>460</v>
      </c>
      <c r="C197" s="39" t="s">
        <v>297</v>
      </c>
      <c r="D197" s="39" t="s">
        <v>442</v>
      </c>
      <c r="E197" s="39" t="s">
        <v>453</v>
      </c>
      <c r="F197" s="40">
        <v>0.0</v>
      </c>
      <c r="G197" s="40">
        <v>9.0</v>
      </c>
      <c r="H197" s="39" t="s">
        <v>461</v>
      </c>
    </row>
    <row r="198">
      <c r="A198" s="41">
        <v>46003.52861540509</v>
      </c>
      <c r="B198" s="39" t="s">
        <v>460</v>
      </c>
      <c r="C198" s="39" t="s">
        <v>297</v>
      </c>
      <c r="D198" s="39" t="s">
        <v>443</v>
      </c>
      <c r="E198" s="39" t="s">
        <v>453</v>
      </c>
      <c r="F198" s="40">
        <v>4.0</v>
      </c>
      <c r="G198" s="40">
        <v>20.0</v>
      </c>
      <c r="H198" s="39" t="s">
        <v>461</v>
      </c>
    </row>
    <row r="199">
      <c r="A199" s="41">
        <v>46003.52861540509</v>
      </c>
      <c r="B199" s="39" t="s">
        <v>460</v>
      </c>
      <c r="C199" s="39" t="s">
        <v>297</v>
      </c>
      <c r="D199" s="39" t="s">
        <v>444</v>
      </c>
      <c r="E199" s="39" t="s">
        <v>453</v>
      </c>
      <c r="F199" s="40">
        <v>4.0</v>
      </c>
      <c r="G199" s="40">
        <v>20.0</v>
      </c>
      <c r="H199" s="39" t="s">
        <v>461</v>
      </c>
    </row>
    <row r="200">
      <c r="A200" s="41">
        <v>46003.52861540509</v>
      </c>
      <c r="B200" s="39" t="s">
        <v>460</v>
      </c>
      <c r="C200" s="39" t="s">
        <v>297</v>
      </c>
      <c r="D200" s="39" t="s">
        <v>446</v>
      </c>
      <c r="E200" s="39" t="s">
        <v>453</v>
      </c>
      <c r="F200" s="40">
        <v>4.0</v>
      </c>
      <c r="G200" s="40">
        <v>21.0</v>
      </c>
      <c r="H200" s="39" t="s">
        <v>461</v>
      </c>
    </row>
    <row r="201">
      <c r="A201" s="41">
        <v>46003.52861540509</v>
      </c>
      <c r="B201" s="39" t="s">
        <v>460</v>
      </c>
      <c r="C201" s="39" t="s">
        <v>299</v>
      </c>
      <c r="D201" s="39" t="s">
        <v>437</v>
      </c>
      <c r="E201" s="39" t="s">
        <v>453</v>
      </c>
      <c r="F201" s="40">
        <v>0.0</v>
      </c>
      <c r="G201" s="40">
        <v>9.0</v>
      </c>
      <c r="H201" s="39" t="s">
        <v>454</v>
      </c>
    </row>
    <row r="202">
      <c r="A202" s="41">
        <v>46003.52861540509</v>
      </c>
      <c r="B202" s="39" t="s">
        <v>460</v>
      </c>
      <c r="C202" s="39" t="s">
        <v>299</v>
      </c>
      <c r="D202" s="39" t="s">
        <v>438</v>
      </c>
      <c r="E202" s="39" t="s">
        <v>453</v>
      </c>
      <c r="F202" s="40">
        <v>0.0</v>
      </c>
      <c r="G202" s="40">
        <v>16.0</v>
      </c>
      <c r="H202" s="39" t="s">
        <v>454</v>
      </c>
    </row>
    <row r="203">
      <c r="A203" s="41">
        <v>46003.52861540509</v>
      </c>
      <c r="B203" s="39" t="s">
        <v>460</v>
      </c>
      <c r="C203" s="39" t="s">
        <v>299</v>
      </c>
      <c r="D203" s="39" t="s">
        <v>439</v>
      </c>
      <c r="E203" s="39" t="s">
        <v>453</v>
      </c>
      <c r="F203" s="40">
        <v>0.0</v>
      </c>
      <c r="G203" s="40">
        <v>15.0</v>
      </c>
      <c r="H203" s="39" t="s">
        <v>454</v>
      </c>
    </row>
    <row r="204">
      <c r="A204" s="41">
        <v>46003.52861540509</v>
      </c>
      <c r="B204" s="39" t="s">
        <v>460</v>
      </c>
      <c r="C204" s="39" t="s">
        <v>299</v>
      </c>
      <c r="D204" s="39" t="s">
        <v>442</v>
      </c>
      <c r="E204" s="39" t="s">
        <v>453</v>
      </c>
      <c r="F204" s="40">
        <v>0.0</v>
      </c>
      <c r="G204" s="40">
        <v>9.0</v>
      </c>
      <c r="H204" s="39" t="s">
        <v>461</v>
      </c>
    </row>
    <row r="205">
      <c r="A205" s="41">
        <v>46003.52861540509</v>
      </c>
      <c r="B205" s="39" t="s">
        <v>460</v>
      </c>
      <c r="C205" s="39" t="s">
        <v>299</v>
      </c>
      <c r="D205" s="39" t="s">
        <v>443</v>
      </c>
      <c r="E205" s="39" t="s">
        <v>453</v>
      </c>
      <c r="F205" s="40">
        <v>0.0</v>
      </c>
      <c r="G205" s="40">
        <v>16.0</v>
      </c>
      <c r="H205" s="39" t="s">
        <v>461</v>
      </c>
    </row>
    <row r="206">
      <c r="A206" s="41">
        <v>46003.52861540509</v>
      </c>
      <c r="B206" s="39" t="s">
        <v>460</v>
      </c>
      <c r="C206" s="39" t="s">
        <v>299</v>
      </c>
      <c r="D206" s="39" t="s">
        <v>444</v>
      </c>
      <c r="E206" s="39" t="s">
        <v>453</v>
      </c>
      <c r="F206" s="40">
        <v>0.0</v>
      </c>
      <c r="G206" s="40">
        <v>15.0</v>
      </c>
      <c r="H206" s="39" t="s">
        <v>461</v>
      </c>
    </row>
    <row r="207">
      <c r="A207" s="41">
        <v>46003.52861540509</v>
      </c>
      <c r="B207" s="39" t="s">
        <v>460</v>
      </c>
      <c r="C207" s="39" t="s">
        <v>302</v>
      </c>
      <c r="D207" s="39" t="s">
        <v>437</v>
      </c>
      <c r="E207" s="39" t="s">
        <v>453</v>
      </c>
      <c r="F207" s="40">
        <v>3.0</v>
      </c>
      <c r="G207" s="40">
        <v>12.0</v>
      </c>
      <c r="H207" s="39" t="s">
        <v>454</v>
      </c>
    </row>
    <row r="208">
      <c r="A208" s="41">
        <v>46003.52861540509</v>
      </c>
      <c r="B208" s="39" t="s">
        <v>460</v>
      </c>
      <c r="C208" s="39" t="s">
        <v>302</v>
      </c>
      <c r="D208" s="39" t="s">
        <v>442</v>
      </c>
      <c r="E208" s="39" t="s">
        <v>453</v>
      </c>
      <c r="F208" s="40">
        <v>3.0</v>
      </c>
      <c r="G208" s="40">
        <v>12.0</v>
      </c>
      <c r="H208" s="39" t="s">
        <v>461</v>
      </c>
    </row>
    <row r="209">
      <c r="A209" s="41">
        <v>46003.52861540509</v>
      </c>
      <c r="B209" s="39" t="s">
        <v>460</v>
      </c>
      <c r="C209" s="39" t="s">
        <v>304</v>
      </c>
      <c r="D209" s="39" t="s">
        <v>437</v>
      </c>
      <c r="E209" s="39" t="s">
        <v>453</v>
      </c>
      <c r="F209" s="40">
        <v>3.0</v>
      </c>
      <c r="G209" s="40">
        <v>12.0</v>
      </c>
      <c r="H209" s="39" t="s">
        <v>454</v>
      </c>
    </row>
    <row r="210">
      <c r="A210" s="41">
        <v>46003.52861540509</v>
      </c>
      <c r="B210" s="39" t="s">
        <v>460</v>
      </c>
      <c r="C210" s="39" t="s">
        <v>304</v>
      </c>
      <c r="D210" s="39" t="s">
        <v>438</v>
      </c>
      <c r="E210" s="39" t="s">
        <v>453</v>
      </c>
      <c r="F210" s="40">
        <v>4.0</v>
      </c>
      <c r="G210" s="40">
        <v>20.0</v>
      </c>
      <c r="H210" s="39" t="s">
        <v>454</v>
      </c>
    </row>
    <row r="211">
      <c r="A211" s="41">
        <v>46003.52861540509</v>
      </c>
      <c r="B211" s="39" t="s">
        <v>460</v>
      </c>
      <c r="C211" s="39" t="s">
        <v>304</v>
      </c>
      <c r="D211" s="39" t="s">
        <v>439</v>
      </c>
      <c r="E211" s="39" t="s">
        <v>453</v>
      </c>
      <c r="F211" s="40">
        <v>4.0</v>
      </c>
      <c r="G211" s="40">
        <v>21.0</v>
      </c>
      <c r="H211" s="39" t="s">
        <v>454</v>
      </c>
    </row>
    <row r="212">
      <c r="A212" s="41">
        <v>46003.52861540509</v>
      </c>
      <c r="B212" s="39" t="s">
        <v>460</v>
      </c>
      <c r="C212" s="39" t="s">
        <v>304</v>
      </c>
      <c r="D212" s="39" t="s">
        <v>440</v>
      </c>
      <c r="E212" s="39" t="s">
        <v>453</v>
      </c>
      <c r="F212" s="40">
        <v>0.0</v>
      </c>
      <c r="G212" s="40">
        <v>25.0</v>
      </c>
      <c r="H212" s="39" t="s">
        <v>454</v>
      </c>
    </row>
    <row r="213">
      <c r="A213" s="41">
        <v>46003.52861540509</v>
      </c>
      <c r="B213" s="39" t="s">
        <v>460</v>
      </c>
      <c r="C213" s="39" t="s">
        <v>304</v>
      </c>
      <c r="D213" s="39" t="s">
        <v>441</v>
      </c>
      <c r="E213" s="39" t="s">
        <v>453</v>
      </c>
      <c r="F213" s="40">
        <v>4.0</v>
      </c>
      <c r="G213" s="40">
        <v>19.0</v>
      </c>
      <c r="H213" s="39" t="s">
        <v>454</v>
      </c>
    </row>
    <row r="214">
      <c r="A214" s="41">
        <v>46003.52861540509</v>
      </c>
      <c r="B214" s="39" t="s">
        <v>460</v>
      </c>
      <c r="C214" s="39" t="s">
        <v>304</v>
      </c>
      <c r="D214" s="39" t="s">
        <v>442</v>
      </c>
      <c r="E214" s="39" t="s">
        <v>453</v>
      </c>
      <c r="F214" s="40">
        <v>3.0</v>
      </c>
      <c r="G214" s="40">
        <v>12.0</v>
      </c>
      <c r="H214" s="39" t="s">
        <v>461</v>
      </c>
    </row>
    <row r="215">
      <c r="A215" s="41">
        <v>46003.52861540509</v>
      </c>
      <c r="B215" s="39" t="s">
        <v>460</v>
      </c>
      <c r="C215" s="39" t="s">
        <v>304</v>
      </c>
      <c r="D215" s="39" t="s">
        <v>443</v>
      </c>
      <c r="E215" s="39" t="s">
        <v>453</v>
      </c>
      <c r="F215" s="40">
        <v>4.0</v>
      </c>
      <c r="G215" s="40">
        <v>20.0</v>
      </c>
      <c r="H215" s="39" t="s">
        <v>461</v>
      </c>
    </row>
    <row r="216">
      <c r="A216" s="41">
        <v>46003.52861540509</v>
      </c>
      <c r="B216" s="39" t="s">
        <v>460</v>
      </c>
      <c r="C216" s="39" t="s">
        <v>304</v>
      </c>
      <c r="D216" s="39" t="s">
        <v>444</v>
      </c>
      <c r="E216" s="39" t="s">
        <v>453</v>
      </c>
      <c r="F216" s="40">
        <v>4.0</v>
      </c>
      <c r="G216" s="40">
        <v>20.0</v>
      </c>
      <c r="H216" s="39" t="s">
        <v>461</v>
      </c>
    </row>
    <row r="217">
      <c r="A217" s="41">
        <v>46003.52861540509</v>
      </c>
      <c r="B217" s="39" t="s">
        <v>460</v>
      </c>
      <c r="C217" s="39" t="s">
        <v>304</v>
      </c>
      <c r="D217" s="39" t="s">
        <v>445</v>
      </c>
      <c r="E217" s="39" t="s">
        <v>453</v>
      </c>
      <c r="F217" s="40">
        <v>0.0</v>
      </c>
      <c r="G217" s="40">
        <v>25.0</v>
      </c>
      <c r="H217" s="39" t="s">
        <v>461</v>
      </c>
    </row>
    <row r="218">
      <c r="A218" s="41">
        <v>46003.52861540509</v>
      </c>
      <c r="B218" s="39" t="s">
        <v>460</v>
      </c>
      <c r="C218" s="39" t="s">
        <v>304</v>
      </c>
      <c r="D218" s="39" t="s">
        <v>446</v>
      </c>
      <c r="E218" s="39" t="s">
        <v>453</v>
      </c>
      <c r="F218" s="40">
        <v>4.0</v>
      </c>
      <c r="G218" s="40">
        <v>19.0</v>
      </c>
      <c r="H218" s="39" t="s">
        <v>461</v>
      </c>
    </row>
    <row r="219">
      <c r="A219" s="41">
        <v>46003.52861540509</v>
      </c>
      <c r="B219" s="39" t="s">
        <v>460</v>
      </c>
      <c r="C219" s="39" t="s">
        <v>305</v>
      </c>
      <c r="D219" s="39" t="s">
        <v>429</v>
      </c>
      <c r="E219" s="39" t="s">
        <v>453</v>
      </c>
      <c r="F219" s="40">
        <v>20.0</v>
      </c>
      <c r="G219" s="40">
        <v>20.0</v>
      </c>
      <c r="H219" s="39" t="s">
        <v>454</v>
      </c>
    </row>
    <row r="220">
      <c r="A220" s="41">
        <v>46003.52861540509</v>
      </c>
      <c r="B220" s="39" t="s">
        <v>460</v>
      </c>
      <c r="C220" s="39" t="s">
        <v>305</v>
      </c>
      <c r="D220" s="39" t="s">
        <v>430</v>
      </c>
      <c r="E220" s="39" t="s">
        <v>453</v>
      </c>
      <c r="F220" s="40">
        <v>20.0</v>
      </c>
      <c r="G220" s="40">
        <v>20.0</v>
      </c>
      <c r="H220" s="39" t="s">
        <v>454</v>
      </c>
    </row>
    <row r="221">
      <c r="A221" s="41">
        <v>46003.52861540509</v>
      </c>
      <c r="B221" s="39" t="s">
        <v>460</v>
      </c>
      <c r="C221" s="39" t="s">
        <v>305</v>
      </c>
      <c r="D221" s="39" t="s">
        <v>437</v>
      </c>
      <c r="E221" s="39" t="s">
        <v>453</v>
      </c>
      <c r="F221" s="40">
        <v>3.0</v>
      </c>
      <c r="G221" s="40">
        <v>9.0</v>
      </c>
      <c r="H221" s="39" t="s">
        <v>454</v>
      </c>
    </row>
    <row r="222">
      <c r="A222" s="41">
        <v>46003.52861540509</v>
      </c>
      <c r="B222" s="39" t="s">
        <v>460</v>
      </c>
      <c r="C222" s="39" t="s">
        <v>305</v>
      </c>
      <c r="D222" s="39" t="s">
        <v>438</v>
      </c>
      <c r="E222" s="39" t="s">
        <v>453</v>
      </c>
      <c r="F222" s="40">
        <v>0.0</v>
      </c>
      <c r="G222" s="40">
        <v>10.0</v>
      </c>
      <c r="H222" s="39" t="s">
        <v>454</v>
      </c>
    </row>
    <row r="223">
      <c r="A223" s="41">
        <v>46003.52861540509</v>
      </c>
      <c r="B223" s="39" t="s">
        <v>460</v>
      </c>
      <c r="C223" s="39" t="s">
        <v>305</v>
      </c>
      <c r="D223" s="39" t="s">
        <v>439</v>
      </c>
      <c r="E223" s="39" t="s">
        <v>453</v>
      </c>
      <c r="F223" s="40">
        <v>4.0</v>
      </c>
      <c r="G223" s="40">
        <v>21.0</v>
      </c>
      <c r="H223" s="39" t="s">
        <v>454</v>
      </c>
    </row>
    <row r="224">
      <c r="A224" s="41">
        <v>46003.52861540509</v>
      </c>
      <c r="B224" s="39" t="s">
        <v>460</v>
      </c>
      <c r="C224" s="39" t="s">
        <v>305</v>
      </c>
      <c r="D224" s="39" t="s">
        <v>440</v>
      </c>
      <c r="E224" s="39" t="s">
        <v>453</v>
      </c>
      <c r="F224" s="40">
        <v>0.0</v>
      </c>
      <c r="G224" s="40">
        <v>21.0</v>
      </c>
      <c r="H224" s="39" t="s">
        <v>454</v>
      </c>
    </row>
    <row r="225">
      <c r="A225" s="41">
        <v>46003.52861540509</v>
      </c>
      <c r="B225" s="39" t="s">
        <v>460</v>
      </c>
      <c r="C225" s="39" t="s">
        <v>305</v>
      </c>
      <c r="D225" s="39" t="s">
        <v>441</v>
      </c>
      <c r="E225" s="39" t="s">
        <v>453</v>
      </c>
      <c r="F225" s="40">
        <v>0.0</v>
      </c>
      <c r="G225" s="40">
        <v>16.0</v>
      </c>
      <c r="H225" s="39" t="s">
        <v>454</v>
      </c>
    </row>
    <row r="226">
      <c r="A226" s="41">
        <v>46003.52861540509</v>
      </c>
      <c r="B226" s="39" t="s">
        <v>460</v>
      </c>
      <c r="C226" s="39" t="s">
        <v>305</v>
      </c>
      <c r="D226" s="39" t="s">
        <v>442</v>
      </c>
      <c r="E226" s="39" t="s">
        <v>453</v>
      </c>
      <c r="F226" s="40">
        <v>3.0</v>
      </c>
      <c r="G226" s="40">
        <v>9.0</v>
      </c>
      <c r="H226" s="39" t="s">
        <v>461</v>
      </c>
    </row>
    <row r="227">
      <c r="A227" s="41">
        <v>46003.52861540509</v>
      </c>
      <c r="B227" s="39" t="s">
        <v>460</v>
      </c>
      <c r="C227" s="39" t="s">
        <v>305</v>
      </c>
      <c r="D227" s="39" t="s">
        <v>443</v>
      </c>
      <c r="E227" s="39" t="s">
        <v>453</v>
      </c>
      <c r="F227" s="40">
        <v>0.0</v>
      </c>
      <c r="G227" s="40">
        <v>10.0</v>
      </c>
      <c r="H227" s="39" t="s">
        <v>461</v>
      </c>
    </row>
    <row r="228">
      <c r="A228" s="41">
        <v>46003.52861540509</v>
      </c>
      <c r="B228" s="39" t="s">
        <v>460</v>
      </c>
      <c r="C228" s="39" t="s">
        <v>305</v>
      </c>
      <c r="D228" s="39" t="s">
        <v>444</v>
      </c>
      <c r="E228" s="39" t="s">
        <v>453</v>
      </c>
      <c r="F228" s="40">
        <v>4.0</v>
      </c>
      <c r="G228" s="40">
        <v>20.0</v>
      </c>
      <c r="H228" s="39" t="s">
        <v>461</v>
      </c>
    </row>
    <row r="229">
      <c r="A229" s="41">
        <v>46003.52861540509</v>
      </c>
      <c r="B229" s="39" t="s">
        <v>460</v>
      </c>
      <c r="C229" s="39" t="s">
        <v>305</v>
      </c>
      <c r="D229" s="39" t="s">
        <v>445</v>
      </c>
      <c r="E229" s="39" t="s">
        <v>453</v>
      </c>
      <c r="F229" s="40">
        <v>0.0</v>
      </c>
      <c r="G229" s="40">
        <v>21.0</v>
      </c>
      <c r="H229" s="39" t="s">
        <v>461</v>
      </c>
    </row>
    <row r="230">
      <c r="A230" s="41">
        <v>46003.52861540509</v>
      </c>
      <c r="B230" s="39" t="s">
        <v>460</v>
      </c>
      <c r="C230" s="39" t="s">
        <v>305</v>
      </c>
      <c r="D230" s="39" t="s">
        <v>446</v>
      </c>
      <c r="E230" s="39" t="s">
        <v>453</v>
      </c>
      <c r="F230" s="40">
        <v>0.0</v>
      </c>
      <c r="G230" s="40">
        <v>16.0</v>
      </c>
      <c r="H230" s="39" t="s">
        <v>461</v>
      </c>
    </row>
    <row r="231">
      <c r="A231" s="41">
        <v>46003.52861540509</v>
      </c>
      <c r="B231" s="39" t="s">
        <v>460</v>
      </c>
      <c r="C231" s="39" t="s">
        <v>306</v>
      </c>
      <c r="D231" s="39" t="s">
        <v>437</v>
      </c>
      <c r="E231" s="39" t="s">
        <v>453</v>
      </c>
      <c r="F231" s="40">
        <v>0.0</v>
      </c>
      <c r="G231" s="40">
        <v>9.0</v>
      </c>
      <c r="H231" s="39" t="s">
        <v>454</v>
      </c>
    </row>
    <row r="232">
      <c r="A232" s="41">
        <v>46003.52861540509</v>
      </c>
      <c r="B232" s="39" t="s">
        <v>460</v>
      </c>
      <c r="C232" s="39" t="s">
        <v>306</v>
      </c>
      <c r="D232" s="39" t="s">
        <v>438</v>
      </c>
      <c r="E232" s="39" t="s">
        <v>453</v>
      </c>
      <c r="F232" s="40">
        <v>0.0</v>
      </c>
      <c r="G232" s="40">
        <v>13.0</v>
      </c>
      <c r="H232" s="39" t="s">
        <v>454</v>
      </c>
    </row>
    <row r="233">
      <c r="A233" s="41">
        <v>46003.52861540509</v>
      </c>
      <c r="B233" s="39" t="s">
        <v>460</v>
      </c>
      <c r="C233" s="39" t="s">
        <v>306</v>
      </c>
      <c r="D233" s="39" t="s">
        <v>439</v>
      </c>
      <c r="E233" s="39" t="s">
        <v>453</v>
      </c>
      <c r="F233" s="40">
        <v>0.0</v>
      </c>
      <c r="G233" s="40">
        <v>15.0</v>
      </c>
      <c r="H233" s="39" t="s">
        <v>454</v>
      </c>
    </row>
    <row r="234">
      <c r="A234" s="41">
        <v>46003.52861540509</v>
      </c>
      <c r="B234" s="39" t="s">
        <v>460</v>
      </c>
      <c r="C234" s="39" t="s">
        <v>306</v>
      </c>
      <c r="D234" s="39" t="s">
        <v>442</v>
      </c>
      <c r="E234" s="39" t="s">
        <v>453</v>
      </c>
      <c r="F234" s="40">
        <v>0.0</v>
      </c>
      <c r="G234" s="40">
        <v>9.0</v>
      </c>
      <c r="H234" s="39" t="s">
        <v>461</v>
      </c>
    </row>
    <row r="235">
      <c r="A235" s="41">
        <v>46003.52861540509</v>
      </c>
      <c r="B235" s="39" t="s">
        <v>460</v>
      </c>
      <c r="C235" s="39" t="s">
        <v>306</v>
      </c>
      <c r="D235" s="39" t="s">
        <v>443</v>
      </c>
      <c r="E235" s="39" t="s">
        <v>453</v>
      </c>
      <c r="F235" s="40">
        <v>0.0</v>
      </c>
      <c r="G235" s="40">
        <v>13.0</v>
      </c>
      <c r="H235" s="39" t="s">
        <v>461</v>
      </c>
    </row>
    <row r="236">
      <c r="A236" s="41">
        <v>46003.52861540509</v>
      </c>
      <c r="B236" s="39" t="s">
        <v>460</v>
      </c>
      <c r="C236" s="39" t="s">
        <v>306</v>
      </c>
      <c r="D236" s="39" t="s">
        <v>444</v>
      </c>
      <c r="E236" s="39" t="s">
        <v>453</v>
      </c>
      <c r="F236" s="40">
        <v>0.0</v>
      </c>
      <c r="G236" s="40">
        <v>15.0</v>
      </c>
      <c r="H236" s="39" t="s">
        <v>461</v>
      </c>
    </row>
    <row r="237">
      <c r="A237" s="41">
        <v>46003.52861540509</v>
      </c>
      <c r="B237" s="39" t="s">
        <v>460</v>
      </c>
      <c r="C237" s="39" t="s">
        <v>307</v>
      </c>
      <c r="D237" s="39" t="s">
        <v>428</v>
      </c>
      <c r="E237" s="39" t="s">
        <v>453</v>
      </c>
      <c r="F237" s="40">
        <v>20.0</v>
      </c>
      <c r="G237" s="40">
        <v>20.0</v>
      </c>
      <c r="H237" s="39" t="s">
        <v>454</v>
      </c>
    </row>
    <row r="238">
      <c r="A238" s="41">
        <v>46003.52861540509</v>
      </c>
      <c r="B238" s="39" t="s">
        <v>460</v>
      </c>
      <c r="C238" s="39" t="s">
        <v>307</v>
      </c>
      <c r="D238" s="39" t="s">
        <v>429</v>
      </c>
      <c r="E238" s="39" t="s">
        <v>453</v>
      </c>
      <c r="F238" s="40">
        <v>20.0</v>
      </c>
      <c r="G238" s="40">
        <v>20.0</v>
      </c>
      <c r="H238" s="39" t="s">
        <v>454</v>
      </c>
    </row>
    <row r="239">
      <c r="A239" s="41">
        <v>46003.52861540509</v>
      </c>
      <c r="B239" s="39" t="s">
        <v>460</v>
      </c>
      <c r="C239" s="39" t="s">
        <v>307</v>
      </c>
      <c r="D239" s="39" t="s">
        <v>430</v>
      </c>
      <c r="E239" s="39" t="s">
        <v>453</v>
      </c>
      <c r="F239" s="40">
        <v>20.0</v>
      </c>
      <c r="G239" s="40">
        <v>20.0</v>
      </c>
      <c r="H239" s="39" t="s">
        <v>454</v>
      </c>
    </row>
    <row r="240">
      <c r="A240" s="41">
        <v>46003.52861540509</v>
      </c>
      <c r="B240" s="39" t="s">
        <v>460</v>
      </c>
      <c r="C240" s="39" t="s">
        <v>308</v>
      </c>
      <c r="D240" s="39" t="s">
        <v>437</v>
      </c>
      <c r="E240" s="39" t="s">
        <v>453</v>
      </c>
      <c r="F240" s="40">
        <v>3.0</v>
      </c>
      <c r="G240" s="40">
        <v>12.0</v>
      </c>
      <c r="H240" s="39" t="s">
        <v>454</v>
      </c>
    </row>
    <row r="241">
      <c r="A241" s="41">
        <v>46003.52861540509</v>
      </c>
      <c r="B241" s="39" t="s">
        <v>460</v>
      </c>
      <c r="C241" s="39" t="s">
        <v>308</v>
      </c>
      <c r="D241" s="39" t="s">
        <v>438</v>
      </c>
      <c r="E241" s="39" t="s">
        <v>453</v>
      </c>
      <c r="F241" s="40">
        <v>4.0</v>
      </c>
      <c r="G241" s="40">
        <v>20.0</v>
      </c>
      <c r="H241" s="39" t="s">
        <v>454</v>
      </c>
    </row>
    <row r="242">
      <c r="A242" s="41">
        <v>46003.52861540509</v>
      </c>
      <c r="B242" s="39" t="s">
        <v>460</v>
      </c>
      <c r="C242" s="39" t="s">
        <v>308</v>
      </c>
      <c r="D242" s="39" t="s">
        <v>439</v>
      </c>
      <c r="E242" s="39" t="s">
        <v>453</v>
      </c>
      <c r="F242" s="40">
        <v>4.0</v>
      </c>
      <c r="G242" s="40">
        <v>21.0</v>
      </c>
      <c r="H242" s="39" t="s">
        <v>454</v>
      </c>
    </row>
    <row r="243">
      <c r="A243" s="41">
        <v>46003.52861540509</v>
      </c>
      <c r="B243" s="39" t="s">
        <v>460</v>
      </c>
      <c r="C243" s="39" t="s">
        <v>308</v>
      </c>
      <c r="D243" s="39" t="s">
        <v>440</v>
      </c>
      <c r="E243" s="39" t="s">
        <v>453</v>
      </c>
      <c r="F243" s="40">
        <v>0.0</v>
      </c>
      <c r="G243" s="40">
        <v>25.0</v>
      </c>
      <c r="H243" s="39" t="s">
        <v>454</v>
      </c>
    </row>
    <row r="244">
      <c r="A244" s="41">
        <v>46003.52861540509</v>
      </c>
      <c r="B244" s="39" t="s">
        <v>460</v>
      </c>
      <c r="C244" s="39" t="s">
        <v>308</v>
      </c>
      <c r="D244" s="39" t="s">
        <v>442</v>
      </c>
      <c r="E244" s="39" t="s">
        <v>453</v>
      </c>
      <c r="F244" s="40">
        <v>3.0</v>
      </c>
      <c r="G244" s="40">
        <v>12.0</v>
      </c>
      <c r="H244" s="39" t="s">
        <v>461</v>
      </c>
    </row>
    <row r="245">
      <c r="A245" s="41">
        <v>46003.52861540509</v>
      </c>
      <c r="B245" s="39" t="s">
        <v>460</v>
      </c>
      <c r="C245" s="39" t="s">
        <v>308</v>
      </c>
      <c r="D245" s="39" t="s">
        <v>443</v>
      </c>
      <c r="E245" s="39" t="s">
        <v>453</v>
      </c>
      <c r="F245" s="40">
        <v>4.0</v>
      </c>
      <c r="G245" s="40">
        <v>20.0</v>
      </c>
      <c r="H245" s="39" t="s">
        <v>461</v>
      </c>
    </row>
    <row r="246">
      <c r="A246" s="41">
        <v>46003.52861540509</v>
      </c>
      <c r="B246" s="39" t="s">
        <v>460</v>
      </c>
      <c r="C246" s="39" t="s">
        <v>308</v>
      </c>
      <c r="D246" s="39" t="s">
        <v>444</v>
      </c>
      <c r="E246" s="39" t="s">
        <v>453</v>
      </c>
      <c r="F246" s="40">
        <v>4.0</v>
      </c>
      <c r="G246" s="40">
        <v>20.0</v>
      </c>
      <c r="H246" s="39" t="s">
        <v>461</v>
      </c>
    </row>
    <row r="247">
      <c r="A247" s="41">
        <v>46003.52861540509</v>
      </c>
      <c r="B247" s="39" t="s">
        <v>460</v>
      </c>
      <c r="C247" s="39" t="s">
        <v>308</v>
      </c>
      <c r="D247" s="39" t="s">
        <v>445</v>
      </c>
      <c r="E247" s="39" t="s">
        <v>453</v>
      </c>
      <c r="F247" s="40">
        <v>0.0</v>
      </c>
      <c r="G247" s="40">
        <v>25.0</v>
      </c>
      <c r="H247" s="39" t="s">
        <v>461</v>
      </c>
    </row>
    <row r="248">
      <c r="A248" s="41">
        <v>46003.52861540509</v>
      </c>
      <c r="B248" s="39" t="s">
        <v>460</v>
      </c>
      <c r="C248" s="39" t="s">
        <v>311</v>
      </c>
      <c r="D248" s="39" t="s">
        <v>437</v>
      </c>
      <c r="E248" s="39" t="s">
        <v>453</v>
      </c>
      <c r="F248" s="40">
        <v>3.0</v>
      </c>
      <c r="G248" s="40">
        <v>12.0</v>
      </c>
      <c r="H248" s="39" t="s">
        <v>454</v>
      </c>
    </row>
    <row r="249">
      <c r="A249" s="41">
        <v>46003.52861540509</v>
      </c>
      <c r="B249" s="39" t="s">
        <v>460</v>
      </c>
      <c r="C249" s="39" t="s">
        <v>311</v>
      </c>
      <c r="D249" s="39" t="s">
        <v>442</v>
      </c>
      <c r="E249" s="39" t="s">
        <v>453</v>
      </c>
      <c r="F249" s="40">
        <v>3.0</v>
      </c>
      <c r="G249" s="40">
        <v>12.0</v>
      </c>
      <c r="H249" s="39" t="s">
        <v>461</v>
      </c>
    </row>
    <row r="250">
      <c r="A250" s="41">
        <v>46003.52861540509</v>
      </c>
      <c r="B250" s="39" t="s">
        <v>460</v>
      </c>
      <c r="C250" s="39" t="s">
        <v>312</v>
      </c>
      <c r="D250" s="39" t="s">
        <v>428</v>
      </c>
      <c r="E250" s="39" t="s">
        <v>453</v>
      </c>
      <c r="F250" s="40">
        <v>20.0</v>
      </c>
      <c r="G250" s="40">
        <v>20.0</v>
      </c>
      <c r="H250" s="39" t="s">
        <v>454</v>
      </c>
    </row>
    <row r="251">
      <c r="A251" s="41">
        <v>46003.52861540509</v>
      </c>
      <c r="B251" s="39" t="s">
        <v>460</v>
      </c>
      <c r="C251" s="39" t="s">
        <v>312</v>
      </c>
      <c r="D251" s="39" t="s">
        <v>429</v>
      </c>
      <c r="E251" s="39" t="s">
        <v>453</v>
      </c>
      <c r="F251" s="40">
        <v>20.0</v>
      </c>
      <c r="G251" s="40">
        <v>20.0</v>
      </c>
      <c r="H251" s="39" t="s">
        <v>454</v>
      </c>
    </row>
    <row r="252">
      <c r="A252" s="41">
        <v>46003.52861540509</v>
      </c>
      <c r="B252" s="39" t="s">
        <v>460</v>
      </c>
      <c r="C252" s="39" t="s">
        <v>312</v>
      </c>
      <c r="D252" s="39" t="s">
        <v>437</v>
      </c>
      <c r="E252" s="39" t="s">
        <v>453</v>
      </c>
      <c r="F252" s="40">
        <v>3.0</v>
      </c>
      <c r="G252" s="40">
        <v>12.0</v>
      </c>
      <c r="H252" s="39" t="s">
        <v>454</v>
      </c>
    </row>
    <row r="253">
      <c r="A253" s="41">
        <v>46003.52861540509</v>
      </c>
      <c r="B253" s="39" t="s">
        <v>460</v>
      </c>
      <c r="C253" s="39" t="s">
        <v>312</v>
      </c>
      <c r="D253" s="39" t="s">
        <v>438</v>
      </c>
      <c r="E253" s="39" t="s">
        <v>453</v>
      </c>
      <c r="F253" s="40">
        <v>0.0</v>
      </c>
      <c r="G253" s="40">
        <v>16.0</v>
      </c>
      <c r="H253" s="39" t="s">
        <v>454</v>
      </c>
    </row>
    <row r="254">
      <c r="A254" s="41">
        <v>46003.52861540509</v>
      </c>
      <c r="B254" s="39" t="s">
        <v>460</v>
      </c>
      <c r="C254" s="39" t="s">
        <v>312</v>
      </c>
      <c r="D254" s="39" t="s">
        <v>439</v>
      </c>
      <c r="E254" s="39" t="s">
        <v>453</v>
      </c>
      <c r="F254" s="40">
        <v>0.0</v>
      </c>
      <c r="G254" s="40">
        <v>17.0</v>
      </c>
      <c r="H254" s="39" t="s">
        <v>454</v>
      </c>
    </row>
    <row r="255">
      <c r="A255" s="41">
        <v>46003.52861540509</v>
      </c>
      <c r="B255" s="39" t="s">
        <v>460</v>
      </c>
      <c r="C255" s="39" t="s">
        <v>312</v>
      </c>
      <c r="D255" s="39" t="s">
        <v>442</v>
      </c>
      <c r="E255" s="39" t="s">
        <v>453</v>
      </c>
      <c r="F255" s="40">
        <v>3.0</v>
      </c>
      <c r="G255" s="40">
        <v>12.0</v>
      </c>
      <c r="H255" s="39" t="s">
        <v>461</v>
      </c>
    </row>
    <row r="256">
      <c r="A256" s="41">
        <v>46003.52861540509</v>
      </c>
      <c r="B256" s="39" t="s">
        <v>460</v>
      </c>
      <c r="C256" s="39" t="s">
        <v>312</v>
      </c>
      <c r="D256" s="39" t="s">
        <v>443</v>
      </c>
      <c r="E256" s="39" t="s">
        <v>453</v>
      </c>
      <c r="F256" s="40">
        <v>0.0</v>
      </c>
      <c r="G256" s="40">
        <v>16.0</v>
      </c>
      <c r="H256" s="39" t="s">
        <v>461</v>
      </c>
    </row>
    <row r="257">
      <c r="A257" s="41">
        <v>46003.52861540509</v>
      </c>
      <c r="B257" s="39" t="s">
        <v>460</v>
      </c>
      <c r="C257" s="39" t="s">
        <v>312</v>
      </c>
      <c r="D257" s="39" t="s">
        <v>444</v>
      </c>
      <c r="E257" s="39" t="s">
        <v>453</v>
      </c>
      <c r="F257" s="40">
        <v>0.0</v>
      </c>
      <c r="G257" s="40">
        <v>17.0</v>
      </c>
      <c r="H257" s="39" t="s">
        <v>461</v>
      </c>
    </row>
    <row r="258">
      <c r="A258" s="41">
        <v>46003.52861540509</v>
      </c>
      <c r="B258" s="39" t="s">
        <v>460</v>
      </c>
      <c r="C258" s="39" t="s">
        <v>315</v>
      </c>
      <c r="D258" s="39" t="s">
        <v>428</v>
      </c>
      <c r="E258" s="39" t="s">
        <v>453</v>
      </c>
      <c r="F258" s="40">
        <v>20.0</v>
      </c>
      <c r="G258" s="40">
        <v>20.0</v>
      </c>
      <c r="H258" s="39" t="s">
        <v>454</v>
      </c>
    </row>
    <row r="259">
      <c r="A259" s="41">
        <v>46003.52861540509</v>
      </c>
      <c r="B259" s="39" t="s">
        <v>460</v>
      </c>
      <c r="C259" s="39" t="s">
        <v>315</v>
      </c>
      <c r="D259" s="39" t="s">
        <v>429</v>
      </c>
      <c r="E259" s="39" t="s">
        <v>453</v>
      </c>
      <c r="F259" s="40">
        <v>20.0</v>
      </c>
      <c r="G259" s="40">
        <v>20.0</v>
      </c>
      <c r="H259" s="39" t="s">
        <v>454</v>
      </c>
    </row>
    <row r="260">
      <c r="A260" s="41">
        <v>46003.52861540509</v>
      </c>
      <c r="B260" s="39" t="s">
        <v>460</v>
      </c>
      <c r="C260" s="39" t="s">
        <v>315</v>
      </c>
      <c r="D260" s="39" t="s">
        <v>430</v>
      </c>
      <c r="E260" s="39" t="s">
        <v>453</v>
      </c>
      <c r="F260" s="40">
        <v>20.0</v>
      </c>
      <c r="G260" s="40">
        <v>20.0</v>
      </c>
      <c r="H260" s="39" t="s">
        <v>454</v>
      </c>
    </row>
    <row r="261">
      <c r="A261" s="41">
        <v>46003.52861540509</v>
      </c>
      <c r="B261" s="39" t="s">
        <v>460</v>
      </c>
      <c r="C261" s="39" t="s">
        <v>315</v>
      </c>
      <c r="D261" s="39" t="s">
        <v>437</v>
      </c>
      <c r="E261" s="39" t="s">
        <v>453</v>
      </c>
      <c r="F261" s="40">
        <v>3.0</v>
      </c>
      <c r="G261" s="40">
        <v>12.0</v>
      </c>
      <c r="H261" s="39" t="s">
        <v>454</v>
      </c>
    </row>
    <row r="262">
      <c r="A262" s="41">
        <v>46003.52861540509</v>
      </c>
      <c r="B262" s="39" t="s">
        <v>460</v>
      </c>
      <c r="C262" s="39" t="s">
        <v>315</v>
      </c>
      <c r="D262" s="39" t="s">
        <v>438</v>
      </c>
      <c r="E262" s="39" t="s">
        <v>453</v>
      </c>
      <c r="F262" s="40">
        <v>4.0</v>
      </c>
      <c r="G262" s="40">
        <v>20.0</v>
      </c>
      <c r="H262" s="39" t="s">
        <v>454</v>
      </c>
    </row>
    <row r="263">
      <c r="A263" s="41">
        <v>46003.52861540509</v>
      </c>
      <c r="B263" s="39" t="s">
        <v>460</v>
      </c>
      <c r="C263" s="39" t="s">
        <v>315</v>
      </c>
      <c r="D263" s="39" t="s">
        <v>439</v>
      </c>
      <c r="E263" s="39" t="s">
        <v>453</v>
      </c>
      <c r="F263" s="40">
        <v>4.0</v>
      </c>
      <c r="G263" s="40">
        <v>21.0</v>
      </c>
      <c r="H263" s="39" t="s">
        <v>454</v>
      </c>
    </row>
    <row r="264">
      <c r="A264" s="41">
        <v>46003.52861540509</v>
      </c>
      <c r="B264" s="39" t="s">
        <v>460</v>
      </c>
      <c r="C264" s="39" t="s">
        <v>315</v>
      </c>
      <c r="D264" s="39" t="s">
        <v>440</v>
      </c>
      <c r="E264" s="39" t="s">
        <v>453</v>
      </c>
      <c r="F264" s="40">
        <v>0.0</v>
      </c>
      <c r="G264" s="40">
        <v>25.0</v>
      </c>
      <c r="H264" s="39" t="s">
        <v>454</v>
      </c>
    </row>
    <row r="265">
      <c r="A265" s="41">
        <v>46003.52861540509</v>
      </c>
      <c r="B265" s="39" t="s">
        <v>460</v>
      </c>
      <c r="C265" s="39" t="s">
        <v>315</v>
      </c>
      <c r="D265" s="39" t="s">
        <v>441</v>
      </c>
      <c r="E265" s="39" t="s">
        <v>453</v>
      </c>
      <c r="F265" s="40">
        <v>0.0</v>
      </c>
      <c r="G265" s="40">
        <v>4.0</v>
      </c>
      <c r="H265" s="39" t="s">
        <v>454</v>
      </c>
    </row>
    <row r="266">
      <c r="A266" s="41">
        <v>46003.52861540509</v>
      </c>
      <c r="B266" s="39" t="s">
        <v>460</v>
      </c>
      <c r="C266" s="39" t="s">
        <v>315</v>
      </c>
      <c r="D266" s="39" t="s">
        <v>442</v>
      </c>
      <c r="E266" s="39" t="s">
        <v>453</v>
      </c>
      <c r="F266" s="40">
        <v>3.0</v>
      </c>
      <c r="G266" s="40">
        <v>12.0</v>
      </c>
      <c r="H266" s="39" t="s">
        <v>461</v>
      </c>
    </row>
    <row r="267">
      <c r="A267" s="41">
        <v>46003.52861540509</v>
      </c>
      <c r="B267" s="39" t="s">
        <v>460</v>
      </c>
      <c r="C267" s="39" t="s">
        <v>315</v>
      </c>
      <c r="D267" s="39" t="s">
        <v>443</v>
      </c>
      <c r="E267" s="39" t="s">
        <v>453</v>
      </c>
      <c r="F267" s="40">
        <v>4.0</v>
      </c>
      <c r="G267" s="40">
        <v>20.0</v>
      </c>
      <c r="H267" s="39" t="s">
        <v>461</v>
      </c>
    </row>
    <row r="268">
      <c r="A268" s="41">
        <v>46003.52861540509</v>
      </c>
      <c r="B268" s="39" t="s">
        <v>460</v>
      </c>
      <c r="C268" s="39" t="s">
        <v>315</v>
      </c>
      <c r="D268" s="39" t="s">
        <v>444</v>
      </c>
      <c r="E268" s="39" t="s">
        <v>453</v>
      </c>
      <c r="F268" s="40">
        <v>4.0</v>
      </c>
      <c r="G268" s="40">
        <v>20.0</v>
      </c>
      <c r="H268" s="39" t="s">
        <v>461</v>
      </c>
    </row>
    <row r="269">
      <c r="A269" s="41">
        <v>46003.52861540509</v>
      </c>
      <c r="B269" s="39" t="s">
        <v>460</v>
      </c>
      <c r="C269" s="39" t="s">
        <v>315</v>
      </c>
      <c r="D269" s="39" t="s">
        <v>445</v>
      </c>
      <c r="E269" s="39" t="s">
        <v>453</v>
      </c>
      <c r="F269" s="40">
        <v>0.0</v>
      </c>
      <c r="G269" s="40">
        <v>25.0</v>
      </c>
      <c r="H269" s="39" t="s">
        <v>461</v>
      </c>
    </row>
    <row r="270">
      <c r="A270" s="41">
        <v>46003.52861540509</v>
      </c>
      <c r="B270" s="39" t="s">
        <v>460</v>
      </c>
      <c r="C270" s="39" t="s">
        <v>315</v>
      </c>
      <c r="D270" s="39" t="s">
        <v>446</v>
      </c>
      <c r="E270" s="39" t="s">
        <v>453</v>
      </c>
      <c r="F270" s="39" t="s">
        <v>462</v>
      </c>
      <c r="G270" s="40">
        <v>4.0</v>
      </c>
      <c r="H270" s="39" t="s">
        <v>461</v>
      </c>
    </row>
    <row r="271">
      <c r="A271" s="41">
        <v>46003.52861540509</v>
      </c>
      <c r="B271" s="39" t="s">
        <v>460</v>
      </c>
      <c r="C271" s="39" t="s">
        <v>316</v>
      </c>
      <c r="D271" s="39" t="s">
        <v>430</v>
      </c>
      <c r="E271" s="39" t="s">
        <v>453</v>
      </c>
      <c r="F271" s="40">
        <v>20.0</v>
      </c>
      <c r="G271" s="40">
        <v>20.0</v>
      </c>
      <c r="H271" s="39" t="s">
        <v>454</v>
      </c>
    </row>
    <row r="272">
      <c r="A272" s="41">
        <v>46003.52861540509</v>
      </c>
      <c r="B272" s="39" t="s">
        <v>460</v>
      </c>
      <c r="C272" s="39" t="s">
        <v>316</v>
      </c>
      <c r="D272" s="39" t="s">
        <v>437</v>
      </c>
      <c r="E272" s="39" t="s">
        <v>453</v>
      </c>
      <c r="F272" s="40">
        <v>0.0</v>
      </c>
      <c r="G272" s="40">
        <v>9.0</v>
      </c>
      <c r="H272" s="39" t="s">
        <v>454</v>
      </c>
    </row>
    <row r="273">
      <c r="A273" s="41">
        <v>46003.52861540509</v>
      </c>
      <c r="B273" s="39" t="s">
        <v>460</v>
      </c>
      <c r="C273" s="39" t="s">
        <v>316</v>
      </c>
      <c r="D273" s="39" t="s">
        <v>438</v>
      </c>
      <c r="E273" s="39" t="s">
        <v>453</v>
      </c>
      <c r="F273" s="40">
        <v>4.0</v>
      </c>
      <c r="G273" s="40">
        <v>20.0</v>
      </c>
      <c r="H273" s="39" t="s">
        <v>454</v>
      </c>
    </row>
    <row r="274">
      <c r="A274" s="41">
        <v>46003.52861540509</v>
      </c>
      <c r="B274" s="39" t="s">
        <v>460</v>
      </c>
      <c r="C274" s="39" t="s">
        <v>316</v>
      </c>
      <c r="D274" s="39" t="s">
        <v>440</v>
      </c>
      <c r="E274" s="39" t="s">
        <v>453</v>
      </c>
      <c r="F274" s="40">
        <v>0.0</v>
      </c>
      <c r="G274" s="40">
        <v>25.0</v>
      </c>
      <c r="H274" s="39" t="s">
        <v>454</v>
      </c>
    </row>
    <row r="275">
      <c r="A275" s="41">
        <v>46003.52861540509</v>
      </c>
      <c r="B275" s="39" t="s">
        <v>460</v>
      </c>
      <c r="C275" s="39" t="s">
        <v>316</v>
      </c>
      <c r="D275" s="39" t="s">
        <v>441</v>
      </c>
      <c r="E275" s="39" t="s">
        <v>453</v>
      </c>
      <c r="F275" s="40">
        <v>4.0</v>
      </c>
      <c r="G275" s="40">
        <v>21.0</v>
      </c>
      <c r="H275" s="39" t="s">
        <v>454</v>
      </c>
    </row>
    <row r="276">
      <c r="A276" s="41">
        <v>46003.52861540509</v>
      </c>
      <c r="B276" s="39" t="s">
        <v>460</v>
      </c>
      <c r="C276" s="39" t="s">
        <v>316</v>
      </c>
      <c r="D276" s="39" t="s">
        <v>442</v>
      </c>
      <c r="E276" s="39" t="s">
        <v>453</v>
      </c>
      <c r="F276" s="40">
        <v>0.0</v>
      </c>
      <c r="G276" s="40">
        <v>9.0</v>
      </c>
      <c r="H276" s="39" t="s">
        <v>461</v>
      </c>
    </row>
    <row r="277">
      <c r="A277" s="41">
        <v>46003.52861540509</v>
      </c>
      <c r="B277" s="39" t="s">
        <v>460</v>
      </c>
      <c r="C277" s="39" t="s">
        <v>316</v>
      </c>
      <c r="D277" s="39" t="s">
        <v>443</v>
      </c>
      <c r="E277" s="39" t="s">
        <v>453</v>
      </c>
      <c r="F277" s="40">
        <v>4.0</v>
      </c>
      <c r="G277" s="40">
        <v>20.0</v>
      </c>
      <c r="H277" s="39" t="s">
        <v>461</v>
      </c>
    </row>
    <row r="278">
      <c r="A278" s="41">
        <v>46003.52861540509</v>
      </c>
      <c r="B278" s="39" t="s">
        <v>460</v>
      </c>
      <c r="C278" s="39" t="s">
        <v>316</v>
      </c>
      <c r="D278" s="39" t="s">
        <v>445</v>
      </c>
      <c r="E278" s="39" t="s">
        <v>453</v>
      </c>
      <c r="F278" s="40">
        <v>0.0</v>
      </c>
      <c r="G278" s="40">
        <v>25.0</v>
      </c>
      <c r="H278" s="39" t="s">
        <v>461</v>
      </c>
    </row>
    <row r="279">
      <c r="A279" s="41">
        <v>46003.52861540509</v>
      </c>
      <c r="B279" s="39" t="s">
        <v>460</v>
      </c>
      <c r="C279" s="39" t="s">
        <v>316</v>
      </c>
      <c r="D279" s="39" t="s">
        <v>446</v>
      </c>
      <c r="E279" s="39" t="s">
        <v>453</v>
      </c>
      <c r="F279" s="40">
        <v>4.0</v>
      </c>
      <c r="G279" s="40">
        <v>21.0</v>
      </c>
      <c r="H279" s="39" t="s">
        <v>461</v>
      </c>
    </row>
    <row r="280">
      <c r="A280" s="41">
        <v>46003.52861540509</v>
      </c>
      <c r="B280" s="39" t="s">
        <v>460</v>
      </c>
      <c r="C280" s="39" t="s">
        <v>317</v>
      </c>
      <c r="D280" s="39" t="s">
        <v>437</v>
      </c>
      <c r="E280" s="39" t="s">
        <v>453</v>
      </c>
      <c r="F280" s="40">
        <v>3.0</v>
      </c>
      <c r="G280" s="40">
        <v>12.0</v>
      </c>
      <c r="H280" s="39" t="s">
        <v>454</v>
      </c>
    </row>
    <row r="281">
      <c r="A281" s="41">
        <v>46003.52861541667</v>
      </c>
      <c r="B281" s="39" t="s">
        <v>460</v>
      </c>
      <c r="C281" s="39" t="s">
        <v>317</v>
      </c>
      <c r="D281" s="39" t="s">
        <v>442</v>
      </c>
      <c r="E281" s="39" t="s">
        <v>453</v>
      </c>
      <c r="F281" s="40">
        <v>3.0</v>
      </c>
      <c r="G281" s="40">
        <v>12.0</v>
      </c>
      <c r="H281" s="39" t="s">
        <v>461</v>
      </c>
    </row>
    <row r="282">
      <c r="A282" s="41">
        <v>46003.52862621528</v>
      </c>
      <c r="B282" s="39" t="s">
        <v>460</v>
      </c>
      <c r="C282" s="39" t="s">
        <v>456</v>
      </c>
      <c r="D282" s="39" t="s">
        <v>457</v>
      </c>
      <c r="E282" s="39" t="s">
        <v>458</v>
      </c>
      <c r="H282" s="39" t="s">
        <v>463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464</v>
      </c>
      <c r="B1" s="39" t="s">
        <v>465</v>
      </c>
      <c r="C1" s="39" t="s">
        <v>466</v>
      </c>
      <c r="D1" s="39" t="s">
        <v>467</v>
      </c>
      <c r="E1" s="39" t="s">
        <v>468</v>
      </c>
      <c r="F1" s="39" t="s">
        <v>469</v>
      </c>
      <c r="G1" s="39" t="s">
        <v>470</v>
      </c>
      <c r="H1" s="39" t="s">
        <v>471</v>
      </c>
      <c r="I1" s="39" t="s">
        <v>472</v>
      </c>
      <c r="J1" s="39" t="s">
        <v>473</v>
      </c>
      <c r="K1" s="39" t="s">
        <v>474</v>
      </c>
      <c r="L1" s="39" t="s">
        <v>475</v>
      </c>
      <c r="M1" s="39" t="s">
        <v>476</v>
      </c>
      <c r="N1" s="39" t="s">
        <v>477</v>
      </c>
      <c r="O1" s="39" t="s">
        <v>478</v>
      </c>
      <c r="P1" s="39" t="s">
        <v>479</v>
      </c>
      <c r="Q1" s="39" t="s">
        <v>480</v>
      </c>
      <c r="R1" s="39" t="s">
        <v>481</v>
      </c>
      <c r="S1" s="39" t="s">
        <v>482</v>
      </c>
      <c r="T1" s="39" t="s">
        <v>483</v>
      </c>
      <c r="U1" s="39" t="s">
        <v>484</v>
      </c>
      <c r="V1" s="39" t="s">
        <v>485</v>
      </c>
      <c r="W1" s="39" t="s">
        <v>486</v>
      </c>
    </row>
    <row r="2">
      <c r="A2" s="39" t="s">
        <v>487</v>
      </c>
      <c r="G2" s="39">
        <v>10.0</v>
      </c>
      <c r="H2" s="39">
        <v>20.0</v>
      </c>
      <c r="I2" s="39">
        <v>20.0</v>
      </c>
      <c r="J2" s="39">
        <v>20.0</v>
      </c>
      <c r="K2" s="39">
        <v>20.0</v>
      </c>
      <c r="L2" s="39">
        <v>10.0</v>
      </c>
      <c r="M2" s="39">
        <v>20.0</v>
      </c>
      <c r="N2" s="39">
        <v>20.0</v>
      </c>
      <c r="O2" s="39">
        <v>20.0</v>
      </c>
      <c r="P2" s="39">
        <v>20.0</v>
      </c>
      <c r="Q2" s="39">
        <v>10.0</v>
      </c>
      <c r="R2" s="39">
        <v>20.0</v>
      </c>
      <c r="S2" s="39">
        <v>20.0</v>
      </c>
      <c r="T2" s="39">
        <v>20.0</v>
      </c>
      <c r="U2" s="39">
        <v>20.0</v>
      </c>
      <c r="V2" s="39">
        <v>12.0</v>
      </c>
      <c r="W2" s="39">
        <v>20.0</v>
      </c>
    </row>
    <row r="3">
      <c r="A3" s="39" t="s">
        <v>488</v>
      </c>
      <c r="B3" s="39">
        <v>40851.0</v>
      </c>
      <c r="C3" s="39" t="s">
        <v>489</v>
      </c>
      <c r="D3" s="39" t="s">
        <v>447</v>
      </c>
      <c r="E3" s="39" t="s">
        <v>490</v>
      </c>
      <c r="F3" s="39" t="s">
        <v>491</v>
      </c>
      <c r="G3" s="39">
        <v>0.0</v>
      </c>
      <c r="H3" s="39">
        <v>0.0</v>
      </c>
      <c r="I3" s="39">
        <v>0.0</v>
      </c>
      <c r="J3" s="39">
        <v>0.0</v>
      </c>
      <c r="K3" s="39">
        <v>0.0</v>
      </c>
      <c r="L3" s="39">
        <v>0.0</v>
      </c>
      <c r="M3" s="39">
        <v>0.0</v>
      </c>
      <c r="N3" s="39">
        <v>0.0</v>
      </c>
      <c r="O3" s="39">
        <v>0.0</v>
      </c>
      <c r="P3" s="39">
        <v>0.0</v>
      </c>
      <c r="V3" s="39">
        <v>12.0</v>
      </c>
      <c r="W3" s="39">
        <v>20.0</v>
      </c>
    </row>
    <row r="4">
      <c r="A4" s="39" t="s">
        <v>492</v>
      </c>
      <c r="B4" s="39">
        <v>48568.0</v>
      </c>
      <c r="C4" s="39" t="s">
        <v>493</v>
      </c>
      <c r="D4" s="39" t="s">
        <v>254</v>
      </c>
      <c r="E4" s="39" t="s">
        <v>494</v>
      </c>
      <c r="F4" s="39" t="s">
        <v>491</v>
      </c>
      <c r="G4" s="39">
        <v>10.0</v>
      </c>
      <c r="H4" s="39">
        <v>0.0</v>
      </c>
      <c r="I4" s="39">
        <v>0.0</v>
      </c>
      <c r="J4" s="39">
        <v>0.0</v>
      </c>
      <c r="K4" s="39">
        <v>0.0</v>
      </c>
      <c r="L4" s="39">
        <v>10.0</v>
      </c>
      <c r="M4" s="39">
        <v>0.0</v>
      </c>
      <c r="N4" s="39">
        <v>0.0</v>
      </c>
      <c r="O4" s="39">
        <v>0.0</v>
      </c>
      <c r="P4" s="39">
        <v>0.0</v>
      </c>
      <c r="V4" s="39">
        <v>12.0</v>
      </c>
      <c r="W4" s="39">
        <v>20.0</v>
      </c>
    </row>
    <row r="5">
      <c r="A5" s="39" t="s">
        <v>495</v>
      </c>
      <c r="B5" s="39">
        <v>25786.0</v>
      </c>
      <c r="C5" s="39" t="s">
        <v>496</v>
      </c>
      <c r="D5" s="39" t="s">
        <v>255</v>
      </c>
      <c r="E5" s="39" t="s">
        <v>497</v>
      </c>
      <c r="F5" s="39" t="s">
        <v>491</v>
      </c>
      <c r="G5" s="39">
        <v>10.0</v>
      </c>
      <c r="H5" s="39">
        <v>0.0</v>
      </c>
      <c r="I5" s="39">
        <v>0.0</v>
      </c>
      <c r="J5" s="39">
        <v>0.0</v>
      </c>
      <c r="K5" s="39">
        <v>0.0</v>
      </c>
      <c r="L5" s="39">
        <v>0.0</v>
      </c>
      <c r="M5" s="39">
        <v>0.0</v>
      </c>
      <c r="N5" s="39">
        <v>0.0</v>
      </c>
      <c r="O5" s="39">
        <v>0.0</v>
      </c>
      <c r="P5" s="39">
        <v>0.0</v>
      </c>
      <c r="V5" s="39">
        <v>12.0</v>
      </c>
      <c r="W5" s="39">
        <v>20.0</v>
      </c>
    </row>
    <row r="6">
      <c r="A6" s="39" t="s">
        <v>498</v>
      </c>
      <c r="B6" s="39">
        <v>48539.0</v>
      </c>
      <c r="C6" s="39" t="s">
        <v>499</v>
      </c>
      <c r="D6" s="39" t="s">
        <v>256</v>
      </c>
      <c r="E6" s="39" t="s">
        <v>500</v>
      </c>
      <c r="F6" s="39" t="s">
        <v>501</v>
      </c>
      <c r="G6" s="39">
        <v>0.0</v>
      </c>
      <c r="H6" s="39">
        <v>0.0</v>
      </c>
      <c r="I6" s="39">
        <v>0.0</v>
      </c>
      <c r="J6" s="39">
        <v>0.0</v>
      </c>
      <c r="K6" s="39">
        <v>0.0</v>
      </c>
      <c r="L6" s="39">
        <v>10.0</v>
      </c>
      <c r="M6" s="39">
        <v>0.0</v>
      </c>
      <c r="N6" s="39">
        <v>0.0</v>
      </c>
      <c r="O6" s="39">
        <v>0.0</v>
      </c>
      <c r="P6" s="39">
        <v>0.0</v>
      </c>
      <c r="V6" s="39">
        <v>12.0</v>
      </c>
      <c r="W6" s="39">
        <v>20.0</v>
      </c>
    </row>
    <row r="7">
      <c r="A7" s="39" t="s">
        <v>502</v>
      </c>
      <c r="B7" s="39">
        <v>75657.0</v>
      </c>
      <c r="C7" s="39" t="s">
        <v>503</v>
      </c>
      <c r="D7" s="39" t="s">
        <v>257</v>
      </c>
      <c r="E7" s="39" t="s">
        <v>504</v>
      </c>
      <c r="F7" s="39" t="s">
        <v>505</v>
      </c>
      <c r="G7" s="39">
        <v>0.0</v>
      </c>
      <c r="H7" s="39">
        <v>0.0</v>
      </c>
      <c r="I7" s="39">
        <v>0.0</v>
      </c>
      <c r="J7" s="39">
        <v>0.0</v>
      </c>
      <c r="K7" s="39">
        <v>0.0</v>
      </c>
      <c r="L7" s="39">
        <v>0.0</v>
      </c>
      <c r="M7" s="39">
        <v>0.0</v>
      </c>
      <c r="N7" s="39">
        <v>0.0</v>
      </c>
      <c r="O7" s="39">
        <v>0.0</v>
      </c>
      <c r="P7" s="39">
        <v>0.0</v>
      </c>
      <c r="V7" s="39">
        <v>12.0</v>
      </c>
      <c r="W7" s="39">
        <v>20.0</v>
      </c>
    </row>
    <row r="8">
      <c r="A8" s="39" t="s">
        <v>506</v>
      </c>
      <c r="B8" s="39">
        <v>25895.0</v>
      </c>
      <c r="C8" s="39" t="s">
        <v>507</v>
      </c>
      <c r="D8" s="39" t="s">
        <v>258</v>
      </c>
      <c r="E8" s="39" t="s">
        <v>508</v>
      </c>
      <c r="F8" s="39" t="s">
        <v>501</v>
      </c>
      <c r="G8" s="39">
        <v>10.0</v>
      </c>
      <c r="H8" s="39">
        <v>5.0</v>
      </c>
      <c r="I8" s="39">
        <v>7.0</v>
      </c>
      <c r="J8" s="39">
        <v>0.0</v>
      </c>
      <c r="K8" s="39">
        <v>0.0</v>
      </c>
      <c r="L8" s="39">
        <v>10.0</v>
      </c>
      <c r="M8" s="39">
        <v>11.0</v>
      </c>
      <c r="N8" s="39">
        <v>10.0</v>
      </c>
      <c r="O8" s="39">
        <v>0.0</v>
      </c>
      <c r="P8" s="39">
        <v>0.0</v>
      </c>
      <c r="V8" s="39">
        <v>12.0</v>
      </c>
      <c r="W8" s="39">
        <v>20.0</v>
      </c>
    </row>
    <row r="9">
      <c r="A9" s="39" t="s">
        <v>509</v>
      </c>
      <c r="B9" s="39">
        <v>48480.0</v>
      </c>
      <c r="C9" s="39" t="s">
        <v>510</v>
      </c>
      <c r="D9" s="39" t="s">
        <v>259</v>
      </c>
      <c r="E9" s="39" t="s">
        <v>511</v>
      </c>
      <c r="F9" s="39" t="s">
        <v>491</v>
      </c>
      <c r="G9" s="39">
        <v>0.0</v>
      </c>
      <c r="H9" s="39">
        <v>0.0</v>
      </c>
      <c r="I9" s="39">
        <v>0.0</v>
      </c>
      <c r="J9" s="39">
        <v>0.0</v>
      </c>
      <c r="K9" s="39">
        <v>0.0</v>
      </c>
      <c r="L9" s="39">
        <v>0.0</v>
      </c>
      <c r="M9" s="39">
        <v>0.0</v>
      </c>
      <c r="N9" s="39">
        <v>0.0</v>
      </c>
      <c r="O9" s="39">
        <v>0.0</v>
      </c>
      <c r="P9" s="39">
        <v>0.0</v>
      </c>
      <c r="V9" s="39">
        <v>12.0</v>
      </c>
      <c r="W9" s="39">
        <v>20.0</v>
      </c>
    </row>
    <row r="10">
      <c r="A10" s="39" t="s">
        <v>512</v>
      </c>
      <c r="B10" s="39">
        <v>25898.0</v>
      </c>
      <c r="C10" s="39" t="s">
        <v>513</v>
      </c>
      <c r="D10" s="39" t="s">
        <v>260</v>
      </c>
      <c r="E10" s="39" t="s">
        <v>514</v>
      </c>
      <c r="F10" s="39" t="s">
        <v>501</v>
      </c>
      <c r="G10" s="39">
        <v>10.0</v>
      </c>
      <c r="H10" s="39">
        <v>7.0</v>
      </c>
      <c r="I10" s="39">
        <v>0.0</v>
      </c>
      <c r="J10" s="39">
        <v>4.0</v>
      </c>
      <c r="K10" s="39">
        <v>4.0</v>
      </c>
      <c r="L10" s="39">
        <v>10.0</v>
      </c>
      <c r="M10" s="39">
        <v>11.0</v>
      </c>
      <c r="N10" s="39">
        <v>10.0</v>
      </c>
      <c r="O10" s="39">
        <v>0.0</v>
      </c>
      <c r="P10" s="39">
        <v>10.0</v>
      </c>
      <c r="R10" s="39">
        <v>20.0</v>
      </c>
      <c r="V10" s="39">
        <v>12.0</v>
      </c>
      <c r="W10" s="39">
        <v>20.0</v>
      </c>
    </row>
    <row r="11">
      <c r="A11" s="39" t="s">
        <v>515</v>
      </c>
      <c r="B11" s="39">
        <v>25704.0</v>
      </c>
      <c r="C11" s="39" t="s">
        <v>516</v>
      </c>
      <c r="D11" s="39" t="s">
        <v>261</v>
      </c>
      <c r="E11" s="39" t="s">
        <v>517</v>
      </c>
      <c r="F11" s="39" t="s">
        <v>501</v>
      </c>
      <c r="G11" s="39">
        <v>0.0</v>
      </c>
      <c r="H11" s="39">
        <v>0.0</v>
      </c>
      <c r="I11" s="39">
        <v>0.0</v>
      </c>
      <c r="J11" s="39">
        <v>0.0</v>
      </c>
      <c r="K11" s="39">
        <v>0.0</v>
      </c>
      <c r="L11" s="39">
        <v>10.0</v>
      </c>
      <c r="M11" s="39">
        <v>0.0</v>
      </c>
      <c r="N11" s="39">
        <v>0.0</v>
      </c>
      <c r="O11" s="39">
        <v>0.0</v>
      </c>
      <c r="P11" s="39">
        <v>0.0</v>
      </c>
      <c r="V11" s="39">
        <v>12.0</v>
      </c>
      <c r="W11" s="39">
        <v>20.0</v>
      </c>
    </row>
    <row r="12">
      <c r="A12" s="39" t="s">
        <v>518</v>
      </c>
      <c r="B12" s="39">
        <v>25545.0</v>
      </c>
      <c r="C12" s="39" t="s">
        <v>519</v>
      </c>
      <c r="D12" s="39" t="s">
        <v>262</v>
      </c>
      <c r="E12" s="39" t="s">
        <v>520</v>
      </c>
      <c r="F12" s="39" t="s">
        <v>505</v>
      </c>
      <c r="G12" s="39">
        <v>10.0</v>
      </c>
      <c r="H12" s="39">
        <v>7.0</v>
      </c>
      <c r="I12" s="39">
        <v>0.0</v>
      </c>
      <c r="J12" s="39">
        <v>0.0</v>
      </c>
      <c r="K12" s="39">
        <v>0.0</v>
      </c>
      <c r="L12" s="39">
        <v>10.0</v>
      </c>
      <c r="M12" s="39">
        <v>7.0</v>
      </c>
      <c r="N12" s="39">
        <v>3.0</v>
      </c>
      <c r="O12" s="39">
        <v>0.0</v>
      </c>
      <c r="P12" s="39">
        <v>0.0</v>
      </c>
      <c r="V12" s="39">
        <v>12.0</v>
      </c>
      <c r="W12" s="39">
        <v>20.0</v>
      </c>
    </row>
    <row r="13">
      <c r="A13" s="39" t="s">
        <v>521</v>
      </c>
      <c r="B13" s="39">
        <v>25718.0</v>
      </c>
      <c r="C13" s="39" t="s">
        <v>522</v>
      </c>
      <c r="D13" s="39" t="s">
        <v>263</v>
      </c>
      <c r="E13" s="39" t="s">
        <v>523</v>
      </c>
      <c r="F13" s="39" t="s">
        <v>501</v>
      </c>
      <c r="G13" s="39">
        <v>0.0</v>
      </c>
      <c r="H13" s="39">
        <v>0.0</v>
      </c>
      <c r="I13" s="39">
        <v>0.0</v>
      </c>
      <c r="J13" s="39">
        <v>0.0</v>
      </c>
      <c r="K13" s="39">
        <v>0.0</v>
      </c>
      <c r="L13" s="39">
        <v>10.0</v>
      </c>
      <c r="M13" s="39">
        <v>4.0</v>
      </c>
      <c r="N13" s="39">
        <v>0.0</v>
      </c>
      <c r="O13" s="39">
        <v>0.0</v>
      </c>
      <c r="P13" s="39">
        <v>0.0</v>
      </c>
      <c r="V13" s="39">
        <v>12.0</v>
      </c>
      <c r="W13" s="39">
        <v>20.0</v>
      </c>
    </row>
    <row r="14">
      <c r="A14" s="39" t="s">
        <v>524</v>
      </c>
      <c r="B14" s="39">
        <v>40843.0</v>
      </c>
      <c r="C14" s="39" t="s">
        <v>525</v>
      </c>
      <c r="D14" s="39" t="s">
        <v>264</v>
      </c>
      <c r="E14" s="39" t="s">
        <v>526</v>
      </c>
      <c r="F14" s="39" t="s">
        <v>505</v>
      </c>
      <c r="G14" s="39">
        <v>0.0</v>
      </c>
      <c r="H14" s="39">
        <v>0.0</v>
      </c>
      <c r="I14" s="39">
        <v>0.0</v>
      </c>
      <c r="J14" s="39">
        <v>0.0</v>
      </c>
      <c r="K14" s="39">
        <v>0.0</v>
      </c>
      <c r="L14" s="39">
        <v>0.0</v>
      </c>
      <c r="M14" s="39">
        <v>0.0</v>
      </c>
      <c r="N14" s="39">
        <v>0.0</v>
      </c>
      <c r="O14" s="39">
        <v>0.0</v>
      </c>
      <c r="P14" s="39">
        <v>0.0</v>
      </c>
      <c r="V14" s="39">
        <v>12.0</v>
      </c>
      <c r="W14" s="39">
        <v>20.0</v>
      </c>
    </row>
    <row r="15">
      <c r="A15" s="39" t="s">
        <v>527</v>
      </c>
      <c r="B15" s="39">
        <v>25899.0</v>
      </c>
      <c r="C15" s="39" t="s">
        <v>528</v>
      </c>
      <c r="D15" s="39" t="s">
        <v>265</v>
      </c>
      <c r="E15" s="39" t="s">
        <v>529</v>
      </c>
      <c r="F15" s="39" t="s">
        <v>501</v>
      </c>
      <c r="G15" s="39">
        <v>10.0</v>
      </c>
      <c r="H15" s="39">
        <v>0.0</v>
      </c>
      <c r="I15" s="39">
        <v>0.0</v>
      </c>
      <c r="J15" s="39">
        <v>0.0</v>
      </c>
      <c r="K15" s="39">
        <v>0.0</v>
      </c>
      <c r="L15" s="39">
        <v>10.0</v>
      </c>
      <c r="M15" s="39">
        <v>0.0</v>
      </c>
      <c r="N15" s="39">
        <v>0.0</v>
      </c>
      <c r="O15" s="39">
        <v>0.0</v>
      </c>
      <c r="P15" s="39">
        <v>0.0</v>
      </c>
      <c r="V15" s="39">
        <v>12.0</v>
      </c>
      <c r="W15" s="39">
        <v>20.0</v>
      </c>
    </row>
    <row r="16">
      <c r="A16" s="39" t="s">
        <v>530</v>
      </c>
      <c r="B16" s="39">
        <v>25901.0</v>
      </c>
      <c r="C16" s="39" t="s">
        <v>531</v>
      </c>
      <c r="D16" s="39" t="s">
        <v>266</v>
      </c>
      <c r="E16" s="39" t="s">
        <v>532</v>
      </c>
      <c r="F16" s="39" t="s">
        <v>501</v>
      </c>
      <c r="G16" s="39">
        <v>0.0</v>
      </c>
      <c r="H16" s="39">
        <v>0.0</v>
      </c>
      <c r="I16" s="39">
        <v>0.0</v>
      </c>
      <c r="J16" s="39">
        <v>0.0</v>
      </c>
      <c r="K16" s="39">
        <v>0.0</v>
      </c>
      <c r="L16" s="39">
        <v>10.0</v>
      </c>
      <c r="M16" s="39">
        <v>11.0</v>
      </c>
      <c r="N16" s="39">
        <v>0.0</v>
      </c>
      <c r="O16" s="39">
        <v>0.0</v>
      </c>
      <c r="P16" s="39">
        <v>0.0</v>
      </c>
      <c r="V16" s="39">
        <v>12.0</v>
      </c>
      <c r="W16" s="39">
        <v>20.0</v>
      </c>
    </row>
    <row r="17">
      <c r="A17" s="39" t="s">
        <v>533</v>
      </c>
      <c r="B17" s="39">
        <v>25902.0</v>
      </c>
      <c r="C17" s="39" t="s">
        <v>534</v>
      </c>
      <c r="D17" s="39" t="s">
        <v>267</v>
      </c>
      <c r="E17" s="39" t="s">
        <v>535</v>
      </c>
      <c r="F17" s="39" t="s">
        <v>501</v>
      </c>
      <c r="G17" s="39">
        <v>0.0</v>
      </c>
      <c r="H17" s="39">
        <v>0.0</v>
      </c>
      <c r="I17" s="39">
        <v>0.0</v>
      </c>
      <c r="J17" s="39">
        <v>0.0</v>
      </c>
      <c r="K17" s="39">
        <v>0.0</v>
      </c>
      <c r="L17" s="39">
        <v>0.0</v>
      </c>
      <c r="M17" s="39">
        <v>0.0</v>
      </c>
      <c r="N17" s="39">
        <v>0.0</v>
      </c>
      <c r="O17" s="39">
        <v>0.0</v>
      </c>
      <c r="P17" s="39">
        <v>0.0</v>
      </c>
      <c r="V17" s="39">
        <v>12.0</v>
      </c>
      <c r="W17" s="39">
        <v>20.0</v>
      </c>
    </row>
    <row r="18">
      <c r="A18" s="39" t="s">
        <v>536</v>
      </c>
      <c r="B18" s="39">
        <v>75715.0</v>
      </c>
      <c r="C18" s="39" t="s">
        <v>537</v>
      </c>
      <c r="D18" s="39" t="s">
        <v>268</v>
      </c>
      <c r="E18" s="39" t="s">
        <v>538</v>
      </c>
      <c r="F18" s="39" t="s">
        <v>501</v>
      </c>
      <c r="G18" s="39">
        <v>10.0</v>
      </c>
      <c r="H18" s="39">
        <v>0.0</v>
      </c>
      <c r="I18" s="39">
        <v>0.0</v>
      </c>
      <c r="J18" s="39">
        <v>0.0</v>
      </c>
      <c r="K18" s="39">
        <v>0.0</v>
      </c>
      <c r="L18" s="39">
        <v>10.0</v>
      </c>
      <c r="M18" s="39">
        <v>0.0</v>
      </c>
      <c r="N18" s="39">
        <v>0.0</v>
      </c>
      <c r="O18" s="39">
        <v>0.0</v>
      </c>
      <c r="P18" s="39">
        <v>0.0</v>
      </c>
      <c r="V18" s="39">
        <v>12.0</v>
      </c>
      <c r="W18" s="39">
        <v>20.0</v>
      </c>
    </row>
    <row r="19">
      <c r="A19" s="39" t="s">
        <v>539</v>
      </c>
      <c r="B19" s="39">
        <v>75749.0</v>
      </c>
      <c r="C19" s="39" t="s">
        <v>540</v>
      </c>
      <c r="D19" s="39" t="s">
        <v>269</v>
      </c>
      <c r="E19" s="39" t="s">
        <v>541</v>
      </c>
      <c r="F19" s="39" t="s">
        <v>505</v>
      </c>
      <c r="G19" s="39">
        <v>0.0</v>
      </c>
      <c r="H19" s="39">
        <v>0.0</v>
      </c>
      <c r="I19" s="39">
        <v>0.0</v>
      </c>
      <c r="J19" s="39">
        <v>0.0</v>
      </c>
      <c r="K19" s="39">
        <v>0.0</v>
      </c>
      <c r="L19" s="39">
        <v>0.0</v>
      </c>
      <c r="M19" s="39">
        <v>0.0</v>
      </c>
      <c r="N19" s="39">
        <v>0.0</v>
      </c>
      <c r="O19" s="39">
        <v>0.0</v>
      </c>
      <c r="P19" s="39">
        <v>0.0</v>
      </c>
      <c r="V19" s="39">
        <v>12.0</v>
      </c>
      <c r="W19" s="39">
        <v>20.0</v>
      </c>
    </row>
    <row r="20">
      <c r="A20" s="39" t="s">
        <v>542</v>
      </c>
      <c r="B20" s="39">
        <v>25903.0</v>
      </c>
      <c r="C20" s="39" t="s">
        <v>543</v>
      </c>
      <c r="D20" s="39" t="s">
        <v>270</v>
      </c>
      <c r="E20" s="39" t="s">
        <v>544</v>
      </c>
      <c r="F20" s="39" t="s">
        <v>505</v>
      </c>
      <c r="G20" s="39">
        <v>0.0</v>
      </c>
      <c r="H20" s="39">
        <v>0.0</v>
      </c>
      <c r="I20" s="39">
        <v>0.0</v>
      </c>
      <c r="J20" s="39">
        <v>0.0</v>
      </c>
      <c r="K20" s="39">
        <v>0.0</v>
      </c>
      <c r="L20" s="39">
        <v>10.0</v>
      </c>
      <c r="M20" s="39">
        <v>3.0</v>
      </c>
      <c r="N20" s="39">
        <v>7.0</v>
      </c>
      <c r="O20" s="39">
        <v>0.0</v>
      </c>
      <c r="P20" s="39">
        <v>0.0</v>
      </c>
      <c r="V20" s="39">
        <v>12.0</v>
      </c>
      <c r="W20" s="39">
        <v>20.0</v>
      </c>
    </row>
    <row r="21">
      <c r="A21" s="39" t="s">
        <v>545</v>
      </c>
      <c r="B21" s="39">
        <v>75707.0</v>
      </c>
      <c r="C21" s="39" t="s">
        <v>546</v>
      </c>
      <c r="D21" s="39" t="s">
        <v>271</v>
      </c>
      <c r="E21" s="39" t="s">
        <v>547</v>
      </c>
      <c r="F21" s="39" t="s">
        <v>501</v>
      </c>
      <c r="G21" s="39">
        <v>10.0</v>
      </c>
      <c r="H21" s="39">
        <v>0.0</v>
      </c>
      <c r="I21" s="39">
        <v>0.0</v>
      </c>
      <c r="J21" s="39">
        <v>0.0</v>
      </c>
      <c r="K21" s="39">
        <v>0.0</v>
      </c>
      <c r="L21" s="39">
        <v>10.0</v>
      </c>
      <c r="M21" s="39">
        <v>0.0</v>
      </c>
      <c r="N21" s="39">
        <v>0.0</v>
      </c>
      <c r="O21" s="39">
        <v>0.0</v>
      </c>
      <c r="P21" s="39">
        <v>0.0</v>
      </c>
      <c r="V21" s="39">
        <v>12.0</v>
      </c>
      <c r="W21" s="39">
        <v>20.0</v>
      </c>
    </row>
    <row r="22">
      <c r="A22" s="39" t="s">
        <v>548</v>
      </c>
      <c r="B22" s="39">
        <v>48574.0</v>
      </c>
      <c r="C22" s="39" t="s">
        <v>549</v>
      </c>
      <c r="D22" s="39" t="s">
        <v>272</v>
      </c>
      <c r="E22" s="39" t="s">
        <v>550</v>
      </c>
      <c r="F22" s="39" t="s">
        <v>491</v>
      </c>
      <c r="G22" s="39">
        <v>10.0</v>
      </c>
      <c r="H22" s="39">
        <v>2.0</v>
      </c>
      <c r="I22" s="39">
        <v>2.0</v>
      </c>
      <c r="J22" s="39">
        <v>0.0</v>
      </c>
      <c r="K22" s="39">
        <v>0.0</v>
      </c>
      <c r="L22" s="39">
        <v>0.0</v>
      </c>
      <c r="M22" s="39">
        <v>0.0</v>
      </c>
      <c r="N22" s="39">
        <v>0.0</v>
      </c>
      <c r="O22" s="39">
        <v>0.0</v>
      </c>
      <c r="P22" s="39">
        <v>0.0</v>
      </c>
      <c r="V22" s="39">
        <v>12.0</v>
      </c>
      <c r="W22" s="39">
        <v>20.0</v>
      </c>
    </row>
    <row r="23">
      <c r="A23" s="39" t="s">
        <v>551</v>
      </c>
      <c r="B23" s="39">
        <v>48572.0</v>
      </c>
      <c r="C23" s="39" t="s">
        <v>552</v>
      </c>
      <c r="D23" s="39" t="s">
        <v>273</v>
      </c>
      <c r="E23" s="39" t="s">
        <v>553</v>
      </c>
      <c r="F23" s="39" t="s">
        <v>491</v>
      </c>
      <c r="G23" s="39">
        <v>10.0</v>
      </c>
      <c r="H23" s="39">
        <v>4.0</v>
      </c>
      <c r="I23" s="39">
        <v>0.0</v>
      </c>
      <c r="J23" s="39">
        <v>0.0</v>
      </c>
      <c r="K23" s="39">
        <v>0.0</v>
      </c>
      <c r="L23" s="39">
        <v>10.0</v>
      </c>
      <c r="M23" s="39">
        <v>6.0</v>
      </c>
      <c r="N23" s="39">
        <v>8.0</v>
      </c>
      <c r="O23" s="39">
        <v>0.0</v>
      </c>
      <c r="P23" s="39">
        <v>10.0</v>
      </c>
      <c r="V23" s="39">
        <v>12.0</v>
      </c>
      <c r="W23" s="39">
        <v>20.0</v>
      </c>
    </row>
    <row r="24">
      <c r="A24" s="39" t="s">
        <v>554</v>
      </c>
      <c r="B24" s="39">
        <v>25723.0</v>
      </c>
      <c r="C24" s="39" t="s">
        <v>555</v>
      </c>
      <c r="D24" s="39" t="s">
        <v>274</v>
      </c>
      <c r="E24" s="39" t="s">
        <v>556</v>
      </c>
      <c r="F24" s="39" t="s">
        <v>491</v>
      </c>
      <c r="G24" s="39">
        <v>10.0</v>
      </c>
      <c r="H24" s="39">
        <v>0.0</v>
      </c>
      <c r="I24" s="39">
        <v>0.0</v>
      </c>
      <c r="J24" s="39">
        <v>0.0</v>
      </c>
      <c r="K24" s="39">
        <v>0.0</v>
      </c>
      <c r="L24" s="39">
        <v>0.0</v>
      </c>
      <c r="M24" s="39">
        <v>0.0</v>
      </c>
      <c r="N24" s="39">
        <v>0.0</v>
      </c>
      <c r="O24" s="39">
        <v>0.0</v>
      </c>
      <c r="P24" s="39">
        <v>0.0</v>
      </c>
      <c r="V24" s="39">
        <v>12.0</v>
      </c>
      <c r="W24" s="39">
        <v>20.0</v>
      </c>
    </row>
    <row r="25">
      <c r="A25" s="39" t="s">
        <v>557</v>
      </c>
      <c r="B25" s="39">
        <v>25753.0</v>
      </c>
      <c r="C25" s="39" t="s">
        <v>558</v>
      </c>
      <c r="D25" s="39" t="s">
        <v>275</v>
      </c>
      <c r="E25" s="39" t="s">
        <v>559</v>
      </c>
      <c r="F25" s="39" t="s">
        <v>505</v>
      </c>
      <c r="G25" s="39">
        <v>0.0</v>
      </c>
      <c r="H25" s="39">
        <v>0.0</v>
      </c>
      <c r="I25" s="39">
        <v>0.0</v>
      </c>
      <c r="J25" s="39">
        <v>0.0</v>
      </c>
      <c r="K25" s="39">
        <v>0.0</v>
      </c>
      <c r="L25" s="39">
        <v>10.0</v>
      </c>
      <c r="M25" s="39">
        <v>4.0</v>
      </c>
      <c r="N25" s="39">
        <v>0.0</v>
      </c>
      <c r="O25" s="39">
        <v>0.0</v>
      </c>
      <c r="P25" s="39">
        <v>0.0</v>
      </c>
      <c r="V25" s="39">
        <v>12.0</v>
      </c>
      <c r="W25" s="39">
        <v>20.0</v>
      </c>
    </row>
    <row r="26">
      <c r="A26" s="39" t="s">
        <v>560</v>
      </c>
      <c r="B26" s="39">
        <v>75696.0</v>
      </c>
      <c r="C26" s="39" t="s">
        <v>561</v>
      </c>
      <c r="D26" s="39" t="s">
        <v>276</v>
      </c>
      <c r="E26" s="39" t="s">
        <v>562</v>
      </c>
      <c r="F26" s="39" t="s">
        <v>505</v>
      </c>
      <c r="G26" s="39">
        <v>0.0</v>
      </c>
      <c r="H26" s="39">
        <v>0.0</v>
      </c>
      <c r="I26" s="39">
        <v>0.0</v>
      </c>
      <c r="J26" s="39">
        <v>0.0</v>
      </c>
      <c r="K26" s="39">
        <v>0.0</v>
      </c>
      <c r="L26" s="39">
        <v>10.0</v>
      </c>
      <c r="M26" s="39">
        <v>11.0</v>
      </c>
      <c r="N26" s="39">
        <v>5.0</v>
      </c>
      <c r="O26" s="39">
        <v>0.0</v>
      </c>
      <c r="P26" s="39">
        <v>0.0</v>
      </c>
      <c r="V26" s="39">
        <v>12.0</v>
      </c>
      <c r="W26" s="39">
        <v>20.0</v>
      </c>
    </row>
    <row r="27">
      <c r="A27" s="39" t="s">
        <v>563</v>
      </c>
      <c r="B27" s="39">
        <v>25743.0</v>
      </c>
      <c r="C27" s="39" t="s">
        <v>564</v>
      </c>
      <c r="D27" s="39" t="s">
        <v>277</v>
      </c>
      <c r="E27" s="39" t="s">
        <v>565</v>
      </c>
      <c r="F27" s="39" t="s">
        <v>505</v>
      </c>
      <c r="G27" s="39">
        <v>0.0</v>
      </c>
      <c r="H27" s="39">
        <v>7.0</v>
      </c>
      <c r="I27" s="39">
        <v>0.0</v>
      </c>
      <c r="J27" s="39">
        <v>0.0</v>
      </c>
      <c r="K27" s="39">
        <v>0.0</v>
      </c>
      <c r="L27" s="39">
        <v>10.0</v>
      </c>
      <c r="M27" s="39">
        <v>13.0</v>
      </c>
      <c r="N27" s="39">
        <v>0.0</v>
      </c>
      <c r="O27" s="39">
        <v>0.0</v>
      </c>
      <c r="P27" s="39">
        <v>0.0</v>
      </c>
      <c r="V27" s="39">
        <v>12.0</v>
      </c>
      <c r="W27" s="39">
        <v>20.0</v>
      </c>
    </row>
    <row r="28">
      <c r="A28" s="39" t="s">
        <v>566</v>
      </c>
      <c r="B28" s="39">
        <v>76893.0</v>
      </c>
      <c r="C28" s="39" t="s">
        <v>567</v>
      </c>
      <c r="D28" s="39" t="s">
        <v>278</v>
      </c>
      <c r="E28" s="39" t="s">
        <v>568</v>
      </c>
      <c r="F28" s="39" t="s">
        <v>501</v>
      </c>
      <c r="G28" s="39">
        <v>10.0</v>
      </c>
      <c r="H28" s="39">
        <v>8.0</v>
      </c>
      <c r="I28" s="39">
        <v>2.0</v>
      </c>
      <c r="J28" s="39">
        <v>2.0</v>
      </c>
      <c r="K28" s="39">
        <v>0.0</v>
      </c>
      <c r="L28" s="39">
        <v>10.0</v>
      </c>
      <c r="M28" s="39">
        <v>0.0</v>
      </c>
      <c r="N28" s="39">
        <v>0.0</v>
      </c>
      <c r="O28" s="39">
        <v>0.0</v>
      </c>
      <c r="P28" s="39">
        <v>0.0</v>
      </c>
      <c r="V28" s="39">
        <v>12.0</v>
      </c>
      <c r="W28" s="39">
        <v>20.0</v>
      </c>
    </row>
    <row r="29">
      <c r="A29" s="39" t="s">
        <v>569</v>
      </c>
      <c r="B29" s="39">
        <v>56254.0</v>
      </c>
      <c r="C29" s="39" t="s">
        <v>570</v>
      </c>
      <c r="D29" s="39" t="s">
        <v>279</v>
      </c>
      <c r="E29" s="39" t="s">
        <v>571</v>
      </c>
      <c r="F29" s="39" t="s">
        <v>491</v>
      </c>
      <c r="G29" s="39">
        <v>0.0</v>
      </c>
      <c r="H29" s="39">
        <v>0.0</v>
      </c>
      <c r="I29" s="39">
        <v>0.0</v>
      </c>
      <c r="J29" s="39">
        <v>0.0</v>
      </c>
      <c r="K29" s="39">
        <v>0.0</v>
      </c>
      <c r="L29" s="39">
        <v>0.0</v>
      </c>
      <c r="M29" s="39">
        <v>0.0</v>
      </c>
      <c r="N29" s="39">
        <v>0.0</v>
      </c>
      <c r="O29" s="39">
        <v>0.0</v>
      </c>
      <c r="P29" s="39">
        <v>0.0</v>
      </c>
      <c r="V29" s="39">
        <v>12.0</v>
      </c>
      <c r="W29" s="39">
        <v>20.0</v>
      </c>
    </row>
    <row r="30">
      <c r="A30" s="39" t="s">
        <v>572</v>
      </c>
      <c r="B30" s="39">
        <v>25860.0</v>
      </c>
      <c r="C30" s="39" t="s">
        <v>573</v>
      </c>
      <c r="D30" s="39" t="s">
        <v>280</v>
      </c>
      <c r="E30" s="39" t="s">
        <v>574</v>
      </c>
      <c r="F30" s="39" t="s">
        <v>491</v>
      </c>
      <c r="G30" s="39">
        <v>0.0</v>
      </c>
      <c r="H30" s="39">
        <v>0.0</v>
      </c>
      <c r="I30" s="39">
        <v>0.0</v>
      </c>
      <c r="J30" s="39">
        <v>0.0</v>
      </c>
      <c r="K30" s="39">
        <v>0.0</v>
      </c>
      <c r="L30" s="39">
        <v>10.0</v>
      </c>
      <c r="M30" s="39">
        <v>0.0</v>
      </c>
      <c r="N30" s="39">
        <v>0.0</v>
      </c>
      <c r="O30" s="39">
        <v>0.0</v>
      </c>
      <c r="P30" s="39">
        <v>0.0</v>
      </c>
      <c r="V30" s="39">
        <v>12.0</v>
      </c>
      <c r="W30" s="39">
        <v>20.0</v>
      </c>
    </row>
    <row r="31">
      <c r="A31" s="39" t="s">
        <v>575</v>
      </c>
      <c r="B31" s="39">
        <v>48601.0</v>
      </c>
      <c r="C31" s="39" t="s">
        <v>576</v>
      </c>
      <c r="D31" s="39" t="s">
        <v>281</v>
      </c>
      <c r="E31" s="39" t="s">
        <v>577</v>
      </c>
      <c r="F31" s="39" t="s">
        <v>501</v>
      </c>
      <c r="G31" s="39">
        <v>0.0</v>
      </c>
      <c r="H31" s="39">
        <v>0.0</v>
      </c>
      <c r="I31" s="39">
        <v>0.0</v>
      </c>
      <c r="J31" s="39">
        <v>0.0</v>
      </c>
      <c r="K31" s="39">
        <v>0.0</v>
      </c>
      <c r="L31" s="39">
        <v>0.0</v>
      </c>
      <c r="M31" s="39">
        <v>0.0</v>
      </c>
      <c r="N31" s="39">
        <v>0.0</v>
      </c>
      <c r="O31" s="39">
        <v>0.0</v>
      </c>
      <c r="P31" s="39">
        <v>0.0</v>
      </c>
      <c r="V31" s="39">
        <v>12.0</v>
      </c>
      <c r="W31" s="39">
        <v>20.0</v>
      </c>
    </row>
    <row r="32">
      <c r="A32" s="39" t="s">
        <v>578</v>
      </c>
      <c r="B32" s="39">
        <v>49607.0</v>
      </c>
      <c r="C32" s="39" t="s">
        <v>579</v>
      </c>
      <c r="D32" s="39" t="s">
        <v>282</v>
      </c>
      <c r="E32" s="39" t="s">
        <v>580</v>
      </c>
      <c r="F32" s="39" t="s">
        <v>505</v>
      </c>
      <c r="G32" s="39">
        <v>0.0</v>
      </c>
      <c r="H32" s="39">
        <v>0.0</v>
      </c>
      <c r="I32" s="39">
        <v>0.0</v>
      </c>
      <c r="J32" s="39">
        <v>0.0</v>
      </c>
      <c r="K32" s="39">
        <v>0.0</v>
      </c>
      <c r="L32" s="39">
        <v>0.0</v>
      </c>
      <c r="M32" s="39">
        <v>0.0</v>
      </c>
      <c r="N32" s="39">
        <v>0.0</v>
      </c>
      <c r="O32" s="39">
        <v>0.0</v>
      </c>
      <c r="P32" s="39">
        <v>0.0</v>
      </c>
      <c r="V32" s="39">
        <v>12.0</v>
      </c>
      <c r="W32" s="39">
        <v>20.0</v>
      </c>
    </row>
    <row r="33">
      <c r="A33" s="39" t="s">
        <v>581</v>
      </c>
      <c r="B33" s="39">
        <v>51227.0</v>
      </c>
      <c r="C33" s="39" t="s">
        <v>582</v>
      </c>
      <c r="D33" s="39" t="s">
        <v>283</v>
      </c>
      <c r="E33" s="39" t="s">
        <v>583</v>
      </c>
      <c r="F33" s="39" t="s">
        <v>491</v>
      </c>
      <c r="G33" s="39">
        <v>10.0</v>
      </c>
      <c r="H33" s="39">
        <v>0.0</v>
      </c>
      <c r="I33" s="39">
        <v>0.0</v>
      </c>
      <c r="J33" s="39">
        <v>0.0</v>
      </c>
      <c r="K33" s="39">
        <v>0.0</v>
      </c>
      <c r="L33" s="39">
        <v>0.0</v>
      </c>
      <c r="M33" s="39">
        <v>0.0</v>
      </c>
      <c r="N33" s="39">
        <v>0.0</v>
      </c>
      <c r="O33" s="39">
        <v>0.0</v>
      </c>
      <c r="P33" s="39">
        <v>0.0</v>
      </c>
      <c r="V33" s="39">
        <v>12.0</v>
      </c>
      <c r="W33" s="39">
        <v>20.0</v>
      </c>
    </row>
    <row r="34">
      <c r="A34" s="39" t="s">
        <v>584</v>
      </c>
      <c r="B34" s="39">
        <v>76488.0</v>
      </c>
      <c r="C34" s="39" t="s">
        <v>585</v>
      </c>
      <c r="D34" s="39" t="s">
        <v>284</v>
      </c>
      <c r="E34" s="39" t="s">
        <v>586</v>
      </c>
      <c r="F34" s="39" t="s">
        <v>501</v>
      </c>
      <c r="G34" s="39">
        <v>10.0</v>
      </c>
      <c r="H34" s="39">
        <v>4.0</v>
      </c>
      <c r="I34" s="39">
        <v>2.0</v>
      </c>
      <c r="J34" s="39">
        <v>4.0</v>
      </c>
      <c r="K34" s="39">
        <v>4.0</v>
      </c>
      <c r="L34" s="39">
        <v>10.0</v>
      </c>
      <c r="M34" s="39">
        <v>4.0</v>
      </c>
      <c r="N34" s="39">
        <v>6.0</v>
      </c>
      <c r="O34" s="39">
        <v>0.0</v>
      </c>
      <c r="P34" s="39">
        <v>10.0</v>
      </c>
      <c r="T34" s="39">
        <v>20.0</v>
      </c>
      <c r="V34" s="39">
        <v>12.0</v>
      </c>
      <c r="W34" s="39">
        <v>20.0</v>
      </c>
    </row>
    <row r="35">
      <c r="A35" s="39" t="s">
        <v>587</v>
      </c>
      <c r="B35" s="39">
        <v>25905.0</v>
      </c>
      <c r="C35" s="39" t="s">
        <v>588</v>
      </c>
      <c r="D35" s="39" t="s">
        <v>285</v>
      </c>
      <c r="E35" s="39" t="s">
        <v>589</v>
      </c>
      <c r="F35" s="39" t="s">
        <v>491</v>
      </c>
      <c r="G35" s="39">
        <v>10.0</v>
      </c>
      <c r="H35" s="39">
        <v>2.0</v>
      </c>
      <c r="I35" s="39">
        <v>0.0</v>
      </c>
      <c r="J35" s="39">
        <v>0.0</v>
      </c>
      <c r="K35" s="39">
        <v>0.0</v>
      </c>
      <c r="L35" s="39">
        <v>10.0</v>
      </c>
      <c r="M35" s="39">
        <v>11.0</v>
      </c>
      <c r="N35" s="39">
        <v>7.0</v>
      </c>
      <c r="O35" s="39">
        <v>0.0</v>
      </c>
      <c r="P35" s="39">
        <v>0.0</v>
      </c>
      <c r="V35" s="39">
        <v>12.0</v>
      </c>
      <c r="W35" s="39">
        <v>20.0</v>
      </c>
    </row>
    <row r="36">
      <c r="A36" s="39" t="s">
        <v>590</v>
      </c>
      <c r="B36" s="39">
        <v>25906.0</v>
      </c>
      <c r="C36" s="39" t="s">
        <v>591</v>
      </c>
      <c r="D36" s="39" t="s">
        <v>286</v>
      </c>
      <c r="E36" s="39" t="s">
        <v>592</v>
      </c>
      <c r="F36" s="39" t="s">
        <v>501</v>
      </c>
      <c r="G36" s="39">
        <v>10.0</v>
      </c>
      <c r="H36" s="39">
        <v>2.0</v>
      </c>
      <c r="I36" s="39">
        <v>10.0</v>
      </c>
      <c r="J36" s="39">
        <v>0.0</v>
      </c>
      <c r="K36" s="39">
        <v>4.0</v>
      </c>
      <c r="L36" s="39">
        <v>10.0</v>
      </c>
      <c r="M36" s="39">
        <v>0.0</v>
      </c>
      <c r="N36" s="39">
        <v>0.0</v>
      </c>
      <c r="O36" s="39">
        <v>0.0</v>
      </c>
      <c r="P36" s="39">
        <v>0.0</v>
      </c>
      <c r="V36" s="39">
        <v>12.0</v>
      </c>
      <c r="W36" s="39">
        <v>20.0</v>
      </c>
    </row>
    <row r="37">
      <c r="A37" s="39" t="s">
        <v>593</v>
      </c>
      <c r="B37" s="39">
        <v>75764.0</v>
      </c>
      <c r="C37" s="39" t="s">
        <v>594</v>
      </c>
      <c r="D37" s="39" t="s">
        <v>287</v>
      </c>
      <c r="E37" s="39" t="s">
        <v>595</v>
      </c>
      <c r="F37" s="39" t="s">
        <v>505</v>
      </c>
      <c r="G37" s="39">
        <v>0.0</v>
      </c>
      <c r="H37" s="39">
        <v>0.0</v>
      </c>
      <c r="I37" s="39">
        <v>0.0</v>
      </c>
      <c r="J37" s="39">
        <v>0.0</v>
      </c>
      <c r="K37" s="39">
        <v>0.0</v>
      </c>
      <c r="L37" s="39">
        <v>10.0</v>
      </c>
      <c r="M37" s="39">
        <v>13.0</v>
      </c>
      <c r="N37" s="39">
        <v>0.0</v>
      </c>
      <c r="O37" s="39">
        <v>0.0</v>
      </c>
      <c r="P37" s="39">
        <v>0.0</v>
      </c>
      <c r="V37" s="39">
        <v>12.0</v>
      </c>
      <c r="W37" s="39">
        <v>20.0</v>
      </c>
    </row>
    <row r="38">
      <c r="A38" s="39" t="s">
        <v>596</v>
      </c>
      <c r="B38" s="39">
        <v>25794.0</v>
      </c>
      <c r="C38" s="39" t="s">
        <v>597</v>
      </c>
      <c r="D38" s="39" t="s">
        <v>288</v>
      </c>
      <c r="E38" s="39" t="s">
        <v>598</v>
      </c>
      <c r="F38" s="39" t="s">
        <v>501</v>
      </c>
      <c r="G38" s="39">
        <v>10.0</v>
      </c>
      <c r="H38" s="39">
        <v>10.0</v>
      </c>
      <c r="I38" s="39">
        <v>11.0</v>
      </c>
      <c r="J38" s="39">
        <v>6.0</v>
      </c>
      <c r="K38" s="39">
        <v>10.0</v>
      </c>
      <c r="L38" s="39">
        <v>10.0</v>
      </c>
      <c r="M38" s="39">
        <v>13.0</v>
      </c>
      <c r="N38" s="39">
        <v>8.0</v>
      </c>
      <c r="O38" s="39">
        <v>0.0</v>
      </c>
      <c r="P38" s="39">
        <v>10.0</v>
      </c>
      <c r="R38" s="39">
        <v>20.0</v>
      </c>
      <c r="S38" s="39">
        <v>20.0</v>
      </c>
      <c r="T38" s="39">
        <v>20.0</v>
      </c>
      <c r="V38" s="39">
        <v>12.0</v>
      </c>
      <c r="W38" s="39">
        <v>20.0</v>
      </c>
    </row>
    <row r="39">
      <c r="A39" s="39" t="s">
        <v>599</v>
      </c>
      <c r="B39" s="39">
        <v>81316.0</v>
      </c>
      <c r="C39" s="39" t="s">
        <v>600</v>
      </c>
      <c r="D39" s="39" t="s">
        <v>601</v>
      </c>
      <c r="E39" s="39" t="s">
        <v>602</v>
      </c>
      <c r="F39" s="39" t="s">
        <v>501</v>
      </c>
      <c r="L39" s="39">
        <v>0.0</v>
      </c>
      <c r="M39" s="39">
        <v>0.0</v>
      </c>
      <c r="N39" s="39">
        <v>0.0</v>
      </c>
      <c r="O39" s="39">
        <v>0.0</v>
      </c>
      <c r="P39" s="39">
        <v>0.0</v>
      </c>
    </row>
    <row r="40">
      <c r="A40" s="39" t="s">
        <v>603</v>
      </c>
      <c r="B40" s="39">
        <v>49608.0</v>
      </c>
      <c r="C40" s="39" t="s">
        <v>604</v>
      </c>
      <c r="D40" s="39" t="s">
        <v>289</v>
      </c>
      <c r="E40" s="39" t="s">
        <v>605</v>
      </c>
      <c r="F40" s="39" t="s">
        <v>491</v>
      </c>
      <c r="G40" s="39">
        <v>10.0</v>
      </c>
      <c r="H40" s="39">
        <v>0.0</v>
      </c>
      <c r="I40" s="39">
        <v>0.0</v>
      </c>
      <c r="J40" s="39">
        <v>0.0</v>
      </c>
      <c r="K40" s="39">
        <v>0.0</v>
      </c>
      <c r="L40" s="39">
        <v>0.0</v>
      </c>
      <c r="M40" s="39">
        <v>0.0</v>
      </c>
      <c r="N40" s="39">
        <v>0.0</v>
      </c>
      <c r="O40" s="39">
        <v>0.0</v>
      </c>
      <c r="P40" s="39">
        <v>0.0</v>
      </c>
      <c r="V40" s="39">
        <v>12.0</v>
      </c>
      <c r="W40" s="39">
        <v>20.0</v>
      </c>
    </row>
    <row r="41">
      <c r="A41" s="39" t="s">
        <v>606</v>
      </c>
      <c r="B41" s="39">
        <v>48520.0</v>
      </c>
      <c r="C41" s="39" t="s">
        <v>607</v>
      </c>
      <c r="D41" s="39" t="s">
        <v>290</v>
      </c>
      <c r="E41" s="39" t="s">
        <v>608</v>
      </c>
      <c r="F41" s="39" t="s">
        <v>491</v>
      </c>
      <c r="G41" s="39">
        <v>0.0</v>
      </c>
      <c r="H41" s="39">
        <v>0.0</v>
      </c>
      <c r="I41" s="39">
        <v>0.0</v>
      </c>
      <c r="J41" s="39">
        <v>0.0</v>
      </c>
      <c r="K41" s="39">
        <v>0.0</v>
      </c>
      <c r="L41" s="39">
        <v>10.0</v>
      </c>
      <c r="M41" s="39">
        <v>0.0</v>
      </c>
      <c r="N41" s="39">
        <v>0.0</v>
      </c>
      <c r="O41" s="39">
        <v>0.0</v>
      </c>
      <c r="P41" s="39">
        <v>0.0</v>
      </c>
      <c r="V41" s="39">
        <v>12.0</v>
      </c>
      <c r="W41" s="39">
        <v>20.0</v>
      </c>
    </row>
    <row r="42">
      <c r="A42" s="39" t="s">
        <v>609</v>
      </c>
      <c r="B42" s="39">
        <v>25787.0</v>
      </c>
      <c r="C42" s="39" t="s">
        <v>610</v>
      </c>
      <c r="D42" s="39" t="s">
        <v>611</v>
      </c>
      <c r="E42" s="39" t="s">
        <v>612</v>
      </c>
      <c r="F42" s="39" t="s">
        <v>501</v>
      </c>
      <c r="G42" s="39">
        <v>0.0</v>
      </c>
      <c r="H42" s="39">
        <v>0.0</v>
      </c>
      <c r="I42" s="39">
        <v>0.0</v>
      </c>
      <c r="J42" s="39">
        <v>0.0</v>
      </c>
      <c r="K42" s="39">
        <v>0.0</v>
      </c>
      <c r="L42" s="39">
        <v>10.0</v>
      </c>
      <c r="M42" s="39">
        <v>0.0</v>
      </c>
      <c r="N42" s="39">
        <v>0.0</v>
      </c>
      <c r="O42" s="39">
        <v>0.0</v>
      </c>
      <c r="P42" s="39">
        <v>0.0</v>
      </c>
      <c r="V42" s="39">
        <v>12.0</v>
      </c>
      <c r="W42" s="39">
        <v>20.0</v>
      </c>
    </row>
    <row r="43">
      <c r="A43" s="39" t="s">
        <v>613</v>
      </c>
      <c r="B43" s="39">
        <v>76491.0</v>
      </c>
      <c r="C43" s="39" t="s">
        <v>614</v>
      </c>
      <c r="D43" s="39" t="s">
        <v>291</v>
      </c>
      <c r="E43" s="39" t="s">
        <v>615</v>
      </c>
      <c r="F43" s="39" t="s">
        <v>505</v>
      </c>
      <c r="G43" s="39">
        <v>10.0</v>
      </c>
      <c r="H43" s="39">
        <v>0.0</v>
      </c>
      <c r="I43" s="39">
        <v>0.0</v>
      </c>
      <c r="J43" s="39">
        <v>0.0</v>
      </c>
      <c r="K43" s="39">
        <v>0.0</v>
      </c>
      <c r="L43" s="39">
        <v>10.0</v>
      </c>
      <c r="M43" s="39">
        <v>0.0</v>
      </c>
      <c r="N43" s="39">
        <v>10.0</v>
      </c>
      <c r="O43" s="39">
        <v>0.0</v>
      </c>
      <c r="P43" s="39">
        <v>0.0</v>
      </c>
      <c r="V43" s="39">
        <v>12.0</v>
      </c>
      <c r="W43" s="39">
        <v>20.0</v>
      </c>
    </row>
    <row r="44">
      <c r="A44" s="39" t="s">
        <v>616</v>
      </c>
      <c r="B44" s="39">
        <v>25910.0</v>
      </c>
      <c r="C44" s="39" t="s">
        <v>617</v>
      </c>
      <c r="D44" s="39" t="s">
        <v>292</v>
      </c>
      <c r="E44" s="39" t="s">
        <v>618</v>
      </c>
      <c r="F44" s="39" t="s">
        <v>505</v>
      </c>
      <c r="G44" s="39">
        <v>0.0</v>
      </c>
      <c r="H44" s="39">
        <v>0.0</v>
      </c>
      <c r="I44" s="39">
        <v>0.0</v>
      </c>
      <c r="J44" s="39">
        <v>0.0</v>
      </c>
      <c r="K44" s="39">
        <v>0.0</v>
      </c>
      <c r="L44" s="39">
        <v>10.0</v>
      </c>
      <c r="M44" s="39">
        <v>7.0</v>
      </c>
      <c r="N44" s="39">
        <v>0.0</v>
      </c>
      <c r="O44" s="39">
        <v>0.0</v>
      </c>
      <c r="P44" s="39">
        <v>0.0</v>
      </c>
      <c r="V44" s="39">
        <v>12.0</v>
      </c>
      <c r="W44" s="39">
        <v>20.0</v>
      </c>
    </row>
    <row r="45">
      <c r="A45" s="39" t="s">
        <v>619</v>
      </c>
      <c r="B45" s="39">
        <v>25574.0</v>
      </c>
      <c r="C45" s="39" t="s">
        <v>620</v>
      </c>
      <c r="D45" s="39" t="s">
        <v>293</v>
      </c>
      <c r="E45" s="39" t="s">
        <v>621</v>
      </c>
      <c r="F45" s="39" t="s">
        <v>501</v>
      </c>
      <c r="G45" s="39">
        <v>0.0</v>
      </c>
      <c r="H45" s="39">
        <v>0.0</v>
      </c>
      <c r="I45" s="39">
        <v>0.0</v>
      </c>
      <c r="J45" s="39">
        <v>0.0</v>
      </c>
      <c r="K45" s="39">
        <v>0.0</v>
      </c>
      <c r="L45" s="39">
        <v>0.0</v>
      </c>
      <c r="M45" s="39">
        <v>0.0</v>
      </c>
      <c r="N45" s="39">
        <v>0.0</v>
      </c>
      <c r="O45" s="39">
        <v>0.0</v>
      </c>
      <c r="P45" s="39">
        <v>0.0</v>
      </c>
      <c r="V45" s="39">
        <v>12.0</v>
      </c>
      <c r="W45" s="39">
        <v>20.0</v>
      </c>
    </row>
    <row r="46">
      <c r="A46" s="39" t="s">
        <v>622</v>
      </c>
      <c r="B46" s="39">
        <v>25578.0</v>
      </c>
      <c r="C46" s="39" t="s">
        <v>623</v>
      </c>
      <c r="D46" s="39" t="s">
        <v>294</v>
      </c>
      <c r="E46" s="39" t="s">
        <v>624</v>
      </c>
      <c r="F46" s="39" t="s">
        <v>491</v>
      </c>
      <c r="G46" s="39">
        <v>10.0</v>
      </c>
      <c r="H46" s="39">
        <v>0.0</v>
      </c>
      <c r="I46" s="39">
        <v>0.0</v>
      </c>
      <c r="J46" s="39">
        <v>0.0</v>
      </c>
      <c r="K46" s="39">
        <v>0.0</v>
      </c>
      <c r="L46" s="39">
        <v>0.0</v>
      </c>
      <c r="M46" s="39">
        <v>0.0</v>
      </c>
      <c r="N46" s="39">
        <v>0.0</v>
      </c>
      <c r="O46" s="39">
        <v>0.0</v>
      </c>
      <c r="P46" s="39">
        <v>0.0</v>
      </c>
      <c r="V46" s="39">
        <v>12.0</v>
      </c>
      <c r="W46" s="39">
        <v>20.0</v>
      </c>
    </row>
    <row r="47">
      <c r="A47" s="39" t="s">
        <v>625</v>
      </c>
      <c r="B47" s="39">
        <v>40848.0</v>
      </c>
      <c r="C47" s="39" t="s">
        <v>626</v>
      </c>
      <c r="D47" s="39" t="s">
        <v>295</v>
      </c>
      <c r="E47" s="39" t="s">
        <v>627</v>
      </c>
      <c r="F47" s="39" t="s">
        <v>505</v>
      </c>
      <c r="G47" s="39">
        <v>10.0</v>
      </c>
      <c r="H47" s="39">
        <v>4.0</v>
      </c>
      <c r="I47" s="39">
        <v>0.0</v>
      </c>
      <c r="J47" s="39">
        <v>0.0</v>
      </c>
      <c r="K47" s="39">
        <v>0.0</v>
      </c>
      <c r="L47" s="39">
        <v>10.0</v>
      </c>
      <c r="M47" s="39">
        <v>0.0</v>
      </c>
      <c r="N47" s="39">
        <v>0.0</v>
      </c>
      <c r="O47" s="39">
        <v>0.0</v>
      </c>
      <c r="P47" s="39">
        <v>0.0</v>
      </c>
      <c r="V47" s="39">
        <v>12.0</v>
      </c>
      <c r="W47" s="39">
        <v>20.0</v>
      </c>
    </row>
    <row r="48">
      <c r="A48" s="39" t="s">
        <v>628</v>
      </c>
      <c r="B48" s="39">
        <v>77252.0</v>
      </c>
      <c r="C48" s="39" t="s">
        <v>629</v>
      </c>
      <c r="D48" s="39" t="s">
        <v>296</v>
      </c>
      <c r="E48" s="39" t="s">
        <v>630</v>
      </c>
      <c r="F48" s="39" t="s">
        <v>505</v>
      </c>
      <c r="G48" s="39">
        <v>10.0</v>
      </c>
      <c r="H48" s="39">
        <v>0.0</v>
      </c>
      <c r="I48" s="39">
        <v>0.0</v>
      </c>
      <c r="J48" s="39">
        <v>0.0</v>
      </c>
      <c r="K48" s="39">
        <v>0.0</v>
      </c>
      <c r="L48" s="39">
        <v>10.0</v>
      </c>
      <c r="M48" s="39">
        <v>6.0</v>
      </c>
      <c r="N48" s="39">
        <v>5.0</v>
      </c>
      <c r="O48" s="39">
        <v>0.0</v>
      </c>
      <c r="P48" s="39">
        <v>0.0</v>
      </c>
      <c r="V48" s="39">
        <v>12.0</v>
      </c>
      <c r="W48" s="39">
        <v>20.0</v>
      </c>
    </row>
    <row r="49">
      <c r="A49" s="39" t="s">
        <v>631</v>
      </c>
      <c r="B49" s="39">
        <v>48589.0</v>
      </c>
      <c r="C49" s="39" t="s">
        <v>632</v>
      </c>
      <c r="D49" s="39" t="s">
        <v>297</v>
      </c>
      <c r="E49" s="39" t="s">
        <v>633</v>
      </c>
      <c r="F49" s="39" t="s">
        <v>491</v>
      </c>
      <c r="G49" s="39">
        <v>10.0</v>
      </c>
      <c r="H49" s="39">
        <v>7.0</v>
      </c>
      <c r="I49" s="39">
        <v>10.0</v>
      </c>
      <c r="J49" s="39">
        <v>4.0</v>
      </c>
      <c r="K49" s="39">
        <v>0.0</v>
      </c>
      <c r="L49" s="39">
        <v>10.0</v>
      </c>
      <c r="M49" s="39">
        <v>4.0</v>
      </c>
      <c r="N49" s="39">
        <v>10.0</v>
      </c>
      <c r="O49" s="39">
        <v>0.0</v>
      </c>
      <c r="P49" s="39">
        <v>0.0</v>
      </c>
      <c r="Q49" s="39">
        <v>10.0</v>
      </c>
      <c r="V49" s="39">
        <v>12.0</v>
      </c>
      <c r="W49" s="39">
        <v>20.0</v>
      </c>
    </row>
    <row r="50">
      <c r="A50" s="39" t="s">
        <v>634</v>
      </c>
      <c r="B50" s="39">
        <v>48594.0</v>
      </c>
      <c r="C50" s="39" t="s">
        <v>635</v>
      </c>
      <c r="D50" s="39" t="s">
        <v>298</v>
      </c>
      <c r="E50" s="39" t="s">
        <v>636</v>
      </c>
      <c r="F50" s="39" t="s">
        <v>491</v>
      </c>
      <c r="G50" s="39">
        <v>10.0</v>
      </c>
      <c r="H50" s="39">
        <v>0.0</v>
      </c>
      <c r="I50" s="39">
        <v>0.0</v>
      </c>
      <c r="J50" s="39">
        <v>0.0</v>
      </c>
      <c r="K50" s="39">
        <v>0.0</v>
      </c>
      <c r="L50" s="39">
        <v>10.0</v>
      </c>
      <c r="M50" s="39">
        <v>0.0</v>
      </c>
      <c r="N50" s="39">
        <v>0.0</v>
      </c>
      <c r="O50" s="39">
        <v>0.0</v>
      </c>
      <c r="P50" s="39">
        <v>0.0</v>
      </c>
      <c r="V50" s="39">
        <v>12.0</v>
      </c>
      <c r="W50" s="39">
        <v>20.0</v>
      </c>
    </row>
    <row r="51">
      <c r="A51" s="39" t="s">
        <v>637</v>
      </c>
      <c r="B51" s="39">
        <v>25692.0</v>
      </c>
      <c r="C51" s="39" t="s">
        <v>638</v>
      </c>
      <c r="D51" s="39" t="s">
        <v>299</v>
      </c>
      <c r="E51" s="39" t="s">
        <v>639</v>
      </c>
      <c r="F51" s="39" t="s">
        <v>505</v>
      </c>
      <c r="G51" s="39">
        <v>0.0</v>
      </c>
      <c r="H51" s="39">
        <v>0.0</v>
      </c>
      <c r="I51" s="39">
        <v>0.0</v>
      </c>
      <c r="J51" s="39">
        <v>0.0</v>
      </c>
      <c r="K51" s="39">
        <v>0.0</v>
      </c>
      <c r="L51" s="39">
        <v>10.0</v>
      </c>
      <c r="M51" s="39">
        <v>0.0</v>
      </c>
      <c r="N51" s="39">
        <v>0.0</v>
      </c>
      <c r="O51" s="39">
        <v>0.0</v>
      </c>
      <c r="P51" s="39">
        <v>0.0</v>
      </c>
      <c r="V51" s="39">
        <v>12.0</v>
      </c>
      <c r="W51" s="39">
        <v>20.0</v>
      </c>
    </row>
    <row r="52">
      <c r="A52" s="39" t="s">
        <v>640</v>
      </c>
      <c r="B52" s="39">
        <v>48467.0</v>
      </c>
      <c r="C52" s="39" t="s">
        <v>641</v>
      </c>
      <c r="D52" s="39" t="s">
        <v>300</v>
      </c>
      <c r="E52" s="39" t="s">
        <v>642</v>
      </c>
      <c r="F52" s="39" t="s">
        <v>491</v>
      </c>
      <c r="G52" s="39">
        <v>0.0</v>
      </c>
      <c r="H52" s="39">
        <v>0.0</v>
      </c>
      <c r="I52" s="39">
        <v>0.0</v>
      </c>
      <c r="J52" s="39">
        <v>0.0</v>
      </c>
      <c r="K52" s="39">
        <v>0.0</v>
      </c>
      <c r="L52" s="39">
        <v>0.0</v>
      </c>
      <c r="M52" s="39">
        <v>0.0</v>
      </c>
      <c r="N52" s="39">
        <v>0.0</v>
      </c>
      <c r="O52" s="39">
        <v>0.0</v>
      </c>
      <c r="P52" s="39">
        <v>0.0</v>
      </c>
      <c r="V52" s="39">
        <v>12.0</v>
      </c>
      <c r="W52" s="39">
        <v>20.0</v>
      </c>
    </row>
    <row r="53">
      <c r="A53" s="39" t="s">
        <v>643</v>
      </c>
      <c r="B53" s="39">
        <v>48596.0</v>
      </c>
      <c r="C53" s="39" t="s">
        <v>644</v>
      </c>
      <c r="D53" s="39" t="s">
        <v>301</v>
      </c>
      <c r="E53" s="39" t="s">
        <v>645</v>
      </c>
      <c r="F53" s="39" t="s">
        <v>491</v>
      </c>
      <c r="G53" s="39">
        <v>0.0</v>
      </c>
      <c r="H53" s="39">
        <v>0.0</v>
      </c>
      <c r="I53" s="39">
        <v>0.0</v>
      </c>
      <c r="J53" s="39">
        <v>0.0</v>
      </c>
      <c r="K53" s="39">
        <v>0.0</v>
      </c>
      <c r="L53" s="39">
        <v>0.0</v>
      </c>
      <c r="M53" s="39">
        <v>0.0</v>
      </c>
      <c r="N53" s="39">
        <v>0.0</v>
      </c>
      <c r="O53" s="39">
        <v>0.0</v>
      </c>
      <c r="P53" s="39">
        <v>0.0</v>
      </c>
      <c r="V53" s="39">
        <v>12.0</v>
      </c>
      <c r="W53" s="39">
        <v>20.0</v>
      </c>
    </row>
    <row r="54">
      <c r="A54" s="39" t="s">
        <v>646</v>
      </c>
      <c r="B54" s="39">
        <v>48558.0</v>
      </c>
      <c r="C54" s="39" t="s">
        <v>647</v>
      </c>
      <c r="D54" s="39" t="s">
        <v>302</v>
      </c>
      <c r="E54" s="39" t="s">
        <v>648</v>
      </c>
      <c r="F54" s="39" t="s">
        <v>491</v>
      </c>
      <c r="G54" s="39">
        <v>10.0</v>
      </c>
      <c r="H54" s="39">
        <v>0.0</v>
      </c>
      <c r="I54" s="39">
        <v>0.0</v>
      </c>
      <c r="J54" s="39">
        <v>0.0</v>
      </c>
      <c r="K54" s="39">
        <v>0.0</v>
      </c>
      <c r="L54" s="39">
        <v>10.0</v>
      </c>
      <c r="M54" s="39">
        <v>6.0</v>
      </c>
      <c r="N54" s="39">
        <v>0.0</v>
      </c>
      <c r="O54" s="39">
        <v>0.0</v>
      </c>
      <c r="P54" s="39">
        <v>0.0</v>
      </c>
      <c r="V54" s="39">
        <v>12.0</v>
      </c>
      <c r="W54" s="39">
        <v>20.0</v>
      </c>
    </row>
    <row r="55">
      <c r="A55" s="39" t="s">
        <v>649</v>
      </c>
      <c r="B55" s="39">
        <v>75767.0</v>
      </c>
      <c r="C55" s="39" t="s">
        <v>650</v>
      </c>
      <c r="D55" s="39" t="s">
        <v>303</v>
      </c>
      <c r="E55" s="39" t="s">
        <v>651</v>
      </c>
      <c r="F55" s="39" t="s">
        <v>491</v>
      </c>
      <c r="G55" s="39">
        <v>0.0</v>
      </c>
      <c r="H55" s="39">
        <v>0.0</v>
      </c>
      <c r="I55" s="39">
        <v>0.0</v>
      </c>
      <c r="J55" s="39">
        <v>0.0</v>
      </c>
      <c r="K55" s="39">
        <v>0.0</v>
      </c>
      <c r="L55" s="39">
        <v>0.0</v>
      </c>
      <c r="M55" s="39">
        <v>0.0</v>
      </c>
      <c r="N55" s="39">
        <v>0.0</v>
      </c>
      <c r="O55" s="39">
        <v>0.0</v>
      </c>
      <c r="P55" s="39">
        <v>0.0</v>
      </c>
      <c r="V55" s="39">
        <v>12.0</v>
      </c>
      <c r="W55" s="39">
        <v>20.0</v>
      </c>
    </row>
    <row r="56">
      <c r="A56" s="39" t="s">
        <v>652</v>
      </c>
      <c r="B56" s="39">
        <v>25919.0</v>
      </c>
      <c r="C56" s="39" t="s">
        <v>653</v>
      </c>
      <c r="D56" s="39" t="s">
        <v>304</v>
      </c>
      <c r="E56" s="39" t="s">
        <v>654</v>
      </c>
      <c r="F56" s="39" t="s">
        <v>501</v>
      </c>
      <c r="G56" s="39">
        <v>10.0</v>
      </c>
      <c r="H56" s="39">
        <v>0.0</v>
      </c>
      <c r="I56" s="39">
        <v>0.0</v>
      </c>
      <c r="J56" s="39">
        <v>0.0</v>
      </c>
      <c r="K56" s="39">
        <v>0.0</v>
      </c>
      <c r="L56" s="39">
        <v>10.0</v>
      </c>
      <c r="M56" s="39">
        <v>11.0</v>
      </c>
      <c r="N56" s="39">
        <v>10.0</v>
      </c>
      <c r="O56" s="39">
        <v>0.0</v>
      </c>
      <c r="P56" s="39">
        <v>0.0</v>
      </c>
      <c r="V56" s="39">
        <v>12.0</v>
      </c>
      <c r="W56" s="39">
        <v>20.0</v>
      </c>
    </row>
    <row r="57">
      <c r="A57" s="39" t="s">
        <v>655</v>
      </c>
      <c r="B57" s="39">
        <v>25590.0</v>
      </c>
      <c r="C57" s="39" t="s">
        <v>656</v>
      </c>
      <c r="D57" s="39" t="s">
        <v>305</v>
      </c>
      <c r="E57" s="39" t="s">
        <v>657</v>
      </c>
      <c r="F57" s="39" t="s">
        <v>491</v>
      </c>
      <c r="G57" s="39">
        <v>10.0</v>
      </c>
      <c r="H57" s="39">
        <v>2.0</v>
      </c>
      <c r="I57" s="39">
        <v>0.0</v>
      </c>
      <c r="J57" s="39">
        <v>0.0</v>
      </c>
      <c r="K57" s="39">
        <v>0.0</v>
      </c>
      <c r="L57" s="39">
        <v>10.0</v>
      </c>
      <c r="M57" s="39">
        <v>4.0</v>
      </c>
      <c r="N57" s="39">
        <v>3.0</v>
      </c>
      <c r="O57" s="39">
        <v>0.0</v>
      </c>
      <c r="P57" s="39">
        <v>0.0</v>
      </c>
      <c r="Q57" s="39">
        <v>10.0</v>
      </c>
      <c r="V57" s="39">
        <v>12.0</v>
      </c>
      <c r="W57" s="39">
        <v>20.0</v>
      </c>
    </row>
    <row r="58">
      <c r="A58" s="39" t="s">
        <v>658</v>
      </c>
      <c r="B58" s="39">
        <v>25790.0</v>
      </c>
      <c r="C58" s="39" t="s">
        <v>659</v>
      </c>
      <c r="D58" s="39" t="s">
        <v>306</v>
      </c>
      <c r="E58" s="39" t="s">
        <v>660</v>
      </c>
      <c r="F58" s="39" t="s">
        <v>505</v>
      </c>
      <c r="G58" s="39">
        <v>0.0</v>
      </c>
      <c r="H58" s="39">
        <v>0.0</v>
      </c>
      <c r="I58" s="39">
        <v>0.0</v>
      </c>
      <c r="J58" s="39">
        <v>0.0</v>
      </c>
      <c r="K58" s="39">
        <v>0.0</v>
      </c>
      <c r="L58" s="39">
        <v>10.0</v>
      </c>
      <c r="M58" s="39">
        <v>0.0</v>
      </c>
      <c r="N58" s="39">
        <v>0.0</v>
      </c>
      <c r="O58" s="39">
        <v>0.0</v>
      </c>
      <c r="P58" s="39">
        <v>0.0</v>
      </c>
      <c r="V58" s="39">
        <v>12.0</v>
      </c>
      <c r="W58" s="39">
        <v>20.0</v>
      </c>
    </row>
    <row r="59">
      <c r="A59" s="39" t="s">
        <v>661</v>
      </c>
      <c r="B59" s="39">
        <v>75701.0</v>
      </c>
      <c r="C59" s="39" t="s">
        <v>662</v>
      </c>
      <c r="D59" s="39" t="s">
        <v>307</v>
      </c>
      <c r="E59" s="39" t="s">
        <v>663</v>
      </c>
      <c r="F59" s="39" t="s">
        <v>501</v>
      </c>
      <c r="G59" s="39">
        <v>10.0</v>
      </c>
      <c r="H59" s="39">
        <v>0.0</v>
      </c>
      <c r="I59" s="39">
        <v>0.0</v>
      </c>
      <c r="J59" s="39">
        <v>0.0</v>
      </c>
      <c r="K59" s="39">
        <v>0.0</v>
      </c>
      <c r="L59" s="39">
        <v>10.0</v>
      </c>
      <c r="M59" s="39">
        <v>0.0</v>
      </c>
      <c r="N59" s="39">
        <v>0.0</v>
      </c>
      <c r="O59" s="39">
        <v>0.0</v>
      </c>
      <c r="P59" s="39">
        <v>0.0</v>
      </c>
      <c r="V59" s="39">
        <v>12.0</v>
      </c>
      <c r="W59" s="39">
        <v>20.0</v>
      </c>
    </row>
    <row r="60">
      <c r="A60" s="39" t="s">
        <v>664</v>
      </c>
      <c r="B60" s="39">
        <v>25492.0</v>
      </c>
      <c r="C60" s="39" t="s">
        <v>665</v>
      </c>
      <c r="D60" s="39" t="s">
        <v>308</v>
      </c>
      <c r="E60" s="39" t="s">
        <v>666</v>
      </c>
      <c r="F60" s="39" t="s">
        <v>505</v>
      </c>
      <c r="G60" s="39">
        <v>10.0</v>
      </c>
      <c r="H60" s="39">
        <v>3.0</v>
      </c>
      <c r="I60" s="39">
        <v>0.0</v>
      </c>
      <c r="J60" s="39">
        <v>0.0</v>
      </c>
      <c r="K60" s="39">
        <v>0.0</v>
      </c>
      <c r="L60" s="39">
        <v>10.0</v>
      </c>
      <c r="M60" s="39">
        <v>11.0</v>
      </c>
      <c r="N60" s="39">
        <v>10.0</v>
      </c>
      <c r="O60" s="39">
        <v>0.0</v>
      </c>
      <c r="P60" s="39">
        <v>0.0</v>
      </c>
      <c r="V60" s="39">
        <v>12.0</v>
      </c>
      <c r="W60" s="39">
        <v>20.0</v>
      </c>
    </row>
    <row r="61">
      <c r="A61" s="39" t="s">
        <v>667</v>
      </c>
      <c r="B61" s="39">
        <v>25507.0</v>
      </c>
      <c r="C61" s="39" t="s">
        <v>668</v>
      </c>
      <c r="D61" s="39" t="s">
        <v>309</v>
      </c>
      <c r="E61" s="39" t="s">
        <v>669</v>
      </c>
      <c r="F61" s="39" t="s">
        <v>501</v>
      </c>
      <c r="G61" s="39">
        <v>0.0</v>
      </c>
      <c r="H61" s="39">
        <v>0.0</v>
      </c>
      <c r="I61" s="39">
        <v>0.0</v>
      </c>
      <c r="J61" s="39">
        <v>0.0</v>
      </c>
      <c r="K61" s="39">
        <v>0.0</v>
      </c>
      <c r="L61" s="39">
        <v>0.0</v>
      </c>
      <c r="M61" s="39">
        <v>4.0</v>
      </c>
      <c r="N61" s="39">
        <v>0.0</v>
      </c>
      <c r="O61" s="39">
        <v>0.0</v>
      </c>
      <c r="P61" s="39">
        <v>0.0</v>
      </c>
      <c r="V61" s="39">
        <v>12.0</v>
      </c>
      <c r="W61" s="39">
        <v>20.0</v>
      </c>
    </row>
    <row r="62">
      <c r="A62" s="39" t="s">
        <v>670</v>
      </c>
      <c r="B62" s="39">
        <v>25676.0</v>
      </c>
      <c r="C62" s="39" t="s">
        <v>671</v>
      </c>
      <c r="D62" s="39" t="s">
        <v>310</v>
      </c>
      <c r="E62" s="39" t="s">
        <v>672</v>
      </c>
      <c r="F62" s="39" t="s">
        <v>505</v>
      </c>
      <c r="G62" s="39">
        <v>10.0</v>
      </c>
      <c r="H62" s="39">
        <v>2.0</v>
      </c>
      <c r="I62" s="39">
        <v>0.0</v>
      </c>
      <c r="J62" s="39">
        <v>0.0</v>
      </c>
      <c r="K62" s="39">
        <v>0.0</v>
      </c>
      <c r="L62" s="39">
        <v>10.0</v>
      </c>
      <c r="M62" s="39">
        <v>0.0</v>
      </c>
      <c r="N62" s="39">
        <v>8.0</v>
      </c>
      <c r="O62" s="39">
        <v>0.0</v>
      </c>
      <c r="P62" s="39">
        <v>0.0</v>
      </c>
      <c r="V62" s="39">
        <v>12.0</v>
      </c>
      <c r="W62" s="39">
        <v>20.0</v>
      </c>
    </row>
    <row r="63">
      <c r="A63" s="39" t="s">
        <v>673</v>
      </c>
      <c r="B63" s="39">
        <v>25826.0</v>
      </c>
      <c r="C63" s="39" t="s">
        <v>674</v>
      </c>
      <c r="D63" s="39" t="s">
        <v>311</v>
      </c>
      <c r="E63" s="39" t="s">
        <v>675</v>
      </c>
      <c r="F63" s="39" t="s">
        <v>491</v>
      </c>
      <c r="G63" s="39">
        <v>10.0</v>
      </c>
      <c r="H63" s="39">
        <v>0.0</v>
      </c>
      <c r="I63" s="39">
        <v>0.0</v>
      </c>
      <c r="J63" s="39">
        <v>0.0</v>
      </c>
      <c r="K63" s="39">
        <v>0.0</v>
      </c>
      <c r="L63" s="39">
        <v>10.0</v>
      </c>
      <c r="M63" s="39">
        <v>6.0</v>
      </c>
      <c r="N63" s="39">
        <v>5.0</v>
      </c>
      <c r="O63" s="39">
        <v>0.0</v>
      </c>
      <c r="P63" s="39">
        <v>10.0</v>
      </c>
      <c r="V63" s="39">
        <v>12.0</v>
      </c>
      <c r="W63" s="39">
        <v>20.0</v>
      </c>
    </row>
    <row r="64">
      <c r="A64" s="39" t="s">
        <v>676</v>
      </c>
      <c r="B64" s="39">
        <v>75769.0</v>
      </c>
      <c r="C64" s="39" t="s">
        <v>677</v>
      </c>
      <c r="D64" s="39" t="s">
        <v>312</v>
      </c>
      <c r="E64" s="39" t="s">
        <v>678</v>
      </c>
      <c r="F64" s="39" t="s">
        <v>505</v>
      </c>
      <c r="G64" s="39">
        <v>0.0</v>
      </c>
      <c r="H64" s="39">
        <v>0.0</v>
      </c>
      <c r="I64" s="39">
        <v>0.0</v>
      </c>
      <c r="J64" s="39">
        <v>0.0</v>
      </c>
      <c r="K64" s="39">
        <v>0.0</v>
      </c>
      <c r="L64" s="39">
        <v>10.0</v>
      </c>
      <c r="M64" s="39">
        <v>9.0</v>
      </c>
      <c r="N64" s="39">
        <v>0.0</v>
      </c>
      <c r="O64" s="39">
        <v>0.0</v>
      </c>
      <c r="P64" s="39">
        <v>0.0</v>
      </c>
      <c r="V64" s="39">
        <v>12.0</v>
      </c>
      <c r="W64" s="39">
        <v>20.0</v>
      </c>
    </row>
    <row r="65">
      <c r="A65" s="39" t="s">
        <v>679</v>
      </c>
      <c r="B65" s="39">
        <v>25893.0</v>
      </c>
      <c r="C65" s="39" t="s">
        <v>680</v>
      </c>
      <c r="D65" s="39" t="s">
        <v>313</v>
      </c>
      <c r="E65" s="39" t="s">
        <v>681</v>
      </c>
      <c r="F65" s="39" t="s">
        <v>501</v>
      </c>
      <c r="G65" s="39">
        <v>0.0</v>
      </c>
      <c r="H65" s="39">
        <v>0.0</v>
      </c>
      <c r="I65" s="39">
        <v>0.0</v>
      </c>
      <c r="J65" s="39">
        <v>0.0</v>
      </c>
      <c r="K65" s="39">
        <v>0.0</v>
      </c>
      <c r="L65" s="39">
        <v>0.0</v>
      </c>
      <c r="M65" s="39">
        <v>0.0</v>
      </c>
      <c r="N65" s="39">
        <v>0.0</v>
      </c>
      <c r="O65" s="39">
        <v>0.0</v>
      </c>
      <c r="P65" s="39">
        <v>0.0</v>
      </c>
      <c r="V65" s="39">
        <v>12.0</v>
      </c>
      <c r="W65" s="39">
        <v>20.0</v>
      </c>
    </row>
    <row r="66">
      <c r="A66" s="39" t="s">
        <v>682</v>
      </c>
      <c r="B66" s="39">
        <v>25626.0</v>
      </c>
      <c r="C66" s="39" t="s">
        <v>683</v>
      </c>
      <c r="D66" s="39" t="s">
        <v>314</v>
      </c>
      <c r="E66" s="39" t="s">
        <v>684</v>
      </c>
      <c r="F66" s="39" t="s">
        <v>491</v>
      </c>
      <c r="G66" s="39">
        <v>10.0</v>
      </c>
      <c r="H66" s="39">
        <v>0.0</v>
      </c>
      <c r="I66" s="39">
        <v>0.0</v>
      </c>
      <c r="J66" s="39">
        <v>0.0</v>
      </c>
      <c r="K66" s="39">
        <v>0.0</v>
      </c>
      <c r="L66" s="39">
        <v>10.0</v>
      </c>
      <c r="M66" s="39">
        <v>0.0</v>
      </c>
      <c r="N66" s="39">
        <v>0.0</v>
      </c>
      <c r="O66" s="39">
        <v>0.0</v>
      </c>
      <c r="P66" s="39">
        <v>0.0</v>
      </c>
      <c r="V66" s="39">
        <v>12.0</v>
      </c>
      <c r="W66" s="39">
        <v>20.0</v>
      </c>
    </row>
    <row r="67">
      <c r="A67" s="39" t="s">
        <v>685</v>
      </c>
      <c r="B67" s="39">
        <v>48526.0</v>
      </c>
      <c r="C67" s="39" t="s">
        <v>686</v>
      </c>
      <c r="D67" s="39" t="s">
        <v>315</v>
      </c>
      <c r="E67" s="39" t="s">
        <v>687</v>
      </c>
      <c r="F67" s="39" t="s">
        <v>501</v>
      </c>
      <c r="G67" s="39">
        <v>10.0</v>
      </c>
      <c r="H67" s="39">
        <v>10.0</v>
      </c>
      <c r="I67" s="39">
        <v>0.0</v>
      </c>
      <c r="J67" s="39">
        <v>0.0</v>
      </c>
      <c r="K67" s="39">
        <v>0.0</v>
      </c>
      <c r="L67" s="39">
        <v>0.0</v>
      </c>
      <c r="M67" s="39">
        <v>0.0</v>
      </c>
      <c r="N67" s="39">
        <v>0.0</v>
      </c>
      <c r="O67" s="39">
        <v>0.0</v>
      </c>
      <c r="P67" s="39">
        <v>0.0</v>
      </c>
      <c r="V67" s="39">
        <v>12.0</v>
      </c>
      <c r="W67" s="39">
        <v>20.0</v>
      </c>
    </row>
    <row r="68">
      <c r="A68" s="39" t="s">
        <v>688</v>
      </c>
      <c r="B68" s="39">
        <v>75710.0</v>
      </c>
      <c r="C68" s="39" t="s">
        <v>689</v>
      </c>
      <c r="D68" s="39" t="s">
        <v>316</v>
      </c>
      <c r="E68" s="39" t="s">
        <v>690</v>
      </c>
      <c r="F68" s="39" t="s">
        <v>501</v>
      </c>
      <c r="G68" s="39">
        <v>10.0</v>
      </c>
      <c r="H68" s="39">
        <v>5.0</v>
      </c>
      <c r="I68" s="39">
        <v>3.0</v>
      </c>
      <c r="J68" s="39">
        <v>4.0</v>
      </c>
      <c r="K68" s="39">
        <v>0.0</v>
      </c>
      <c r="L68" s="39">
        <v>10.0</v>
      </c>
      <c r="M68" s="39">
        <v>13.0</v>
      </c>
      <c r="N68" s="39">
        <v>10.0</v>
      </c>
      <c r="O68" s="39">
        <v>0.0</v>
      </c>
      <c r="P68" s="39">
        <v>10.0</v>
      </c>
      <c r="V68" s="39">
        <v>12.0</v>
      </c>
      <c r="W68" s="39">
        <v>20.0</v>
      </c>
    </row>
    <row r="69">
      <c r="A69" s="39" t="s">
        <v>691</v>
      </c>
      <c r="B69" s="39">
        <v>52288.0</v>
      </c>
      <c r="C69" s="39" t="s">
        <v>692</v>
      </c>
      <c r="D69" s="39" t="s">
        <v>317</v>
      </c>
      <c r="E69" s="39" t="s">
        <v>693</v>
      </c>
      <c r="F69" s="39" t="s">
        <v>505</v>
      </c>
      <c r="G69" s="39">
        <v>10.0</v>
      </c>
      <c r="H69" s="39">
        <v>0.0</v>
      </c>
      <c r="I69" s="39">
        <v>0.0</v>
      </c>
      <c r="J69" s="39">
        <v>0.0</v>
      </c>
      <c r="K69" s="39">
        <v>0.0</v>
      </c>
      <c r="L69" s="39">
        <v>10.0</v>
      </c>
      <c r="M69" s="39">
        <v>7.0</v>
      </c>
      <c r="N69" s="39">
        <v>0.0</v>
      </c>
      <c r="O69" s="39">
        <v>0.0</v>
      </c>
      <c r="P69" s="39">
        <v>0.0</v>
      </c>
      <c r="V69" s="39">
        <v>12.0</v>
      </c>
      <c r="W69" s="39">
        <v>20.0</v>
      </c>
    </row>
    <row r="70">
      <c r="A70" s="39" t="s">
        <v>694</v>
      </c>
      <c r="B70" s="39">
        <v>25633.0</v>
      </c>
      <c r="C70" s="39" t="s">
        <v>695</v>
      </c>
      <c r="D70" s="39" t="s">
        <v>318</v>
      </c>
      <c r="E70" s="39" t="s">
        <v>696</v>
      </c>
      <c r="F70" s="39" t="s">
        <v>491</v>
      </c>
      <c r="G70" s="39">
        <v>0.0</v>
      </c>
      <c r="H70" s="39">
        <v>0.0</v>
      </c>
      <c r="I70" s="39">
        <v>0.0</v>
      </c>
      <c r="J70" s="39">
        <v>0.0</v>
      </c>
      <c r="K70" s="39">
        <v>0.0</v>
      </c>
      <c r="L70" s="39">
        <v>10.0</v>
      </c>
      <c r="M70" s="39">
        <v>8.0</v>
      </c>
      <c r="N70" s="39">
        <v>2.0</v>
      </c>
      <c r="O70" s="39">
        <v>0.0</v>
      </c>
      <c r="P70" s="39">
        <v>10.0</v>
      </c>
      <c r="V70" s="39">
        <v>12.0</v>
      </c>
      <c r="W70" s="39">
        <v>20.0</v>
      </c>
    </row>
    <row r="71">
      <c r="A71" s="39" t="s">
        <v>697</v>
      </c>
      <c r="B71" s="39">
        <v>81387.0</v>
      </c>
      <c r="D71" s="39" t="s">
        <v>698</v>
      </c>
      <c r="F71" s="39" t="s">
        <v>699</v>
      </c>
      <c r="L71" s="39">
        <v>0.0</v>
      </c>
      <c r="M71" s="39">
        <v>0.0</v>
      </c>
      <c r="N71" s="39">
        <v>0.0</v>
      </c>
      <c r="O71" s="39">
        <v>0.0</v>
      </c>
      <c r="P71" s="39">
        <v>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38.63"/>
    <col customWidth="1" min="3" max="3" width="21.0"/>
  </cols>
  <sheetData>
    <row r="1">
      <c r="A1" s="78" t="s">
        <v>319</v>
      </c>
      <c r="B1" s="78" t="s">
        <v>320</v>
      </c>
      <c r="C1" s="78" t="s">
        <v>321</v>
      </c>
      <c r="D1" s="79" t="s">
        <v>322</v>
      </c>
      <c r="E1" s="79" t="s">
        <v>700</v>
      </c>
      <c r="F1" s="80"/>
      <c r="G1" s="80"/>
      <c r="H1" s="80"/>
      <c r="I1" s="80"/>
      <c r="J1" s="80"/>
      <c r="K1" s="80"/>
      <c r="L1" s="80"/>
      <c r="M1" s="80"/>
      <c r="N1" s="80"/>
      <c r="O1" s="80"/>
      <c r="P1" s="80"/>
      <c r="Q1" s="80"/>
      <c r="R1" s="80"/>
      <c r="S1" s="80"/>
      <c r="T1" s="80"/>
      <c r="U1" s="80"/>
      <c r="V1" s="80"/>
      <c r="W1" s="80"/>
      <c r="X1" s="80"/>
      <c r="Y1" s="80"/>
      <c r="Z1" s="80"/>
    </row>
    <row r="2">
      <c r="A2" s="79" t="s">
        <v>323</v>
      </c>
      <c r="B2" s="81" t="s">
        <v>419</v>
      </c>
      <c r="C2" s="79">
        <v>1871498.0</v>
      </c>
      <c r="D2" s="80"/>
      <c r="E2" s="80"/>
      <c r="F2" s="80"/>
      <c r="G2" s="80"/>
      <c r="H2" s="80"/>
      <c r="I2" s="80"/>
      <c r="J2" s="80"/>
      <c r="K2" s="80"/>
      <c r="L2" s="80"/>
      <c r="M2" s="80"/>
      <c r="N2" s="80"/>
      <c r="O2" s="80"/>
      <c r="P2" s="80"/>
      <c r="Q2" s="80"/>
      <c r="R2" s="80"/>
      <c r="S2" s="80"/>
      <c r="T2" s="80"/>
      <c r="U2" s="80"/>
      <c r="V2" s="80"/>
      <c r="W2" s="80"/>
      <c r="X2" s="80"/>
      <c r="Y2" s="80"/>
      <c r="Z2" s="80"/>
    </row>
    <row r="3">
      <c r="A3" s="79" t="s">
        <v>325</v>
      </c>
      <c r="B3" s="81" t="s">
        <v>701</v>
      </c>
      <c r="C3" s="79">
        <v>1871500.0</v>
      </c>
      <c r="D3" s="80"/>
      <c r="E3" s="80"/>
      <c r="F3" s="80"/>
      <c r="G3" s="80"/>
      <c r="H3" s="80"/>
      <c r="I3" s="80"/>
      <c r="J3" s="80"/>
      <c r="K3" s="80"/>
      <c r="L3" s="80"/>
      <c r="M3" s="80"/>
      <c r="N3" s="80"/>
      <c r="O3" s="80"/>
      <c r="P3" s="80"/>
      <c r="Q3" s="80"/>
      <c r="R3" s="80"/>
      <c r="S3" s="80"/>
      <c r="T3" s="80"/>
      <c r="U3" s="80"/>
      <c r="V3" s="80"/>
      <c r="W3" s="80"/>
      <c r="X3" s="80"/>
      <c r="Y3" s="80"/>
      <c r="Z3" s="80"/>
    </row>
    <row r="4">
      <c r="A4" s="79" t="s">
        <v>327</v>
      </c>
      <c r="B4" s="82" t="s">
        <v>702</v>
      </c>
      <c r="C4" s="79">
        <v>1871501.0</v>
      </c>
      <c r="D4" s="80"/>
      <c r="E4" s="80"/>
      <c r="F4" s="80"/>
      <c r="G4" s="80"/>
      <c r="H4" s="80"/>
      <c r="I4" s="80"/>
      <c r="J4" s="80"/>
      <c r="K4" s="80"/>
      <c r="L4" s="80"/>
      <c r="M4" s="80"/>
      <c r="N4" s="80"/>
      <c r="O4" s="80"/>
      <c r="P4" s="80"/>
      <c r="Q4" s="80"/>
      <c r="R4" s="80"/>
      <c r="S4" s="80"/>
      <c r="T4" s="80"/>
      <c r="U4" s="80"/>
      <c r="V4" s="80"/>
      <c r="W4" s="80"/>
      <c r="X4" s="80"/>
      <c r="Y4" s="80"/>
      <c r="Z4" s="80"/>
    </row>
    <row r="5">
      <c r="A5" s="79" t="s">
        <v>329</v>
      </c>
      <c r="B5" s="81" t="s">
        <v>703</v>
      </c>
      <c r="C5" s="79">
        <v>1871522.0</v>
      </c>
      <c r="D5" s="80"/>
      <c r="E5" s="80"/>
      <c r="F5" s="80"/>
      <c r="G5" s="80"/>
      <c r="H5" s="80"/>
      <c r="I5" s="80"/>
      <c r="J5" s="80"/>
      <c r="K5" s="80"/>
      <c r="L5" s="80"/>
      <c r="M5" s="80"/>
      <c r="N5" s="80"/>
      <c r="O5" s="80"/>
      <c r="P5" s="80"/>
      <c r="Q5" s="80"/>
      <c r="R5" s="80"/>
      <c r="S5" s="80"/>
      <c r="T5" s="80"/>
      <c r="U5" s="80"/>
      <c r="V5" s="80"/>
      <c r="W5" s="80"/>
      <c r="X5" s="80"/>
      <c r="Y5" s="80"/>
      <c r="Z5" s="80"/>
    </row>
    <row r="6">
      <c r="A6" s="79" t="s">
        <v>331</v>
      </c>
      <c r="B6" s="81" t="s">
        <v>421</v>
      </c>
      <c r="C6" s="79">
        <v>1871525.0</v>
      </c>
      <c r="D6" s="80"/>
      <c r="E6" s="80"/>
      <c r="F6" s="80"/>
      <c r="G6" s="80"/>
      <c r="H6" s="80"/>
      <c r="I6" s="80"/>
      <c r="J6" s="80"/>
      <c r="K6" s="80"/>
      <c r="L6" s="80"/>
      <c r="M6" s="80"/>
      <c r="N6" s="80"/>
      <c r="O6" s="80"/>
      <c r="P6" s="80"/>
      <c r="Q6" s="80"/>
      <c r="R6" s="80"/>
      <c r="S6" s="80"/>
      <c r="T6" s="80"/>
      <c r="U6" s="80"/>
      <c r="V6" s="80"/>
      <c r="W6" s="80"/>
      <c r="X6" s="80"/>
      <c r="Y6" s="80"/>
      <c r="Z6" s="80"/>
    </row>
    <row r="7">
      <c r="A7" s="79" t="s">
        <v>333</v>
      </c>
      <c r="B7" s="79" t="s">
        <v>422</v>
      </c>
      <c r="C7" s="79">
        <v>1873080.0</v>
      </c>
      <c r="D7" s="80"/>
      <c r="E7" s="80"/>
      <c r="F7" s="80"/>
      <c r="G7" s="80"/>
      <c r="H7" s="80"/>
      <c r="I7" s="80"/>
      <c r="J7" s="80"/>
      <c r="K7" s="80"/>
      <c r="L7" s="80"/>
      <c r="M7" s="80"/>
      <c r="N7" s="80"/>
      <c r="O7" s="80"/>
      <c r="P7" s="80"/>
      <c r="Q7" s="80"/>
      <c r="R7" s="80"/>
      <c r="S7" s="80"/>
      <c r="T7" s="80"/>
      <c r="U7" s="80"/>
      <c r="V7" s="80"/>
      <c r="W7" s="80"/>
      <c r="X7" s="80"/>
      <c r="Y7" s="80"/>
      <c r="Z7" s="80"/>
    </row>
    <row r="8">
      <c r="A8" s="79" t="s">
        <v>335</v>
      </c>
      <c r="B8" s="79" t="s">
        <v>423</v>
      </c>
      <c r="C8" s="79">
        <v>1873081.0</v>
      </c>
      <c r="D8" s="80"/>
      <c r="E8" s="80"/>
      <c r="F8" s="80"/>
      <c r="G8" s="80"/>
      <c r="H8" s="80"/>
      <c r="I8" s="80"/>
      <c r="J8" s="80"/>
      <c r="K8" s="80"/>
      <c r="L8" s="80"/>
      <c r="M8" s="80"/>
      <c r="N8" s="80"/>
      <c r="O8" s="80"/>
      <c r="P8" s="80"/>
      <c r="Q8" s="80"/>
      <c r="R8" s="80"/>
      <c r="S8" s="80"/>
      <c r="T8" s="80"/>
      <c r="U8" s="80"/>
      <c r="V8" s="80"/>
      <c r="W8" s="80"/>
      <c r="X8" s="80"/>
      <c r="Y8" s="80"/>
      <c r="Z8" s="80"/>
    </row>
    <row r="9">
      <c r="A9" s="79" t="s">
        <v>337</v>
      </c>
      <c r="B9" s="79" t="s">
        <v>424</v>
      </c>
      <c r="C9" s="79">
        <v>1873082.0</v>
      </c>
      <c r="D9" s="80"/>
      <c r="E9" s="80"/>
      <c r="F9" s="80"/>
      <c r="G9" s="80"/>
      <c r="H9" s="80"/>
      <c r="I9" s="80"/>
      <c r="J9" s="80"/>
      <c r="K9" s="80"/>
      <c r="L9" s="80"/>
      <c r="M9" s="80"/>
      <c r="N9" s="80"/>
      <c r="O9" s="80"/>
      <c r="P9" s="80"/>
      <c r="Q9" s="80"/>
      <c r="R9" s="80"/>
      <c r="S9" s="80"/>
      <c r="T9" s="80"/>
      <c r="U9" s="80"/>
      <c r="V9" s="80"/>
      <c r="W9" s="80"/>
      <c r="X9" s="80"/>
      <c r="Y9" s="80"/>
      <c r="Z9" s="80"/>
    </row>
    <row r="10">
      <c r="A10" s="79" t="s">
        <v>339</v>
      </c>
      <c r="B10" s="79" t="s">
        <v>425</v>
      </c>
      <c r="C10" s="79">
        <v>1873083.0</v>
      </c>
      <c r="D10" s="80"/>
      <c r="E10" s="80"/>
      <c r="F10" s="80"/>
      <c r="G10" s="80"/>
      <c r="H10" s="80"/>
      <c r="I10" s="80"/>
      <c r="J10" s="80"/>
      <c r="K10" s="80"/>
      <c r="L10" s="80"/>
      <c r="M10" s="80"/>
      <c r="N10" s="80"/>
      <c r="O10" s="80"/>
      <c r="P10" s="80"/>
      <c r="Q10" s="80"/>
      <c r="R10" s="80"/>
      <c r="S10" s="80"/>
      <c r="T10" s="80"/>
      <c r="U10" s="80"/>
      <c r="V10" s="80"/>
      <c r="W10" s="80"/>
      <c r="X10" s="80"/>
      <c r="Y10" s="80"/>
      <c r="Z10" s="80"/>
    </row>
    <row r="11">
      <c r="A11" s="79" t="s">
        <v>341</v>
      </c>
      <c r="B11" s="79" t="s">
        <v>426</v>
      </c>
      <c r="C11" s="79">
        <v>1873084.0</v>
      </c>
      <c r="D11" s="80"/>
      <c r="E11" s="80"/>
      <c r="F11" s="80"/>
      <c r="G11" s="80"/>
      <c r="H11" s="80"/>
      <c r="I11" s="80"/>
      <c r="J11" s="80"/>
      <c r="K11" s="80"/>
      <c r="L11" s="80"/>
      <c r="M11" s="80"/>
      <c r="N11" s="80"/>
      <c r="O11" s="80"/>
      <c r="P11" s="80"/>
      <c r="Q11" s="80"/>
      <c r="R11" s="80"/>
      <c r="S11" s="80"/>
      <c r="T11" s="80"/>
      <c r="U11" s="80"/>
      <c r="V11" s="80"/>
      <c r="W11" s="80"/>
      <c r="X11" s="80"/>
      <c r="Y11" s="80"/>
      <c r="Z11" s="80"/>
    </row>
    <row r="12">
      <c r="A12" s="79" t="s">
        <v>343</v>
      </c>
      <c r="B12" s="50" t="s">
        <v>427</v>
      </c>
      <c r="C12" s="79">
        <v>1880186.0</v>
      </c>
      <c r="D12" s="80"/>
      <c r="E12" s="80"/>
      <c r="F12" s="80"/>
      <c r="G12" s="80"/>
      <c r="H12" s="80"/>
      <c r="I12" s="80"/>
      <c r="J12" s="80"/>
      <c r="K12" s="80"/>
      <c r="L12" s="80"/>
      <c r="M12" s="80"/>
      <c r="N12" s="80"/>
      <c r="O12" s="80"/>
      <c r="P12" s="80"/>
      <c r="Q12" s="80"/>
      <c r="R12" s="80"/>
      <c r="S12" s="80"/>
      <c r="T12" s="80"/>
      <c r="U12" s="80"/>
      <c r="V12" s="80"/>
      <c r="W12" s="80"/>
      <c r="X12" s="80"/>
      <c r="Y12" s="80"/>
      <c r="Z12" s="80"/>
    </row>
    <row r="13">
      <c r="A13" s="79" t="s">
        <v>345</v>
      </c>
      <c r="B13" s="49" t="s">
        <v>428</v>
      </c>
      <c r="C13" s="79">
        <v>1880188.0</v>
      </c>
      <c r="D13" s="80"/>
      <c r="E13" s="80"/>
      <c r="F13" s="80"/>
      <c r="G13" s="80"/>
      <c r="H13" s="80"/>
      <c r="I13" s="80"/>
      <c r="J13" s="80"/>
      <c r="K13" s="80"/>
      <c r="L13" s="80"/>
      <c r="M13" s="80"/>
      <c r="N13" s="80"/>
      <c r="O13" s="80"/>
      <c r="P13" s="80"/>
      <c r="Q13" s="80"/>
      <c r="R13" s="80"/>
      <c r="S13" s="80"/>
      <c r="T13" s="80"/>
      <c r="U13" s="80"/>
      <c r="V13" s="80"/>
      <c r="W13" s="80"/>
      <c r="X13" s="80"/>
      <c r="Y13" s="80"/>
      <c r="Z13" s="80"/>
    </row>
    <row r="14">
      <c r="A14" s="79" t="s">
        <v>347</v>
      </c>
      <c r="B14" s="49" t="s">
        <v>429</v>
      </c>
      <c r="C14" s="79">
        <v>1880189.0</v>
      </c>
      <c r="D14" s="80"/>
      <c r="E14" s="80"/>
      <c r="F14" s="80"/>
      <c r="G14" s="80"/>
      <c r="H14" s="80"/>
      <c r="I14" s="80"/>
      <c r="J14" s="80"/>
      <c r="K14" s="80"/>
      <c r="L14" s="80"/>
      <c r="M14" s="80"/>
      <c r="N14" s="80"/>
      <c r="O14" s="80"/>
      <c r="P14" s="80"/>
      <c r="Q14" s="80"/>
      <c r="R14" s="80"/>
      <c r="S14" s="80"/>
      <c r="T14" s="80"/>
      <c r="U14" s="80"/>
      <c r="V14" s="80"/>
      <c r="W14" s="80"/>
      <c r="X14" s="80"/>
      <c r="Y14" s="80"/>
      <c r="Z14" s="80"/>
    </row>
    <row r="15">
      <c r="A15" s="79" t="s">
        <v>349</v>
      </c>
      <c r="B15" s="49" t="s">
        <v>430</v>
      </c>
      <c r="C15" s="79">
        <v>1880191.0</v>
      </c>
      <c r="D15" s="80"/>
      <c r="E15" s="80"/>
      <c r="F15" s="80"/>
      <c r="G15" s="80"/>
      <c r="H15" s="80"/>
      <c r="I15" s="80"/>
      <c r="J15" s="80"/>
      <c r="K15" s="80"/>
      <c r="L15" s="80"/>
      <c r="M15" s="80"/>
      <c r="N15" s="80"/>
      <c r="O15" s="80"/>
      <c r="P15" s="80"/>
      <c r="Q15" s="80"/>
      <c r="R15" s="80"/>
      <c r="S15" s="80"/>
      <c r="T15" s="80"/>
      <c r="U15" s="80"/>
      <c r="V15" s="80"/>
      <c r="W15" s="80"/>
      <c r="X15" s="80"/>
      <c r="Y15" s="80"/>
      <c r="Z15" s="80"/>
    </row>
    <row r="16">
      <c r="A16" s="79" t="s">
        <v>356</v>
      </c>
      <c r="B16" s="50" t="s">
        <v>431</v>
      </c>
      <c r="C16" s="79">
        <v>1880677.0</v>
      </c>
      <c r="D16" s="80"/>
      <c r="E16" s="80"/>
      <c r="F16" s="80"/>
      <c r="G16" s="80"/>
      <c r="H16" s="80"/>
      <c r="I16" s="80"/>
      <c r="J16" s="80"/>
      <c r="K16" s="80"/>
      <c r="L16" s="80"/>
      <c r="M16" s="80"/>
      <c r="N16" s="80"/>
      <c r="O16" s="80"/>
      <c r="P16" s="80"/>
      <c r="Q16" s="80"/>
      <c r="R16" s="80"/>
      <c r="S16" s="80"/>
      <c r="T16" s="80"/>
      <c r="U16" s="80"/>
      <c r="V16" s="80"/>
      <c r="W16" s="80"/>
      <c r="X16" s="80"/>
      <c r="Y16" s="80"/>
      <c r="Z16" s="80"/>
    </row>
    <row r="17">
      <c r="A17" s="79" t="s">
        <v>358</v>
      </c>
      <c r="B17" s="49" t="s">
        <v>432</v>
      </c>
      <c r="C17" s="79">
        <v>1892424.0</v>
      </c>
      <c r="D17" s="80"/>
      <c r="E17" s="80"/>
      <c r="F17" s="80"/>
      <c r="G17" s="80"/>
      <c r="H17" s="80"/>
      <c r="I17" s="80"/>
      <c r="J17" s="80"/>
      <c r="K17" s="80"/>
      <c r="L17" s="80"/>
      <c r="M17" s="80"/>
      <c r="N17" s="80"/>
      <c r="O17" s="80"/>
      <c r="P17" s="80"/>
      <c r="Q17" s="80"/>
      <c r="R17" s="80"/>
      <c r="S17" s="80"/>
      <c r="T17" s="80"/>
      <c r="U17" s="80"/>
      <c r="V17" s="80"/>
      <c r="W17" s="80"/>
      <c r="X17" s="80"/>
      <c r="Y17" s="80"/>
      <c r="Z17" s="80"/>
    </row>
    <row r="18">
      <c r="A18" s="79" t="s">
        <v>360</v>
      </c>
      <c r="B18" s="49" t="s">
        <v>433</v>
      </c>
      <c r="C18" s="79">
        <v>1892425.0</v>
      </c>
      <c r="D18" s="80"/>
      <c r="E18" s="80"/>
      <c r="F18" s="80"/>
      <c r="G18" s="80"/>
      <c r="H18" s="80"/>
      <c r="I18" s="80"/>
      <c r="J18" s="80"/>
      <c r="K18" s="80"/>
      <c r="L18" s="80"/>
      <c r="M18" s="80"/>
      <c r="N18" s="80"/>
      <c r="O18" s="80"/>
      <c r="P18" s="80"/>
      <c r="Q18" s="80"/>
      <c r="R18" s="80"/>
      <c r="S18" s="80"/>
      <c r="T18" s="80"/>
      <c r="U18" s="80"/>
      <c r="V18" s="80"/>
      <c r="W18" s="80"/>
      <c r="X18" s="80"/>
      <c r="Y18" s="80"/>
      <c r="Z18" s="80"/>
    </row>
    <row r="19">
      <c r="A19" s="79" t="s">
        <v>362</v>
      </c>
      <c r="B19" s="49" t="s">
        <v>434</v>
      </c>
      <c r="C19" s="79">
        <v>1892426.0</v>
      </c>
      <c r="D19" s="80"/>
      <c r="E19" s="80"/>
      <c r="F19" s="80"/>
      <c r="G19" s="80"/>
      <c r="H19" s="80"/>
      <c r="I19" s="80"/>
      <c r="J19" s="80"/>
      <c r="K19" s="80"/>
      <c r="L19" s="80"/>
      <c r="M19" s="80"/>
      <c r="N19" s="80"/>
      <c r="O19" s="80"/>
      <c r="P19" s="80"/>
      <c r="Q19" s="80"/>
      <c r="R19" s="80"/>
      <c r="S19" s="80"/>
      <c r="T19" s="80"/>
      <c r="U19" s="80"/>
      <c r="V19" s="80"/>
      <c r="W19" s="80"/>
      <c r="X19" s="80"/>
      <c r="Y19" s="80"/>
      <c r="Z19" s="80"/>
    </row>
    <row r="20">
      <c r="A20" s="79" t="s">
        <v>364</v>
      </c>
      <c r="B20" s="49" t="s">
        <v>435</v>
      </c>
      <c r="C20" s="79">
        <v>1892427.0</v>
      </c>
      <c r="D20" s="80"/>
      <c r="E20" s="80"/>
      <c r="F20" s="80"/>
      <c r="G20" s="80"/>
      <c r="H20" s="80"/>
      <c r="I20" s="80"/>
      <c r="J20" s="80"/>
      <c r="K20" s="80"/>
      <c r="L20" s="80"/>
      <c r="M20" s="80"/>
      <c r="N20" s="80"/>
      <c r="O20" s="80"/>
      <c r="P20" s="80"/>
      <c r="Q20" s="80"/>
      <c r="R20" s="80"/>
      <c r="S20" s="80"/>
      <c r="T20" s="80"/>
      <c r="U20" s="80"/>
      <c r="V20" s="80"/>
      <c r="W20" s="80"/>
      <c r="X20" s="80"/>
      <c r="Y20" s="80"/>
      <c r="Z20" s="80"/>
    </row>
    <row r="21">
      <c r="A21" s="79" t="s">
        <v>366</v>
      </c>
      <c r="B21" s="49" t="s">
        <v>436</v>
      </c>
      <c r="C21" s="79">
        <v>1892428.0</v>
      </c>
      <c r="D21" s="80"/>
      <c r="E21" s="80"/>
      <c r="F21" s="80"/>
      <c r="G21" s="80"/>
      <c r="H21" s="80"/>
      <c r="I21" s="80"/>
      <c r="J21" s="80"/>
      <c r="K21" s="80"/>
      <c r="L21" s="80"/>
      <c r="M21" s="80"/>
      <c r="N21" s="80"/>
      <c r="O21" s="80"/>
      <c r="P21" s="80"/>
      <c r="Q21" s="80"/>
      <c r="R21" s="80"/>
      <c r="S21" s="80"/>
      <c r="T21" s="80"/>
      <c r="U21" s="80"/>
      <c r="V21" s="80"/>
      <c r="W21" s="80"/>
      <c r="X21" s="80"/>
      <c r="Y21" s="80"/>
      <c r="Z21" s="80"/>
    </row>
    <row r="22">
      <c r="A22" s="79" t="s">
        <v>368</v>
      </c>
      <c r="B22" s="50" t="s">
        <v>704</v>
      </c>
      <c r="C22" s="79">
        <v>1902189.0</v>
      </c>
      <c r="D22" s="80"/>
      <c r="E22" s="80"/>
      <c r="F22" s="80"/>
      <c r="G22" s="80"/>
      <c r="H22" s="80"/>
      <c r="I22" s="80"/>
      <c r="J22" s="80"/>
      <c r="K22" s="80"/>
      <c r="L22" s="80"/>
      <c r="M22" s="80"/>
      <c r="N22" s="80"/>
      <c r="O22" s="80"/>
      <c r="P22" s="80"/>
      <c r="Q22" s="80"/>
      <c r="R22" s="80"/>
      <c r="S22" s="80"/>
      <c r="T22" s="80"/>
      <c r="U22" s="80"/>
      <c r="V22" s="80"/>
      <c r="W22" s="80"/>
      <c r="X22" s="80"/>
      <c r="Y22" s="80"/>
      <c r="Z22" s="80"/>
    </row>
    <row r="23">
      <c r="A23" s="79" t="s">
        <v>370</v>
      </c>
      <c r="B23" s="51" t="s">
        <v>437</v>
      </c>
      <c r="C23" s="79">
        <v>1905937.0</v>
      </c>
      <c r="D23" s="80"/>
      <c r="E23" s="80"/>
      <c r="F23" s="80"/>
      <c r="G23" s="80"/>
      <c r="H23" s="80"/>
      <c r="I23" s="80"/>
      <c r="J23" s="80"/>
      <c r="K23" s="80"/>
      <c r="L23" s="80"/>
      <c r="M23" s="80"/>
      <c r="N23" s="80"/>
      <c r="O23" s="80"/>
      <c r="P23" s="80"/>
      <c r="Q23" s="80"/>
      <c r="R23" s="80"/>
      <c r="S23" s="80"/>
      <c r="T23" s="80"/>
      <c r="U23" s="80"/>
      <c r="V23" s="80"/>
      <c r="W23" s="80"/>
      <c r="X23" s="80"/>
      <c r="Y23" s="80"/>
      <c r="Z23" s="80"/>
    </row>
    <row r="24">
      <c r="A24" s="79" t="s">
        <v>372</v>
      </c>
      <c r="B24" s="51" t="s">
        <v>438</v>
      </c>
      <c r="C24" s="79">
        <v>1905938.0</v>
      </c>
      <c r="D24" s="80"/>
      <c r="E24" s="80"/>
      <c r="F24" s="80"/>
      <c r="G24" s="80"/>
      <c r="H24" s="80"/>
      <c r="I24" s="80"/>
      <c r="J24" s="80"/>
      <c r="K24" s="80"/>
      <c r="L24" s="80"/>
      <c r="M24" s="80"/>
      <c r="N24" s="80"/>
      <c r="O24" s="80"/>
      <c r="P24" s="80"/>
      <c r="Q24" s="80"/>
      <c r="R24" s="80"/>
      <c r="S24" s="80"/>
      <c r="T24" s="80"/>
      <c r="U24" s="80"/>
      <c r="V24" s="80"/>
      <c r="W24" s="80"/>
      <c r="X24" s="80"/>
      <c r="Y24" s="80"/>
      <c r="Z24" s="80"/>
    </row>
    <row r="25">
      <c r="A25" s="79" t="s">
        <v>374</v>
      </c>
      <c r="B25" s="51" t="s">
        <v>439</v>
      </c>
      <c r="C25" s="79">
        <v>1905939.0</v>
      </c>
      <c r="D25" s="80"/>
      <c r="E25" s="80"/>
      <c r="F25" s="80"/>
      <c r="G25" s="80"/>
      <c r="H25" s="80"/>
      <c r="I25" s="80"/>
      <c r="J25" s="80"/>
      <c r="K25" s="80"/>
      <c r="L25" s="80"/>
      <c r="M25" s="80"/>
      <c r="N25" s="80"/>
      <c r="O25" s="80"/>
      <c r="P25" s="80"/>
      <c r="Q25" s="80"/>
      <c r="R25" s="80"/>
      <c r="S25" s="80"/>
      <c r="T25" s="80"/>
      <c r="U25" s="80"/>
      <c r="V25" s="80"/>
      <c r="W25" s="80"/>
      <c r="X25" s="80"/>
      <c r="Y25" s="80"/>
      <c r="Z25" s="80"/>
    </row>
    <row r="26">
      <c r="A26" s="79" t="s">
        <v>376</v>
      </c>
      <c r="B26" s="51" t="s">
        <v>440</v>
      </c>
      <c r="C26" s="79">
        <v>1905940.0</v>
      </c>
      <c r="D26" s="80"/>
      <c r="E26" s="80"/>
      <c r="F26" s="80"/>
      <c r="G26" s="80"/>
      <c r="H26" s="80"/>
      <c r="I26" s="80"/>
      <c r="J26" s="80"/>
      <c r="K26" s="80"/>
      <c r="L26" s="80"/>
      <c r="M26" s="80"/>
      <c r="N26" s="80"/>
      <c r="O26" s="80"/>
      <c r="P26" s="80"/>
      <c r="Q26" s="80"/>
      <c r="R26" s="80"/>
      <c r="S26" s="80"/>
      <c r="T26" s="80"/>
      <c r="U26" s="80"/>
      <c r="V26" s="80"/>
      <c r="W26" s="80"/>
      <c r="X26" s="80"/>
      <c r="Y26" s="80"/>
      <c r="Z26" s="80"/>
    </row>
    <row r="27">
      <c r="A27" s="79" t="s">
        <v>378</v>
      </c>
      <c r="B27" s="51" t="s">
        <v>441</v>
      </c>
      <c r="C27" s="79">
        <v>1905941.0</v>
      </c>
      <c r="D27" s="80"/>
      <c r="E27" s="80"/>
      <c r="F27" s="80"/>
      <c r="G27" s="80"/>
      <c r="H27" s="80"/>
      <c r="I27" s="80"/>
      <c r="J27" s="80"/>
      <c r="K27" s="80"/>
      <c r="L27" s="80"/>
      <c r="M27" s="80"/>
      <c r="N27" s="80"/>
      <c r="O27" s="80"/>
      <c r="P27" s="80"/>
      <c r="Q27" s="80"/>
      <c r="R27" s="80"/>
      <c r="S27" s="80"/>
      <c r="T27" s="80"/>
      <c r="U27" s="80"/>
      <c r="V27" s="80"/>
      <c r="W27" s="80"/>
      <c r="X27" s="80"/>
      <c r="Y27" s="80"/>
      <c r="Z27" s="80"/>
    </row>
    <row r="28">
      <c r="A28" s="43" t="s">
        <v>380</v>
      </c>
      <c r="B28" s="50" t="s">
        <v>442</v>
      </c>
      <c r="C28" s="79">
        <v>1909232.0</v>
      </c>
      <c r="D28" s="83" t="s">
        <v>705</v>
      </c>
      <c r="E28" s="79" t="s">
        <v>706</v>
      </c>
      <c r="F28" s="80"/>
      <c r="G28" s="80"/>
      <c r="H28" s="80"/>
      <c r="I28" s="80"/>
      <c r="J28" s="80"/>
      <c r="K28" s="80"/>
      <c r="L28" s="80"/>
      <c r="M28" s="80"/>
      <c r="N28" s="80"/>
      <c r="O28" s="80"/>
      <c r="P28" s="80"/>
      <c r="Q28" s="80"/>
      <c r="R28" s="80"/>
      <c r="S28" s="80"/>
      <c r="T28" s="80"/>
      <c r="U28" s="80"/>
      <c r="V28" s="80"/>
      <c r="W28" s="80"/>
      <c r="X28" s="80"/>
      <c r="Y28" s="80"/>
      <c r="Z28" s="80"/>
    </row>
    <row r="29">
      <c r="A29" s="43" t="s">
        <v>382</v>
      </c>
      <c r="B29" s="50" t="s">
        <v>443</v>
      </c>
      <c r="C29" s="79">
        <v>1909233.0</v>
      </c>
      <c r="D29" s="83" t="s">
        <v>707</v>
      </c>
      <c r="E29" s="39" t="s">
        <v>708</v>
      </c>
      <c r="F29" s="80"/>
      <c r="G29" s="80"/>
      <c r="H29" s="80"/>
      <c r="I29" s="80"/>
      <c r="J29" s="80"/>
      <c r="K29" s="80"/>
      <c r="L29" s="80"/>
      <c r="M29" s="80"/>
      <c r="N29" s="80"/>
      <c r="O29" s="80"/>
      <c r="P29" s="80"/>
      <c r="Q29" s="80"/>
      <c r="R29" s="80"/>
      <c r="S29" s="80"/>
      <c r="T29" s="80"/>
      <c r="U29" s="80"/>
      <c r="V29" s="80"/>
      <c r="W29" s="80"/>
      <c r="X29" s="80"/>
      <c r="Y29" s="80"/>
      <c r="Z29" s="80"/>
    </row>
    <row r="30">
      <c r="A30" s="43" t="s">
        <v>384</v>
      </c>
      <c r="B30" s="50" t="s">
        <v>444</v>
      </c>
      <c r="C30" s="79">
        <v>1909234.0</v>
      </c>
      <c r="D30" s="83" t="s">
        <v>709</v>
      </c>
      <c r="E30" s="79" t="s">
        <v>710</v>
      </c>
      <c r="F30" s="80"/>
      <c r="G30" s="80"/>
      <c r="H30" s="80"/>
      <c r="I30" s="80"/>
      <c r="J30" s="80"/>
      <c r="K30" s="80"/>
      <c r="L30" s="80"/>
      <c r="M30" s="80"/>
      <c r="N30" s="80"/>
      <c r="O30" s="80"/>
      <c r="P30" s="80"/>
      <c r="Q30" s="80"/>
      <c r="R30" s="80"/>
      <c r="S30" s="80"/>
      <c r="T30" s="80"/>
      <c r="U30" s="80"/>
      <c r="V30" s="80"/>
      <c r="W30" s="80"/>
      <c r="X30" s="80"/>
      <c r="Y30" s="80"/>
      <c r="Z30" s="80"/>
    </row>
    <row r="31">
      <c r="A31" s="43" t="s">
        <v>386</v>
      </c>
      <c r="B31" s="50" t="s">
        <v>445</v>
      </c>
      <c r="C31" s="79">
        <v>1909235.0</v>
      </c>
      <c r="D31" s="83" t="s">
        <v>711</v>
      </c>
      <c r="E31" s="79" t="s">
        <v>712</v>
      </c>
      <c r="F31" s="80"/>
      <c r="G31" s="80"/>
      <c r="H31" s="80"/>
      <c r="I31" s="80"/>
      <c r="J31" s="80"/>
      <c r="K31" s="80"/>
      <c r="L31" s="80"/>
      <c r="M31" s="80"/>
      <c r="N31" s="80"/>
      <c r="O31" s="80"/>
      <c r="P31" s="80"/>
      <c r="Q31" s="80"/>
      <c r="R31" s="80"/>
      <c r="S31" s="80"/>
      <c r="T31" s="80"/>
      <c r="U31" s="80"/>
      <c r="V31" s="80"/>
      <c r="W31" s="80"/>
      <c r="X31" s="80"/>
      <c r="Y31" s="80"/>
      <c r="Z31" s="80"/>
    </row>
    <row r="32">
      <c r="A32" s="43" t="s">
        <v>388</v>
      </c>
      <c r="B32" s="50" t="s">
        <v>446</v>
      </c>
      <c r="C32" s="79">
        <v>1909231.0</v>
      </c>
      <c r="D32" s="83" t="s">
        <v>713</v>
      </c>
      <c r="E32" s="79" t="s">
        <v>714</v>
      </c>
      <c r="F32" s="80"/>
      <c r="G32" s="80"/>
      <c r="H32" s="80"/>
      <c r="I32" s="80"/>
      <c r="J32" s="80"/>
      <c r="K32" s="80"/>
      <c r="L32" s="80"/>
      <c r="M32" s="80"/>
      <c r="N32" s="80"/>
      <c r="O32" s="80"/>
      <c r="P32" s="80"/>
      <c r="Q32" s="80"/>
      <c r="R32" s="80"/>
      <c r="S32" s="80"/>
      <c r="T32" s="80"/>
      <c r="U32" s="80"/>
      <c r="V32" s="80"/>
      <c r="W32" s="80"/>
      <c r="X32" s="80"/>
      <c r="Y32" s="80"/>
      <c r="Z32" s="80"/>
    </row>
    <row r="33">
      <c r="A33" s="43" t="s">
        <v>390</v>
      </c>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43" t="s">
        <v>391</v>
      </c>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43" t="s">
        <v>392</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43" t="s">
        <v>393</v>
      </c>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43" t="s">
        <v>394</v>
      </c>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43" t="s">
        <v>395</v>
      </c>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c r="A39" s="43" t="s">
        <v>396</v>
      </c>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c r="A40" s="43" t="s">
        <v>397</v>
      </c>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43" t="s">
        <v>398</v>
      </c>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c r="A42" s="43" t="s">
        <v>399</v>
      </c>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hyperlinks>
    <hyperlink r:id="rId1" location="responses" ref="B4"/>
    <hyperlink r:id="rId2" ref="B12"/>
    <hyperlink r:id="rId3" ref="B13"/>
    <hyperlink r:id="rId4" ref="B14"/>
    <hyperlink r:id="rId5" ref="B15"/>
    <hyperlink r:id="rId6" ref="B16"/>
    <hyperlink r:id="rId7" ref="B17"/>
    <hyperlink r:id="rId8" ref="B18"/>
    <hyperlink r:id="rId9" ref="B19"/>
    <hyperlink r:id="rId10" ref="B20"/>
    <hyperlink r:id="rId11" ref="B21"/>
    <hyperlink r:id="rId12" ref="B22"/>
    <hyperlink r:id="rId13" location="responses" ref="B23"/>
    <hyperlink r:id="rId14" ref="B24"/>
    <hyperlink r:id="rId15" ref="B25"/>
    <hyperlink r:id="rId16" ref="B26"/>
    <hyperlink r:id="rId17" ref="B27"/>
    <hyperlink r:id="rId18" ref="B28"/>
    <hyperlink r:id="rId19" location="gid=147070124" ref="D28"/>
    <hyperlink r:id="rId20" ref="B29"/>
    <hyperlink r:id="rId21" location="gid=84976851" ref="D29"/>
    <hyperlink r:id="rId22" ref="B30"/>
    <hyperlink r:id="rId23" location="gid=647143208" ref="D30"/>
    <hyperlink r:id="rId24" ref="B31"/>
    <hyperlink r:id="rId25" location="gid=906553254" ref="D31"/>
    <hyperlink r:id="rId26" ref="B32"/>
    <hyperlink r:id="rId27" location="gid=1181658117" ref="D32"/>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715</v>
      </c>
      <c r="B1" s="39" t="s">
        <v>716</v>
      </c>
      <c r="C1" s="39" t="s">
        <v>717</v>
      </c>
      <c r="D1" s="39" t="s">
        <v>718</v>
      </c>
      <c r="E1" s="39" t="s">
        <v>719</v>
      </c>
      <c r="F1" s="39" t="s">
        <v>720</v>
      </c>
      <c r="G1" s="39" t="s">
        <v>721</v>
      </c>
      <c r="H1" s="39" t="s">
        <v>722</v>
      </c>
      <c r="I1" s="39" t="s">
        <v>723</v>
      </c>
      <c r="J1" s="39" t="s">
        <v>724</v>
      </c>
      <c r="K1" s="39" t="s">
        <v>725</v>
      </c>
      <c r="L1" s="39" t="s">
        <v>726</v>
      </c>
      <c r="M1" s="39" t="s">
        <v>727</v>
      </c>
      <c r="N1" s="39" t="s">
        <v>728</v>
      </c>
      <c r="O1" s="39" t="s">
        <v>729</v>
      </c>
      <c r="P1" s="39" t="s">
        <v>730</v>
      </c>
      <c r="Q1" s="39" t="s">
        <v>731</v>
      </c>
      <c r="R1" s="39" t="s">
        <v>732</v>
      </c>
      <c r="S1" s="39" t="s">
        <v>733</v>
      </c>
      <c r="T1" s="39" t="s">
        <v>734</v>
      </c>
      <c r="U1" s="39" t="s">
        <v>735</v>
      </c>
      <c r="V1" s="39" t="s">
        <v>736</v>
      </c>
      <c r="W1" s="39" t="s">
        <v>737</v>
      </c>
      <c r="X1" s="39" t="s">
        <v>738</v>
      </c>
    </row>
    <row r="2">
      <c r="A2" s="39" t="s">
        <v>739</v>
      </c>
      <c r="B2" s="39">
        <v>11692.0</v>
      </c>
      <c r="C2" s="39" t="s">
        <v>740</v>
      </c>
      <c r="D2" s="39">
        <v>7.0</v>
      </c>
      <c r="F2" s="39">
        <v>7646.0</v>
      </c>
      <c r="G2" s="39" t="s">
        <v>741</v>
      </c>
      <c r="H2" s="39">
        <v>1.0</v>
      </c>
      <c r="I2" s="39" t="s">
        <v>742</v>
      </c>
      <c r="J2" s="39" t="s">
        <v>743</v>
      </c>
      <c r="K2" s="39" t="s">
        <v>744</v>
      </c>
      <c r="L2" s="39" t="s">
        <v>745</v>
      </c>
      <c r="M2" s="39" t="s">
        <v>746</v>
      </c>
      <c r="N2" s="39" t="s">
        <v>747</v>
      </c>
      <c r="O2" s="39" t="s">
        <v>746</v>
      </c>
      <c r="P2" s="39">
        <v>3.143052655E9</v>
      </c>
      <c r="Q2" s="39" t="s">
        <v>748</v>
      </c>
      <c r="R2" s="39" t="s">
        <v>749</v>
      </c>
      <c r="S2" s="39" t="s">
        <v>750</v>
      </c>
      <c r="T2" s="39" t="s">
        <v>751</v>
      </c>
      <c r="U2" s="39" t="s">
        <v>751</v>
      </c>
      <c r="V2" s="39" t="s">
        <v>751</v>
      </c>
      <c r="W2" s="39" t="s">
        <v>751</v>
      </c>
      <c r="X2" s="39" t="s">
        <v>751</v>
      </c>
    </row>
    <row r="3">
      <c r="A3" s="39" t="s">
        <v>739</v>
      </c>
      <c r="B3" s="39">
        <v>11692.0</v>
      </c>
      <c r="C3" s="39" t="s">
        <v>740</v>
      </c>
      <c r="D3" s="39">
        <v>7.0</v>
      </c>
      <c r="F3" s="39">
        <v>7647.0</v>
      </c>
      <c r="G3" s="39" t="s">
        <v>752</v>
      </c>
      <c r="H3" s="39">
        <v>2.0</v>
      </c>
      <c r="I3" s="39" t="s">
        <v>753</v>
      </c>
      <c r="J3" s="39" t="s">
        <v>754</v>
      </c>
      <c r="K3" s="39" t="s">
        <v>744</v>
      </c>
      <c r="L3" s="39" t="s">
        <v>745</v>
      </c>
      <c r="M3" s="39" t="s">
        <v>746</v>
      </c>
      <c r="N3" s="39" t="s">
        <v>755</v>
      </c>
      <c r="O3" s="39" t="s">
        <v>756</v>
      </c>
      <c r="P3" s="39" t="s">
        <v>755</v>
      </c>
      <c r="Q3" s="39" t="s">
        <v>756</v>
      </c>
      <c r="S3" s="39" t="s">
        <v>750</v>
      </c>
      <c r="T3" s="39" t="s">
        <v>751</v>
      </c>
      <c r="U3" s="39" t="s">
        <v>750</v>
      </c>
      <c r="V3" s="39" t="s">
        <v>750</v>
      </c>
      <c r="W3" s="39" t="s">
        <v>750</v>
      </c>
      <c r="X3" s="39" t="s">
        <v>751</v>
      </c>
    </row>
    <row r="4">
      <c r="A4" s="39" t="s">
        <v>739</v>
      </c>
      <c r="B4" s="39">
        <v>11692.0</v>
      </c>
      <c r="C4" s="39" t="s">
        <v>740</v>
      </c>
      <c r="D4" s="39">
        <v>7.0</v>
      </c>
      <c r="F4" s="39">
        <v>11538.0</v>
      </c>
      <c r="G4" s="39" t="s">
        <v>757</v>
      </c>
      <c r="H4" s="39">
        <v>3.0</v>
      </c>
      <c r="I4" s="39" t="s">
        <v>758</v>
      </c>
      <c r="K4" s="39" t="s">
        <v>744</v>
      </c>
      <c r="L4" s="39">
        <v>3.144947368E9</v>
      </c>
      <c r="M4" s="39" t="s">
        <v>746</v>
      </c>
      <c r="N4" s="39" t="s">
        <v>755</v>
      </c>
      <c r="O4" s="39" t="s">
        <v>756</v>
      </c>
      <c r="P4" s="39" t="s">
        <v>755</v>
      </c>
      <c r="Q4" s="39" t="s">
        <v>756</v>
      </c>
      <c r="R4" s="39" t="s">
        <v>749</v>
      </c>
      <c r="S4" s="39" t="s">
        <v>750</v>
      </c>
      <c r="T4" s="39" t="s">
        <v>750</v>
      </c>
      <c r="U4" s="39" t="s">
        <v>750</v>
      </c>
      <c r="V4" s="39" t="s">
        <v>750</v>
      </c>
      <c r="W4" s="39" t="s">
        <v>751</v>
      </c>
      <c r="X4" s="39" t="s">
        <v>751</v>
      </c>
    </row>
    <row r="5">
      <c r="A5" s="39" t="s">
        <v>739</v>
      </c>
      <c r="B5" s="39">
        <v>11692.0</v>
      </c>
      <c r="C5" s="39" t="s">
        <v>740</v>
      </c>
      <c r="D5" s="39">
        <v>7.0</v>
      </c>
      <c r="F5" s="39">
        <v>11539.0</v>
      </c>
      <c r="G5" s="39" t="s">
        <v>759</v>
      </c>
      <c r="H5" s="39">
        <v>4.0</v>
      </c>
      <c r="I5" s="39" t="s">
        <v>760</v>
      </c>
      <c r="K5" s="39" t="s">
        <v>744</v>
      </c>
      <c r="L5" s="39">
        <v>3.144796769E9</v>
      </c>
      <c r="M5" s="39" t="s">
        <v>746</v>
      </c>
      <c r="N5" s="39" t="s">
        <v>755</v>
      </c>
      <c r="O5" s="39" t="s">
        <v>756</v>
      </c>
      <c r="P5" s="39" t="s">
        <v>755</v>
      </c>
      <c r="Q5" s="39" t="s">
        <v>756</v>
      </c>
      <c r="S5" s="39" t="s">
        <v>750</v>
      </c>
      <c r="T5" s="39" t="s">
        <v>750</v>
      </c>
      <c r="U5" s="39" t="s">
        <v>750</v>
      </c>
      <c r="V5" s="39" t="s">
        <v>750</v>
      </c>
      <c r="W5" s="39" t="s">
        <v>751</v>
      </c>
      <c r="X5" s="39" t="s">
        <v>751</v>
      </c>
    </row>
    <row r="6">
      <c r="A6" s="39" t="s">
        <v>739</v>
      </c>
      <c r="B6" s="39">
        <v>11693.0</v>
      </c>
      <c r="C6" s="39" t="s">
        <v>761</v>
      </c>
      <c r="D6" s="39">
        <v>7.0</v>
      </c>
      <c r="F6" s="39">
        <v>7646.0</v>
      </c>
      <c r="G6" s="39" t="s">
        <v>741</v>
      </c>
      <c r="H6" s="39">
        <v>1.0</v>
      </c>
      <c r="I6" s="39" t="s">
        <v>742</v>
      </c>
      <c r="J6" s="39" t="s">
        <v>743</v>
      </c>
      <c r="K6" s="39" t="s">
        <v>744</v>
      </c>
      <c r="L6" s="39" t="s">
        <v>745</v>
      </c>
      <c r="M6" s="39" t="s">
        <v>746</v>
      </c>
      <c r="N6" s="39" t="s">
        <v>747</v>
      </c>
      <c r="O6" s="39" t="s">
        <v>746</v>
      </c>
      <c r="P6" s="39">
        <v>3.143052655E9</v>
      </c>
      <c r="Q6" s="39" t="s">
        <v>748</v>
      </c>
      <c r="R6" s="39" t="s">
        <v>749</v>
      </c>
      <c r="S6" s="39" t="s">
        <v>750</v>
      </c>
      <c r="T6" s="39" t="s">
        <v>751</v>
      </c>
      <c r="U6" s="39" t="s">
        <v>751</v>
      </c>
      <c r="V6" s="39" t="s">
        <v>751</v>
      </c>
      <c r="W6" s="39" t="s">
        <v>751</v>
      </c>
      <c r="X6" s="39" t="s">
        <v>751</v>
      </c>
    </row>
    <row r="7">
      <c r="A7" s="39" t="s">
        <v>739</v>
      </c>
      <c r="B7" s="39">
        <v>11693.0</v>
      </c>
      <c r="C7" s="39" t="s">
        <v>761</v>
      </c>
      <c r="D7" s="39">
        <v>7.0</v>
      </c>
      <c r="F7" s="39">
        <v>7647.0</v>
      </c>
      <c r="G7" s="39" t="s">
        <v>752</v>
      </c>
      <c r="H7" s="39">
        <v>2.0</v>
      </c>
      <c r="I7" s="39" t="s">
        <v>753</v>
      </c>
      <c r="J7" s="39" t="s">
        <v>754</v>
      </c>
      <c r="K7" s="39" t="s">
        <v>744</v>
      </c>
      <c r="L7" s="39" t="s">
        <v>745</v>
      </c>
      <c r="M7" s="39" t="s">
        <v>746</v>
      </c>
      <c r="N7" s="39" t="s">
        <v>755</v>
      </c>
      <c r="O7" s="39" t="s">
        <v>756</v>
      </c>
      <c r="P7" s="39" t="s">
        <v>755</v>
      </c>
      <c r="Q7" s="39" t="s">
        <v>756</v>
      </c>
      <c r="S7" s="39" t="s">
        <v>750</v>
      </c>
      <c r="T7" s="39" t="s">
        <v>751</v>
      </c>
      <c r="U7" s="39" t="s">
        <v>750</v>
      </c>
      <c r="V7" s="39" t="s">
        <v>750</v>
      </c>
      <c r="W7" s="39" t="s">
        <v>750</v>
      </c>
      <c r="X7" s="39" t="s">
        <v>751</v>
      </c>
    </row>
    <row r="8">
      <c r="A8" s="39" t="s">
        <v>739</v>
      </c>
      <c r="B8" s="39">
        <v>11693.0</v>
      </c>
      <c r="C8" s="39" t="s">
        <v>761</v>
      </c>
      <c r="D8" s="39">
        <v>7.0</v>
      </c>
      <c r="F8" s="39">
        <v>11538.0</v>
      </c>
      <c r="G8" s="39" t="s">
        <v>757</v>
      </c>
      <c r="H8" s="39">
        <v>3.0</v>
      </c>
      <c r="I8" s="39" t="s">
        <v>758</v>
      </c>
      <c r="K8" s="39" t="s">
        <v>744</v>
      </c>
      <c r="L8" s="39">
        <v>3.144947368E9</v>
      </c>
      <c r="M8" s="39" t="s">
        <v>746</v>
      </c>
      <c r="N8" s="39" t="s">
        <v>755</v>
      </c>
      <c r="O8" s="39" t="s">
        <v>756</v>
      </c>
      <c r="P8" s="39" t="s">
        <v>755</v>
      </c>
      <c r="Q8" s="39" t="s">
        <v>756</v>
      </c>
      <c r="R8" s="39" t="s">
        <v>749</v>
      </c>
      <c r="S8" s="39" t="s">
        <v>750</v>
      </c>
      <c r="T8" s="39" t="s">
        <v>750</v>
      </c>
      <c r="U8" s="39" t="s">
        <v>750</v>
      </c>
      <c r="V8" s="39" t="s">
        <v>750</v>
      </c>
      <c r="W8" s="39" t="s">
        <v>751</v>
      </c>
      <c r="X8" s="39" t="s">
        <v>751</v>
      </c>
    </row>
    <row r="9">
      <c r="A9" s="39" t="s">
        <v>739</v>
      </c>
      <c r="B9" s="39">
        <v>11693.0</v>
      </c>
      <c r="C9" s="39" t="s">
        <v>761</v>
      </c>
      <c r="D9" s="39">
        <v>7.0</v>
      </c>
      <c r="F9" s="39">
        <v>11539.0</v>
      </c>
      <c r="G9" s="39" t="s">
        <v>759</v>
      </c>
      <c r="H9" s="39">
        <v>4.0</v>
      </c>
      <c r="I9" s="39" t="s">
        <v>760</v>
      </c>
      <c r="K9" s="39" t="s">
        <v>744</v>
      </c>
      <c r="L9" s="39">
        <v>3.144796769E9</v>
      </c>
      <c r="M9" s="39" t="s">
        <v>746</v>
      </c>
      <c r="N9" s="39" t="s">
        <v>755</v>
      </c>
      <c r="O9" s="39" t="s">
        <v>756</v>
      </c>
      <c r="P9" s="39" t="s">
        <v>755</v>
      </c>
      <c r="Q9" s="39" t="s">
        <v>756</v>
      </c>
      <c r="S9" s="39" t="s">
        <v>750</v>
      </c>
      <c r="T9" s="39" t="s">
        <v>750</v>
      </c>
      <c r="U9" s="39" t="s">
        <v>750</v>
      </c>
      <c r="V9" s="39" t="s">
        <v>750</v>
      </c>
      <c r="W9" s="39" t="s">
        <v>751</v>
      </c>
      <c r="X9" s="39" t="s">
        <v>751</v>
      </c>
    </row>
    <row r="10">
      <c r="A10" s="39" t="s">
        <v>739</v>
      </c>
      <c r="B10" s="39">
        <v>11999.0</v>
      </c>
      <c r="C10" s="39" t="s">
        <v>762</v>
      </c>
      <c r="D10" s="39">
        <v>5.0</v>
      </c>
      <c r="F10" s="39">
        <v>17705.0</v>
      </c>
      <c r="G10" s="39" t="s">
        <v>763</v>
      </c>
      <c r="H10" s="39">
        <v>1.0</v>
      </c>
      <c r="I10" s="39" t="s">
        <v>742</v>
      </c>
      <c r="J10" s="39" t="s">
        <v>743</v>
      </c>
      <c r="K10" s="39" t="s">
        <v>744</v>
      </c>
      <c r="L10" s="39" t="s">
        <v>764</v>
      </c>
      <c r="M10" s="39" t="s">
        <v>746</v>
      </c>
      <c r="N10" s="39" t="s">
        <v>755</v>
      </c>
      <c r="O10" s="39" t="s">
        <v>756</v>
      </c>
      <c r="P10" s="39" t="s">
        <v>755</v>
      </c>
      <c r="Q10" s="39" t="s">
        <v>756</v>
      </c>
      <c r="R10" s="39" t="s">
        <v>765</v>
      </c>
      <c r="S10" s="39" t="s">
        <v>750</v>
      </c>
      <c r="T10" s="39" t="s">
        <v>751</v>
      </c>
      <c r="U10" s="39" t="s">
        <v>751</v>
      </c>
      <c r="V10" s="39" t="s">
        <v>750</v>
      </c>
      <c r="W10" s="39" t="s">
        <v>751</v>
      </c>
      <c r="X10" s="39" t="s">
        <v>751</v>
      </c>
    </row>
    <row r="11">
      <c r="A11" s="39" t="s">
        <v>739</v>
      </c>
      <c r="B11" s="39">
        <v>11999.0</v>
      </c>
      <c r="C11" s="39" t="s">
        <v>762</v>
      </c>
      <c r="D11" s="39">
        <v>5.0</v>
      </c>
      <c r="F11" s="39">
        <v>17706.0</v>
      </c>
      <c r="G11" s="39" t="s">
        <v>766</v>
      </c>
      <c r="H11" s="39">
        <v>2.0</v>
      </c>
      <c r="I11" s="39" t="s">
        <v>767</v>
      </c>
      <c r="J11" s="39" t="s">
        <v>768</v>
      </c>
      <c r="K11" s="39" t="s">
        <v>744</v>
      </c>
      <c r="L11" s="39" t="s">
        <v>769</v>
      </c>
      <c r="M11" s="39" t="s">
        <v>746</v>
      </c>
      <c r="N11" s="39" t="s">
        <v>755</v>
      </c>
      <c r="O11" s="39" t="s">
        <v>756</v>
      </c>
      <c r="P11" s="39" t="s">
        <v>755</v>
      </c>
      <c r="Q11" s="39" t="s">
        <v>756</v>
      </c>
      <c r="S11" s="39" t="s">
        <v>750</v>
      </c>
      <c r="T11" s="39" t="s">
        <v>750</v>
      </c>
      <c r="U11" s="39" t="s">
        <v>751</v>
      </c>
      <c r="V11" s="39" t="s">
        <v>750</v>
      </c>
      <c r="W11" s="39" t="s">
        <v>751</v>
      </c>
      <c r="X11" s="39" t="s">
        <v>751</v>
      </c>
    </row>
    <row r="12">
      <c r="A12" s="39" t="s">
        <v>739</v>
      </c>
      <c r="B12" s="39">
        <v>11999.0</v>
      </c>
      <c r="C12" s="39" t="s">
        <v>762</v>
      </c>
      <c r="D12" s="39">
        <v>5.0</v>
      </c>
      <c r="F12" s="39">
        <v>17707.0</v>
      </c>
      <c r="G12" s="39" t="s">
        <v>770</v>
      </c>
      <c r="H12" s="39">
        <v>3.0</v>
      </c>
      <c r="I12" s="39" t="s">
        <v>758</v>
      </c>
      <c r="J12" s="39" t="s">
        <v>771</v>
      </c>
      <c r="K12" s="39" t="s">
        <v>744</v>
      </c>
      <c r="L12" s="39" t="s">
        <v>772</v>
      </c>
      <c r="M12" s="39" t="s">
        <v>746</v>
      </c>
      <c r="N12" s="39" t="s">
        <v>755</v>
      </c>
      <c r="O12" s="39" t="s">
        <v>756</v>
      </c>
      <c r="P12" s="39" t="s">
        <v>755</v>
      </c>
      <c r="Q12" s="39" t="s">
        <v>756</v>
      </c>
      <c r="S12" s="39" t="s">
        <v>750</v>
      </c>
      <c r="T12" s="39" t="s">
        <v>750</v>
      </c>
      <c r="U12" s="39" t="s">
        <v>750</v>
      </c>
      <c r="V12" s="39" t="s">
        <v>750</v>
      </c>
      <c r="W12" s="39" t="s">
        <v>751</v>
      </c>
      <c r="X12" s="39" t="s">
        <v>751</v>
      </c>
    </row>
    <row r="13">
      <c r="A13" s="39" t="s">
        <v>739</v>
      </c>
      <c r="B13" s="39">
        <v>11424.0</v>
      </c>
      <c r="C13" s="39" t="s">
        <v>773</v>
      </c>
      <c r="D13" s="39">
        <v>7.0</v>
      </c>
      <c r="F13" s="39">
        <v>1017.0</v>
      </c>
      <c r="G13" s="39" t="s">
        <v>774</v>
      </c>
      <c r="H13" s="39">
        <v>1.0</v>
      </c>
      <c r="I13" s="39" t="s">
        <v>775</v>
      </c>
      <c r="J13" s="39" t="s">
        <v>768</v>
      </c>
      <c r="K13" s="39" t="s">
        <v>744</v>
      </c>
      <c r="L13" s="39" t="s">
        <v>776</v>
      </c>
      <c r="M13" s="39" t="s">
        <v>746</v>
      </c>
      <c r="N13" s="39">
        <v>3.143324309E9</v>
      </c>
      <c r="O13" s="39" t="s">
        <v>756</v>
      </c>
      <c r="P13" s="39">
        <v>3.142675814E9</v>
      </c>
      <c r="Q13" s="39" t="s">
        <v>756</v>
      </c>
      <c r="R13" s="39" t="s">
        <v>777</v>
      </c>
      <c r="S13" s="39" t="s">
        <v>750</v>
      </c>
      <c r="T13" s="39" t="s">
        <v>750</v>
      </c>
      <c r="U13" s="39" t="s">
        <v>751</v>
      </c>
      <c r="V13" s="39" t="s">
        <v>750</v>
      </c>
      <c r="W13" s="39" t="s">
        <v>751</v>
      </c>
      <c r="X13" s="39" t="s">
        <v>751</v>
      </c>
    </row>
    <row r="14">
      <c r="A14" s="39" t="s">
        <v>739</v>
      </c>
      <c r="B14" s="39">
        <v>11424.0</v>
      </c>
      <c r="C14" s="39" t="s">
        <v>773</v>
      </c>
      <c r="D14" s="39">
        <v>7.0</v>
      </c>
      <c r="F14" s="39">
        <v>17221.0</v>
      </c>
      <c r="G14" s="39" t="s">
        <v>778</v>
      </c>
      <c r="H14" s="39">
        <v>2.0</v>
      </c>
      <c r="I14" s="39" t="s">
        <v>753</v>
      </c>
      <c r="J14" s="39" t="s">
        <v>754</v>
      </c>
      <c r="K14" s="39" t="s">
        <v>744</v>
      </c>
      <c r="L14" s="39" t="s">
        <v>776</v>
      </c>
      <c r="M14" s="39" t="s">
        <v>746</v>
      </c>
      <c r="N14" s="39" t="s">
        <v>755</v>
      </c>
      <c r="O14" s="39" t="s">
        <v>756</v>
      </c>
      <c r="P14" s="39" t="s">
        <v>755</v>
      </c>
      <c r="Q14" s="39" t="s">
        <v>756</v>
      </c>
      <c r="S14" s="39" t="s">
        <v>750</v>
      </c>
      <c r="T14" s="39" t="s">
        <v>751</v>
      </c>
      <c r="U14" s="39" t="s">
        <v>751</v>
      </c>
      <c r="V14" s="39" t="s">
        <v>750</v>
      </c>
      <c r="W14" s="39" t="s">
        <v>751</v>
      </c>
      <c r="X14" s="39" t="s">
        <v>751</v>
      </c>
    </row>
    <row r="15">
      <c r="A15" s="39" t="s">
        <v>739</v>
      </c>
      <c r="B15" s="39">
        <v>11424.0</v>
      </c>
      <c r="C15" s="39" t="s">
        <v>773</v>
      </c>
      <c r="D15" s="39">
        <v>7.0</v>
      </c>
      <c r="F15" s="39">
        <v>8453.0</v>
      </c>
      <c r="G15" s="39" t="s">
        <v>779</v>
      </c>
      <c r="H15" s="39">
        <v>3.0</v>
      </c>
      <c r="I15" s="39" t="s">
        <v>742</v>
      </c>
      <c r="J15" s="39" t="s">
        <v>743</v>
      </c>
      <c r="K15" s="39" t="s">
        <v>744</v>
      </c>
      <c r="L15" s="39" t="s">
        <v>776</v>
      </c>
      <c r="M15" s="39" t="s">
        <v>746</v>
      </c>
      <c r="N15" s="39" t="s">
        <v>755</v>
      </c>
      <c r="O15" s="39" t="s">
        <v>756</v>
      </c>
      <c r="P15" s="39" t="s">
        <v>755</v>
      </c>
      <c r="Q15" s="39" t="s">
        <v>756</v>
      </c>
      <c r="R15" s="39" t="s">
        <v>780</v>
      </c>
      <c r="S15" s="39" t="s">
        <v>750</v>
      </c>
      <c r="T15" s="39" t="s">
        <v>751</v>
      </c>
      <c r="U15" s="39" t="s">
        <v>751</v>
      </c>
      <c r="V15" s="39" t="s">
        <v>751</v>
      </c>
      <c r="W15" s="39" t="s">
        <v>750</v>
      </c>
      <c r="X15" s="39" t="s">
        <v>751</v>
      </c>
    </row>
    <row r="16">
      <c r="A16" s="39" t="s">
        <v>739</v>
      </c>
      <c r="B16" s="39">
        <v>11674.0</v>
      </c>
      <c r="C16" s="39" t="s">
        <v>492</v>
      </c>
      <c r="D16" s="39">
        <v>8.0</v>
      </c>
      <c r="F16" s="39">
        <v>11489.0</v>
      </c>
      <c r="G16" s="39" t="s">
        <v>781</v>
      </c>
      <c r="H16" s="39">
        <v>1.0</v>
      </c>
      <c r="I16" s="39" t="s">
        <v>742</v>
      </c>
      <c r="J16" s="39" t="s">
        <v>743</v>
      </c>
      <c r="K16" s="39" t="s">
        <v>744</v>
      </c>
      <c r="L16" s="39" t="s">
        <v>782</v>
      </c>
      <c r="M16" s="39" t="s">
        <v>748</v>
      </c>
      <c r="N16" s="39" t="s">
        <v>782</v>
      </c>
      <c r="O16" s="39" t="s">
        <v>746</v>
      </c>
      <c r="P16" s="39" t="s">
        <v>755</v>
      </c>
      <c r="Q16" s="39" t="s">
        <v>756</v>
      </c>
      <c r="R16" s="39" t="s">
        <v>783</v>
      </c>
      <c r="S16" s="39" t="s">
        <v>751</v>
      </c>
      <c r="T16" s="39" t="s">
        <v>751</v>
      </c>
      <c r="U16" s="39" t="s">
        <v>751</v>
      </c>
      <c r="V16" s="39" t="s">
        <v>751</v>
      </c>
      <c r="W16" s="39" t="s">
        <v>751</v>
      </c>
      <c r="X16" s="39" t="s">
        <v>751</v>
      </c>
    </row>
    <row r="17">
      <c r="A17" s="39" t="s">
        <v>739</v>
      </c>
      <c r="B17" s="39">
        <v>11674.0</v>
      </c>
      <c r="C17" s="39" t="s">
        <v>492</v>
      </c>
      <c r="D17" s="39">
        <v>8.0</v>
      </c>
      <c r="F17" s="39">
        <v>11490.0</v>
      </c>
      <c r="G17" s="39" t="s">
        <v>784</v>
      </c>
      <c r="H17" s="39">
        <v>2.0</v>
      </c>
      <c r="I17" s="39" t="s">
        <v>775</v>
      </c>
      <c r="J17" s="39" t="s">
        <v>768</v>
      </c>
      <c r="K17" s="39" t="s">
        <v>744</v>
      </c>
      <c r="L17" s="39" t="s">
        <v>785</v>
      </c>
      <c r="M17" s="39" t="s">
        <v>746</v>
      </c>
      <c r="N17" s="39" t="s">
        <v>755</v>
      </c>
      <c r="O17" s="39" t="s">
        <v>756</v>
      </c>
      <c r="P17" s="39" t="s">
        <v>755</v>
      </c>
      <c r="Q17" s="39" t="s">
        <v>756</v>
      </c>
      <c r="R17" s="39" t="s">
        <v>786</v>
      </c>
      <c r="S17" s="39" t="s">
        <v>750</v>
      </c>
      <c r="T17" s="39" t="s">
        <v>750</v>
      </c>
      <c r="U17" s="39" t="s">
        <v>750</v>
      </c>
      <c r="V17" s="39" t="s">
        <v>750</v>
      </c>
      <c r="W17" s="39" t="s">
        <v>751</v>
      </c>
      <c r="X17" s="39" t="s">
        <v>751</v>
      </c>
    </row>
    <row r="18">
      <c r="A18" s="39" t="s">
        <v>739</v>
      </c>
      <c r="B18" s="39">
        <v>11674.0</v>
      </c>
      <c r="C18" s="39" t="s">
        <v>492</v>
      </c>
      <c r="D18" s="39">
        <v>8.0</v>
      </c>
      <c r="F18" s="39">
        <v>11491.0</v>
      </c>
      <c r="G18" s="39" t="s">
        <v>787</v>
      </c>
      <c r="H18" s="39">
        <v>3.0</v>
      </c>
      <c r="I18" s="39" t="s">
        <v>788</v>
      </c>
      <c r="J18" s="39" t="s">
        <v>771</v>
      </c>
      <c r="K18" s="39" t="s">
        <v>744</v>
      </c>
      <c r="L18" s="39" t="s">
        <v>789</v>
      </c>
      <c r="M18" s="39" t="s">
        <v>746</v>
      </c>
      <c r="N18" s="39" t="s">
        <v>755</v>
      </c>
      <c r="O18" s="39" t="s">
        <v>756</v>
      </c>
      <c r="P18" s="39" t="s">
        <v>755</v>
      </c>
      <c r="Q18" s="39" t="s">
        <v>756</v>
      </c>
      <c r="S18" s="39" t="s">
        <v>750</v>
      </c>
      <c r="T18" s="39" t="s">
        <v>750</v>
      </c>
      <c r="U18" s="39" t="s">
        <v>750</v>
      </c>
      <c r="V18" s="39" t="s">
        <v>750</v>
      </c>
      <c r="W18" s="39" t="s">
        <v>751</v>
      </c>
      <c r="X18" s="39" t="s">
        <v>751</v>
      </c>
    </row>
    <row r="19">
      <c r="A19" s="39" t="s">
        <v>739</v>
      </c>
      <c r="B19" s="39">
        <v>11674.0</v>
      </c>
      <c r="C19" s="39" t="s">
        <v>492</v>
      </c>
      <c r="D19" s="39">
        <v>8.0</v>
      </c>
      <c r="F19" s="39">
        <v>11492.0</v>
      </c>
      <c r="G19" s="39" t="s">
        <v>790</v>
      </c>
      <c r="H19" s="39">
        <v>4.0</v>
      </c>
      <c r="I19" s="39" t="s">
        <v>791</v>
      </c>
      <c r="K19" s="39" t="s">
        <v>744</v>
      </c>
      <c r="L19" s="39" t="s">
        <v>792</v>
      </c>
      <c r="M19" s="39" t="s">
        <v>746</v>
      </c>
      <c r="N19" s="39" t="s">
        <v>755</v>
      </c>
      <c r="O19" s="39" t="s">
        <v>756</v>
      </c>
      <c r="P19" s="39" t="s">
        <v>755</v>
      </c>
      <c r="Q19" s="39" t="s">
        <v>756</v>
      </c>
      <c r="S19" s="39" t="s">
        <v>750</v>
      </c>
      <c r="T19" s="39" t="s">
        <v>750</v>
      </c>
      <c r="U19" s="39" t="s">
        <v>750</v>
      </c>
      <c r="V19" s="39" t="s">
        <v>750</v>
      </c>
      <c r="W19" s="39" t="s">
        <v>750</v>
      </c>
      <c r="X19" s="39" t="s">
        <v>751</v>
      </c>
    </row>
    <row r="20">
      <c r="A20" s="39" t="s">
        <v>739</v>
      </c>
      <c r="B20" s="39">
        <v>11471.0</v>
      </c>
      <c r="C20" s="39" t="s">
        <v>793</v>
      </c>
      <c r="D20" s="39">
        <v>8.0</v>
      </c>
      <c r="F20" s="39">
        <v>9052.0</v>
      </c>
      <c r="G20" s="39" t="s">
        <v>794</v>
      </c>
      <c r="H20" s="39">
        <v>1.0</v>
      </c>
      <c r="I20" s="39" t="s">
        <v>742</v>
      </c>
      <c r="J20" s="39" t="s">
        <v>743</v>
      </c>
      <c r="K20" s="39" t="s">
        <v>744</v>
      </c>
      <c r="L20" s="39" t="s">
        <v>795</v>
      </c>
      <c r="M20" s="39" t="s">
        <v>746</v>
      </c>
      <c r="N20" s="39" t="s">
        <v>796</v>
      </c>
      <c r="O20" s="39" t="s">
        <v>748</v>
      </c>
      <c r="P20" s="39" t="s">
        <v>755</v>
      </c>
      <c r="Q20" s="39" t="s">
        <v>756</v>
      </c>
      <c r="R20" s="39" t="s">
        <v>797</v>
      </c>
      <c r="S20" s="39" t="s">
        <v>750</v>
      </c>
      <c r="T20" s="39" t="s">
        <v>751</v>
      </c>
      <c r="U20" s="39" t="s">
        <v>751</v>
      </c>
      <c r="V20" s="39" t="s">
        <v>751</v>
      </c>
      <c r="W20" s="39" t="s">
        <v>750</v>
      </c>
      <c r="X20" s="39" t="s">
        <v>751</v>
      </c>
    </row>
    <row r="21">
      <c r="A21" s="39" t="s">
        <v>739</v>
      </c>
      <c r="B21" s="39">
        <v>11471.0</v>
      </c>
      <c r="C21" s="39" t="s">
        <v>793</v>
      </c>
      <c r="D21" s="39">
        <v>8.0</v>
      </c>
      <c r="F21" s="39">
        <v>17303.0</v>
      </c>
      <c r="G21" s="39" t="s">
        <v>798</v>
      </c>
      <c r="H21" s="39">
        <v>2.0</v>
      </c>
      <c r="I21" s="39" t="s">
        <v>775</v>
      </c>
      <c r="J21" s="39" t="s">
        <v>768</v>
      </c>
      <c r="K21" s="39" t="s">
        <v>744</v>
      </c>
      <c r="L21" s="39" t="s">
        <v>796</v>
      </c>
      <c r="M21" s="39" t="s">
        <v>746</v>
      </c>
      <c r="N21" s="39" t="s">
        <v>755</v>
      </c>
      <c r="O21" s="39" t="s">
        <v>756</v>
      </c>
      <c r="P21" s="39" t="s">
        <v>755</v>
      </c>
      <c r="Q21" s="39" t="s">
        <v>756</v>
      </c>
      <c r="R21" s="39" t="s">
        <v>799</v>
      </c>
      <c r="S21" s="39" t="s">
        <v>750</v>
      </c>
      <c r="T21" s="39" t="s">
        <v>750</v>
      </c>
      <c r="U21" s="39" t="s">
        <v>751</v>
      </c>
      <c r="V21" s="39" t="s">
        <v>750</v>
      </c>
      <c r="W21" s="39" t="s">
        <v>751</v>
      </c>
      <c r="X21" s="39" t="s">
        <v>751</v>
      </c>
    </row>
    <row r="22">
      <c r="A22" s="39" t="s">
        <v>739</v>
      </c>
      <c r="B22" s="39">
        <v>11471.0</v>
      </c>
      <c r="C22" s="39" t="s">
        <v>793</v>
      </c>
      <c r="D22" s="39">
        <v>8.0</v>
      </c>
      <c r="F22" s="39">
        <v>15705.0</v>
      </c>
      <c r="G22" s="39" t="s">
        <v>800</v>
      </c>
      <c r="H22" s="39">
        <v>3.0</v>
      </c>
      <c r="I22" s="39" t="s">
        <v>756</v>
      </c>
      <c r="K22" s="39" t="s">
        <v>744</v>
      </c>
      <c r="L22" s="39">
        <v>3.149067018E9</v>
      </c>
      <c r="M22" s="39" t="s">
        <v>746</v>
      </c>
      <c r="N22" s="39" t="s">
        <v>755</v>
      </c>
      <c r="O22" s="39" t="s">
        <v>756</v>
      </c>
      <c r="P22" s="39" t="s">
        <v>755</v>
      </c>
      <c r="Q22" s="39" t="s">
        <v>756</v>
      </c>
      <c r="S22" s="39" t="s">
        <v>750</v>
      </c>
      <c r="T22" s="39" t="s">
        <v>750</v>
      </c>
      <c r="U22" s="39" t="s">
        <v>750</v>
      </c>
      <c r="V22" s="39" t="s">
        <v>750</v>
      </c>
      <c r="W22" s="39" t="s">
        <v>750</v>
      </c>
      <c r="X22" s="39" t="s">
        <v>750</v>
      </c>
    </row>
    <row r="23">
      <c r="A23" s="39" t="s">
        <v>739</v>
      </c>
      <c r="B23" s="39">
        <v>11784.0</v>
      </c>
      <c r="C23" s="39" t="s">
        <v>801</v>
      </c>
      <c r="D23" s="39">
        <v>8.0</v>
      </c>
      <c r="F23" s="39">
        <v>13205.0</v>
      </c>
      <c r="G23" s="39" t="s">
        <v>802</v>
      </c>
      <c r="H23" s="39">
        <v>1.0</v>
      </c>
      <c r="I23" s="39" t="s">
        <v>775</v>
      </c>
      <c r="J23" s="39" t="s">
        <v>803</v>
      </c>
      <c r="K23" s="39" t="s">
        <v>744</v>
      </c>
      <c r="L23" s="39" t="s">
        <v>804</v>
      </c>
      <c r="M23" s="39" t="s">
        <v>805</v>
      </c>
      <c r="N23" s="39" t="s">
        <v>806</v>
      </c>
      <c r="O23" s="39" t="s">
        <v>807</v>
      </c>
      <c r="P23" s="39" t="s">
        <v>755</v>
      </c>
      <c r="Q23" s="39" t="s">
        <v>756</v>
      </c>
      <c r="R23" s="39" t="s">
        <v>808</v>
      </c>
      <c r="S23" s="39" t="s">
        <v>751</v>
      </c>
      <c r="T23" s="39" t="s">
        <v>751</v>
      </c>
      <c r="U23" s="39" t="s">
        <v>751</v>
      </c>
      <c r="V23" s="39" t="s">
        <v>750</v>
      </c>
      <c r="W23" s="39" t="s">
        <v>751</v>
      </c>
      <c r="X23" s="39" t="s">
        <v>751</v>
      </c>
    </row>
    <row r="24">
      <c r="A24" s="39" t="s">
        <v>739</v>
      </c>
      <c r="B24" s="39">
        <v>11784.0</v>
      </c>
      <c r="C24" s="39" t="s">
        <v>801</v>
      </c>
      <c r="D24" s="39">
        <v>8.0</v>
      </c>
      <c r="F24" s="39">
        <v>17468.0</v>
      </c>
      <c r="G24" s="39" t="s">
        <v>809</v>
      </c>
      <c r="H24" s="39">
        <v>2.0</v>
      </c>
      <c r="I24" s="39" t="s">
        <v>758</v>
      </c>
      <c r="J24" s="39" t="s">
        <v>768</v>
      </c>
      <c r="K24" s="39" t="s">
        <v>744</v>
      </c>
      <c r="L24" s="39" t="s">
        <v>810</v>
      </c>
      <c r="M24" s="39" t="s">
        <v>746</v>
      </c>
      <c r="N24" s="39" t="s">
        <v>755</v>
      </c>
      <c r="O24" s="39" t="s">
        <v>756</v>
      </c>
      <c r="P24" s="39" t="s">
        <v>755</v>
      </c>
      <c r="Q24" s="39" t="s">
        <v>756</v>
      </c>
      <c r="S24" s="39" t="s">
        <v>750</v>
      </c>
      <c r="T24" s="39" t="s">
        <v>751</v>
      </c>
      <c r="U24" s="39" t="s">
        <v>751</v>
      </c>
      <c r="V24" s="39" t="s">
        <v>750</v>
      </c>
      <c r="W24" s="39" t="s">
        <v>751</v>
      </c>
      <c r="X24" s="39" t="s">
        <v>751</v>
      </c>
    </row>
    <row r="25">
      <c r="A25" s="39" t="s">
        <v>739</v>
      </c>
      <c r="B25" s="39">
        <v>12030.0</v>
      </c>
      <c r="C25" s="39" t="s">
        <v>811</v>
      </c>
      <c r="D25" s="39">
        <v>6.0</v>
      </c>
      <c r="F25" s="39">
        <v>17784.0</v>
      </c>
      <c r="G25" s="39" t="s">
        <v>812</v>
      </c>
      <c r="H25" s="39">
        <v>1.0</v>
      </c>
      <c r="I25" s="39" t="s">
        <v>742</v>
      </c>
      <c r="J25" s="39" t="s">
        <v>743</v>
      </c>
      <c r="K25" s="39" t="s">
        <v>744</v>
      </c>
      <c r="L25" s="39" t="s">
        <v>813</v>
      </c>
      <c r="M25" s="39" t="s">
        <v>746</v>
      </c>
      <c r="N25" s="39" t="s">
        <v>755</v>
      </c>
      <c r="O25" s="39" t="s">
        <v>756</v>
      </c>
      <c r="P25" s="39" t="s">
        <v>755</v>
      </c>
      <c r="Q25" s="39" t="s">
        <v>756</v>
      </c>
      <c r="R25" s="39" t="s">
        <v>814</v>
      </c>
      <c r="S25" s="39" t="s">
        <v>750</v>
      </c>
      <c r="T25" s="39" t="s">
        <v>751</v>
      </c>
      <c r="U25" s="39" t="s">
        <v>751</v>
      </c>
      <c r="V25" s="39" t="s">
        <v>750</v>
      </c>
      <c r="W25" s="39" t="s">
        <v>751</v>
      </c>
      <c r="X25" s="39" t="s">
        <v>751</v>
      </c>
    </row>
    <row r="26">
      <c r="A26" s="39" t="s">
        <v>739</v>
      </c>
      <c r="B26" s="39">
        <v>12030.0</v>
      </c>
      <c r="C26" s="39" t="s">
        <v>811</v>
      </c>
      <c r="D26" s="39">
        <v>6.0</v>
      </c>
      <c r="F26" s="39">
        <v>17785.0</v>
      </c>
      <c r="G26" s="39" t="s">
        <v>815</v>
      </c>
      <c r="H26" s="39">
        <v>2.0</v>
      </c>
      <c r="I26" s="39" t="s">
        <v>775</v>
      </c>
      <c r="J26" s="39" t="s">
        <v>768</v>
      </c>
      <c r="K26" s="39" t="s">
        <v>744</v>
      </c>
      <c r="L26" s="39" t="s">
        <v>816</v>
      </c>
      <c r="M26" s="39" t="s">
        <v>746</v>
      </c>
      <c r="N26" s="39" t="s">
        <v>755</v>
      </c>
      <c r="O26" s="39" t="s">
        <v>756</v>
      </c>
      <c r="P26" s="39" t="s">
        <v>755</v>
      </c>
      <c r="Q26" s="39" t="s">
        <v>756</v>
      </c>
      <c r="S26" s="39" t="s">
        <v>750</v>
      </c>
      <c r="T26" s="39" t="s">
        <v>750</v>
      </c>
      <c r="U26" s="39" t="s">
        <v>750</v>
      </c>
      <c r="V26" s="39" t="s">
        <v>750</v>
      </c>
      <c r="W26" s="39" t="s">
        <v>751</v>
      </c>
      <c r="X26" s="39" t="s">
        <v>751</v>
      </c>
    </row>
    <row r="27">
      <c r="A27" s="39" t="s">
        <v>739</v>
      </c>
      <c r="B27" s="39">
        <v>11889.0</v>
      </c>
      <c r="C27" s="39" t="s">
        <v>817</v>
      </c>
      <c r="D27" s="39">
        <v>8.0</v>
      </c>
      <c r="F27" s="39">
        <v>17105.0</v>
      </c>
      <c r="G27" s="39" t="s">
        <v>818</v>
      </c>
      <c r="H27" s="39">
        <v>1.0</v>
      </c>
      <c r="I27" s="39" t="s">
        <v>742</v>
      </c>
      <c r="J27" s="39" t="s">
        <v>743</v>
      </c>
      <c r="K27" s="39" t="s">
        <v>744</v>
      </c>
      <c r="L27" s="39" t="s">
        <v>819</v>
      </c>
      <c r="M27" s="39" t="s">
        <v>746</v>
      </c>
      <c r="N27" s="39" t="s">
        <v>755</v>
      </c>
      <c r="O27" s="39" t="s">
        <v>756</v>
      </c>
      <c r="P27" s="39" t="s">
        <v>755</v>
      </c>
      <c r="Q27" s="39" t="s">
        <v>756</v>
      </c>
      <c r="R27" s="39" t="s">
        <v>820</v>
      </c>
      <c r="S27" s="39" t="s">
        <v>750</v>
      </c>
      <c r="T27" s="39" t="s">
        <v>751</v>
      </c>
      <c r="U27" s="39" t="s">
        <v>751</v>
      </c>
      <c r="V27" s="39" t="s">
        <v>750</v>
      </c>
      <c r="W27" s="39" t="s">
        <v>751</v>
      </c>
      <c r="X27" s="39" t="s">
        <v>751</v>
      </c>
    </row>
    <row r="28">
      <c r="A28" s="39" t="s">
        <v>739</v>
      </c>
      <c r="B28" s="39">
        <v>11889.0</v>
      </c>
      <c r="C28" s="39" t="s">
        <v>817</v>
      </c>
      <c r="D28" s="39">
        <v>8.0</v>
      </c>
      <c r="F28" s="39">
        <v>17106.0</v>
      </c>
      <c r="G28" s="39" t="s">
        <v>821</v>
      </c>
      <c r="H28" s="39">
        <v>2.0</v>
      </c>
      <c r="I28" s="39" t="s">
        <v>791</v>
      </c>
      <c r="J28" s="39" t="s">
        <v>768</v>
      </c>
      <c r="K28" s="39" t="s">
        <v>744</v>
      </c>
      <c r="L28" s="39" t="s">
        <v>822</v>
      </c>
      <c r="M28" s="39" t="s">
        <v>746</v>
      </c>
      <c r="N28" s="39" t="s">
        <v>755</v>
      </c>
      <c r="O28" s="39" t="s">
        <v>756</v>
      </c>
      <c r="P28" s="39" t="s">
        <v>755</v>
      </c>
      <c r="Q28" s="39" t="s">
        <v>756</v>
      </c>
      <c r="S28" s="39" t="s">
        <v>750</v>
      </c>
      <c r="T28" s="39" t="s">
        <v>750</v>
      </c>
      <c r="U28" s="39" t="s">
        <v>750</v>
      </c>
      <c r="V28" s="39" t="s">
        <v>750</v>
      </c>
      <c r="W28" s="39" t="s">
        <v>751</v>
      </c>
      <c r="X28" s="39" t="s">
        <v>751</v>
      </c>
    </row>
    <row r="29">
      <c r="A29" s="39" t="s">
        <v>739</v>
      </c>
      <c r="B29" s="39">
        <v>11591.0</v>
      </c>
      <c r="C29" s="39" t="s">
        <v>823</v>
      </c>
      <c r="D29" s="39">
        <v>7.0</v>
      </c>
      <c r="F29" s="39">
        <v>11300.0</v>
      </c>
      <c r="G29" s="39" t="s">
        <v>824</v>
      </c>
      <c r="H29" s="39">
        <v>1.0</v>
      </c>
      <c r="I29" s="39" t="s">
        <v>742</v>
      </c>
      <c r="J29" s="39" t="s">
        <v>743</v>
      </c>
      <c r="K29" s="39" t="s">
        <v>744</v>
      </c>
      <c r="L29" s="39" t="s">
        <v>825</v>
      </c>
      <c r="M29" s="39" t="s">
        <v>748</v>
      </c>
      <c r="N29" s="39" t="s">
        <v>755</v>
      </c>
      <c r="O29" s="39" t="s">
        <v>756</v>
      </c>
      <c r="P29" s="39" t="s">
        <v>755</v>
      </c>
      <c r="Q29" s="39" t="s">
        <v>756</v>
      </c>
      <c r="R29" s="39" t="s">
        <v>826</v>
      </c>
      <c r="S29" s="39" t="s">
        <v>750</v>
      </c>
      <c r="T29" s="39" t="s">
        <v>751</v>
      </c>
      <c r="U29" s="39" t="s">
        <v>751</v>
      </c>
      <c r="V29" s="39" t="s">
        <v>751</v>
      </c>
      <c r="W29" s="39" t="s">
        <v>751</v>
      </c>
      <c r="X29" s="39" t="s">
        <v>751</v>
      </c>
    </row>
    <row r="30">
      <c r="A30" s="39" t="s">
        <v>739</v>
      </c>
      <c r="B30" s="39">
        <v>11591.0</v>
      </c>
      <c r="C30" s="39" t="s">
        <v>823</v>
      </c>
      <c r="D30" s="39">
        <v>7.0</v>
      </c>
      <c r="F30" s="39">
        <v>11302.0</v>
      </c>
      <c r="G30" s="39" t="s">
        <v>827</v>
      </c>
      <c r="H30" s="39">
        <v>2.0</v>
      </c>
      <c r="I30" s="39" t="s">
        <v>791</v>
      </c>
      <c r="J30" s="39" t="s">
        <v>768</v>
      </c>
      <c r="K30" s="39" t="s">
        <v>744</v>
      </c>
      <c r="L30" s="39" t="s">
        <v>828</v>
      </c>
      <c r="M30" s="39" t="s">
        <v>746</v>
      </c>
      <c r="N30" s="39" t="s">
        <v>755</v>
      </c>
      <c r="O30" s="39" t="s">
        <v>756</v>
      </c>
      <c r="P30" s="39" t="s">
        <v>755</v>
      </c>
      <c r="Q30" s="39" t="s">
        <v>756</v>
      </c>
      <c r="R30" s="39" t="s">
        <v>826</v>
      </c>
      <c r="S30" s="39" t="s">
        <v>750</v>
      </c>
      <c r="T30" s="39" t="s">
        <v>750</v>
      </c>
      <c r="U30" s="39" t="s">
        <v>750</v>
      </c>
      <c r="V30" s="39" t="s">
        <v>750</v>
      </c>
      <c r="W30" s="39" t="s">
        <v>751</v>
      </c>
      <c r="X30" s="39" t="s">
        <v>751</v>
      </c>
    </row>
    <row r="31">
      <c r="A31" s="39" t="s">
        <v>739</v>
      </c>
      <c r="B31" s="39">
        <v>11591.0</v>
      </c>
      <c r="C31" s="39" t="s">
        <v>823</v>
      </c>
      <c r="D31" s="39">
        <v>7.0</v>
      </c>
      <c r="F31" s="39">
        <v>11303.0</v>
      </c>
      <c r="G31" s="39" t="s">
        <v>829</v>
      </c>
      <c r="H31" s="39">
        <v>3.0</v>
      </c>
      <c r="I31" s="39" t="s">
        <v>788</v>
      </c>
      <c r="J31" s="39" t="s">
        <v>771</v>
      </c>
      <c r="K31" s="39" t="s">
        <v>744</v>
      </c>
      <c r="L31" s="39" t="s">
        <v>830</v>
      </c>
      <c r="M31" s="39" t="s">
        <v>746</v>
      </c>
      <c r="N31" s="39" t="s">
        <v>755</v>
      </c>
      <c r="O31" s="39" t="s">
        <v>756</v>
      </c>
      <c r="P31" s="39" t="s">
        <v>755</v>
      </c>
      <c r="Q31" s="39" t="s">
        <v>756</v>
      </c>
      <c r="S31" s="39" t="s">
        <v>750</v>
      </c>
      <c r="T31" s="39" t="s">
        <v>750</v>
      </c>
      <c r="U31" s="39" t="s">
        <v>750</v>
      </c>
      <c r="V31" s="39" t="s">
        <v>750</v>
      </c>
      <c r="W31" s="39" t="s">
        <v>751</v>
      </c>
      <c r="X31" s="39" t="s">
        <v>751</v>
      </c>
    </row>
    <row r="32">
      <c r="A32" s="39" t="s">
        <v>739</v>
      </c>
      <c r="B32" s="39">
        <v>11591.0</v>
      </c>
      <c r="C32" s="39" t="s">
        <v>823</v>
      </c>
      <c r="D32" s="39">
        <v>7.0</v>
      </c>
      <c r="F32" s="39">
        <v>11301.0</v>
      </c>
      <c r="G32" s="39" t="s">
        <v>831</v>
      </c>
      <c r="H32" s="39">
        <v>4.0</v>
      </c>
      <c r="I32" s="39" t="s">
        <v>753</v>
      </c>
      <c r="J32" s="39" t="s">
        <v>754</v>
      </c>
      <c r="K32" s="39" t="s">
        <v>744</v>
      </c>
      <c r="L32" s="39" t="s">
        <v>825</v>
      </c>
      <c r="M32" s="39" t="s">
        <v>805</v>
      </c>
      <c r="N32" s="39" t="s">
        <v>755</v>
      </c>
      <c r="O32" s="39" t="s">
        <v>756</v>
      </c>
      <c r="P32" s="39" t="s">
        <v>755</v>
      </c>
      <c r="Q32" s="39" t="s">
        <v>756</v>
      </c>
      <c r="S32" s="39" t="s">
        <v>750</v>
      </c>
      <c r="T32" s="39" t="s">
        <v>750</v>
      </c>
      <c r="U32" s="39" t="s">
        <v>750</v>
      </c>
      <c r="V32" s="39" t="s">
        <v>750</v>
      </c>
      <c r="W32" s="39" t="s">
        <v>750</v>
      </c>
      <c r="X32" s="39" t="s">
        <v>750</v>
      </c>
    </row>
    <row r="33">
      <c r="A33" s="39" t="s">
        <v>739</v>
      </c>
      <c r="B33" s="39">
        <v>11591.0</v>
      </c>
      <c r="C33" s="39" t="s">
        <v>823</v>
      </c>
      <c r="D33" s="39">
        <v>7.0</v>
      </c>
      <c r="F33" s="39">
        <v>11438.0</v>
      </c>
      <c r="G33" s="39" t="s">
        <v>832</v>
      </c>
      <c r="H33" s="39">
        <v>5.0</v>
      </c>
      <c r="I33" s="39" t="s">
        <v>767</v>
      </c>
      <c r="K33" s="39" t="s">
        <v>744</v>
      </c>
      <c r="L33" s="39">
        <v>3.145743612E9</v>
      </c>
      <c r="M33" s="39" t="s">
        <v>746</v>
      </c>
      <c r="N33" s="39" t="s">
        <v>755</v>
      </c>
      <c r="O33" s="39" t="s">
        <v>756</v>
      </c>
      <c r="P33" s="39" t="s">
        <v>755</v>
      </c>
      <c r="Q33" s="39" t="s">
        <v>756</v>
      </c>
      <c r="S33" s="39" t="s">
        <v>750</v>
      </c>
      <c r="T33" s="39" t="s">
        <v>750</v>
      </c>
      <c r="U33" s="39" t="s">
        <v>750</v>
      </c>
      <c r="V33" s="39" t="s">
        <v>750</v>
      </c>
      <c r="W33" s="39" t="s">
        <v>751</v>
      </c>
      <c r="X33" s="39" t="s">
        <v>750</v>
      </c>
    </row>
    <row r="34">
      <c r="A34" s="39" t="s">
        <v>739</v>
      </c>
      <c r="B34" s="39">
        <v>12011.0</v>
      </c>
      <c r="C34" s="39" t="s">
        <v>833</v>
      </c>
      <c r="D34" s="39">
        <v>6.0</v>
      </c>
      <c r="F34" s="39">
        <v>953.0</v>
      </c>
      <c r="G34" s="39" t="s">
        <v>834</v>
      </c>
      <c r="H34" s="39">
        <v>1.0</v>
      </c>
      <c r="I34" s="39" t="s">
        <v>742</v>
      </c>
      <c r="J34" s="39" t="s">
        <v>743</v>
      </c>
      <c r="K34" s="39" t="s">
        <v>744</v>
      </c>
      <c r="L34" s="39" t="s">
        <v>835</v>
      </c>
      <c r="M34" s="39" t="s">
        <v>746</v>
      </c>
      <c r="N34" s="39" t="s">
        <v>836</v>
      </c>
      <c r="O34" s="39" t="s">
        <v>748</v>
      </c>
      <c r="P34" s="39">
        <v>3.143690172E9</v>
      </c>
      <c r="Q34" s="39" t="s">
        <v>756</v>
      </c>
      <c r="R34" s="39" t="s">
        <v>837</v>
      </c>
      <c r="S34" s="39" t="s">
        <v>750</v>
      </c>
      <c r="T34" s="39" t="s">
        <v>751</v>
      </c>
      <c r="U34" s="39" t="s">
        <v>751</v>
      </c>
      <c r="V34" s="39" t="s">
        <v>750</v>
      </c>
      <c r="W34" s="39" t="s">
        <v>751</v>
      </c>
      <c r="X34" s="39" t="s">
        <v>751</v>
      </c>
    </row>
    <row r="35">
      <c r="A35" s="39" t="s">
        <v>739</v>
      </c>
      <c r="B35" s="39">
        <v>12011.0</v>
      </c>
      <c r="C35" s="39" t="s">
        <v>833</v>
      </c>
      <c r="D35" s="39">
        <v>6.0</v>
      </c>
      <c r="F35" s="39">
        <v>17302.0</v>
      </c>
      <c r="G35" s="39" t="s">
        <v>838</v>
      </c>
      <c r="H35" s="39">
        <v>2.0</v>
      </c>
      <c r="I35" s="39" t="s">
        <v>775</v>
      </c>
      <c r="J35" s="39" t="s">
        <v>768</v>
      </c>
      <c r="K35" s="39" t="s">
        <v>744</v>
      </c>
      <c r="L35" s="39" t="s">
        <v>836</v>
      </c>
      <c r="M35" s="39" t="s">
        <v>748</v>
      </c>
      <c r="N35" s="39" t="s">
        <v>755</v>
      </c>
      <c r="O35" s="39" t="s">
        <v>756</v>
      </c>
      <c r="P35" s="39" t="s">
        <v>755</v>
      </c>
      <c r="Q35" s="39" t="s">
        <v>756</v>
      </c>
      <c r="S35" s="39" t="s">
        <v>750</v>
      </c>
      <c r="T35" s="39" t="s">
        <v>750</v>
      </c>
      <c r="U35" s="39" t="s">
        <v>750</v>
      </c>
      <c r="V35" s="39" t="s">
        <v>751</v>
      </c>
      <c r="W35" s="39" t="s">
        <v>751</v>
      </c>
      <c r="X35" s="39" t="s">
        <v>751</v>
      </c>
    </row>
    <row r="36">
      <c r="A36" s="39" t="s">
        <v>739</v>
      </c>
      <c r="B36" s="39">
        <v>12011.0</v>
      </c>
      <c r="C36" s="39" t="s">
        <v>833</v>
      </c>
      <c r="D36" s="39">
        <v>6.0</v>
      </c>
      <c r="F36" s="39">
        <v>17303.0</v>
      </c>
      <c r="G36" s="39" t="s">
        <v>798</v>
      </c>
      <c r="H36" s="39">
        <v>3.0</v>
      </c>
      <c r="I36" s="39" t="s">
        <v>775</v>
      </c>
      <c r="J36" s="39" t="s">
        <v>771</v>
      </c>
      <c r="K36" s="39" t="s">
        <v>744</v>
      </c>
      <c r="L36" s="39" t="s">
        <v>796</v>
      </c>
      <c r="M36" s="39" t="s">
        <v>746</v>
      </c>
      <c r="N36" s="39" t="s">
        <v>755</v>
      </c>
      <c r="O36" s="39" t="s">
        <v>756</v>
      </c>
      <c r="P36" s="39" t="s">
        <v>755</v>
      </c>
      <c r="Q36" s="39" t="s">
        <v>756</v>
      </c>
      <c r="R36" s="39" t="s">
        <v>799</v>
      </c>
      <c r="S36" s="39" t="s">
        <v>750</v>
      </c>
      <c r="T36" s="39" t="s">
        <v>750</v>
      </c>
      <c r="U36" s="39" t="s">
        <v>751</v>
      </c>
      <c r="V36" s="39" t="s">
        <v>750</v>
      </c>
      <c r="W36" s="39" t="s">
        <v>751</v>
      </c>
      <c r="X36" s="39" t="s">
        <v>751</v>
      </c>
    </row>
    <row r="37">
      <c r="A37" s="39" t="s">
        <v>739</v>
      </c>
      <c r="B37" s="39">
        <v>12011.0</v>
      </c>
      <c r="C37" s="39" t="s">
        <v>833</v>
      </c>
      <c r="D37" s="39">
        <v>6.0</v>
      </c>
      <c r="F37" s="39">
        <v>7618.0</v>
      </c>
      <c r="G37" s="39" t="s">
        <v>839</v>
      </c>
      <c r="H37" s="39">
        <v>4.0</v>
      </c>
      <c r="I37" s="39" t="s">
        <v>753</v>
      </c>
      <c r="J37" s="39" t="s">
        <v>754</v>
      </c>
      <c r="K37" s="39" t="s">
        <v>744</v>
      </c>
      <c r="L37" s="39" t="s">
        <v>840</v>
      </c>
      <c r="M37" s="39" t="s">
        <v>746</v>
      </c>
      <c r="N37" s="39" t="s">
        <v>755</v>
      </c>
      <c r="O37" s="39" t="s">
        <v>756</v>
      </c>
      <c r="P37" s="39" t="s">
        <v>755</v>
      </c>
      <c r="Q37" s="39" t="s">
        <v>756</v>
      </c>
      <c r="R37" s="39" t="s">
        <v>841</v>
      </c>
      <c r="S37" s="39" t="s">
        <v>750</v>
      </c>
      <c r="T37" s="39" t="s">
        <v>751</v>
      </c>
      <c r="U37" s="39" t="s">
        <v>750</v>
      </c>
      <c r="V37" s="39" t="s">
        <v>750</v>
      </c>
      <c r="W37" s="39" t="s">
        <v>751</v>
      </c>
      <c r="X37" s="39" t="s">
        <v>751</v>
      </c>
    </row>
    <row r="38">
      <c r="A38" s="39" t="s">
        <v>739</v>
      </c>
      <c r="B38" s="39">
        <v>10961.0</v>
      </c>
      <c r="C38" s="39" t="s">
        <v>506</v>
      </c>
      <c r="D38" s="39">
        <v>8.0</v>
      </c>
      <c r="F38" s="39">
        <v>7617.0</v>
      </c>
      <c r="G38" s="39" t="s">
        <v>842</v>
      </c>
      <c r="H38" s="39">
        <v>1.0</v>
      </c>
      <c r="I38" s="39" t="s">
        <v>742</v>
      </c>
      <c r="J38" s="39" t="s">
        <v>743</v>
      </c>
      <c r="K38" s="39" t="s">
        <v>744</v>
      </c>
      <c r="L38" s="39" t="s">
        <v>835</v>
      </c>
      <c r="M38" s="39" t="s">
        <v>746</v>
      </c>
      <c r="N38" s="39" t="s">
        <v>836</v>
      </c>
      <c r="O38" s="39" t="s">
        <v>748</v>
      </c>
      <c r="P38" s="39" t="s">
        <v>755</v>
      </c>
      <c r="Q38" s="39" t="s">
        <v>756</v>
      </c>
      <c r="R38" s="39" t="s">
        <v>837</v>
      </c>
      <c r="S38" s="39" t="s">
        <v>750</v>
      </c>
      <c r="T38" s="39" t="s">
        <v>751</v>
      </c>
      <c r="U38" s="39" t="s">
        <v>751</v>
      </c>
      <c r="V38" s="39" t="s">
        <v>751</v>
      </c>
      <c r="W38" s="39" t="s">
        <v>751</v>
      </c>
      <c r="X38" s="39" t="s">
        <v>751</v>
      </c>
    </row>
    <row r="39">
      <c r="A39" s="39" t="s">
        <v>739</v>
      </c>
      <c r="B39" s="39">
        <v>10961.0</v>
      </c>
      <c r="C39" s="39" t="s">
        <v>506</v>
      </c>
      <c r="D39" s="39">
        <v>8.0</v>
      </c>
      <c r="F39" s="39">
        <v>7618.0</v>
      </c>
      <c r="G39" s="39" t="s">
        <v>839</v>
      </c>
      <c r="H39" s="39">
        <v>2.0</v>
      </c>
      <c r="I39" s="39" t="s">
        <v>753</v>
      </c>
      <c r="J39" s="39" t="s">
        <v>754</v>
      </c>
      <c r="K39" s="39" t="s">
        <v>744</v>
      </c>
      <c r="L39" s="39" t="s">
        <v>840</v>
      </c>
      <c r="M39" s="39" t="s">
        <v>746</v>
      </c>
      <c r="N39" s="39" t="s">
        <v>755</v>
      </c>
      <c r="O39" s="39" t="s">
        <v>756</v>
      </c>
      <c r="P39" s="39" t="s">
        <v>755</v>
      </c>
      <c r="Q39" s="39" t="s">
        <v>756</v>
      </c>
      <c r="R39" s="39" t="s">
        <v>841</v>
      </c>
      <c r="S39" s="39" t="s">
        <v>750</v>
      </c>
      <c r="T39" s="39" t="s">
        <v>751</v>
      </c>
      <c r="U39" s="39" t="s">
        <v>750</v>
      </c>
      <c r="V39" s="39" t="s">
        <v>751</v>
      </c>
      <c r="W39" s="39" t="s">
        <v>751</v>
      </c>
      <c r="X39" s="39" t="s">
        <v>751</v>
      </c>
    </row>
    <row r="40">
      <c r="A40" s="39" t="s">
        <v>739</v>
      </c>
      <c r="B40" s="39">
        <v>10961.0</v>
      </c>
      <c r="C40" s="39" t="s">
        <v>506</v>
      </c>
      <c r="D40" s="39">
        <v>8.0</v>
      </c>
      <c r="F40" s="39">
        <v>953.0</v>
      </c>
      <c r="G40" s="39" t="s">
        <v>834</v>
      </c>
      <c r="H40" s="39">
        <v>3.0</v>
      </c>
      <c r="I40" s="39" t="s">
        <v>756</v>
      </c>
      <c r="K40" s="39" t="s">
        <v>744</v>
      </c>
      <c r="L40" s="39" t="s">
        <v>835</v>
      </c>
      <c r="M40" s="39" t="s">
        <v>746</v>
      </c>
      <c r="N40" s="39" t="s">
        <v>836</v>
      </c>
      <c r="O40" s="39" t="s">
        <v>748</v>
      </c>
      <c r="P40" s="39">
        <v>3.143690172E9</v>
      </c>
      <c r="Q40" s="39" t="s">
        <v>756</v>
      </c>
      <c r="R40" s="39" t="s">
        <v>837</v>
      </c>
      <c r="S40" s="39" t="s">
        <v>751</v>
      </c>
      <c r="T40" s="39" t="s">
        <v>750</v>
      </c>
      <c r="U40" s="39" t="s">
        <v>750</v>
      </c>
      <c r="V40" s="39" t="s">
        <v>750</v>
      </c>
      <c r="W40" s="39" t="s">
        <v>750</v>
      </c>
      <c r="X40" s="39" t="s">
        <v>750</v>
      </c>
    </row>
    <row r="41">
      <c r="A41" s="39" t="s">
        <v>739</v>
      </c>
      <c r="B41" s="39">
        <v>11597.0</v>
      </c>
      <c r="C41" s="39" t="s">
        <v>843</v>
      </c>
      <c r="D41" s="39">
        <v>7.0</v>
      </c>
      <c r="F41" s="39">
        <v>11314.0</v>
      </c>
      <c r="G41" s="39" t="s">
        <v>844</v>
      </c>
      <c r="H41" s="39">
        <v>1.0</v>
      </c>
      <c r="I41" s="39" t="s">
        <v>788</v>
      </c>
      <c r="J41" s="39" t="s">
        <v>803</v>
      </c>
      <c r="K41" s="39" t="s">
        <v>744</v>
      </c>
      <c r="L41" s="39" t="s">
        <v>845</v>
      </c>
      <c r="M41" s="39" t="s">
        <v>748</v>
      </c>
      <c r="N41" s="39" t="s">
        <v>755</v>
      </c>
      <c r="O41" s="39" t="s">
        <v>756</v>
      </c>
      <c r="P41" s="39" t="s">
        <v>755</v>
      </c>
      <c r="Q41" s="39" t="s">
        <v>756</v>
      </c>
      <c r="R41" s="39" t="s">
        <v>846</v>
      </c>
      <c r="S41" s="39" t="s">
        <v>750</v>
      </c>
      <c r="T41" s="39" t="s">
        <v>751</v>
      </c>
      <c r="U41" s="39" t="s">
        <v>751</v>
      </c>
      <c r="V41" s="39" t="s">
        <v>751</v>
      </c>
      <c r="W41" s="39" t="s">
        <v>751</v>
      </c>
      <c r="X41" s="39" t="s">
        <v>751</v>
      </c>
    </row>
    <row r="42">
      <c r="A42" s="39" t="s">
        <v>739</v>
      </c>
      <c r="B42" s="39">
        <v>11597.0</v>
      </c>
      <c r="C42" s="39" t="s">
        <v>843</v>
      </c>
      <c r="D42" s="39">
        <v>7.0</v>
      </c>
      <c r="F42" s="39">
        <v>11315.0</v>
      </c>
      <c r="G42" s="39" t="s">
        <v>847</v>
      </c>
      <c r="H42" s="39">
        <v>2.0</v>
      </c>
      <c r="I42" s="39" t="s">
        <v>788</v>
      </c>
      <c r="J42" s="39" t="s">
        <v>768</v>
      </c>
      <c r="K42" s="39" t="s">
        <v>744</v>
      </c>
      <c r="L42" s="39" t="s">
        <v>848</v>
      </c>
      <c r="M42" s="39" t="s">
        <v>748</v>
      </c>
      <c r="N42" s="39">
        <v>3.149153059E9</v>
      </c>
      <c r="O42" s="39" t="s">
        <v>746</v>
      </c>
      <c r="P42" s="39" t="s">
        <v>755</v>
      </c>
      <c r="Q42" s="39" t="s">
        <v>756</v>
      </c>
      <c r="R42" s="39" t="s">
        <v>849</v>
      </c>
      <c r="S42" s="39" t="s">
        <v>750</v>
      </c>
      <c r="T42" s="39" t="s">
        <v>750</v>
      </c>
      <c r="U42" s="39" t="s">
        <v>751</v>
      </c>
      <c r="V42" s="39" t="s">
        <v>751</v>
      </c>
      <c r="W42" s="39" t="s">
        <v>751</v>
      </c>
      <c r="X42" s="39" t="s">
        <v>751</v>
      </c>
    </row>
    <row r="43">
      <c r="A43" s="39" t="s">
        <v>739</v>
      </c>
      <c r="B43" s="39">
        <v>11597.0</v>
      </c>
      <c r="C43" s="39" t="s">
        <v>843</v>
      </c>
      <c r="D43" s="39">
        <v>7.0</v>
      </c>
      <c r="F43" s="39">
        <v>11317.0</v>
      </c>
      <c r="G43" s="39" t="s">
        <v>850</v>
      </c>
      <c r="H43" s="39">
        <v>3.0</v>
      </c>
      <c r="I43" s="39" t="s">
        <v>758</v>
      </c>
      <c r="J43" s="39" t="s">
        <v>771</v>
      </c>
      <c r="K43" s="39" t="s">
        <v>744</v>
      </c>
      <c r="L43" s="39" t="s">
        <v>851</v>
      </c>
      <c r="M43" s="39" t="s">
        <v>746</v>
      </c>
      <c r="N43" s="39" t="s">
        <v>755</v>
      </c>
      <c r="O43" s="39" t="s">
        <v>756</v>
      </c>
      <c r="P43" s="39" t="s">
        <v>755</v>
      </c>
      <c r="Q43" s="39" t="s">
        <v>756</v>
      </c>
      <c r="R43" s="39" t="s">
        <v>852</v>
      </c>
      <c r="S43" s="39" t="s">
        <v>750</v>
      </c>
      <c r="T43" s="39" t="s">
        <v>750</v>
      </c>
      <c r="U43" s="39" t="s">
        <v>750</v>
      </c>
      <c r="V43" s="39" t="s">
        <v>750</v>
      </c>
      <c r="W43" s="39" t="s">
        <v>751</v>
      </c>
      <c r="X43" s="39" t="s">
        <v>751</v>
      </c>
    </row>
    <row r="44">
      <c r="A44" s="39" t="s">
        <v>739</v>
      </c>
      <c r="B44" s="39">
        <v>11597.0</v>
      </c>
      <c r="C44" s="39" t="s">
        <v>843</v>
      </c>
      <c r="D44" s="39">
        <v>7.0</v>
      </c>
      <c r="F44" s="39">
        <v>11316.0</v>
      </c>
      <c r="G44" s="39" t="s">
        <v>853</v>
      </c>
      <c r="H44" s="39">
        <v>4.0</v>
      </c>
      <c r="I44" s="39" t="s">
        <v>854</v>
      </c>
      <c r="K44" s="39" t="s">
        <v>744</v>
      </c>
      <c r="L44" s="39">
        <v>3.14240166E9</v>
      </c>
      <c r="M44" s="39" t="s">
        <v>746</v>
      </c>
      <c r="N44" s="39" t="s">
        <v>755</v>
      </c>
      <c r="O44" s="39" t="s">
        <v>756</v>
      </c>
      <c r="P44" s="39" t="s">
        <v>755</v>
      </c>
      <c r="Q44" s="39" t="s">
        <v>756</v>
      </c>
      <c r="R44" s="39" t="s">
        <v>855</v>
      </c>
      <c r="S44" s="39" t="s">
        <v>750</v>
      </c>
      <c r="T44" s="39" t="s">
        <v>750</v>
      </c>
      <c r="U44" s="39" t="s">
        <v>750</v>
      </c>
      <c r="V44" s="39" t="s">
        <v>750</v>
      </c>
      <c r="W44" s="39" t="s">
        <v>751</v>
      </c>
      <c r="X44" s="39" t="s">
        <v>751</v>
      </c>
    </row>
    <row r="45">
      <c r="A45" s="39" t="s">
        <v>739</v>
      </c>
      <c r="B45" s="39">
        <v>11597.0</v>
      </c>
      <c r="C45" s="39" t="s">
        <v>843</v>
      </c>
      <c r="D45" s="39">
        <v>7.0</v>
      </c>
      <c r="F45" s="39">
        <v>13433.0</v>
      </c>
      <c r="G45" s="39" t="s">
        <v>844</v>
      </c>
      <c r="H45" s="39">
        <v>5.0</v>
      </c>
      <c r="I45" s="39" t="s">
        <v>756</v>
      </c>
      <c r="K45" s="39" t="s">
        <v>744</v>
      </c>
      <c r="L45" s="39">
        <v>3.148739303E9</v>
      </c>
      <c r="M45" s="39" t="s">
        <v>805</v>
      </c>
      <c r="N45" s="39" t="s">
        <v>755</v>
      </c>
      <c r="O45" s="39" t="s">
        <v>756</v>
      </c>
      <c r="P45" s="39" t="s">
        <v>755</v>
      </c>
      <c r="Q45" s="39" t="s">
        <v>756</v>
      </c>
      <c r="R45" s="39" t="s">
        <v>846</v>
      </c>
      <c r="S45" s="39" t="s">
        <v>750</v>
      </c>
      <c r="T45" s="39" t="s">
        <v>750</v>
      </c>
      <c r="U45" s="39" t="s">
        <v>750</v>
      </c>
      <c r="V45" s="39" t="s">
        <v>750</v>
      </c>
      <c r="W45" s="39" t="s">
        <v>750</v>
      </c>
      <c r="X45" s="39" t="s">
        <v>750</v>
      </c>
    </row>
    <row r="46">
      <c r="A46" s="39" t="s">
        <v>739</v>
      </c>
      <c r="B46" s="39">
        <v>11597.0</v>
      </c>
      <c r="C46" s="39" t="s">
        <v>843</v>
      </c>
      <c r="D46" s="39">
        <v>7.0</v>
      </c>
      <c r="F46" s="39">
        <v>14559.0</v>
      </c>
      <c r="G46" s="39" t="s">
        <v>844</v>
      </c>
      <c r="H46" s="39">
        <v>6.0</v>
      </c>
      <c r="I46" s="39" t="s">
        <v>756</v>
      </c>
      <c r="K46" s="39" t="s">
        <v>744</v>
      </c>
      <c r="L46" s="39" t="s">
        <v>755</v>
      </c>
      <c r="M46" s="39" t="s">
        <v>756</v>
      </c>
      <c r="N46" s="39" t="s">
        <v>755</v>
      </c>
      <c r="O46" s="39" t="s">
        <v>756</v>
      </c>
      <c r="P46" s="39" t="s">
        <v>755</v>
      </c>
      <c r="Q46" s="39" t="s">
        <v>756</v>
      </c>
      <c r="S46" s="39" t="s">
        <v>751</v>
      </c>
      <c r="T46" s="39" t="s">
        <v>750</v>
      </c>
      <c r="U46" s="39" t="s">
        <v>750</v>
      </c>
      <c r="V46" s="39" t="s">
        <v>750</v>
      </c>
      <c r="W46" s="39" t="s">
        <v>750</v>
      </c>
      <c r="X46" s="39" t="s">
        <v>750</v>
      </c>
    </row>
    <row r="47">
      <c r="A47" s="39" t="s">
        <v>739</v>
      </c>
      <c r="B47" s="39">
        <v>11597.0</v>
      </c>
      <c r="C47" s="39" t="s">
        <v>843</v>
      </c>
      <c r="D47" s="39">
        <v>7.0</v>
      </c>
      <c r="F47" s="39">
        <v>14568.0</v>
      </c>
      <c r="G47" s="39" t="s">
        <v>844</v>
      </c>
      <c r="H47" s="39">
        <v>7.0</v>
      </c>
      <c r="I47" s="39" t="s">
        <v>756</v>
      </c>
      <c r="K47" s="39" t="s">
        <v>744</v>
      </c>
      <c r="L47" s="39" t="s">
        <v>755</v>
      </c>
      <c r="M47" s="39" t="s">
        <v>756</v>
      </c>
      <c r="N47" s="39" t="s">
        <v>755</v>
      </c>
      <c r="O47" s="39" t="s">
        <v>756</v>
      </c>
      <c r="P47" s="39" t="s">
        <v>755</v>
      </c>
      <c r="Q47" s="39" t="s">
        <v>756</v>
      </c>
      <c r="S47" s="39" t="s">
        <v>751</v>
      </c>
      <c r="T47" s="39" t="s">
        <v>750</v>
      </c>
      <c r="U47" s="39" t="s">
        <v>750</v>
      </c>
      <c r="V47" s="39" t="s">
        <v>750</v>
      </c>
      <c r="W47" s="39" t="s">
        <v>750</v>
      </c>
      <c r="X47" s="39" t="s">
        <v>750</v>
      </c>
    </row>
    <row r="48">
      <c r="A48" s="39" t="s">
        <v>739</v>
      </c>
      <c r="B48" s="39">
        <v>11596.0</v>
      </c>
      <c r="C48" s="39" t="s">
        <v>856</v>
      </c>
      <c r="D48" s="39">
        <v>7.0</v>
      </c>
      <c r="F48" s="39">
        <v>11314.0</v>
      </c>
      <c r="G48" s="39" t="s">
        <v>844</v>
      </c>
      <c r="H48" s="39">
        <v>1.0</v>
      </c>
      <c r="I48" s="39" t="s">
        <v>788</v>
      </c>
      <c r="J48" s="39" t="s">
        <v>803</v>
      </c>
      <c r="K48" s="39" t="s">
        <v>744</v>
      </c>
      <c r="L48" s="39" t="s">
        <v>845</v>
      </c>
      <c r="M48" s="39" t="s">
        <v>748</v>
      </c>
      <c r="N48" s="39" t="s">
        <v>755</v>
      </c>
      <c r="O48" s="39" t="s">
        <v>756</v>
      </c>
      <c r="P48" s="39" t="s">
        <v>755</v>
      </c>
      <c r="Q48" s="39" t="s">
        <v>756</v>
      </c>
      <c r="R48" s="39" t="s">
        <v>846</v>
      </c>
      <c r="S48" s="39" t="s">
        <v>750</v>
      </c>
      <c r="T48" s="39" t="s">
        <v>751</v>
      </c>
      <c r="U48" s="39" t="s">
        <v>751</v>
      </c>
      <c r="V48" s="39" t="s">
        <v>751</v>
      </c>
      <c r="W48" s="39" t="s">
        <v>751</v>
      </c>
      <c r="X48" s="39" t="s">
        <v>751</v>
      </c>
    </row>
    <row r="49">
      <c r="A49" s="39" t="s">
        <v>739</v>
      </c>
      <c r="B49" s="39">
        <v>11596.0</v>
      </c>
      <c r="C49" s="39" t="s">
        <v>856</v>
      </c>
      <c r="D49" s="39">
        <v>7.0</v>
      </c>
      <c r="F49" s="39">
        <v>11315.0</v>
      </c>
      <c r="G49" s="39" t="s">
        <v>847</v>
      </c>
      <c r="H49" s="39">
        <v>2.0</v>
      </c>
      <c r="I49" s="39" t="s">
        <v>788</v>
      </c>
      <c r="J49" s="39" t="s">
        <v>768</v>
      </c>
      <c r="K49" s="39" t="s">
        <v>744</v>
      </c>
      <c r="L49" s="39" t="s">
        <v>848</v>
      </c>
      <c r="M49" s="39" t="s">
        <v>748</v>
      </c>
      <c r="N49" s="39">
        <v>3.149153059E9</v>
      </c>
      <c r="O49" s="39" t="s">
        <v>746</v>
      </c>
      <c r="P49" s="39" t="s">
        <v>755</v>
      </c>
      <c r="Q49" s="39" t="s">
        <v>756</v>
      </c>
      <c r="R49" s="39" t="s">
        <v>849</v>
      </c>
      <c r="S49" s="39" t="s">
        <v>750</v>
      </c>
      <c r="T49" s="39" t="s">
        <v>750</v>
      </c>
      <c r="U49" s="39" t="s">
        <v>751</v>
      </c>
      <c r="V49" s="39" t="s">
        <v>751</v>
      </c>
      <c r="W49" s="39" t="s">
        <v>751</v>
      </c>
      <c r="X49" s="39" t="s">
        <v>751</v>
      </c>
    </row>
    <row r="50">
      <c r="A50" s="39" t="s">
        <v>739</v>
      </c>
      <c r="B50" s="39">
        <v>11596.0</v>
      </c>
      <c r="C50" s="39" t="s">
        <v>856</v>
      </c>
      <c r="D50" s="39">
        <v>7.0</v>
      </c>
      <c r="F50" s="39">
        <v>11317.0</v>
      </c>
      <c r="G50" s="39" t="s">
        <v>850</v>
      </c>
      <c r="H50" s="39">
        <v>3.0</v>
      </c>
      <c r="I50" s="39" t="s">
        <v>758</v>
      </c>
      <c r="J50" s="39" t="s">
        <v>771</v>
      </c>
      <c r="K50" s="39" t="s">
        <v>744</v>
      </c>
      <c r="L50" s="39" t="s">
        <v>851</v>
      </c>
      <c r="M50" s="39" t="s">
        <v>746</v>
      </c>
      <c r="N50" s="39" t="s">
        <v>755</v>
      </c>
      <c r="O50" s="39" t="s">
        <v>756</v>
      </c>
      <c r="P50" s="39" t="s">
        <v>755</v>
      </c>
      <c r="Q50" s="39" t="s">
        <v>756</v>
      </c>
      <c r="R50" s="39" t="s">
        <v>852</v>
      </c>
      <c r="S50" s="39" t="s">
        <v>750</v>
      </c>
      <c r="T50" s="39" t="s">
        <v>750</v>
      </c>
      <c r="U50" s="39" t="s">
        <v>750</v>
      </c>
      <c r="V50" s="39" t="s">
        <v>750</v>
      </c>
      <c r="W50" s="39" t="s">
        <v>751</v>
      </c>
      <c r="X50" s="39" t="s">
        <v>751</v>
      </c>
    </row>
    <row r="51">
      <c r="A51" s="39" t="s">
        <v>739</v>
      </c>
      <c r="B51" s="39">
        <v>11596.0</v>
      </c>
      <c r="C51" s="39" t="s">
        <v>856</v>
      </c>
      <c r="D51" s="39">
        <v>7.0</v>
      </c>
      <c r="F51" s="39">
        <v>11316.0</v>
      </c>
      <c r="G51" s="39" t="s">
        <v>853</v>
      </c>
      <c r="H51" s="39">
        <v>4.0</v>
      </c>
      <c r="I51" s="39" t="s">
        <v>854</v>
      </c>
      <c r="K51" s="39" t="s">
        <v>744</v>
      </c>
      <c r="L51" s="39">
        <v>3.14240166E9</v>
      </c>
      <c r="M51" s="39" t="s">
        <v>746</v>
      </c>
      <c r="N51" s="39" t="s">
        <v>755</v>
      </c>
      <c r="O51" s="39" t="s">
        <v>756</v>
      </c>
      <c r="P51" s="39" t="s">
        <v>755</v>
      </c>
      <c r="Q51" s="39" t="s">
        <v>756</v>
      </c>
      <c r="R51" s="39" t="s">
        <v>855</v>
      </c>
      <c r="S51" s="39" t="s">
        <v>750</v>
      </c>
      <c r="T51" s="39" t="s">
        <v>750</v>
      </c>
      <c r="U51" s="39" t="s">
        <v>750</v>
      </c>
      <c r="V51" s="39" t="s">
        <v>750</v>
      </c>
      <c r="W51" s="39" t="s">
        <v>751</v>
      </c>
      <c r="X51" s="39" t="s">
        <v>751</v>
      </c>
    </row>
    <row r="52">
      <c r="A52" s="39" t="s">
        <v>739</v>
      </c>
      <c r="B52" s="39">
        <v>11596.0</v>
      </c>
      <c r="C52" s="39" t="s">
        <v>856</v>
      </c>
      <c r="D52" s="39">
        <v>7.0</v>
      </c>
      <c r="F52" s="39">
        <v>13431.0</v>
      </c>
      <c r="G52" s="39" t="s">
        <v>844</v>
      </c>
      <c r="H52" s="39">
        <v>5.0</v>
      </c>
      <c r="I52" s="39" t="s">
        <v>756</v>
      </c>
      <c r="K52" s="39" t="s">
        <v>744</v>
      </c>
      <c r="L52" s="39">
        <v>3.148739303E9</v>
      </c>
      <c r="M52" s="39" t="s">
        <v>805</v>
      </c>
      <c r="N52" s="39" t="s">
        <v>755</v>
      </c>
      <c r="O52" s="39" t="s">
        <v>756</v>
      </c>
      <c r="P52" s="39" t="s">
        <v>755</v>
      </c>
      <c r="Q52" s="39" t="s">
        <v>756</v>
      </c>
      <c r="R52" s="39" t="s">
        <v>846</v>
      </c>
      <c r="S52" s="39" t="s">
        <v>750</v>
      </c>
      <c r="T52" s="39" t="s">
        <v>750</v>
      </c>
      <c r="U52" s="39" t="s">
        <v>750</v>
      </c>
      <c r="V52" s="39" t="s">
        <v>750</v>
      </c>
      <c r="W52" s="39" t="s">
        <v>750</v>
      </c>
      <c r="X52" s="39" t="s">
        <v>750</v>
      </c>
    </row>
    <row r="53">
      <c r="A53" s="39" t="s">
        <v>739</v>
      </c>
      <c r="B53" s="39">
        <v>11596.0</v>
      </c>
      <c r="C53" s="39" t="s">
        <v>856</v>
      </c>
      <c r="D53" s="39">
        <v>7.0</v>
      </c>
      <c r="F53" s="39">
        <v>14559.0</v>
      </c>
      <c r="G53" s="39" t="s">
        <v>844</v>
      </c>
      <c r="H53" s="39">
        <v>6.0</v>
      </c>
      <c r="I53" s="39" t="s">
        <v>756</v>
      </c>
      <c r="K53" s="39" t="s">
        <v>744</v>
      </c>
      <c r="L53" s="39" t="s">
        <v>755</v>
      </c>
      <c r="M53" s="39" t="s">
        <v>756</v>
      </c>
      <c r="N53" s="39" t="s">
        <v>755</v>
      </c>
      <c r="O53" s="39" t="s">
        <v>756</v>
      </c>
      <c r="P53" s="39" t="s">
        <v>755</v>
      </c>
      <c r="Q53" s="39" t="s">
        <v>756</v>
      </c>
      <c r="S53" s="39" t="s">
        <v>751</v>
      </c>
      <c r="T53" s="39" t="s">
        <v>750</v>
      </c>
      <c r="U53" s="39" t="s">
        <v>750</v>
      </c>
      <c r="V53" s="39" t="s">
        <v>750</v>
      </c>
      <c r="W53" s="39" t="s">
        <v>750</v>
      </c>
      <c r="X53" s="39" t="s">
        <v>750</v>
      </c>
    </row>
    <row r="54">
      <c r="A54" s="39" t="s">
        <v>739</v>
      </c>
      <c r="B54" s="39">
        <v>11596.0</v>
      </c>
      <c r="C54" s="39" t="s">
        <v>856</v>
      </c>
      <c r="D54" s="39">
        <v>7.0</v>
      </c>
      <c r="F54" s="39">
        <v>14568.0</v>
      </c>
      <c r="G54" s="39" t="s">
        <v>844</v>
      </c>
      <c r="H54" s="39">
        <v>7.0</v>
      </c>
      <c r="I54" s="39" t="s">
        <v>756</v>
      </c>
      <c r="K54" s="39" t="s">
        <v>744</v>
      </c>
      <c r="L54" s="39" t="s">
        <v>755</v>
      </c>
      <c r="M54" s="39" t="s">
        <v>756</v>
      </c>
      <c r="N54" s="39" t="s">
        <v>755</v>
      </c>
      <c r="O54" s="39" t="s">
        <v>756</v>
      </c>
      <c r="P54" s="39" t="s">
        <v>755</v>
      </c>
      <c r="Q54" s="39" t="s">
        <v>756</v>
      </c>
      <c r="S54" s="39" t="s">
        <v>751</v>
      </c>
      <c r="T54" s="39" t="s">
        <v>750</v>
      </c>
      <c r="U54" s="39" t="s">
        <v>750</v>
      </c>
      <c r="V54" s="39" t="s">
        <v>750</v>
      </c>
      <c r="W54" s="39" t="s">
        <v>750</v>
      </c>
      <c r="X54" s="39" t="s">
        <v>750</v>
      </c>
    </row>
    <row r="55">
      <c r="A55" s="39" t="s">
        <v>739</v>
      </c>
      <c r="B55" s="39">
        <v>11984.0</v>
      </c>
      <c r="C55" s="39" t="s">
        <v>857</v>
      </c>
      <c r="D55" s="39">
        <v>5.0</v>
      </c>
      <c r="F55" s="39">
        <v>7658.0</v>
      </c>
      <c r="G55" s="39" t="s">
        <v>858</v>
      </c>
      <c r="H55" s="39">
        <v>1.0</v>
      </c>
      <c r="I55" s="39" t="s">
        <v>742</v>
      </c>
      <c r="J55" s="39" t="s">
        <v>743</v>
      </c>
      <c r="K55" s="39" t="s">
        <v>744</v>
      </c>
      <c r="L55" s="39" t="s">
        <v>859</v>
      </c>
      <c r="M55" s="39" t="s">
        <v>746</v>
      </c>
      <c r="N55" s="39" t="s">
        <v>860</v>
      </c>
      <c r="O55" s="39" t="s">
        <v>748</v>
      </c>
      <c r="P55" s="39" t="s">
        <v>755</v>
      </c>
      <c r="Q55" s="39" t="s">
        <v>756</v>
      </c>
      <c r="R55" s="39" t="s">
        <v>861</v>
      </c>
      <c r="S55" s="39" t="s">
        <v>750</v>
      </c>
      <c r="T55" s="39" t="s">
        <v>751</v>
      </c>
      <c r="U55" s="39" t="s">
        <v>751</v>
      </c>
      <c r="V55" s="39" t="s">
        <v>750</v>
      </c>
      <c r="W55" s="39" t="s">
        <v>751</v>
      </c>
      <c r="X55" s="39" t="s">
        <v>751</v>
      </c>
    </row>
    <row r="56">
      <c r="A56" s="39" t="s">
        <v>739</v>
      </c>
      <c r="B56" s="39">
        <v>11984.0</v>
      </c>
      <c r="C56" s="39" t="s">
        <v>857</v>
      </c>
      <c r="D56" s="39">
        <v>5.0</v>
      </c>
      <c r="F56" s="39">
        <v>7659.0</v>
      </c>
      <c r="G56" s="39" t="s">
        <v>862</v>
      </c>
      <c r="H56" s="39">
        <v>2.0</v>
      </c>
      <c r="I56" s="39" t="s">
        <v>753</v>
      </c>
      <c r="J56" s="39" t="s">
        <v>754</v>
      </c>
      <c r="K56" s="39" t="s">
        <v>744</v>
      </c>
      <c r="L56" s="39" t="s">
        <v>863</v>
      </c>
      <c r="M56" s="39" t="s">
        <v>746</v>
      </c>
      <c r="N56" s="39" t="s">
        <v>864</v>
      </c>
      <c r="O56" s="39" t="s">
        <v>748</v>
      </c>
      <c r="P56" s="39" t="s">
        <v>755</v>
      </c>
      <c r="Q56" s="39" t="s">
        <v>756</v>
      </c>
      <c r="R56" s="39" t="s">
        <v>865</v>
      </c>
      <c r="S56" s="39" t="s">
        <v>750</v>
      </c>
      <c r="T56" s="39" t="s">
        <v>751</v>
      </c>
      <c r="U56" s="39" t="s">
        <v>750</v>
      </c>
      <c r="V56" s="39" t="s">
        <v>750</v>
      </c>
      <c r="W56" s="39" t="s">
        <v>751</v>
      </c>
      <c r="X56" s="39" t="s">
        <v>751</v>
      </c>
    </row>
    <row r="57">
      <c r="A57" s="39" t="s">
        <v>739</v>
      </c>
      <c r="B57" s="39">
        <v>11857.0</v>
      </c>
      <c r="C57" s="39" t="s">
        <v>866</v>
      </c>
      <c r="D57" s="39">
        <v>6.0</v>
      </c>
      <c r="F57" s="39">
        <v>16956.0</v>
      </c>
      <c r="G57" s="39" t="s">
        <v>867</v>
      </c>
      <c r="H57" s="39">
        <v>1.0</v>
      </c>
      <c r="I57" s="39" t="s">
        <v>742</v>
      </c>
      <c r="J57" s="39" t="s">
        <v>743</v>
      </c>
      <c r="K57" s="39" t="s">
        <v>744</v>
      </c>
      <c r="L57" s="39" t="s">
        <v>868</v>
      </c>
      <c r="M57" s="39" t="s">
        <v>746</v>
      </c>
      <c r="N57" s="39" t="s">
        <v>755</v>
      </c>
      <c r="O57" s="39" t="s">
        <v>756</v>
      </c>
      <c r="P57" s="39" t="s">
        <v>755</v>
      </c>
      <c r="Q57" s="39" t="s">
        <v>756</v>
      </c>
      <c r="R57" s="39" t="s">
        <v>869</v>
      </c>
      <c r="S57" s="39" t="s">
        <v>750</v>
      </c>
      <c r="T57" s="39" t="s">
        <v>751</v>
      </c>
      <c r="U57" s="39" t="s">
        <v>751</v>
      </c>
      <c r="V57" s="39" t="s">
        <v>750</v>
      </c>
      <c r="W57" s="39" t="s">
        <v>751</v>
      </c>
      <c r="X57" s="39" t="s">
        <v>751</v>
      </c>
    </row>
    <row r="58">
      <c r="A58" s="39" t="s">
        <v>739</v>
      </c>
      <c r="B58" s="39">
        <v>11857.0</v>
      </c>
      <c r="C58" s="39" t="s">
        <v>866</v>
      </c>
      <c r="D58" s="39">
        <v>6.0</v>
      </c>
      <c r="F58" s="39">
        <v>16957.0</v>
      </c>
      <c r="G58" s="39" t="s">
        <v>870</v>
      </c>
      <c r="H58" s="39">
        <v>2.0</v>
      </c>
      <c r="I58" s="39" t="s">
        <v>753</v>
      </c>
      <c r="J58" s="39" t="s">
        <v>754</v>
      </c>
      <c r="K58" s="39" t="s">
        <v>744</v>
      </c>
      <c r="L58" s="39" t="s">
        <v>871</v>
      </c>
      <c r="M58" s="39" t="s">
        <v>746</v>
      </c>
      <c r="N58" s="39" t="s">
        <v>755</v>
      </c>
      <c r="O58" s="39" t="s">
        <v>756</v>
      </c>
      <c r="P58" s="39" t="s">
        <v>755</v>
      </c>
      <c r="Q58" s="39" t="s">
        <v>756</v>
      </c>
      <c r="S58" s="39" t="s">
        <v>750</v>
      </c>
      <c r="T58" s="39" t="s">
        <v>750</v>
      </c>
      <c r="U58" s="39" t="s">
        <v>751</v>
      </c>
      <c r="V58" s="39" t="s">
        <v>750</v>
      </c>
      <c r="W58" s="39" t="s">
        <v>751</v>
      </c>
      <c r="X58" s="39" t="s">
        <v>751</v>
      </c>
    </row>
    <row r="59">
      <c r="A59" s="39" t="s">
        <v>739</v>
      </c>
      <c r="B59" s="39">
        <v>11857.0</v>
      </c>
      <c r="C59" s="39" t="s">
        <v>866</v>
      </c>
      <c r="D59" s="39">
        <v>6.0</v>
      </c>
      <c r="F59" s="39">
        <v>16958.0</v>
      </c>
      <c r="G59" s="39" t="s">
        <v>872</v>
      </c>
      <c r="H59" s="39">
        <v>3.0</v>
      </c>
      <c r="I59" s="39" t="s">
        <v>775</v>
      </c>
      <c r="J59" s="39" t="s">
        <v>768</v>
      </c>
      <c r="K59" s="39" t="s">
        <v>744</v>
      </c>
      <c r="L59" s="39" t="s">
        <v>873</v>
      </c>
      <c r="M59" s="39" t="s">
        <v>746</v>
      </c>
      <c r="N59" s="39" t="s">
        <v>755</v>
      </c>
      <c r="O59" s="39" t="s">
        <v>756</v>
      </c>
      <c r="P59" s="39" t="s">
        <v>755</v>
      </c>
      <c r="Q59" s="39" t="s">
        <v>756</v>
      </c>
      <c r="S59" s="39" t="s">
        <v>750</v>
      </c>
      <c r="T59" s="39" t="s">
        <v>750</v>
      </c>
      <c r="U59" s="39" t="s">
        <v>750</v>
      </c>
      <c r="V59" s="39" t="s">
        <v>750</v>
      </c>
      <c r="W59" s="39" t="s">
        <v>751</v>
      </c>
      <c r="X59" s="39" t="s">
        <v>751</v>
      </c>
    </row>
    <row r="60">
      <c r="A60" s="39" t="s">
        <v>739</v>
      </c>
      <c r="B60" s="39">
        <v>11748.0</v>
      </c>
      <c r="C60" s="39" t="s">
        <v>509</v>
      </c>
      <c r="D60" s="39">
        <v>8.0</v>
      </c>
      <c r="F60" s="39">
        <v>11772.0</v>
      </c>
      <c r="G60" s="39" t="s">
        <v>874</v>
      </c>
      <c r="H60" s="39">
        <v>1.0</v>
      </c>
      <c r="I60" s="39" t="s">
        <v>742</v>
      </c>
      <c r="K60" s="39" t="s">
        <v>744</v>
      </c>
      <c r="L60" s="39">
        <v>3.143564655E9</v>
      </c>
      <c r="M60" s="39" t="s">
        <v>748</v>
      </c>
      <c r="N60" s="39" t="s">
        <v>755</v>
      </c>
      <c r="O60" s="39" t="s">
        <v>756</v>
      </c>
      <c r="P60" s="39" t="s">
        <v>755</v>
      </c>
      <c r="Q60" s="39" t="s">
        <v>756</v>
      </c>
      <c r="R60" s="39" t="s">
        <v>875</v>
      </c>
      <c r="S60" s="39" t="s">
        <v>750</v>
      </c>
      <c r="T60" s="39" t="s">
        <v>751</v>
      </c>
      <c r="U60" s="39" t="s">
        <v>751</v>
      </c>
      <c r="V60" s="39" t="s">
        <v>750</v>
      </c>
      <c r="W60" s="39" t="s">
        <v>750</v>
      </c>
      <c r="X60" s="39" t="s">
        <v>751</v>
      </c>
    </row>
    <row r="61">
      <c r="A61" s="39" t="s">
        <v>739</v>
      </c>
      <c r="B61" s="39">
        <v>11748.0</v>
      </c>
      <c r="C61" s="39" t="s">
        <v>509</v>
      </c>
      <c r="D61" s="39">
        <v>8.0</v>
      </c>
      <c r="F61" s="39">
        <v>11773.0</v>
      </c>
      <c r="G61" s="39" t="s">
        <v>876</v>
      </c>
      <c r="H61" s="39">
        <v>2.0</v>
      </c>
      <c r="I61" s="39" t="s">
        <v>758</v>
      </c>
      <c r="K61" s="39" t="s">
        <v>744</v>
      </c>
      <c r="L61" s="39">
        <v>3.149420442E9</v>
      </c>
      <c r="M61" s="39" t="s">
        <v>746</v>
      </c>
      <c r="N61" s="39" t="s">
        <v>755</v>
      </c>
      <c r="O61" s="39" t="s">
        <v>756</v>
      </c>
      <c r="P61" s="39" t="s">
        <v>755</v>
      </c>
      <c r="Q61" s="39" t="s">
        <v>756</v>
      </c>
      <c r="R61" s="39" t="s">
        <v>877</v>
      </c>
      <c r="S61" s="39" t="s">
        <v>750</v>
      </c>
      <c r="T61" s="39" t="s">
        <v>750</v>
      </c>
      <c r="U61" s="39" t="s">
        <v>750</v>
      </c>
      <c r="V61" s="39" t="s">
        <v>750</v>
      </c>
      <c r="W61" s="39" t="s">
        <v>751</v>
      </c>
      <c r="X61" s="39" t="s">
        <v>751</v>
      </c>
    </row>
    <row r="62">
      <c r="A62" s="39" t="s">
        <v>739</v>
      </c>
      <c r="B62" s="39">
        <v>11748.0</v>
      </c>
      <c r="C62" s="39" t="s">
        <v>509</v>
      </c>
      <c r="D62" s="39">
        <v>8.0</v>
      </c>
      <c r="F62" s="39">
        <v>13601.0</v>
      </c>
      <c r="G62" s="39" t="s">
        <v>874</v>
      </c>
      <c r="H62" s="39">
        <v>3.0</v>
      </c>
      <c r="I62" s="39" t="s">
        <v>756</v>
      </c>
      <c r="J62" s="39" t="s">
        <v>803</v>
      </c>
      <c r="K62" s="39" t="s">
        <v>744</v>
      </c>
      <c r="L62" s="39">
        <v>3.143564655E9</v>
      </c>
      <c r="M62" s="39" t="s">
        <v>805</v>
      </c>
      <c r="N62" s="39" t="s">
        <v>755</v>
      </c>
      <c r="O62" s="39" t="s">
        <v>756</v>
      </c>
      <c r="P62" s="39" t="s">
        <v>755</v>
      </c>
      <c r="Q62" s="39" t="s">
        <v>756</v>
      </c>
      <c r="R62" s="39" t="s">
        <v>875</v>
      </c>
      <c r="S62" s="39" t="s">
        <v>750</v>
      </c>
      <c r="T62" s="39" t="s">
        <v>750</v>
      </c>
      <c r="U62" s="39" t="s">
        <v>750</v>
      </c>
      <c r="V62" s="39" t="s">
        <v>750</v>
      </c>
      <c r="W62" s="39" t="s">
        <v>750</v>
      </c>
      <c r="X62" s="39" t="s">
        <v>750</v>
      </c>
    </row>
    <row r="63">
      <c r="A63" s="39" t="s">
        <v>739</v>
      </c>
      <c r="B63" s="39">
        <v>10966.0</v>
      </c>
      <c r="C63" s="39" t="s">
        <v>512</v>
      </c>
      <c r="D63" s="39">
        <v>8.0</v>
      </c>
      <c r="F63" s="39">
        <v>7619.0</v>
      </c>
      <c r="G63" s="39" t="s">
        <v>878</v>
      </c>
      <c r="H63" s="39">
        <v>1.0</v>
      </c>
      <c r="I63" s="39" t="s">
        <v>753</v>
      </c>
      <c r="J63" s="39" t="s">
        <v>754</v>
      </c>
      <c r="K63" s="39" t="s">
        <v>744</v>
      </c>
      <c r="L63" s="39" t="s">
        <v>879</v>
      </c>
      <c r="M63" s="39" t="s">
        <v>746</v>
      </c>
      <c r="N63" s="39" t="s">
        <v>755</v>
      </c>
      <c r="O63" s="39" t="s">
        <v>756</v>
      </c>
      <c r="P63" s="39" t="s">
        <v>755</v>
      </c>
      <c r="Q63" s="39" t="s">
        <v>756</v>
      </c>
      <c r="R63" s="39" t="s">
        <v>880</v>
      </c>
      <c r="S63" s="39" t="s">
        <v>750</v>
      </c>
      <c r="T63" s="39" t="s">
        <v>751</v>
      </c>
      <c r="U63" s="39" t="s">
        <v>750</v>
      </c>
      <c r="V63" s="39" t="s">
        <v>750</v>
      </c>
      <c r="W63" s="39" t="s">
        <v>750</v>
      </c>
      <c r="X63" s="39" t="s">
        <v>750</v>
      </c>
    </row>
    <row r="64">
      <c r="A64" s="39" t="s">
        <v>739</v>
      </c>
      <c r="B64" s="39">
        <v>10966.0</v>
      </c>
      <c r="C64" s="39" t="s">
        <v>512</v>
      </c>
      <c r="D64" s="39">
        <v>8.0</v>
      </c>
      <c r="F64" s="39">
        <v>7621.0</v>
      </c>
      <c r="G64" s="39" t="s">
        <v>881</v>
      </c>
      <c r="H64" s="39">
        <v>2.0</v>
      </c>
      <c r="I64" s="39" t="s">
        <v>788</v>
      </c>
      <c r="J64" s="39" t="s">
        <v>768</v>
      </c>
      <c r="K64" s="39" t="s">
        <v>744</v>
      </c>
      <c r="L64" s="39" t="s">
        <v>882</v>
      </c>
      <c r="M64" s="39" t="s">
        <v>746</v>
      </c>
      <c r="N64" s="39" t="s">
        <v>755</v>
      </c>
      <c r="O64" s="39" t="s">
        <v>756</v>
      </c>
      <c r="P64" s="39" t="s">
        <v>755</v>
      </c>
      <c r="Q64" s="39" t="s">
        <v>756</v>
      </c>
      <c r="R64" s="39" t="s">
        <v>883</v>
      </c>
      <c r="S64" s="39" t="s">
        <v>750</v>
      </c>
      <c r="T64" s="39" t="s">
        <v>750</v>
      </c>
      <c r="U64" s="39" t="s">
        <v>751</v>
      </c>
      <c r="V64" s="39" t="s">
        <v>750</v>
      </c>
      <c r="W64" s="39" t="s">
        <v>751</v>
      </c>
      <c r="X64" s="39" t="s">
        <v>751</v>
      </c>
    </row>
    <row r="65">
      <c r="A65" s="39" t="s">
        <v>739</v>
      </c>
      <c r="B65" s="39">
        <v>10966.0</v>
      </c>
      <c r="C65" s="39" t="s">
        <v>512</v>
      </c>
      <c r="D65" s="39">
        <v>8.0</v>
      </c>
      <c r="F65" s="39">
        <v>17457.0</v>
      </c>
      <c r="G65" s="39" t="s">
        <v>884</v>
      </c>
      <c r="H65" s="39">
        <v>3.0</v>
      </c>
      <c r="I65" s="39" t="s">
        <v>775</v>
      </c>
      <c r="J65" s="39" t="s">
        <v>771</v>
      </c>
      <c r="K65" s="39" t="s">
        <v>744</v>
      </c>
      <c r="L65" s="39" t="s">
        <v>885</v>
      </c>
      <c r="M65" s="39" t="s">
        <v>746</v>
      </c>
      <c r="N65" s="39" t="s">
        <v>755</v>
      </c>
      <c r="O65" s="39" t="s">
        <v>756</v>
      </c>
      <c r="P65" s="39" t="s">
        <v>755</v>
      </c>
      <c r="Q65" s="39" t="s">
        <v>756</v>
      </c>
      <c r="S65" s="39" t="s">
        <v>750</v>
      </c>
      <c r="T65" s="39" t="s">
        <v>750</v>
      </c>
      <c r="U65" s="39" t="s">
        <v>750</v>
      </c>
      <c r="V65" s="39" t="s">
        <v>750</v>
      </c>
      <c r="W65" s="39" t="s">
        <v>751</v>
      </c>
      <c r="X65" s="39" t="s">
        <v>751</v>
      </c>
    </row>
    <row r="66">
      <c r="A66" s="39" t="s">
        <v>739</v>
      </c>
      <c r="B66" s="39">
        <v>10966.0</v>
      </c>
      <c r="C66" s="39" t="s">
        <v>512</v>
      </c>
      <c r="D66" s="39">
        <v>8.0</v>
      </c>
      <c r="F66" s="39">
        <v>7620.0</v>
      </c>
      <c r="G66" s="39" t="s">
        <v>886</v>
      </c>
      <c r="H66" s="39">
        <v>4.0</v>
      </c>
      <c r="I66" s="39" t="s">
        <v>742</v>
      </c>
      <c r="J66" s="39" t="s">
        <v>743</v>
      </c>
      <c r="K66" s="39" t="s">
        <v>744</v>
      </c>
      <c r="L66" s="39" t="s">
        <v>887</v>
      </c>
      <c r="M66" s="39" t="s">
        <v>746</v>
      </c>
      <c r="N66" s="39" t="s">
        <v>755</v>
      </c>
      <c r="O66" s="39" t="s">
        <v>756</v>
      </c>
      <c r="P66" s="39" t="s">
        <v>755</v>
      </c>
      <c r="Q66" s="39" t="s">
        <v>756</v>
      </c>
      <c r="R66" s="39" t="s">
        <v>888</v>
      </c>
      <c r="S66" s="39" t="s">
        <v>750</v>
      </c>
      <c r="T66" s="39" t="s">
        <v>751</v>
      </c>
      <c r="U66" s="39" t="s">
        <v>750</v>
      </c>
      <c r="V66" s="39" t="s">
        <v>750</v>
      </c>
      <c r="W66" s="39" t="s">
        <v>750</v>
      </c>
      <c r="X66" s="39" t="s">
        <v>751</v>
      </c>
    </row>
    <row r="67">
      <c r="A67" s="39" t="s">
        <v>739</v>
      </c>
      <c r="B67" s="39">
        <v>10966.0</v>
      </c>
      <c r="C67" s="39" t="s">
        <v>512</v>
      </c>
      <c r="D67" s="39">
        <v>8.0</v>
      </c>
      <c r="F67" s="39">
        <v>13365.0</v>
      </c>
      <c r="G67" s="39" t="s">
        <v>889</v>
      </c>
      <c r="H67" s="39">
        <v>5.0</v>
      </c>
      <c r="I67" s="39" t="s">
        <v>756</v>
      </c>
      <c r="K67" s="39" t="s">
        <v>744</v>
      </c>
      <c r="L67" s="39" t="s">
        <v>755</v>
      </c>
      <c r="M67" s="39" t="s">
        <v>756</v>
      </c>
      <c r="N67" s="39" t="s">
        <v>755</v>
      </c>
      <c r="O67" s="39" t="s">
        <v>756</v>
      </c>
      <c r="P67" s="39" t="s">
        <v>755</v>
      </c>
      <c r="Q67" s="39" t="s">
        <v>756</v>
      </c>
      <c r="R67" s="39" t="s">
        <v>880</v>
      </c>
      <c r="S67" s="39" t="s">
        <v>750</v>
      </c>
      <c r="T67" s="39" t="s">
        <v>750</v>
      </c>
      <c r="U67" s="39" t="s">
        <v>750</v>
      </c>
      <c r="V67" s="39" t="s">
        <v>750</v>
      </c>
      <c r="W67" s="39" t="s">
        <v>750</v>
      </c>
      <c r="X67" s="39" t="s">
        <v>750</v>
      </c>
    </row>
    <row r="68">
      <c r="A68" s="39" t="s">
        <v>739</v>
      </c>
      <c r="B68" s="39">
        <v>11953.0</v>
      </c>
      <c r="C68" s="39" t="s">
        <v>890</v>
      </c>
      <c r="D68" s="39">
        <v>6.0</v>
      </c>
      <c r="F68" s="39">
        <v>17358.0</v>
      </c>
      <c r="G68" s="39" t="s">
        <v>891</v>
      </c>
      <c r="H68" s="39">
        <v>1.0</v>
      </c>
      <c r="I68" s="39" t="s">
        <v>775</v>
      </c>
      <c r="J68" s="39" t="s">
        <v>768</v>
      </c>
      <c r="K68" s="39" t="s">
        <v>744</v>
      </c>
      <c r="L68" s="39" t="s">
        <v>892</v>
      </c>
      <c r="M68" s="39" t="s">
        <v>746</v>
      </c>
      <c r="N68" s="39" t="s">
        <v>755</v>
      </c>
      <c r="O68" s="39" t="s">
        <v>756</v>
      </c>
      <c r="P68" s="39" t="s">
        <v>755</v>
      </c>
      <c r="Q68" s="39" t="s">
        <v>756</v>
      </c>
      <c r="S68" s="39" t="s">
        <v>750</v>
      </c>
      <c r="T68" s="39" t="s">
        <v>750</v>
      </c>
      <c r="U68" s="39" t="s">
        <v>750</v>
      </c>
      <c r="V68" s="39" t="s">
        <v>750</v>
      </c>
      <c r="W68" s="39" t="s">
        <v>751</v>
      </c>
      <c r="X68" s="39" t="s">
        <v>751</v>
      </c>
    </row>
    <row r="69">
      <c r="A69" s="39" t="s">
        <v>739</v>
      </c>
      <c r="B69" s="39">
        <v>11953.0</v>
      </c>
      <c r="C69" s="39" t="s">
        <v>890</v>
      </c>
      <c r="D69" s="39">
        <v>6.0</v>
      </c>
      <c r="F69" s="39">
        <v>17357.0</v>
      </c>
      <c r="G69" s="39" t="s">
        <v>893</v>
      </c>
      <c r="H69" s="39">
        <v>2.0</v>
      </c>
      <c r="I69" s="39" t="s">
        <v>742</v>
      </c>
      <c r="J69" s="39" t="s">
        <v>743</v>
      </c>
      <c r="K69" s="39" t="s">
        <v>744</v>
      </c>
      <c r="L69" s="39" t="s">
        <v>894</v>
      </c>
      <c r="M69" s="39" t="s">
        <v>746</v>
      </c>
      <c r="N69" s="39" t="s">
        <v>755</v>
      </c>
      <c r="O69" s="39" t="s">
        <v>756</v>
      </c>
      <c r="P69" s="39" t="s">
        <v>755</v>
      </c>
      <c r="Q69" s="39" t="s">
        <v>756</v>
      </c>
      <c r="R69" s="39" t="s">
        <v>895</v>
      </c>
      <c r="S69" s="39" t="s">
        <v>750</v>
      </c>
      <c r="T69" s="39" t="s">
        <v>751</v>
      </c>
      <c r="U69" s="39" t="s">
        <v>751</v>
      </c>
      <c r="V69" s="39" t="s">
        <v>750</v>
      </c>
      <c r="W69" s="39" t="s">
        <v>751</v>
      </c>
      <c r="X69" s="39" t="s">
        <v>751</v>
      </c>
    </row>
    <row r="70">
      <c r="A70" s="39" t="s">
        <v>739</v>
      </c>
      <c r="B70" s="39">
        <v>11953.0</v>
      </c>
      <c r="C70" s="39" t="s">
        <v>890</v>
      </c>
      <c r="D70" s="39">
        <v>6.0</v>
      </c>
      <c r="F70" s="39">
        <v>17359.0</v>
      </c>
      <c r="G70" s="39" t="s">
        <v>896</v>
      </c>
      <c r="H70" s="39">
        <v>3.0</v>
      </c>
      <c r="I70" s="39" t="s">
        <v>788</v>
      </c>
      <c r="J70" s="39" t="s">
        <v>771</v>
      </c>
      <c r="K70" s="39" t="s">
        <v>744</v>
      </c>
      <c r="L70" s="39" t="s">
        <v>897</v>
      </c>
      <c r="M70" s="39" t="s">
        <v>746</v>
      </c>
      <c r="N70" s="39" t="s">
        <v>755</v>
      </c>
      <c r="O70" s="39" t="s">
        <v>756</v>
      </c>
      <c r="P70" s="39" t="s">
        <v>755</v>
      </c>
      <c r="Q70" s="39" t="s">
        <v>756</v>
      </c>
      <c r="S70" s="39" t="s">
        <v>750</v>
      </c>
      <c r="T70" s="39" t="s">
        <v>750</v>
      </c>
      <c r="U70" s="39" t="s">
        <v>751</v>
      </c>
      <c r="V70" s="39" t="s">
        <v>750</v>
      </c>
      <c r="W70" s="39" t="s">
        <v>751</v>
      </c>
      <c r="X70" s="39" t="s">
        <v>751</v>
      </c>
    </row>
    <row r="71">
      <c r="A71" s="39" t="s">
        <v>739</v>
      </c>
      <c r="B71" s="39">
        <v>10059.0</v>
      </c>
      <c r="C71" s="39" t="s">
        <v>898</v>
      </c>
      <c r="D71" s="39">
        <v>8.0</v>
      </c>
      <c r="F71" s="39">
        <v>6052.0</v>
      </c>
      <c r="G71" s="39" t="s">
        <v>899</v>
      </c>
      <c r="H71" s="39">
        <v>1.0</v>
      </c>
      <c r="I71" s="39" t="s">
        <v>742</v>
      </c>
      <c r="J71" s="39" t="s">
        <v>743</v>
      </c>
      <c r="K71" s="39" t="s">
        <v>744</v>
      </c>
      <c r="L71" s="39" t="s">
        <v>900</v>
      </c>
      <c r="M71" s="39" t="s">
        <v>748</v>
      </c>
      <c r="N71" s="39">
        <v>3.142303675E9</v>
      </c>
      <c r="O71" s="39" t="s">
        <v>746</v>
      </c>
      <c r="P71" s="39" t="s">
        <v>755</v>
      </c>
      <c r="Q71" s="39" t="s">
        <v>756</v>
      </c>
      <c r="R71" s="39" t="s">
        <v>901</v>
      </c>
      <c r="S71" s="39" t="s">
        <v>750</v>
      </c>
      <c r="T71" s="39" t="s">
        <v>751</v>
      </c>
      <c r="U71" s="39" t="s">
        <v>751</v>
      </c>
      <c r="V71" s="39" t="s">
        <v>751</v>
      </c>
      <c r="W71" s="39" t="s">
        <v>751</v>
      </c>
      <c r="X71" s="39" t="s">
        <v>751</v>
      </c>
    </row>
    <row r="72">
      <c r="A72" s="39" t="s">
        <v>739</v>
      </c>
      <c r="B72" s="39">
        <v>10059.0</v>
      </c>
      <c r="C72" s="39" t="s">
        <v>898</v>
      </c>
      <c r="D72" s="39">
        <v>8.0</v>
      </c>
      <c r="F72" s="39">
        <v>17160.0</v>
      </c>
      <c r="G72" s="39" t="s">
        <v>902</v>
      </c>
      <c r="H72" s="39">
        <v>2.0</v>
      </c>
      <c r="I72" s="39" t="s">
        <v>753</v>
      </c>
      <c r="J72" s="39" t="s">
        <v>754</v>
      </c>
      <c r="K72" s="39" t="s">
        <v>744</v>
      </c>
      <c r="L72" s="39" t="s">
        <v>903</v>
      </c>
      <c r="M72" s="39" t="s">
        <v>746</v>
      </c>
      <c r="N72" s="39" t="s">
        <v>755</v>
      </c>
      <c r="O72" s="39" t="s">
        <v>756</v>
      </c>
      <c r="P72" s="39" t="s">
        <v>755</v>
      </c>
      <c r="Q72" s="39" t="s">
        <v>756</v>
      </c>
      <c r="R72" s="39" t="s">
        <v>904</v>
      </c>
      <c r="S72" s="39" t="s">
        <v>750</v>
      </c>
      <c r="T72" s="39" t="s">
        <v>751</v>
      </c>
      <c r="U72" s="39" t="s">
        <v>751</v>
      </c>
      <c r="V72" s="39" t="s">
        <v>750</v>
      </c>
      <c r="W72" s="39" t="s">
        <v>751</v>
      </c>
      <c r="X72" s="39" t="s">
        <v>751</v>
      </c>
    </row>
    <row r="73">
      <c r="A73" s="39" t="s">
        <v>739</v>
      </c>
      <c r="B73" s="39">
        <v>10059.0</v>
      </c>
      <c r="C73" s="39" t="s">
        <v>898</v>
      </c>
      <c r="D73" s="39">
        <v>8.0</v>
      </c>
      <c r="F73" s="39">
        <v>13324.0</v>
      </c>
      <c r="G73" s="39" t="s">
        <v>889</v>
      </c>
      <c r="H73" s="39">
        <v>3.0</v>
      </c>
      <c r="I73" s="39" t="s">
        <v>756</v>
      </c>
      <c r="K73" s="39" t="s">
        <v>744</v>
      </c>
      <c r="L73" s="39" t="s">
        <v>755</v>
      </c>
      <c r="M73" s="39" t="s">
        <v>756</v>
      </c>
      <c r="N73" s="39" t="s">
        <v>755</v>
      </c>
      <c r="O73" s="39" t="s">
        <v>756</v>
      </c>
      <c r="P73" s="39" t="s">
        <v>755</v>
      </c>
      <c r="Q73" s="39" t="s">
        <v>756</v>
      </c>
      <c r="R73" s="39" t="s">
        <v>901</v>
      </c>
      <c r="S73" s="39" t="s">
        <v>750</v>
      </c>
      <c r="T73" s="39" t="s">
        <v>750</v>
      </c>
      <c r="U73" s="39" t="s">
        <v>750</v>
      </c>
      <c r="V73" s="39" t="s">
        <v>750</v>
      </c>
      <c r="W73" s="39" t="s">
        <v>750</v>
      </c>
      <c r="X73" s="39" t="s">
        <v>750</v>
      </c>
    </row>
    <row r="74">
      <c r="A74" s="39" t="s">
        <v>739</v>
      </c>
      <c r="B74" s="39">
        <v>11101.0</v>
      </c>
      <c r="C74" s="39" t="s">
        <v>905</v>
      </c>
      <c r="D74" s="39">
        <v>8.0</v>
      </c>
      <c r="F74" s="39">
        <v>7678.0</v>
      </c>
      <c r="G74" s="39" t="s">
        <v>906</v>
      </c>
      <c r="H74" s="39">
        <v>1.0</v>
      </c>
      <c r="I74" s="39" t="s">
        <v>742</v>
      </c>
      <c r="J74" s="39" t="s">
        <v>743</v>
      </c>
      <c r="K74" s="39" t="s">
        <v>744</v>
      </c>
      <c r="L74" s="39" t="s">
        <v>907</v>
      </c>
      <c r="M74" s="39" t="s">
        <v>746</v>
      </c>
      <c r="N74" s="39" t="s">
        <v>908</v>
      </c>
      <c r="O74" s="39" t="s">
        <v>746</v>
      </c>
      <c r="P74" s="39">
        <v>3.142260017E9</v>
      </c>
      <c r="Q74" s="39" t="s">
        <v>748</v>
      </c>
      <c r="R74" s="39" t="s">
        <v>909</v>
      </c>
      <c r="S74" s="39" t="s">
        <v>750</v>
      </c>
      <c r="T74" s="39" t="s">
        <v>751</v>
      </c>
      <c r="U74" s="39" t="s">
        <v>751</v>
      </c>
      <c r="V74" s="39" t="s">
        <v>750</v>
      </c>
      <c r="W74" s="39" t="s">
        <v>751</v>
      </c>
      <c r="X74" s="39" t="s">
        <v>751</v>
      </c>
    </row>
    <row r="75">
      <c r="A75" s="39" t="s">
        <v>739</v>
      </c>
      <c r="B75" s="39">
        <v>11101.0</v>
      </c>
      <c r="C75" s="39" t="s">
        <v>905</v>
      </c>
      <c r="D75" s="39">
        <v>8.0</v>
      </c>
      <c r="F75" s="39">
        <v>7679.0</v>
      </c>
      <c r="G75" s="39" t="s">
        <v>910</v>
      </c>
      <c r="H75" s="39">
        <v>2.0</v>
      </c>
      <c r="I75" s="39" t="s">
        <v>753</v>
      </c>
      <c r="J75" s="39" t="s">
        <v>754</v>
      </c>
      <c r="K75" s="39" t="s">
        <v>744</v>
      </c>
      <c r="L75" s="39" t="s">
        <v>911</v>
      </c>
      <c r="M75" s="39" t="s">
        <v>746</v>
      </c>
      <c r="N75" s="39" t="s">
        <v>912</v>
      </c>
      <c r="O75" s="39" t="s">
        <v>748</v>
      </c>
      <c r="P75" s="39" t="s">
        <v>755</v>
      </c>
      <c r="Q75" s="39" t="s">
        <v>756</v>
      </c>
      <c r="R75" s="39" t="s">
        <v>913</v>
      </c>
      <c r="S75" s="39" t="s">
        <v>750</v>
      </c>
      <c r="T75" s="39" t="s">
        <v>751</v>
      </c>
      <c r="U75" s="39" t="s">
        <v>751</v>
      </c>
      <c r="V75" s="39" t="s">
        <v>751</v>
      </c>
      <c r="W75" s="39" t="s">
        <v>751</v>
      </c>
      <c r="X75" s="39" t="s">
        <v>751</v>
      </c>
    </row>
    <row r="76">
      <c r="A76" s="39" t="s">
        <v>739</v>
      </c>
      <c r="B76" s="39">
        <v>11101.0</v>
      </c>
      <c r="C76" s="39" t="s">
        <v>905</v>
      </c>
      <c r="D76" s="39">
        <v>8.0</v>
      </c>
      <c r="F76" s="39">
        <v>11674.0</v>
      </c>
      <c r="G76" s="39" t="s">
        <v>914</v>
      </c>
      <c r="H76" s="39">
        <v>3.0</v>
      </c>
      <c r="I76" s="39" t="s">
        <v>758</v>
      </c>
      <c r="K76" s="39" t="s">
        <v>744</v>
      </c>
      <c r="L76" s="39">
        <v>3.147570202E9</v>
      </c>
      <c r="M76" s="39" t="s">
        <v>746</v>
      </c>
      <c r="N76" s="39" t="s">
        <v>755</v>
      </c>
      <c r="O76" s="39" t="s">
        <v>756</v>
      </c>
      <c r="P76" s="39" t="s">
        <v>755</v>
      </c>
      <c r="Q76" s="39" t="s">
        <v>756</v>
      </c>
      <c r="R76" s="39" t="s">
        <v>915</v>
      </c>
      <c r="S76" s="39" t="s">
        <v>750</v>
      </c>
      <c r="T76" s="39" t="s">
        <v>750</v>
      </c>
      <c r="U76" s="39" t="s">
        <v>750</v>
      </c>
      <c r="V76" s="39" t="s">
        <v>750</v>
      </c>
      <c r="W76" s="39" t="s">
        <v>751</v>
      </c>
      <c r="X76" s="39" t="s">
        <v>751</v>
      </c>
    </row>
    <row r="77">
      <c r="A77" s="39" t="s">
        <v>739</v>
      </c>
      <c r="B77" s="39">
        <v>11101.0</v>
      </c>
      <c r="C77" s="39" t="s">
        <v>905</v>
      </c>
      <c r="D77" s="39">
        <v>8.0</v>
      </c>
      <c r="F77" s="39">
        <v>11675.0</v>
      </c>
      <c r="G77" s="39" t="s">
        <v>916</v>
      </c>
      <c r="H77" s="39">
        <v>4.0</v>
      </c>
      <c r="I77" s="39" t="s">
        <v>758</v>
      </c>
      <c r="K77" s="39" t="s">
        <v>744</v>
      </c>
      <c r="L77" s="39">
        <v>3.142774335E9</v>
      </c>
      <c r="M77" s="39" t="s">
        <v>746</v>
      </c>
      <c r="N77" s="39" t="s">
        <v>755</v>
      </c>
      <c r="O77" s="39" t="s">
        <v>756</v>
      </c>
      <c r="P77" s="39" t="s">
        <v>755</v>
      </c>
      <c r="Q77" s="39" t="s">
        <v>756</v>
      </c>
      <c r="S77" s="39" t="s">
        <v>750</v>
      </c>
      <c r="T77" s="39" t="s">
        <v>750</v>
      </c>
      <c r="U77" s="39" t="s">
        <v>750</v>
      </c>
      <c r="V77" s="39" t="s">
        <v>750</v>
      </c>
      <c r="W77" s="39" t="s">
        <v>751</v>
      </c>
      <c r="X77" s="39" t="s">
        <v>751</v>
      </c>
    </row>
    <row r="78">
      <c r="A78" s="39" t="s">
        <v>739</v>
      </c>
      <c r="B78" s="39">
        <v>11101.0</v>
      </c>
      <c r="C78" s="39" t="s">
        <v>905</v>
      </c>
      <c r="D78" s="39">
        <v>8.0</v>
      </c>
      <c r="F78" s="39">
        <v>11676.0</v>
      </c>
      <c r="G78" s="39" t="s">
        <v>917</v>
      </c>
      <c r="H78" s="39">
        <v>5.0</v>
      </c>
      <c r="I78" s="39" t="s">
        <v>788</v>
      </c>
      <c r="K78" s="39" t="s">
        <v>744</v>
      </c>
      <c r="L78" s="39">
        <v>3.147280414E9</v>
      </c>
      <c r="M78" s="39" t="s">
        <v>746</v>
      </c>
      <c r="N78" s="39" t="s">
        <v>755</v>
      </c>
      <c r="O78" s="39" t="s">
        <v>756</v>
      </c>
      <c r="P78" s="39" t="s">
        <v>755</v>
      </c>
      <c r="Q78" s="39" t="s">
        <v>756</v>
      </c>
      <c r="S78" s="39" t="s">
        <v>750</v>
      </c>
      <c r="T78" s="39" t="s">
        <v>750</v>
      </c>
      <c r="U78" s="39" t="s">
        <v>750</v>
      </c>
      <c r="V78" s="39" t="s">
        <v>750</v>
      </c>
      <c r="W78" s="39" t="s">
        <v>751</v>
      </c>
      <c r="X78" s="39" t="s">
        <v>751</v>
      </c>
    </row>
    <row r="79">
      <c r="A79" s="39" t="s">
        <v>739</v>
      </c>
      <c r="B79" s="39">
        <v>11101.0</v>
      </c>
      <c r="C79" s="39" t="s">
        <v>905</v>
      </c>
      <c r="D79" s="39">
        <v>8.0</v>
      </c>
      <c r="F79" s="39">
        <v>13500.0</v>
      </c>
      <c r="G79" s="39" t="s">
        <v>889</v>
      </c>
      <c r="H79" s="39">
        <v>6.0</v>
      </c>
      <c r="I79" s="39" t="s">
        <v>756</v>
      </c>
      <c r="K79" s="39" t="s">
        <v>744</v>
      </c>
      <c r="L79" s="39" t="s">
        <v>755</v>
      </c>
      <c r="M79" s="39" t="s">
        <v>756</v>
      </c>
      <c r="N79" s="39" t="s">
        <v>755</v>
      </c>
      <c r="O79" s="39" t="s">
        <v>756</v>
      </c>
      <c r="P79" s="39" t="s">
        <v>755</v>
      </c>
      <c r="Q79" s="39" t="s">
        <v>756</v>
      </c>
      <c r="R79" s="39" t="s">
        <v>909</v>
      </c>
      <c r="S79" s="39" t="s">
        <v>750</v>
      </c>
      <c r="T79" s="39" t="s">
        <v>750</v>
      </c>
      <c r="U79" s="39" t="s">
        <v>750</v>
      </c>
      <c r="V79" s="39" t="s">
        <v>750</v>
      </c>
      <c r="W79" s="39" t="s">
        <v>750</v>
      </c>
      <c r="X79" s="39" t="s">
        <v>750</v>
      </c>
    </row>
    <row r="80">
      <c r="A80" s="39" t="s">
        <v>739</v>
      </c>
      <c r="B80" s="39">
        <v>11927.0</v>
      </c>
      <c r="C80" s="39" t="s">
        <v>918</v>
      </c>
      <c r="D80" s="39">
        <v>5.0</v>
      </c>
      <c r="F80" s="39">
        <v>6052.0</v>
      </c>
      <c r="G80" s="39" t="s">
        <v>899</v>
      </c>
      <c r="H80" s="39">
        <v>1.0</v>
      </c>
      <c r="I80" s="39" t="s">
        <v>742</v>
      </c>
      <c r="J80" s="39" t="s">
        <v>743</v>
      </c>
      <c r="K80" s="39" t="s">
        <v>744</v>
      </c>
      <c r="L80" s="39" t="s">
        <v>900</v>
      </c>
      <c r="M80" s="39" t="s">
        <v>748</v>
      </c>
      <c r="N80" s="39">
        <v>3.142303675E9</v>
      </c>
      <c r="O80" s="39" t="s">
        <v>746</v>
      </c>
      <c r="P80" s="39" t="s">
        <v>755</v>
      </c>
      <c r="Q80" s="39" t="s">
        <v>756</v>
      </c>
      <c r="R80" s="39" t="s">
        <v>901</v>
      </c>
      <c r="S80" s="39" t="s">
        <v>750</v>
      </c>
      <c r="T80" s="39" t="s">
        <v>751</v>
      </c>
      <c r="U80" s="39" t="s">
        <v>751</v>
      </c>
      <c r="V80" s="39" t="s">
        <v>751</v>
      </c>
      <c r="W80" s="39" t="s">
        <v>751</v>
      </c>
      <c r="X80" s="39" t="s">
        <v>751</v>
      </c>
    </row>
    <row r="81">
      <c r="A81" s="39" t="s">
        <v>739</v>
      </c>
      <c r="B81" s="39">
        <v>11927.0</v>
      </c>
      <c r="C81" s="39" t="s">
        <v>918</v>
      </c>
      <c r="D81" s="39">
        <v>5.0</v>
      </c>
      <c r="F81" s="39">
        <v>17160.0</v>
      </c>
      <c r="G81" s="39" t="s">
        <v>902</v>
      </c>
      <c r="H81" s="39">
        <v>2.0</v>
      </c>
      <c r="I81" s="39" t="s">
        <v>753</v>
      </c>
      <c r="J81" s="39" t="s">
        <v>754</v>
      </c>
      <c r="K81" s="39" t="s">
        <v>744</v>
      </c>
      <c r="L81" s="39" t="s">
        <v>903</v>
      </c>
      <c r="M81" s="39" t="s">
        <v>746</v>
      </c>
      <c r="N81" s="39" t="s">
        <v>755</v>
      </c>
      <c r="O81" s="39" t="s">
        <v>756</v>
      </c>
      <c r="P81" s="39" t="s">
        <v>755</v>
      </c>
      <c r="Q81" s="39" t="s">
        <v>756</v>
      </c>
      <c r="R81" s="39" t="s">
        <v>904</v>
      </c>
      <c r="S81" s="39" t="s">
        <v>750</v>
      </c>
      <c r="T81" s="39" t="s">
        <v>751</v>
      </c>
      <c r="U81" s="39" t="s">
        <v>751</v>
      </c>
      <c r="V81" s="39" t="s">
        <v>750</v>
      </c>
      <c r="W81" s="39" t="s">
        <v>751</v>
      </c>
      <c r="X81" s="39" t="s">
        <v>751</v>
      </c>
    </row>
    <row r="82">
      <c r="A82" s="39" t="s">
        <v>739</v>
      </c>
      <c r="B82" s="39">
        <v>11586.0</v>
      </c>
      <c r="C82" s="39" t="s">
        <v>919</v>
      </c>
      <c r="D82" s="39">
        <v>6.0</v>
      </c>
      <c r="F82" s="39">
        <v>11289.0</v>
      </c>
      <c r="G82" s="39" t="s">
        <v>920</v>
      </c>
      <c r="H82" s="39">
        <v>1.0</v>
      </c>
      <c r="I82" s="39" t="s">
        <v>742</v>
      </c>
      <c r="J82" s="39" t="s">
        <v>743</v>
      </c>
      <c r="K82" s="39" t="s">
        <v>744</v>
      </c>
      <c r="L82" s="39" t="s">
        <v>921</v>
      </c>
      <c r="M82" s="39" t="s">
        <v>748</v>
      </c>
      <c r="N82" s="39" t="s">
        <v>921</v>
      </c>
      <c r="O82" s="39" t="s">
        <v>746</v>
      </c>
      <c r="P82" s="39" t="s">
        <v>755</v>
      </c>
      <c r="Q82" s="39" t="s">
        <v>756</v>
      </c>
      <c r="R82" s="39" t="s">
        <v>922</v>
      </c>
      <c r="S82" s="39" t="s">
        <v>750</v>
      </c>
      <c r="T82" s="39" t="s">
        <v>751</v>
      </c>
      <c r="U82" s="39" t="s">
        <v>751</v>
      </c>
      <c r="V82" s="39" t="s">
        <v>751</v>
      </c>
      <c r="W82" s="39" t="s">
        <v>750</v>
      </c>
      <c r="X82" s="39" t="s">
        <v>751</v>
      </c>
    </row>
    <row r="83">
      <c r="A83" s="39" t="s">
        <v>739</v>
      </c>
      <c r="B83" s="39">
        <v>11586.0</v>
      </c>
      <c r="C83" s="39" t="s">
        <v>919</v>
      </c>
      <c r="D83" s="39">
        <v>6.0</v>
      </c>
      <c r="F83" s="39">
        <v>11290.0</v>
      </c>
      <c r="G83" s="39" t="s">
        <v>923</v>
      </c>
      <c r="H83" s="39">
        <v>2.0</v>
      </c>
      <c r="I83" s="39" t="s">
        <v>791</v>
      </c>
      <c r="J83" s="39" t="s">
        <v>768</v>
      </c>
      <c r="K83" s="39" t="s">
        <v>744</v>
      </c>
      <c r="L83" s="39" t="s">
        <v>924</v>
      </c>
      <c r="M83" s="39" t="s">
        <v>746</v>
      </c>
      <c r="N83" s="39" t="s">
        <v>755</v>
      </c>
      <c r="O83" s="39" t="s">
        <v>756</v>
      </c>
      <c r="P83" s="39" t="s">
        <v>755</v>
      </c>
      <c r="Q83" s="39" t="s">
        <v>756</v>
      </c>
      <c r="R83" s="39" t="s">
        <v>925</v>
      </c>
      <c r="S83" s="39" t="s">
        <v>750</v>
      </c>
      <c r="T83" s="39" t="s">
        <v>750</v>
      </c>
      <c r="U83" s="39" t="s">
        <v>750</v>
      </c>
      <c r="V83" s="39" t="s">
        <v>750</v>
      </c>
      <c r="W83" s="39" t="s">
        <v>751</v>
      </c>
      <c r="X83" s="39" t="s">
        <v>751</v>
      </c>
    </row>
    <row r="84">
      <c r="A84" s="39" t="s">
        <v>739</v>
      </c>
      <c r="B84" s="39">
        <v>11586.0</v>
      </c>
      <c r="C84" s="39" t="s">
        <v>919</v>
      </c>
      <c r="D84" s="39">
        <v>6.0</v>
      </c>
      <c r="F84" s="39">
        <v>11291.0</v>
      </c>
      <c r="G84" s="39" t="s">
        <v>926</v>
      </c>
      <c r="H84" s="39">
        <v>3.0</v>
      </c>
      <c r="I84" s="39" t="s">
        <v>791</v>
      </c>
      <c r="J84" s="39" t="s">
        <v>771</v>
      </c>
      <c r="K84" s="39" t="s">
        <v>744</v>
      </c>
      <c r="L84" s="39" t="s">
        <v>927</v>
      </c>
      <c r="M84" s="39" t="s">
        <v>746</v>
      </c>
      <c r="N84" s="39" t="s">
        <v>755</v>
      </c>
      <c r="O84" s="39" t="s">
        <v>756</v>
      </c>
      <c r="P84" s="39" t="s">
        <v>755</v>
      </c>
      <c r="Q84" s="39" t="s">
        <v>756</v>
      </c>
      <c r="S84" s="39" t="s">
        <v>750</v>
      </c>
      <c r="T84" s="39" t="s">
        <v>750</v>
      </c>
      <c r="U84" s="39" t="s">
        <v>750</v>
      </c>
      <c r="V84" s="39" t="s">
        <v>750</v>
      </c>
      <c r="W84" s="39" t="s">
        <v>751</v>
      </c>
      <c r="X84" s="39" t="s">
        <v>751</v>
      </c>
    </row>
    <row r="85">
      <c r="A85" s="39" t="s">
        <v>739</v>
      </c>
      <c r="B85" s="39">
        <v>11586.0</v>
      </c>
      <c r="C85" s="39" t="s">
        <v>919</v>
      </c>
      <c r="D85" s="39">
        <v>6.0</v>
      </c>
      <c r="F85" s="39">
        <v>13418.0</v>
      </c>
      <c r="G85" s="39" t="s">
        <v>920</v>
      </c>
      <c r="H85" s="39">
        <v>4.0</v>
      </c>
      <c r="I85" s="39" t="s">
        <v>756</v>
      </c>
      <c r="K85" s="39" t="s">
        <v>744</v>
      </c>
      <c r="L85" s="39">
        <v>3.144355451E9</v>
      </c>
      <c r="M85" s="39" t="s">
        <v>805</v>
      </c>
      <c r="N85" s="39" t="s">
        <v>755</v>
      </c>
      <c r="O85" s="39" t="s">
        <v>756</v>
      </c>
      <c r="P85" s="39" t="s">
        <v>755</v>
      </c>
      <c r="Q85" s="39" t="s">
        <v>756</v>
      </c>
      <c r="R85" s="39" t="s">
        <v>922</v>
      </c>
      <c r="S85" s="39" t="s">
        <v>750</v>
      </c>
      <c r="T85" s="39" t="s">
        <v>750</v>
      </c>
      <c r="U85" s="39" t="s">
        <v>750</v>
      </c>
      <c r="V85" s="39" t="s">
        <v>750</v>
      </c>
      <c r="W85" s="39" t="s">
        <v>750</v>
      </c>
      <c r="X85" s="39" t="s">
        <v>750</v>
      </c>
    </row>
    <row r="86">
      <c r="A86" s="39" t="s">
        <v>739</v>
      </c>
      <c r="B86" s="39">
        <v>12049.0</v>
      </c>
      <c r="C86" s="39" t="s">
        <v>928</v>
      </c>
      <c r="D86" s="39">
        <v>7.0</v>
      </c>
      <c r="F86" s="39">
        <v>17896.0</v>
      </c>
      <c r="G86" s="39" t="s">
        <v>929</v>
      </c>
      <c r="H86" s="39">
        <v>1.0</v>
      </c>
      <c r="I86" s="39" t="s">
        <v>753</v>
      </c>
      <c r="J86" s="39" t="s">
        <v>754</v>
      </c>
      <c r="K86" s="39" t="s">
        <v>744</v>
      </c>
      <c r="L86" s="39" t="s">
        <v>930</v>
      </c>
      <c r="M86" s="39" t="s">
        <v>746</v>
      </c>
      <c r="N86" s="39" t="s">
        <v>931</v>
      </c>
      <c r="O86" s="39" t="s">
        <v>746</v>
      </c>
      <c r="P86" s="39" t="s">
        <v>755</v>
      </c>
      <c r="Q86" s="39" t="s">
        <v>756</v>
      </c>
      <c r="R86" s="39" t="s">
        <v>932</v>
      </c>
      <c r="S86" s="39" t="s">
        <v>750</v>
      </c>
      <c r="T86" s="39" t="s">
        <v>750</v>
      </c>
      <c r="U86" s="39" t="s">
        <v>751</v>
      </c>
      <c r="V86" s="39" t="s">
        <v>750</v>
      </c>
      <c r="W86" s="39" t="s">
        <v>751</v>
      </c>
      <c r="X86" s="39" t="s">
        <v>751</v>
      </c>
    </row>
    <row r="87">
      <c r="A87" s="39" t="s">
        <v>739</v>
      </c>
      <c r="B87" s="39">
        <v>12049.0</v>
      </c>
      <c r="C87" s="39" t="s">
        <v>928</v>
      </c>
      <c r="D87" s="39">
        <v>7.0</v>
      </c>
      <c r="F87" s="39">
        <v>17897.0</v>
      </c>
      <c r="G87" s="39" t="s">
        <v>933</v>
      </c>
      <c r="H87" s="39">
        <v>2.0</v>
      </c>
      <c r="I87" s="39" t="s">
        <v>742</v>
      </c>
      <c r="J87" s="39" t="s">
        <v>743</v>
      </c>
      <c r="K87" s="39" t="s">
        <v>744</v>
      </c>
      <c r="L87" s="39" t="s">
        <v>931</v>
      </c>
      <c r="M87" s="39" t="s">
        <v>746</v>
      </c>
      <c r="N87" s="39" t="s">
        <v>755</v>
      </c>
      <c r="O87" s="39" t="s">
        <v>756</v>
      </c>
      <c r="P87" s="39" t="s">
        <v>755</v>
      </c>
      <c r="Q87" s="39" t="s">
        <v>756</v>
      </c>
      <c r="S87" s="39" t="s">
        <v>750</v>
      </c>
      <c r="T87" s="39" t="s">
        <v>751</v>
      </c>
      <c r="U87" s="39" t="s">
        <v>751</v>
      </c>
      <c r="V87" s="39" t="s">
        <v>750</v>
      </c>
      <c r="W87" s="39" t="s">
        <v>751</v>
      </c>
      <c r="X87" s="39" t="s">
        <v>751</v>
      </c>
    </row>
    <row r="88">
      <c r="A88" s="39" t="s">
        <v>739</v>
      </c>
      <c r="B88" s="39">
        <v>10129.0</v>
      </c>
      <c r="C88" s="39" t="s">
        <v>934</v>
      </c>
      <c r="D88" s="39">
        <v>8.0</v>
      </c>
      <c r="F88" s="39">
        <v>5645.0</v>
      </c>
      <c r="G88" s="39" t="s">
        <v>935</v>
      </c>
      <c r="H88" s="39">
        <v>1.0</v>
      </c>
      <c r="I88" s="39" t="s">
        <v>758</v>
      </c>
      <c r="J88" s="39" t="s">
        <v>803</v>
      </c>
      <c r="K88" s="39" t="s">
        <v>744</v>
      </c>
      <c r="L88" s="39" t="s">
        <v>936</v>
      </c>
      <c r="M88" s="39" t="s">
        <v>746</v>
      </c>
      <c r="N88" s="39" t="s">
        <v>937</v>
      </c>
      <c r="O88" s="39" t="s">
        <v>748</v>
      </c>
      <c r="P88" s="39" t="s">
        <v>938</v>
      </c>
      <c r="Q88" s="39" t="s">
        <v>807</v>
      </c>
      <c r="R88" s="39" t="s">
        <v>939</v>
      </c>
      <c r="S88" s="39" t="s">
        <v>750</v>
      </c>
      <c r="T88" s="39" t="s">
        <v>751</v>
      </c>
      <c r="U88" s="39" t="s">
        <v>751</v>
      </c>
      <c r="V88" s="39" t="s">
        <v>751</v>
      </c>
      <c r="W88" s="39" t="s">
        <v>751</v>
      </c>
      <c r="X88" s="39" t="s">
        <v>751</v>
      </c>
    </row>
    <row r="89">
      <c r="A89" s="39" t="s">
        <v>739</v>
      </c>
      <c r="B89" s="39">
        <v>10129.0</v>
      </c>
      <c r="C89" s="39" t="s">
        <v>934</v>
      </c>
      <c r="D89" s="39">
        <v>8.0</v>
      </c>
      <c r="F89" s="39">
        <v>13352.0</v>
      </c>
      <c r="G89" s="39" t="s">
        <v>889</v>
      </c>
      <c r="H89" s="39">
        <v>2.0</v>
      </c>
      <c r="I89" s="39" t="s">
        <v>756</v>
      </c>
      <c r="K89" s="39" t="s">
        <v>744</v>
      </c>
      <c r="L89" s="39" t="s">
        <v>755</v>
      </c>
      <c r="M89" s="39" t="s">
        <v>756</v>
      </c>
      <c r="N89" s="39" t="s">
        <v>755</v>
      </c>
      <c r="O89" s="39" t="s">
        <v>756</v>
      </c>
      <c r="P89" s="39" t="s">
        <v>755</v>
      </c>
      <c r="Q89" s="39" t="s">
        <v>756</v>
      </c>
      <c r="R89" s="39" t="s">
        <v>939</v>
      </c>
      <c r="S89" s="39" t="s">
        <v>750</v>
      </c>
      <c r="T89" s="39" t="s">
        <v>750</v>
      </c>
      <c r="U89" s="39" t="s">
        <v>750</v>
      </c>
      <c r="V89" s="39" t="s">
        <v>750</v>
      </c>
      <c r="W89" s="39" t="s">
        <v>750</v>
      </c>
      <c r="X89" s="39" t="s">
        <v>750</v>
      </c>
    </row>
    <row r="90">
      <c r="A90" s="39" t="s">
        <v>739</v>
      </c>
      <c r="B90" s="39">
        <v>11963.0</v>
      </c>
      <c r="C90" s="39" t="s">
        <v>940</v>
      </c>
      <c r="D90" s="39">
        <v>6.0</v>
      </c>
      <c r="F90" s="39">
        <v>17471.0</v>
      </c>
      <c r="G90" s="39" t="s">
        <v>941</v>
      </c>
      <c r="H90" s="39">
        <v>1.0</v>
      </c>
      <c r="I90" s="39" t="s">
        <v>742</v>
      </c>
      <c r="J90" s="39" t="s">
        <v>743</v>
      </c>
      <c r="K90" s="39" t="s">
        <v>744</v>
      </c>
      <c r="L90" s="39" t="s">
        <v>942</v>
      </c>
      <c r="M90" s="39" t="s">
        <v>746</v>
      </c>
      <c r="N90" s="39" t="s">
        <v>943</v>
      </c>
      <c r="O90" s="39" t="s">
        <v>807</v>
      </c>
      <c r="P90" s="39" t="s">
        <v>755</v>
      </c>
      <c r="Q90" s="39" t="s">
        <v>756</v>
      </c>
      <c r="R90" s="39" t="s">
        <v>944</v>
      </c>
      <c r="S90" s="39" t="s">
        <v>750</v>
      </c>
      <c r="T90" s="39" t="s">
        <v>751</v>
      </c>
      <c r="U90" s="39" t="s">
        <v>751</v>
      </c>
      <c r="V90" s="39" t="s">
        <v>750</v>
      </c>
      <c r="W90" s="39" t="s">
        <v>751</v>
      </c>
      <c r="X90" s="39" t="s">
        <v>751</v>
      </c>
    </row>
    <row r="91">
      <c r="A91" s="39" t="s">
        <v>739</v>
      </c>
      <c r="B91" s="39">
        <v>11963.0</v>
      </c>
      <c r="C91" s="39" t="s">
        <v>940</v>
      </c>
      <c r="D91" s="39">
        <v>6.0</v>
      </c>
      <c r="F91" s="39">
        <v>17472.0</v>
      </c>
      <c r="G91" s="39" t="s">
        <v>945</v>
      </c>
      <c r="H91" s="39">
        <v>2.0</v>
      </c>
      <c r="I91" s="39" t="s">
        <v>775</v>
      </c>
      <c r="J91" s="39" t="s">
        <v>768</v>
      </c>
      <c r="K91" s="39" t="s">
        <v>744</v>
      </c>
      <c r="L91" s="39" t="s">
        <v>946</v>
      </c>
      <c r="M91" s="39" t="s">
        <v>746</v>
      </c>
      <c r="N91" s="39" t="s">
        <v>755</v>
      </c>
      <c r="O91" s="39" t="s">
        <v>756</v>
      </c>
      <c r="P91" s="39" t="s">
        <v>755</v>
      </c>
      <c r="Q91" s="39" t="s">
        <v>756</v>
      </c>
      <c r="R91" s="39" t="s">
        <v>947</v>
      </c>
      <c r="S91" s="39" t="s">
        <v>750</v>
      </c>
      <c r="T91" s="39" t="s">
        <v>750</v>
      </c>
      <c r="U91" s="39" t="s">
        <v>750</v>
      </c>
      <c r="V91" s="39" t="s">
        <v>750</v>
      </c>
      <c r="W91" s="39" t="s">
        <v>751</v>
      </c>
      <c r="X91" s="39" t="s">
        <v>751</v>
      </c>
    </row>
    <row r="92">
      <c r="A92" s="39" t="s">
        <v>739</v>
      </c>
      <c r="B92" s="39">
        <v>11587.0</v>
      </c>
      <c r="C92" s="39" t="s">
        <v>948</v>
      </c>
      <c r="D92" s="39">
        <v>7.0</v>
      </c>
      <c r="F92" s="39">
        <v>11293.0</v>
      </c>
      <c r="G92" s="39" t="s">
        <v>949</v>
      </c>
      <c r="H92" s="39">
        <v>1.0</v>
      </c>
      <c r="I92" s="39" t="s">
        <v>742</v>
      </c>
      <c r="J92" s="39" t="s">
        <v>743</v>
      </c>
      <c r="K92" s="39" t="s">
        <v>744</v>
      </c>
      <c r="L92" s="39" t="s">
        <v>950</v>
      </c>
      <c r="M92" s="39" t="s">
        <v>748</v>
      </c>
      <c r="N92" s="39" t="s">
        <v>755</v>
      </c>
      <c r="O92" s="39" t="s">
        <v>756</v>
      </c>
      <c r="P92" s="39" t="s">
        <v>755</v>
      </c>
      <c r="Q92" s="39" t="s">
        <v>756</v>
      </c>
      <c r="R92" s="39" t="s">
        <v>951</v>
      </c>
      <c r="S92" s="39" t="s">
        <v>750</v>
      </c>
      <c r="T92" s="39" t="s">
        <v>751</v>
      </c>
      <c r="U92" s="39" t="s">
        <v>751</v>
      </c>
      <c r="V92" s="39" t="s">
        <v>751</v>
      </c>
      <c r="W92" s="39" t="s">
        <v>751</v>
      </c>
      <c r="X92" s="39" t="s">
        <v>751</v>
      </c>
    </row>
    <row r="93">
      <c r="A93" s="39" t="s">
        <v>739</v>
      </c>
      <c r="B93" s="39">
        <v>11587.0</v>
      </c>
      <c r="C93" s="39" t="s">
        <v>948</v>
      </c>
      <c r="D93" s="39">
        <v>7.0</v>
      </c>
      <c r="F93" s="39">
        <v>11294.0</v>
      </c>
      <c r="G93" s="39" t="s">
        <v>952</v>
      </c>
      <c r="H93" s="39">
        <v>2.0</v>
      </c>
      <c r="I93" s="39" t="s">
        <v>760</v>
      </c>
      <c r="J93" s="39" t="s">
        <v>768</v>
      </c>
      <c r="K93" s="39" t="s">
        <v>744</v>
      </c>
      <c r="L93" s="39" t="s">
        <v>953</v>
      </c>
      <c r="M93" s="39" t="s">
        <v>746</v>
      </c>
      <c r="N93" s="39" t="s">
        <v>755</v>
      </c>
      <c r="O93" s="39" t="s">
        <v>756</v>
      </c>
      <c r="P93" s="39" t="s">
        <v>755</v>
      </c>
      <c r="Q93" s="39" t="s">
        <v>756</v>
      </c>
      <c r="R93" s="39" t="s">
        <v>954</v>
      </c>
      <c r="S93" s="39" t="s">
        <v>750</v>
      </c>
      <c r="T93" s="39" t="s">
        <v>750</v>
      </c>
      <c r="U93" s="39" t="s">
        <v>750</v>
      </c>
      <c r="V93" s="39" t="s">
        <v>750</v>
      </c>
      <c r="W93" s="39" t="s">
        <v>751</v>
      </c>
      <c r="X93" s="39" t="s">
        <v>751</v>
      </c>
    </row>
    <row r="94">
      <c r="A94" s="39" t="s">
        <v>739</v>
      </c>
      <c r="B94" s="39">
        <v>11587.0</v>
      </c>
      <c r="C94" s="39" t="s">
        <v>948</v>
      </c>
      <c r="D94" s="39">
        <v>7.0</v>
      </c>
      <c r="F94" s="39">
        <v>11295.0</v>
      </c>
      <c r="G94" s="39" t="s">
        <v>955</v>
      </c>
      <c r="H94" s="39">
        <v>3.0</v>
      </c>
      <c r="I94" s="39" t="s">
        <v>791</v>
      </c>
      <c r="J94" s="39" t="s">
        <v>771</v>
      </c>
      <c r="K94" s="39" t="s">
        <v>744</v>
      </c>
      <c r="L94" s="39" t="s">
        <v>956</v>
      </c>
      <c r="M94" s="39" t="s">
        <v>746</v>
      </c>
      <c r="N94" s="39" t="s">
        <v>755</v>
      </c>
      <c r="O94" s="39" t="s">
        <v>756</v>
      </c>
      <c r="P94" s="39" t="s">
        <v>755</v>
      </c>
      <c r="Q94" s="39" t="s">
        <v>756</v>
      </c>
      <c r="S94" s="39" t="s">
        <v>750</v>
      </c>
      <c r="T94" s="39" t="s">
        <v>750</v>
      </c>
      <c r="U94" s="39" t="s">
        <v>750</v>
      </c>
      <c r="V94" s="39" t="s">
        <v>750</v>
      </c>
      <c r="W94" s="39" t="s">
        <v>751</v>
      </c>
      <c r="X94" s="39" t="s">
        <v>751</v>
      </c>
    </row>
    <row r="95">
      <c r="A95" s="39" t="s">
        <v>739</v>
      </c>
      <c r="B95" s="39">
        <v>11587.0</v>
      </c>
      <c r="C95" s="39" t="s">
        <v>948</v>
      </c>
      <c r="D95" s="39">
        <v>7.0</v>
      </c>
      <c r="F95" s="39">
        <v>11296.0</v>
      </c>
      <c r="G95" s="39" t="s">
        <v>957</v>
      </c>
      <c r="H95" s="39">
        <v>4.0</v>
      </c>
      <c r="I95" s="39" t="s">
        <v>788</v>
      </c>
      <c r="J95" s="39" t="s">
        <v>958</v>
      </c>
      <c r="K95" s="39" t="s">
        <v>744</v>
      </c>
      <c r="L95" s="39" t="s">
        <v>959</v>
      </c>
      <c r="M95" s="39" t="s">
        <v>746</v>
      </c>
      <c r="N95" s="39" t="s">
        <v>755</v>
      </c>
      <c r="O95" s="39" t="s">
        <v>756</v>
      </c>
      <c r="P95" s="39" t="s">
        <v>755</v>
      </c>
      <c r="Q95" s="39" t="s">
        <v>756</v>
      </c>
      <c r="R95" s="39" t="s">
        <v>960</v>
      </c>
      <c r="S95" s="39" t="s">
        <v>750</v>
      </c>
      <c r="T95" s="39" t="s">
        <v>750</v>
      </c>
      <c r="U95" s="39" t="s">
        <v>751</v>
      </c>
      <c r="V95" s="39" t="s">
        <v>750</v>
      </c>
      <c r="W95" s="39" t="s">
        <v>751</v>
      </c>
      <c r="X95" s="39" t="s">
        <v>751</v>
      </c>
    </row>
    <row r="96">
      <c r="A96" s="39" t="s">
        <v>739</v>
      </c>
      <c r="B96" s="39">
        <v>11587.0</v>
      </c>
      <c r="C96" s="39" t="s">
        <v>948</v>
      </c>
      <c r="D96" s="39">
        <v>7.0</v>
      </c>
      <c r="F96" s="39">
        <v>13421.0</v>
      </c>
      <c r="G96" s="39" t="s">
        <v>949</v>
      </c>
      <c r="H96" s="39">
        <v>5.0</v>
      </c>
      <c r="I96" s="39" t="s">
        <v>742</v>
      </c>
      <c r="J96" s="39" t="s">
        <v>803</v>
      </c>
      <c r="K96" s="39" t="s">
        <v>744</v>
      </c>
      <c r="L96" s="39" t="s">
        <v>950</v>
      </c>
      <c r="M96" s="39" t="s">
        <v>746</v>
      </c>
      <c r="N96" s="39">
        <v>3.143744491E9</v>
      </c>
      <c r="O96" s="39" t="s">
        <v>805</v>
      </c>
      <c r="P96" s="39" t="s">
        <v>755</v>
      </c>
      <c r="Q96" s="39" t="s">
        <v>756</v>
      </c>
      <c r="R96" s="39" t="s">
        <v>951</v>
      </c>
      <c r="S96" s="39" t="s">
        <v>750</v>
      </c>
      <c r="T96" s="39" t="s">
        <v>750</v>
      </c>
      <c r="U96" s="39" t="s">
        <v>751</v>
      </c>
      <c r="V96" s="39" t="s">
        <v>751</v>
      </c>
      <c r="W96" s="39" t="s">
        <v>751</v>
      </c>
      <c r="X96" s="39" t="s">
        <v>751</v>
      </c>
    </row>
    <row r="97">
      <c r="A97" s="39" t="s">
        <v>739</v>
      </c>
      <c r="B97" s="39">
        <v>10024.0</v>
      </c>
      <c r="C97" s="39" t="s">
        <v>524</v>
      </c>
      <c r="D97" s="39">
        <v>8.0</v>
      </c>
      <c r="F97" s="39">
        <v>5615.0</v>
      </c>
      <c r="G97" s="39" t="s">
        <v>961</v>
      </c>
      <c r="H97" s="39">
        <v>1.0</v>
      </c>
      <c r="I97" s="39" t="s">
        <v>742</v>
      </c>
      <c r="J97" s="39" t="s">
        <v>743</v>
      </c>
      <c r="K97" s="39" t="s">
        <v>744</v>
      </c>
      <c r="L97" s="39" t="s">
        <v>962</v>
      </c>
      <c r="M97" s="39" t="s">
        <v>746</v>
      </c>
      <c r="N97" s="39" t="s">
        <v>755</v>
      </c>
      <c r="O97" s="39" t="s">
        <v>756</v>
      </c>
      <c r="P97" s="39" t="s">
        <v>755</v>
      </c>
      <c r="Q97" s="39" t="s">
        <v>756</v>
      </c>
      <c r="R97" s="39" t="s">
        <v>963</v>
      </c>
      <c r="S97" s="39" t="s">
        <v>751</v>
      </c>
      <c r="T97" s="39" t="s">
        <v>751</v>
      </c>
      <c r="U97" s="39" t="s">
        <v>751</v>
      </c>
      <c r="V97" s="39" t="s">
        <v>751</v>
      </c>
      <c r="W97" s="39" t="s">
        <v>751</v>
      </c>
      <c r="X97" s="39" t="s">
        <v>751</v>
      </c>
    </row>
    <row r="98">
      <c r="A98" s="39" t="s">
        <v>739</v>
      </c>
      <c r="B98" s="39">
        <v>11010.0</v>
      </c>
      <c r="C98" s="39" t="s">
        <v>964</v>
      </c>
      <c r="D98" s="39">
        <v>8.0</v>
      </c>
      <c r="F98" s="39">
        <v>7702.0</v>
      </c>
      <c r="G98" s="39" t="s">
        <v>965</v>
      </c>
      <c r="H98" s="39">
        <v>1.0</v>
      </c>
      <c r="I98" s="39" t="s">
        <v>742</v>
      </c>
      <c r="J98" s="39" t="s">
        <v>743</v>
      </c>
      <c r="K98" s="39" t="s">
        <v>744</v>
      </c>
      <c r="L98" s="39" t="s">
        <v>966</v>
      </c>
      <c r="M98" s="39" t="s">
        <v>746</v>
      </c>
      <c r="N98" s="39" t="s">
        <v>755</v>
      </c>
      <c r="O98" s="39" t="s">
        <v>756</v>
      </c>
      <c r="P98" s="39" t="s">
        <v>755</v>
      </c>
      <c r="Q98" s="39" t="s">
        <v>756</v>
      </c>
      <c r="R98" s="39" t="s">
        <v>967</v>
      </c>
      <c r="S98" s="39" t="s">
        <v>751</v>
      </c>
      <c r="T98" s="39" t="s">
        <v>751</v>
      </c>
      <c r="U98" s="39" t="s">
        <v>751</v>
      </c>
      <c r="V98" s="39" t="s">
        <v>751</v>
      </c>
      <c r="W98" s="39" t="s">
        <v>751</v>
      </c>
      <c r="X98" s="39" t="s">
        <v>751</v>
      </c>
    </row>
    <row r="99">
      <c r="A99" s="39" t="s">
        <v>739</v>
      </c>
      <c r="B99" s="39">
        <v>11010.0</v>
      </c>
      <c r="C99" s="39" t="s">
        <v>964</v>
      </c>
      <c r="D99" s="39">
        <v>8.0</v>
      </c>
      <c r="F99" s="39">
        <v>17455.0</v>
      </c>
      <c r="G99" s="39" t="s">
        <v>968</v>
      </c>
      <c r="H99" s="39">
        <v>2.0</v>
      </c>
      <c r="I99" s="39" t="s">
        <v>760</v>
      </c>
      <c r="J99" s="39" t="s">
        <v>768</v>
      </c>
      <c r="K99" s="39" t="s">
        <v>744</v>
      </c>
      <c r="L99" s="39" t="s">
        <v>969</v>
      </c>
      <c r="M99" s="39" t="s">
        <v>746</v>
      </c>
      <c r="N99" s="39" t="s">
        <v>755</v>
      </c>
      <c r="O99" s="39" t="s">
        <v>756</v>
      </c>
      <c r="P99" s="39" t="s">
        <v>755</v>
      </c>
      <c r="Q99" s="39" t="s">
        <v>756</v>
      </c>
      <c r="S99" s="39" t="s">
        <v>750</v>
      </c>
      <c r="T99" s="39" t="s">
        <v>750</v>
      </c>
      <c r="U99" s="39" t="s">
        <v>750</v>
      </c>
      <c r="V99" s="39" t="s">
        <v>750</v>
      </c>
      <c r="W99" s="39" t="s">
        <v>751</v>
      </c>
      <c r="X99" s="39" t="s">
        <v>751</v>
      </c>
    </row>
    <row r="100">
      <c r="A100" s="39" t="s">
        <v>739</v>
      </c>
      <c r="B100" s="39">
        <v>11010.0</v>
      </c>
      <c r="C100" s="39" t="s">
        <v>964</v>
      </c>
      <c r="D100" s="39">
        <v>8.0</v>
      </c>
      <c r="F100" s="39">
        <v>13383.0</v>
      </c>
      <c r="G100" s="39" t="s">
        <v>889</v>
      </c>
      <c r="H100" s="39">
        <v>3.0</v>
      </c>
      <c r="I100" s="39" t="s">
        <v>756</v>
      </c>
      <c r="K100" s="39" t="s">
        <v>744</v>
      </c>
      <c r="L100" s="39" t="s">
        <v>755</v>
      </c>
      <c r="M100" s="39" t="s">
        <v>756</v>
      </c>
      <c r="N100" s="39" t="s">
        <v>755</v>
      </c>
      <c r="O100" s="39" t="s">
        <v>756</v>
      </c>
      <c r="P100" s="39" t="s">
        <v>755</v>
      </c>
      <c r="Q100" s="39" t="s">
        <v>756</v>
      </c>
      <c r="R100" s="39" t="s">
        <v>967</v>
      </c>
      <c r="S100" s="39" t="s">
        <v>750</v>
      </c>
      <c r="T100" s="39" t="s">
        <v>750</v>
      </c>
      <c r="U100" s="39" t="s">
        <v>750</v>
      </c>
      <c r="V100" s="39" t="s">
        <v>750</v>
      </c>
      <c r="W100" s="39" t="s">
        <v>750</v>
      </c>
      <c r="X100" s="39" t="s">
        <v>750</v>
      </c>
    </row>
    <row r="101">
      <c r="A101" s="39" t="s">
        <v>739</v>
      </c>
      <c r="B101" s="39">
        <v>11010.0</v>
      </c>
      <c r="C101" s="39" t="s">
        <v>964</v>
      </c>
      <c r="D101" s="39">
        <v>8.0</v>
      </c>
      <c r="F101" s="39">
        <v>6602.0</v>
      </c>
      <c r="G101" s="39" t="s">
        <v>970</v>
      </c>
      <c r="H101" s="39">
        <v>4.0</v>
      </c>
      <c r="I101" s="39" t="s">
        <v>971</v>
      </c>
      <c r="K101" s="39" t="s">
        <v>744</v>
      </c>
      <c r="L101" s="39" t="s">
        <v>972</v>
      </c>
      <c r="M101" s="39" t="s">
        <v>746</v>
      </c>
      <c r="N101" s="39" t="s">
        <v>973</v>
      </c>
      <c r="O101" s="39" t="s">
        <v>746</v>
      </c>
      <c r="P101" s="39" t="s">
        <v>755</v>
      </c>
      <c r="Q101" s="39" t="s">
        <v>756</v>
      </c>
      <c r="R101" s="39" t="s">
        <v>974</v>
      </c>
      <c r="S101" s="39" t="s">
        <v>750</v>
      </c>
      <c r="T101" s="39" t="s">
        <v>750</v>
      </c>
      <c r="U101" s="39" t="s">
        <v>750</v>
      </c>
      <c r="V101" s="39" t="s">
        <v>750</v>
      </c>
      <c r="W101" s="39" t="s">
        <v>750</v>
      </c>
      <c r="X101" s="39" t="s">
        <v>750</v>
      </c>
    </row>
    <row r="102">
      <c r="A102" s="39" t="s">
        <v>739</v>
      </c>
      <c r="B102" s="39">
        <v>11010.0</v>
      </c>
      <c r="C102" s="39" t="s">
        <v>964</v>
      </c>
      <c r="D102" s="39">
        <v>8.0</v>
      </c>
      <c r="F102" s="39">
        <v>16502.0</v>
      </c>
      <c r="G102" s="39" t="s">
        <v>975</v>
      </c>
      <c r="H102" s="39">
        <v>5.0</v>
      </c>
      <c r="I102" s="39" t="s">
        <v>756</v>
      </c>
      <c r="K102" s="39" t="s">
        <v>744</v>
      </c>
      <c r="L102" s="39">
        <v>3.146596198E9</v>
      </c>
      <c r="M102" s="39" t="s">
        <v>805</v>
      </c>
      <c r="N102" s="39" t="s">
        <v>755</v>
      </c>
      <c r="O102" s="39" t="s">
        <v>756</v>
      </c>
      <c r="P102" s="39" t="s">
        <v>755</v>
      </c>
      <c r="Q102" s="39" t="s">
        <v>756</v>
      </c>
      <c r="S102" s="39" t="s">
        <v>750</v>
      </c>
      <c r="T102" s="39" t="s">
        <v>750</v>
      </c>
      <c r="U102" s="39" t="s">
        <v>750</v>
      </c>
      <c r="V102" s="39" t="s">
        <v>750</v>
      </c>
      <c r="W102" s="39" t="s">
        <v>750</v>
      </c>
      <c r="X102" s="39" t="s">
        <v>750</v>
      </c>
    </row>
    <row r="103">
      <c r="A103" s="39" t="s">
        <v>739</v>
      </c>
      <c r="B103" s="39">
        <v>10978.0</v>
      </c>
      <c r="C103" s="39" t="s">
        <v>976</v>
      </c>
      <c r="D103" s="39">
        <v>7.0</v>
      </c>
      <c r="F103" s="39">
        <v>7697.0</v>
      </c>
      <c r="G103" s="39" t="s">
        <v>977</v>
      </c>
      <c r="H103" s="39">
        <v>1.0</v>
      </c>
      <c r="I103" s="39" t="s">
        <v>753</v>
      </c>
      <c r="J103" s="39" t="s">
        <v>754</v>
      </c>
      <c r="K103" s="39" t="s">
        <v>744</v>
      </c>
      <c r="L103" s="39" t="s">
        <v>978</v>
      </c>
      <c r="M103" s="39" t="s">
        <v>746</v>
      </c>
      <c r="N103" s="39" t="s">
        <v>755</v>
      </c>
      <c r="O103" s="39" t="s">
        <v>756</v>
      </c>
      <c r="P103" s="39" t="s">
        <v>755</v>
      </c>
      <c r="Q103" s="39" t="s">
        <v>756</v>
      </c>
      <c r="R103" s="39" t="s">
        <v>979</v>
      </c>
      <c r="S103" s="39" t="s">
        <v>750</v>
      </c>
      <c r="T103" s="39" t="s">
        <v>751</v>
      </c>
      <c r="U103" s="39" t="s">
        <v>751</v>
      </c>
      <c r="V103" s="39" t="s">
        <v>751</v>
      </c>
      <c r="W103" s="39" t="s">
        <v>751</v>
      </c>
      <c r="X103" s="39" t="s">
        <v>751</v>
      </c>
    </row>
    <row r="104">
      <c r="A104" s="39" t="s">
        <v>739</v>
      </c>
      <c r="B104" s="39">
        <v>10978.0</v>
      </c>
      <c r="C104" s="39" t="s">
        <v>976</v>
      </c>
      <c r="D104" s="39">
        <v>7.0</v>
      </c>
      <c r="F104" s="39">
        <v>5615.0</v>
      </c>
      <c r="G104" s="39" t="s">
        <v>961</v>
      </c>
      <c r="H104" s="39">
        <v>2.0</v>
      </c>
      <c r="I104" s="39" t="s">
        <v>791</v>
      </c>
      <c r="J104" s="39" t="s">
        <v>768</v>
      </c>
      <c r="K104" s="39" t="s">
        <v>744</v>
      </c>
      <c r="L104" s="39" t="s">
        <v>962</v>
      </c>
      <c r="M104" s="39" t="s">
        <v>746</v>
      </c>
      <c r="N104" s="39" t="s">
        <v>755</v>
      </c>
      <c r="O104" s="39" t="s">
        <v>756</v>
      </c>
      <c r="P104" s="39" t="s">
        <v>755</v>
      </c>
      <c r="Q104" s="39" t="s">
        <v>756</v>
      </c>
      <c r="R104" s="39" t="s">
        <v>963</v>
      </c>
      <c r="S104" s="39" t="s">
        <v>750</v>
      </c>
      <c r="T104" s="39" t="s">
        <v>750</v>
      </c>
      <c r="U104" s="39" t="s">
        <v>751</v>
      </c>
      <c r="V104" s="39" t="s">
        <v>751</v>
      </c>
      <c r="W104" s="39" t="s">
        <v>751</v>
      </c>
      <c r="X104" s="39" t="s">
        <v>751</v>
      </c>
    </row>
    <row r="105">
      <c r="A105" s="39" t="s">
        <v>739</v>
      </c>
      <c r="B105" s="39">
        <v>10978.0</v>
      </c>
      <c r="C105" s="39" t="s">
        <v>976</v>
      </c>
      <c r="D105" s="39">
        <v>7.0</v>
      </c>
      <c r="F105" s="39">
        <v>13372.0</v>
      </c>
      <c r="G105" s="39" t="s">
        <v>889</v>
      </c>
      <c r="H105" s="39">
        <v>3.0</v>
      </c>
      <c r="I105" s="39" t="s">
        <v>756</v>
      </c>
      <c r="K105" s="39" t="s">
        <v>744</v>
      </c>
      <c r="L105" s="39" t="s">
        <v>755</v>
      </c>
      <c r="M105" s="39" t="s">
        <v>756</v>
      </c>
      <c r="N105" s="39" t="s">
        <v>755</v>
      </c>
      <c r="O105" s="39" t="s">
        <v>756</v>
      </c>
      <c r="P105" s="39" t="s">
        <v>755</v>
      </c>
      <c r="Q105" s="39" t="s">
        <v>756</v>
      </c>
      <c r="R105" s="39" t="s">
        <v>980</v>
      </c>
      <c r="S105" s="39" t="s">
        <v>750</v>
      </c>
      <c r="T105" s="39" t="s">
        <v>750</v>
      </c>
      <c r="U105" s="39" t="s">
        <v>750</v>
      </c>
      <c r="V105" s="39" t="s">
        <v>750</v>
      </c>
      <c r="W105" s="39" t="s">
        <v>750</v>
      </c>
      <c r="X105" s="39" t="s">
        <v>750</v>
      </c>
    </row>
    <row r="106">
      <c r="A106" s="39" t="s">
        <v>739</v>
      </c>
      <c r="B106" s="39">
        <v>10983.0</v>
      </c>
      <c r="C106" s="39" t="s">
        <v>530</v>
      </c>
      <c r="D106" s="39">
        <v>8.0</v>
      </c>
      <c r="F106" s="39">
        <v>7700.0</v>
      </c>
      <c r="G106" s="39" t="s">
        <v>981</v>
      </c>
      <c r="H106" s="39">
        <v>1.0</v>
      </c>
      <c r="I106" s="39" t="s">
        <v>742</v>
      </c>
      <c r="J106" s="39" t="s">
        <v>743</v>
      </c>
      <c r="K106" s="39" t="s">
        <v>744</v>
      </c>
      <c r="L106" s="39" t="s">
        <v>982</v>
      </c>
      <c r="M106" s="39" t="s">
        <v>746</v>
      </c>
      <c r="N106" s="39" t="s">
        <v>755</v>
      </c>
      <c r="O106" s="39" t="s">
        <v>756</v>
      </c>
      <c r="P106" s="39" t="s">
        <v>755</v>
      </c>
      <c r="Q106" s="39" t="s">
        <v>756</v>
      </c>
      <c r="R106" s="39" t="s">
        <v>983</v>
      </c>
      <c r="S106" s="39" t="s">
        <v>750</v>
      </c>
      <c r="T106" s="39" t="s">
        <v>751</v>
      </c>
      <c r="U106" s="39" t="s">
        <v>751</v>
      </c>
      <c r="V106" s="39" t="s">
        <v>751</v>
      </c>
      <c r="W106" s="39" t="s">
        <v>751</v>
      </c>
      <c r="X106" s="39" t="s">
        <v>751</v>
      </c>
    </row>
    <row r="107">
      <c r="A107" s="39" t="s">
        <v>739</v>
      </c>
      <c r="B107" s="39">
        <v>10983.0</v>
      </c>
      <c r="C107" s="39" t="s">
        <v>530</v>
      </c>
      <c r="D107" s="39">
        <v>8.0</v>
      </c>
      <c r="F107" s="39">
        <v>13374.0</v>
      </c>
      <c r="G107" s="39" t="s">
        <v>889</v>
      </c>
      <c r="H107" s="39">
        <v>3.0</v>
      </c>
      <c r="I107" s="39" t="s">
        <v>756</v>
      </c>
      <c r="K107" s="39" t="s">
        <v>744</v>
      </c>
      <c r="L107" s="39" t="s">
        <v>755</v>
      </c>
      <c r="M107" s="39" t="s">
        <v>756</v>
      </c>
      <c r="N107" s="39" t="s">
        <v>755</v>
      </c>
      <c r="O107" s="39" t="s">
        <v>756</v>
      </c>
      <c r="P107" s="39" t="s">
        <v>755</v>
      </c>
      <c r="Q107" s="39" t="s">
        <v>756</v>
      </c>
      <c r="R107" s="39" t="s">
        <v>983</v>
      </c>
      <c r="S107" s="39" t="s">
        <v>750</v>
      </c>
      <c r="T107" s="39" t="s">
        <v>750</v>
      </c>
      <c r="U107" s="39" t="s">
        <v>750</v>
      </c>
      <c r="V107" s="39" t="s">
        <v>750</v>
      </c>
      <c r="W107" s="39" t="s">
        <v>750</v>
      </c>
      <c r="X107" s="39" t="s">
        <v>750</v>
      </c>
    </row>
    <row r="108">
      <c r="A108" s="39" t="s">
        <v>739</v>
      </c>
      <c r="B108" s="39">
        <v>11593.0</v>
      </c>
      <c r="C108" s="39" t="s">
        <v>984</v>
      </c>
      <c r="D108" s="39">
        <v>7.0</v>
      </c>
      <c r="F108" s="39">
        <v>11307.0</v>
      </c>
      <c r="G108" s="39" t="s">
        <v>985</v>
      </c>
      <c r="H108" s="39">
        <v>1.0</v>
      </c>
      <c r="I108" s="39" t="s">
        <v>742</v>
      </c>
      <c r="J108" s="39" t="s">
        <v>743</v>
      </c>
      <c r="K108" s="39" t="s">
        <v>744</v>
      </c>
      <c r="L108" s="39" t="s">
        <v>986</v>
      </c>
      <c r="M108" s="39" t="s">
        <v>748</v>
      </c>
      <c r="N108" s="39" t="s">
        <v>755</v>
      </c>
      <c r="O108" s="39" t="s">
        <v>756</v>
      </c>
      <c r="P108" s="39" t="s">
        <v>755</v>
      </c>
      <c r="Q108" s="39" t="s">
        <v>756</v>
      </c>
      <c r="R108" s="39" t="s">
        <v>987</v>
      </c>
      <c r="S108" s="39" t="s">
        <v>750</v>
      </c>
      <c r="T108" s="39" t="s">
        <v>751</v>
      </c>
      <c r="U108" s="39" t="s">
        <v>751</v>
      </c>
      <c r="V108" s="39" t="s">
        <v>751</v>
      </c>
      <c r="W108" s="39" t="s">
        <v>750</v>
      </c>
      <c r="X108" s="39" t="s">
        <v>751</v>
      </c>
    </row>
    <row r="109">
      <c r="A109" s="39" t="s">
        <v>739</v>
      </c>
      <c r="B109" s="39">
        <v>11593.0</v>
      </c>
      <c r="C109" s="39" t="s">
        <v>984</v>
      </c>
      <c r="D109" s="39">
        <v>7.0</v>
      </c>
      <c r="F109" s="39">
        <v>11310.0</v>
      </c>
      <c r="G109" s="39" t="s">
        <v>988</v>
      </c>
      <c r="H109" s="39">
        <v>2.0</v>
      </c>
      <c r="I109" s="39" t="s">
        <v>758</v>
      </c>
      <c r="J109" s="39" t="s">
        <v>768</v>
      </c>
      <c r="K109" s="39" t="s">
        <v>744</v>
      </c>
      <c r="L109" s="39" t="s">
        <v>989</v>
      </c>
      <c r="M109" s="39" t="s">
        <v>746</v>
      </c>
      <c r="N109" s="39" t="s">
        <v>755</v>
      </c>
      <c r="O109" s="39" t="s">
        <v>756</v>
      </c>
      <c r="P109" s="39" t="s">
        <v>755</v>
      </c>
      <c r="Q109" s="39" t="s">
        <v>756</v>
      </c>
      <c r="S109" s="39" t="s">
        <v>750</v>
      </c>
      <c r="T109" s="39" t="s">
        <v>750</v>
      </c>
      <c r="U109" s="39" t="s">
        <v>750</v>
      </c>
      <c r="V109" s="39" t="s">
        <v>750</v>
      </c>
      <c r="W109" s="39" t="s">
        <v>751</v>
      </c>
      <c r="X109" s="39" t="s">
        <v>751</v>
      </c>
    </row>
    <row r="110">
      <c r="A110" s="39" t="s">
        <v>739</v>
      </c>
      <c r="B110" s="39">
        <v>11593.0</v>
      </c>
      <c r="C110" s="39" t="s">
        <v>984</v>
      </c>
      <c r="D110" s="39">
        <v>7.0</v>
      </c>
      <c r="F110" s="39">
        <v>11308.0</v>
      </c>
      <c r="G110" s="39" t="s">
        <v>990</v>
      </c>
      <c r="H110" s="39">
        <v>3.0</v>
      </c>
      <c r="I110" s="39" t="s">
        <v>788</v>
      </c>
      <c r="J110" s="39" t="s">
        <v>771</v>
      </c>
      <c r="K110" s="39" t="s">
        <v>744</v>
      </c>
      <c r="L110" s="39" t="s">
        <v>991</v>
      </c>
      <c r="M110" s="39" t="s">
        <v>746</v>
      </c>
      <c r="N110" s="39" t="s">
        <v>755</v>
      </c>
      <c r="O110" s="39" t="s">
        <v>756</v>
      </c>
      <c r="P110" s="39" t="s">
        <v>755</v>
      </c>
      <c r="Q110" s="39" t="s">
        <v>756</v>
      </c>
      <c r="R110" s="39" t="s">
        <v>992</v>
      </c>
      <c r="S110" s="39" t="s">
        <v>750</v>
      </c>
      <c r="T110" s="39" t="s">
        <v>750</v>
      </c>
      <c r="U110" s="39" t="s">
        <v>750</v>
      </c>
      <c r="V110" s="39" t="s">
        <v>750</v>
      </c>
      <c r="W110" s="39" t="s">
        <v>751</v>
      </c>
      <c r="X110" s="39" t="s">
        <v>751</v>
      </c>
    </row>
    <row r="111">
      <c r="A111" s="39" t="s">
        <v>739</v>
      </c>
      <c r="B111" s="39">
        <v>11593.0</v>
      </c>
      <c r="C111" s="39" t="s">
        <v>984</v>
      </c>
      <c r="D111" s="39">
        <v>7.0</v>
      </c>
      <c r="F111" s="39">
        <v>11309.0</v>
      </c>
      <c r="G111" s="39" t="s">
        <v>993</v>
      </c>
      <c r="H111" s="39">
        <v>4.0</v>
      </c>
      <c r="I111" s="39" t="s">
        <v>788</v>
      </c>
      <c r="J111" s="39" t="s">
        <v>958</v>
      </c>
      <c r="K111" s="39" t="s">
        <v>744</v>
      </c>
      <c r="L111" s="39" t="s">
        <v>994</v>
      </c>
      <c r="M111" s="39" t="s">
        <v>746</v>
      </c>
      <c r="N111" s="39" t="s">
        <v>755</v>
      </c>
      <c r="O111" s="39" t="s">
        <v>756</v>
      </c>
      <c r="P111" s="39" t="s">
        <v>755</v>
      </c>
      <c r="Q111" s="39" t="s">
        <v>756</v>
      </c>
      <c r="S111" s="39" t="s">
        <v>750</v>
      </c>
      <c r="T111" s="39" t="s">
        <v>750</v>
      </c>
      <c r="U111" s="39" t="s">
        <v>750</v>
      </c>
      <c r="V111" s="39" t="s">
        <v>750</v>
      </c>
      <c r="W111" s="39" t="s">
        <v>751</v>
      </c>
      <c r="X111" s="39" t="s">
        <v>751</v>
      </c>
    </row>
    <row r="112">
      <c r="A112" s="39" t="s">
        <v>739</v>
      </c>
      <c r="B112" s="39">
        <v>11593.0</v>
      </c>
      <c r="C112" s="39" t="s">
        <v>984</v>
      </c>
      <c r="D112" s="39">
        <v>7.0</v>
      </c>
      <c r="F112" s="39">
        <v>13428.0</v>
      </c>
      <c r="G112" s="39" t="s">
        <v>889</v>
      </c>
      <c r="H112" s="39">
        <v>5.0</v>
      </c>
      <c r="I112" s="39" t="s">
        <v>756</v>
      </c>
      <c r="K112" s="39" t="s">
        <v>744</v>
      </c>
      <c r="L112" s="39" t="s">
        <v>755</v>
      </c>
      <c r="M112" s="39" t="s">
        <v>756</v>
      </c>
      <c r="N112" s="39" t="s">
        <v>755</v>
      </c>
      <c r="O112" s="39" t="s">
        <v>756</v>
      </c>
      <c r="P112" s="39" t="s">
        <v>755</v>
      </c>
      <c r="Q112" s="39" t="s">
        <v>756</v>
      </c>
      <c r="R112" s="39" t="s">
        <v>987</v>
      </c>
      <c r="S112" s="39" t="s">
        <v>750</v>
      </c>
      <c r="T112" s="39" t="s">
        <v>750</v>
      </c>
      <c r="U112" s="39" t="s">
        <v>750</v>
      </c>
      <c r="V112" s="39" t="s">
        <v>750</v>
      </c>
      <c r="W112" s="39" t="s">
        <v>750</v>
      </c>
      <c r="X112" s="39" t="s">
        <v>750</v>
      </c>
    </row>
    <row r="113">
      <c r="A113" s="39" t="s">
        <v>739</v>
      </c>
      <c r="B113" s="39">
        <v>12051.0</v>
      </c>
      <c r="C113" s="39" t="s">
        <v>995</v>
      </c>
      <c r="D113" s="39">
        <v>6.0</v>
      </c>
      <c r="F113" s="39">
        <v>17905.0</v>
      </c>
      <c r="G113" s="39" t="s">
        <v>996</v>
      </c>
      <c r="H113" s="39">
        <v>1.0</v>
      </c>
      <c r="I113" s="39" t="s">
        <v>742</v>
      </c>
      <c r="J113" s="39" t="s">
        <v>743</v>
      </c>
      <c r="K113" s="39" t="s">
        <v>744</v>
      </c>
      <c r="L113" s="39" t="s">
        <v>997</v>
      </c>
      <c r="M113" s="39" t="s">
        <v>805</v>
      </c>
      <c r="N113" s="39" t="s">
        <v>998</v>
      </c>
      <c r="O113" s="39" t="s">
        <v>748</v>
      </c>
      <c r="P113" s="39" t="s">
        <v>755</v>
      </c>
      <c r="Q113" s="39" t="s">
        <v>756</v>
      </c>
      <c r="R113" s="39" t="s">
        <v>999</v>
      </c>
      <c r="S113" s="39" t="s">
        <v>750</v>
      </c>
      <c r="T113" s="39" t="s">
        <v>751</v>
      </c>
      <c r="U113" s="39" t="s">
        <v>751</v>
      </c>
      <c r="V113" s="39" t="s">
        <v>750</v>
      </c>
      <c r="W113" s="39" t="s">
        <v>751</v>
      </c>
      <c r="X113" s="39" t="s">
        <v>751</v>
      </c>
    </row>
    <row r="114">
      <c r="A114" s="39" t="s">
        <v>739</v>
      </c>
      <c r="B114" s="39">
        <v>12051.0</v>
      </c>
      <c r="C114" s="39" t="s">
        <v>995</v>
      </c>
      <c r="D114" s="39">
        <v>6.0</v>
      </c>
      <c r="F114" s="39">
        <v>17906.0</v>
      </c>
      <c r="G114" s="39" t="s">
        <v>1000</v>
      </c>
      <c r="H114" s="39">
        <v>2.0</v>
      </c>
      <c r="I114" s="39" t="s">
        <v>775</v>
      </c>
      <c r="J114" s="39" t="s">
        <v>768</v>
      </c>
      <c r="K114" s="39" t="s">
        <v>744</v>
      </c>
      <c r="L114" s="39" t="s">
        <v>1001</v>
      </c>
      <c r="M114" s="39" t="s">
        <v>746</v>
      </c>
      <c r="N114" s="39" t="s">
        <v>755</v>
      </c>
      <c r="O114" s="39" t="s">
        <v>756</v>
      </c>
      <c r="P114" s="39" t="s">
        <v>755</v>
      </c>
      <c r="Q114" s="39" t="s">
        <v>756</v>
      </c>
      <c r="S114" s="39" t="s">
        <v>750</v>
      </c>
      <c r="T114" s="39" t="s">
        <v>750</v>
      </c>
      <c r="U114" s="39" t="s">
        <v>750</v>
      </c>
      <c r="V114" s="39" t="s">
        <v>750</v>
      </c>
      <c r="W114" s="39" t="s">
        <v>751</v>
      </c>
      <c r="X114" s="39" t="s">
        <v>751</v>
      </c>
    </row>
    <row r="115">
      <c r="A115" s="39" t="s">
        <v>739</v>
      </c>
      <c r="B115" s="39">
        <v>12097.0</v>
      </c>
      <c r="C115" s="39" t="s">
        <v>1002</v>
      </c>
      <c r="D115" s="39">
        <v>7.0</v>
      </c>
      <c r="F115" s="39">
        <v>18256.0</v>
      </c>
      <c r="G115" s="39" t="s">
        <v>1003</v>
      </c>
      <c r="H115" s="39">
        <v>1.0</v>
      </c>
      <c r="I115" s="39" t="s">
        <v>753</v>
      </c>
      <c r="J115" s="39" t="s">
        <v>754</v>
      </c>
      <c r="K115" s="39" t="s">
        <v>744</v>
      </c>
      <c r="L115" s="39" t="s">
        <v>1004</v>
      </c>
      <c r="M115" s="39" t="s">
        <v>746</v>
      </c>
      <c r="N115" s="39" t="s">
        <v>755</v>
      </c>
      <c r="O115" s="39" t="s">
        <v>756</v>
      </c>
      <c r="P115" s="39" t="s">
        <v>755</v>
      </c>
      <c r="Q115" s="39" t="s">
        <v>756</v>
      </c>
      <c r="R115" s="39" t="s">
        <v>1005</v>
      </c>
      <c r="S115" s="39" t="s">
        <v>750</v>
      </c>
      <c r="T115" s="39" t="s">
        <v>750</v>
      </c>
      <c r="U115" s="39" t="s">
        <v>750</v>
      </c>
      <c r="V115" s="39" t="s">
        <v>750</v>
      </c>
      <c r="W115" s="39" t="s">
        <v>751</v>
      </c>
      <c r="X115" s="39" t="s">
        <v>751</v>
      </c>
    </row>
    <row r="116">
      <c r="A116" s="39" t="s">
        <v>739</v>
      </c>
      <c r="B116" s="39">
        <v>12097.0</v>
      </c>
      <c r="C116" s="39" t="s">
        <v>1002</v>
      </c>
      <c r="D116" s="39">
        <v>7.0</v>
      </c>
      <c r="F116" s="39">
        <v>18257.0</v>
      </c>
      <c r="G116" s="39" t="s">
        <v>1006</v>
      </c>
      <c r="H116" s="39">
        <v>2.0</v>
      </c>
      <c r="I116" s="39" t="s">
        <v>767</v>
      </c>
      <c r="J116" s="39" t="s">
        <v>768</v>
      </c>
      <c r="K116" s="39" t="s">
        <v>744</v>
      </c>
      <c r="L116" s="39" t="s">
        <v>1007</v>
      </c>
      <c r="M116" s="39" t="s">
        <v>746</v>
      </c>
      <c r="N116" s="39" t="s">
        <v>755</v>
      </c>
      <c r="O116" s="39" t="s">
        <v>756</v>
      </c>
      <c r="P116" s="39" t="s">
        <v>755</v>
      </c>
      <c r="Q116" s="39" t="s">
        <v>756</v>
      </c>
      <c r="R116" s="39" t="s">
        <v>1008</v>
      </c>
      <c r="S116" s="39" t="s">
        <v>750</v>
      </c>
      <c r="T116" s="39" t="s">
        <v>750</v>
      </c>
      <c r="U116" s="39" t="s">
        <v>750</v>
      </c>
      <c r="V116" s="39" t="s">
        <v>750</v>
      </c>
      <c r="W116" s="39" t="s">
        <v>751</v>
      </c>
      <c r="X116" s="39" t="s">
        <v>751</v>
      </c>
    </row>
    <row r="117">
      <c r="A117" s="39" t="s">
        <v>739</v>
      </c>
      <c r="B117" s="39">
        <v>12004.0</v>
      </c>
      <c r="C117" s="39" t="s">
        <v>1009</v>
      </c>
      <c r="D117" s="39">
        <v>6.0</v>
      </c>
      <c r="F117" s="39">
        <v>17719.0</v>
      </c>
      <c r="G117" s="39" t="s">
        <v>1010</v>
      </c>
      <c r="H117" s="39">
        <v>1.0</v>
      </c>
      <c r="I117" s="39" t="s">
        <v>742</v>
      </c>
      <c r="J117" s="39" t="s">
        <v>743</v>
      </c>
      <c r="K117" s="39" t="s">
        <v>744</v>
      </c>
      <c r="L117" s="39" t="s">
        <v>1011</v>
      </c>
      <c r="M117" s="39" t="s">
        <v>746</v>
      </c>
      <c r="N117" s="39" t="s">
        <v>755</v>
      </c>
      <c r="O117" s="39" t="s">
        <v>756</v>
      </c>
      <c r="P117" s="39" t="s">
        <v>755</v>
      </c>
      <c r="Q117" s="39" t="s">
        <v>756</v>
      </c>
      <c r="R117" s="39" t="s">
        <v>1012</v>
      </c>
      <c r="S117" s="39" t="s">
        <v>750</v>
      </c>
      <c r="T117" s="39" t="s">
        <v>751</v>
      </c>
      <c r="U117" s="39" t="s">
        <v>751</v>
      </c>
      <c r="V117" s="39" t="s">
        <v>750</v>
      </c>
      <c r="W117" s="39" t="s">
        <v>751</v>
      </c>
      <c r="X117" s="39" t="s">
        <v>751</v>
      </c>
    </row>
    <row r="118">
      <c r="A118" s="39" t="s">
        <v>739</v>
      </c>
      <c r="B118" s="39">
        <v>12004.0</v>
      </c>
      <c r="C118" s="39" t="s">
        <v>1009</v>
      </c>
      <c r="D118" s="39">
        <v>6.0</v>
      </c>
      <c r="F118" s="39">
        <v>17720.0</v>
      </c>
      <c r="G118" s="39" t="s">
        <v>1013</v>
      </c>
      <c r="H118" s="39">
        <v>2.0</v>
      </c>
      <c r="I118" s="39" t="s">
        <v>753</v>
      </c>
      <c r="J118" s="39" t="s">
        <v>754</v>
      </c>
      <c r="K118" s="39" t="s">
        <v>744</v>
      </c>
      <c r="L118" s="39" t="s">
        <v>1014</v>
      </c>
      <c r="M118" s="39" t="s">
        <v>746</v>
      </c>
      <c r="N118" s="39" t="s">
        <v>755</v>
      </c>
      <c r="O118" s="39" t="s">
        <v>756</v>
      </c>
      <c r="P118" s="39" t="s">
        <v>755</v>
      </c>
      <c r="Q118" s="39" t="s">
        <v>756</v>
      </c>
      <c r="S118" s="39" t="s">
        <v>750</v>
      </c>
      <c r="T118" s="39" t="s">
        <v>750</v>
      </c>
      <c r="U118" s="39" t="s">
        <v>750</v>
      </c>
      <c r="V118" s="39" t="s">
        <v>750</v>
      </c>
      <c r="W118" s="39" t="s">
        <v>751</v>
      </c>
      <c r="X118" s="39" t="s">
        <v>751</v>
      </c>
    </row>
    <row r="119">
      <c r="A119" s="39" t="s">
        <v>739</v>
      </c>
      <c r="B119" s="39">
        <v>12004.0</v>
      </c>
      <c r="C119" s="39" t="s">
        <v>1009</v>
      </c>
      <c r="D119" s="39">
        <v>6.0</v>
      </c>
      <c r="F119" s="39">
        <v>17722.0</v>
      </c>
      <c r="G119" s="39" t="s">
        <v>1015</v>
      </c>
      <c r="H119" s="39">
        <v>3.0</v>
      </c>
      <c r="I119" s="39" t="s">
        <v>753</v>
      </c>
      <c r="J119" s="39" t="s">
        <v>768</v>
      </c>
      <c r="K119" s="39" t="s">
        <v>744</v>
      </c>
      <c r="L119" s="39" t="s">
        <v>1016</v>
      </c>
      <c r="M119" s="39" t="s">
        <v>746</v>
      </c>
      <c r="N119" s="39" t="s">
        <v>755</v>
      </c>
      <c r="O119" s="39" t="s">
        <v>756</v>
      </c>
      <c r="P119" s="39" t="s">
        <v>755</v>
      </c>
      <c r="Q119" s="39" t="s">
        <v>756</v>
      </c>
      <c r="S119" s="39" t="s">
        <v>750</v>
      </c>
      <c r="T119" s="39" t="s">
        <v>750</v>
      </c>
      <c r="U119" s="39" t="s">
        <v>751</v>
      </c>
      <c r="V119" s="39" t="s">
        <v>750</v>
      </c>
      <c r="W119" s="39" t="s">
        <v>751</v>
      </c>
      <c r="X119" s="39" t="s">
        <v>751</v>
      </c>
    </row>
    <row r="120">
      <c r="A120" s="39" t="s">
        <v>739</v>
      </c>
      <c r="B120" s="39">
        <v>12004.0</v>
      </c>
      <c r="C120" s="39" t="s">
        <v>1009</v>
      </c>
      <c r="D120" s="39">
        <v>6.0</v>
      </c>
      <c r="F120" s="39">
        <v>17721.0</v>
      </c>
      <c r="G120" s="39" t="s">
        <v>1017</v>
      </c>
      <c r="H120" s="39">
        <v>4.0</v>
      </c>
      <c r="I120" s="39" t="s">
        <v>775</v>
      </c>
      <c r="J120" s="39" t="s">
        <v>771</v>
      </c>
      <c r="K120" s="39" t="s">
        <v>744</v>
      </c>
      <c r="L120" s="39" t="s">
        <v>1018</v>
      </c>
      <c r="M120" s="39" t="s">
        <v>748</v>
      </c>
      <c r="N120" s="39" t="s">
        <v>755</v>
      </c>
      <c r="O120" s="39" t="s">
        <v>756</v>
      </c>
      <c r="P120" s="39" t="s">
        <v>755</v>
      </c>
      <c r="Q120" s="39" t="s">
        <v>756</v>
      </c>
      <c r="S120" s="39" t="s">
        <v>750</v>
      </c>
      <c r="T120" s="39" t="s">
        <v>750</v>
      </c>
      <c r="U120" s="39" t="s">
        <v>750</v>
      </c>
      <c r="V120" s="39" t="s">
        <v>750</v>
      </c>
      <c r="W120" s="39" t="s">
        <v>751</v>
      </c>
      <c r="X120" s="39" t="s">
        <v>751</v>
      </c>
    </row>
    <row r="121">
      <c r="A121" s="39" t="s">
        <v>739</v>
      </c>
      <c r="B121" s="39">
        <v>11565.0</v>
      </c>
      <c r="C121" s="39" t="s">
        <v>1019</v>
      </c>
      <c r="D121" s="39">
        <v>6.0</v>
      </c>
      <c r="F121" s="39">
        <v>11255.0</v>
      </c>
      <c r="G121" s="39" t="s">
        <v>1020</v>
      </c>
      <c r="H121" s="39">
        <v>1.0</v>
      </c>
      <c r="I121" s="39" t="s">
        <v>742</v>
      </c>
      <c r="J121" s="39" t="s">
        <v>743</v>
      </c>
      <c r="K121" s="39" t="s">
        <v>744</v>
      </c>
      <c r="L121" s="39" t="s">
        <v>1021</v>
      </c>
      <c r="M121" s="39" t="s">
        <v>748</v>
      </c>
      <c r="N121" s="39" t="s">
        <v>755</v>
      </c>
      <c r="O121" s="39" t="s">
        <v>756</v>
      </c>
      <c r="P121" s="39" t="s">
        <v>755</v>
      </c>
      <c r="Q121" s="39" t="s">
        <v>756</v>
      </c>
      <c r="R121" s="39" t="s">
        <v>1022</v>
      </c>
      <c r="S121" s="39" t="s">
        <v>750</v>
      </c>
      <c r="T121" s="39" t="s">
        <v>750</v>
      </c>
      <c r="U121" s="39" t="s">
        <v>751</v>
      </c>
      <c r="V121" s="39" t="s">
        <v>750</v>
      </c>
      <c r="W121" s="39" t="s">
        <v>751</v>
      </c>
      <c r="X121" s="39" t="s">
        <v>751</v>
      </c>
    </row>
    <row r="122">
      <c r="A122" s="39" t="s">
        <v>739</v>
      </c>
      <c r="B122" s="39">
        <v>11565.0</v>
      </c>
      <c r="C122" s="39" t="s">
        <v>1019</v>
      </c>
      <c r="D122" s="39">
        <v>6.0</v>
      </c>
      <c r="F122" s="39">
        <v>17310.0</v>
      </c>
      <c r="G122" s="39" t="s">
        <v>1023</v>
      </c>
      <c r="H122" s="39">
        <v>2.0</v>
      </c>
      <c r="I122" s="39" t="s">
        <v>775</v>
      </c>
      <c r="J122" s="39" t="s">
        <v>768</v>
      </c>
      <c r="K122" s="39" t="s">
        <v>744</v>
      </c>
      <c r="L122" s="39" t="s">
        <v>1024</v>
      </c>
      <c r="M122" s="39" t="s">
        <v>746</v>
      </c>
      <c r="N122" s="39" t="s">
        <v>755</v>
      </c>
      <c r="O122" s="39" t="s">
        <v>756</v>
      </c>
      <c r="P122" s="39" t="s">
        <v>755</v>
      </c>
      <c r="Q122" s="39" t="s">
        <v>756</v>
      </c>
      <c r="S122" s="39" t="s">
        <v>750</v>
      </c>
      <c r="T122" s="39" t="s">
        <v>750</v>
      </c>
      <c r="U122" s="39" t="s">
        <v>750</v>
      </c>
      <c r="V122" s="39" t="s">
        <v>750</v>
      </c>
      <c r="W122" s="39" t="s">
        <v>751</v>
      </c>
      <c r="X122" s="39" t="s">
        <v>751</v>
      </c>
    </row>
    <row r="123">
      <c r="A123" s="39" t="s">
        <v>739</v>
      </c>
      <c r="B123" s="39">
        <v>11565.0</v>
      </c>
      <c r="C123" s="39" t="s">
        <v>1019</v>
      </c>
      <c r="D123" s="39">
        <v>6.0</v>
      </c>
      <c r="F123" s="39">
        <v>14801.0</v>
      </c>
      <c r="G123" s="39" t="s">
        <v>1020</v>
      </c>
      <c r="H123" s="39">
        <v>3.0</v>
      </c>
      <c r="I123" s="39" t="s">
        <v>756</v>
      </c>
      <c r="K123" s="39" t="s">
        <v>744</v>
      </c>
      <c r="L123" s="39" t="s">
        <v>755</v>
      </c>
      <c r="M123" s="39" t="s">
        <v>756</v>
      </c>
      <c r="N123" s="39" t="s">
        <v>755</v>
      </c>
      <c r="O123" s="39" t="s">
        <v>756</v>
      </c>
      <c r="P123" s="39" t="s">
        <v>755</v>
      </c>
      <c r="Q123" s="39" t="s">
        <v>756</v>
      </c>
      <c r="S123" s="39" t="s">
        <v>751</v>
      </c>
      <c r="T123" s="39" t="s">
        <v>750</v>
      </c>
      <c r="U123" s="39" t="s">
        <v>750</v>
      </c>
      <c r="V123" s="39" t="s">
        <v>750</v>
      </c>
      <c r="W123" s="39" t="s">
        <v>750</v>
      </c>
      <c r="X123" s="39" t="s">
        <v>750</v>
      </c>
    </row>
    <row r="124">
      <c r="A124" s="39" t="s">
        <v>739</v>
      </c>
      <c r="B124" s="39">
        <v>12113.0</v>
      </c>
      <c r="C124" s="39" t="s">
        <v>1025</v>
      </c>
      <c r="D124" s="39">
        <v>6.0</v>
      </c>
      <c r="F124" s="39">
        <v>18453.0</v>
      </c>
      <c r="G124" s="39" t="s">
        <v>1026</v>
      </c>
      <c r="H124" s="39">
        <v>1.0</v>
      </c>
      <c r="I124" s="39" t="s">
        <v>742</v>
      </c>
      <c r="J124" s="39" t="s">
        <v>743</v>
      </c>
      <c r="K124" s="39" t="s">
        <v>744</v>
      </c>
      <c r="L124" s="39" t="s">
        <v>1027</v>
      </c>
      <c r="M124" s="39" t="s">
        <v>746</v>
      </c>
      <c r="N124" s="39" t="s">
        <v>755</v>
      </c>
      <c r="O124" s="39" t="s">
        <v>756</v>
      </c>
      <c r="P124" s="39" t="s">
        <v>755</v>
      </c>
      <c r="Q124" s="39" t="s">
        <v>756</v>
      </c>
      <c r="R124" s="39" t="s">
        <v>1028</v>
      </c>
      <c r="S124" s="39" t="s">
        <v>750</v>
      </c>
      <c r="T124" s="39" t="s">
        <v>751</v>
      </c>
      <c r="U124" s="39" t="s">
        <v>751</v>
      </c>
      <c r="V124" s="39" t="s">
        <v>750</v>
      </c>
      <c r="W124" s="39" t="s">
        <v>751</v>
      </c>
      <c r="X124" s="39" t="s">
        <v>751</v>
      </c>
    </row>
    <row r="125">
      <c r="A125" s="39" t="s">
        <v>739</v>
      </c>
      <c r="B125" s="39">
        <v>12113.0</v>
      </c>
      <c r="C125" s="39" t="s">
        <v>1025</v>
      </c>
      <c r="D125" s="39">
        <v>6.0</v>
      </c>
      <c r="F125" s="39">
        <v>18454.0</v>
      </c>
      <c r="G125" s="39" t="s">
        <v>1029</v>
      </c>
      <c r="H125" s="39">
        <v>2.0</v>
      </c>
      <c r="I125" s="39" t="s">
        <v>791</v>
      </c>
      <c r="J125" s="39" t="s">
        <v>768</v>
      </c>
      <c r="K125" s="39" t="s">
        <v>744</v>
      </c>
      <c r="L125" s="39" t="s">
        <v>1030</v>
      </c>
      <c r="M125" s="39" t="s">
        <v>805</v>
      </c>
      <c r="N125" s="39" t="s">
        <v>755</v>
      </c>
      <c r="O125" s="39" t="s">
        <v>756</v>
      </c>
      <c r="P125" s="39" t="s">
        <v>755</v>
      </c>
      <c r="Q125" s="39" t="s">
        <v>756</v>
      </c>
      <c r="S125" s="39" t="s">
        <v>750</v>
      </c>
      <c r="T125" s="39" t="s">
        <v>750</v>
      </c>
      <c r="U125" s="39" t="s">
        <v>750</v>
      </c>
      <c r="V125" s="39" t="s">
        <v>750</v>
      </c>
      <c r="W125" s="39" t="s">
        <v>751</v>
      </c>
      <c r="X125" s="39" t="s">
        <v>751</v>
      </c>
    </row>
    <row r="126">
      <c r="A126" s="39" t="s">
        <v>739</v>
      </c>
      <c r="B126" s="39">
        <v>10979.0</v>
      </c>
      <c r="C126" s="39" t="s">
        <v>1031</v>
      </c>
      <c r="D126" s="39">
        <v>7.0</v>
      </c>
      <c r="F126" s="39">
        <v>16980.0</v>
      </c>
      <c r="G126" s="39" t="s">
        <v>1032</v>
      </c>
      <c r="H126" s="39">
        <v>1.0</v>
      </c>
      <c r="I126" s="39" t="s">
        <v>742</v>
      </c>
      <c r="J126" s="39" t="s">
        <v>743</v>
      </c>
      <c r="K126" s="39" t="s">
        <v>744</v>
      </c>
      <c r="L126" s="39" t="s">
        <v>1033</v>
      </c>
      <c r="M126" s="39" t="s">
        <v>746</v>
      </c>
      <c r="N126" s="39" t="s">
        <v>755</v>
      </c>
      <c r="O126" s="39" t="s">
        <v>756</v>
      </c>
      <c r="P126" s="39" t="s">
        <v>755</v>
      </c>
      <c r="Q126" s="39" t="s">
        <v>756</v>
      </c>
      <c r="R126" s="39" t="s">
        <v>1034</v>
      </c>
      <c r="S126" s="39" t="s">
        <v>750</v>
      </c>
      <c r="T126" s="39" t="s">
        <v>751</v>
      </c>
      <c r="U126" s="39" t="s">
        <v>751</v>
      </c>
      <c r="V126" s="39" t="s">
        <v>750</v>
      </c>
      <c r="W126" s="39" t="s">
        <v>751</v>
      </c>
      <c r="X126" s="39" t="s">
        <v>751</v>
      </c>
    </row>
    <row r="127">
      <c r="A127" s="39" t="s">
        <v>739</v>
      </c>
      <c r="B127" s="39">
        <v>10979.0</v>
      </c>
      <c r="C127" s="39" t="s">
        <v>1031</v>
      </c>
      <c r="D127" s="39">
        <v>7.0</v>
      </c>
      <c r="F127" s="39">
        <v>16981.0</v>
      </c>
      <c r="G127" s="39" t="s">
        <v>1035</v>
      </c>
      <c r="H127" s="39">
        <v>2.0</v>
      </c>
      <c r="I127" s="39" t="s">
        <v>775</v>
      </c>
      <c r="J127" s="39" t="s">
        <v>768</v>
      </c>
      <c r="K127" s="39" t="s">
        <v>744</v>
      </c>
      <c r="L127" s="39" t="s">
        <v>1036</v>
      </c>
      <c r="M127" s="39" t="s">
        <v>746</v>
      </c>
      <c r="N127" s="39" t="s">
        <v>755</v>
      </c>
      <c r="O127" s="39" t="s">
        <v>756</v>
      </c>
      <c r="P127" s="39" t="s">
        <v>755</v>
      </c>
      <c r="Q127" s="39" t="s">
        <v>756</v>
      </c>
      <c r="S127" s="39" t="s">
        <v>750</v>
      </c>
      <c r="T127" s="39" t="s">
        <v>750</v>
      </c>
      <c r="U127" s="39" t="s">
        <v>751</v>
      </c>
      <c r="V127" s="39" t="s">
        <v>750</v>
      </c>
      <c r="W127" s="39" t="s">
        <v>751</v>
      </c>
      <c r="X127" s="39" t="s">
        <v>751</v>
      </c>
    </row>
    <row r="128">
      <c r="A128" s="39" t="s">
        <v>739</v>
      </c>
      <c r="B128" s="39">
        <v>11989.0</v>
      </c>
      <c r="C128" s="39" t="s">
        <v>1037</v>
      </c>
      <c r="D128" s="39">
        <v>7.0</v>
      </c>
      <c r="F128" s="39">
        <v>17586.0</v>
      </c>
      <c r="G128" s="39" t="s">
        <v>1038</v>
      </c>
      <c r="H128" s="39">
        <v>1.0</v>
      </c>
      <c r="I128" s="39" t="s">
        <v>854</v>
      </c>
      <c r="J128" s="39" t="s">
        <v>768</v>
      </c>
      <c r="K128" s="39" t="s">
        <v>744</v>
      </c>
      <c r="L128" s="39" t="s">
        <v>1039</v>
      </c>
      <c r="M128" s="39" t="s">
        <v>746</v>
      </c>
      <c r="N128" s="39" t="s">
        <v>1040</v>
      </c>
      <c r="O128" s="39" t="s">
        <v>748</v>
      </c>
      <c r="P128" s="39" t="s">
        <v>755</v>
      </c>
      <c r="Q128" s="39" t="s">
        <v>756</v>
      </c>
      <c r="R128" s="39" t="s">
        <v>1041</v>
      </c>
      <c r="S128" s="39" t="s">
        <v>750</v>
      </c>
      <c r="T128" s="39" t="s">
        <v>750</v>
      </c>
      <c r="U128" s="39" t="s">
        <v>750</v>
      </c>
      <c r="V128" s="39" t="s">
        <v>750</v>
      </c>
      <c r="W128" s="39" t="s">
        <v>751</v>
      </c>
      <c r="X128" s="39" t="s">
        <v>751</v>
      </c>
    </row>
    <row r="129">
      <c r="A129" s="39" t="s">
        <v>739</v>
      </c>
      <c r="B129" s="39">
        <v>11989.0</v>
      </c>
      <c r="C129" s="39" t="s">
        <v>1037</v>
      </c>
      <c r="D129" s="39">
        <v>7.0</v>
      </c>
      <c r="F129" s="39">
        <v>17587.0</v>
      </c>
      <c r="G129" s="39" t="s">
        <v>1042</v>
      </c>
      <c r="H129" s="39">
        <v>2.0</v>
      </c>
      <c r="I129" s="39" t="s">
        <v>758</v>
      </c>
      <c r="J129" s="39" t="s">
        <v>771</v>
      </c>
      <c r="K129" s="39" t="s">
        <v>744</v>
      </c>
      <c r="L129" s="39" t="s">
        <v>1043</v>
      </c>
      <c r="M129" s="39" t="s">
        <v>746</v>
      </c>
      <c r="N129" s="39" t="s">
        <v>755</v>
      </c>
      <c r="O129" s="39" t="s">
        <v>756</v>
      </c>
      <c r="P129" s="39" t="s">
        <v>755</v>
      </c>
      <c r="Q129" s="39" t="s">
        <v>756</v>
      </c>
      <c r="S129" s="39" t="s">
        <v>750</v>
      </c>
      <c r="T129" s="39" t="s">
        <v>750</v>
      </c>
      <c r="U129" s="39" t="s">
        <v>750</v>
      </c>
      <c r="V129" s="39" t="s">
        <v>750</v>
      </c>
      <c r="W129" s="39" t="s">
        <v>751</v>
      </c>
      <c r="X129" s="39" t="s">
        <v>751</v>
      </c>
    </row>
    <row r="130">
      <c r="A130" s="39" t="s">
        <v>739</v>
      </c>
      <c r="B130" s="39">
        <v>11009.0</v>
      </c>
      <c r="C130" s="39" t="s">
        <v>533</v>
      </c>
      <c r="D130" s="39">
        <v>8.0</v>
      </c>
      <c r="F130" s="39">
        <v>7685.0</v>
      </c>
      <c r="G130" s="39" t="s">
        <v>1044</v>
      </c>
      <c r="H130" s="39">
        <v>1.0</v>
      </c>
      <c r="I130" s="39" t="s">
        <v>742</v>
      </c>
      <c r="J130" s="39" t="s">
        <v>743</v>
      </c>
      <c r="K130" s="39" t="s">
        <v>744</v>
      </c>
      <c r="L130" s="39" t="s">
        <v>1045</v>
      </c>
      <c r="M130" s="39" t="s">
        <v>746</v>
      </c>
      <c r="N130" s="39" t="s">
        <v>755</v>
      </c>
      <c r="O130" s="39" t="s">
        <v>756</v>
      </c>
      <c r="P130" s="39" t="s">
        <v>755</v>
      </c>
      <c r="Q130" s="39" t="s">
        <v>756</v>
      </c>
      <c r="R130" s="39" t="s">
        <v>1046</v>
      </c>
      <c r="S130" s="39" t="s">
        <v>750</v>
      </c>
      <c r="T130" s="39" t="s">
        <v>751</v>
      </c>
      <c r="U130" s="39" t="s">
        <v>751</v>
      </c>
      <c r="V130" s="39" t="s">
        <v>751</v>
      </c>
      <c r="W130" s="39" t="s">
        <v>751</v>
      </c>
      <c r="X130" s="39" t="s">
        <v>750</v>
      </c>
    </row>
    <row r="131">
      <c r="A131" s="39" t="s">
        <v>739</v>
      </c>
      <c r="B131" s="39">
        <v>11009.0</v>
      </c>
      <c r="C131" s="39" t="s">
        <v>533</v>
      </c>
      <c r="D131" s="39">
        <v>8.0</v>
      </c>
      <c r="F131" s="39">
        <v>13381.0</v>
      </c>
      <c r="G131" s="39" t="s">
        <v>889</v>
      </c>
      <c r="H131" s="39">
        <v>2.0</v>
      </c>
      <c r="I131" s="39" t="s">
        <v>756</v>
      </c>
      <c r="K131" s="39" t="s">
        <v>744</v>
      </c>
      <c r="L131" s="39" t="s">
        <v>755</v>
      </c>
      <c r="M131" s="39" t="s">
        <v>756</v>
      </c>
      <c r="N131" s="39" t="s">
        <v>755</v>
      </c>
      <c r="O131" s="39" t="s">
        <v>756</v>
      </c>
      <c r="P131" s="39" t="s">
        <v>755</v>
      </c>
      <c r="Q131" s="39" t="s">
        <v>756</v>
      </c>
      <c r="R131" s="39" t="s">
        <v>1046</v>
      </c>
      <c r="S131" s="39" t="s">
        <v>750</v>
      </c>
      <c r="T131" s="39" t="s">
        <v>750</v>
      </c>
      <c r="U131" s="39" t="s">
        <v>750</v>
      </c>
      <c r="V131" s="39" t="s">
        <v>750</v>
      </c>
      <c r="W131" s="39" t="s">
        <v>750</v>
      </c>
      <c r="X131" s="39" t="s">
        <v>750</v>
      </c>
    </row>
    <row r="132">
      <c r="A132" s="39" t="s">
        <v>739</v>
      </c>
      <c r="B132" s="39">
        <v>11957.0</v>
      </c>
      <c r="C132" s="39" t="s">
        <v>536</v>
      </c>
      <c r="D132" s="39">
        <v>8.0</v>
      </c>
      <c r="F132" s="39">
        <v>17358.0</v>
      </c>
      <c r="G132" s="39" t="s">
        <v>891</v>
      </c>
      <c r="H132" s="39">
        <v>1.0</v>
      </c>
      <c r="I132" s="39" t="s">
        <v>775</v>
      </c>
      <c r="J132" s="39" t="s">
        <v>768</v>
      </c>
      <c r="K132" s="39" t="s">
        <v>744</v>
      </c>
      <c r="L132" s="39" t="s">
        <v>892</v>
      </c>
      <c r="M132" s="39" t="s">
        <v>746</v>
      </c>
      <c r="N132" s="39" t="s">
        <v>755</v>
      </c>
      <c r="O132" s="39" t="s">
        <v>756</v>
      </c>
      <c r="P132" s="39" t="s">
        <v>755</v>
      </c>
      <c r="Q132" s="39" t="s">
        <v>756</v>
      </c>
      <c r="S132" s="39" t="s">
        <v>750</v>
      </c>
      <c r="T132" s="39" t="s">
        <v>750</v>
      </c>
      <c r="U132" s="39" t="s">
        <v>750</v>
      </c>
      <c r="V132" s="39" t="s">
        <v>750</v>
      </c>
      <c r="W132" s="39" t="s">
        <v>751</v>
      </c>
      <c r="X132" s="39" t="s">
        <v>751</v>
      </c>
    </row>
    <row r="133">
      <c r="A133" s="39" t="s">
        <v>739</v>
      </c>
      <c r="B133" s="39">
        <v>11957.0</v>
      </c>
      <c r="C133" s="39" t="s">
        <v>536</v>
      </c>
      <c r="D133" s="39">
        <v>8.0</v>
      </c>
      <c r="F133" s="39">
        <v>17357.0</v>
      </c>
      <c r="G133" s="39" t="s">
        <v>893</v>
      </c>
      <c r="H133" s="39">
        <v>2.0</v>
      </c>
      <c r="I133" s="39" t="s">
        <v>742</v>
      </c>
      <c r="J133" s="39" t="s">
        <v>743</v>
      </c>
      <c r="K133" s="39" t="s">
        <v>744</v>
      </c>
      <c r="L133" s="39" t="s">
        <v>894</v>
      </c>
      <c r="M133" s="39" t="s">
        <v>746</v>
      </c>
      <c r="N133" s="39" t="s">
        <v>755</v>
      </c>
      <c r="O133" s="39" t="s">
        <v>756</v>
      </c>
      <c r="P133" s="39" t="s">
        <v>755</v>
      </c>
      <c r="Q133" s="39" t="s">
        <v>756</v>
      </c>
      <c r="R133" s="39" t="s">
        <v>895</v>
      </c>
      <c r="S133" s="39" t="s">
        <v>750</v>
      </c>
      <c r="T133" s="39" t="s">
        <v>751</v>
      </c>
      <c r="U133" s="39" t="s">
        <v>751</v>
      </c>
      <c r="V133" s="39" t="s">
        <v>750</v>
      </c>
      <c r="W133" s="39" t="s">
        <v>751</v>
      </c>
      <c r="X133" s="39" t="s">
        <v>751</v>
      </c>
    </row>
    <row r="134">
      <c r="A134" s="39" t="s">
        <v>739</v>
      </c>
      <c r="B134" s="39">
        <v>11957.0</v>
      </c>
      <c r="C134" s="39" t="s">
        <v>536</v>
      </c>
      <c r="D134" s="39">
        <v>8.0</v>
      </c>
      <c r="F134" s="39">
        <v>17359.0</v>
      </c>
      <c r="G134" s="39" t="s">
        <v>896</v>
      </c>
      <c r="H134" s="39">
        <v>3.0</v>
      </c>
      <c r="I134" s="39" t="s">
        <v>788</v>
      </c>
      <c r="J134" s="39" t="s">
        <v>771</v>
      </c>
      <c r="K134" s="39" t="s">
        <v>744</v>
      </c>
      <c r="L134" s="39" t="s">
        <v>897</v>
      </c>
      <c r="M134" s="39" t="s">
        <v>746</v>
      </c>
      <c r="N134" s="39" t="s">
        <v>755</v>
      </c>
      <c r="O134" s="39" t="s">
        <v>756</v>
      </c>
      <c r="P134" s="39" t="s">
        <v>755</v>
      </c>
      <c r="Q134" s="39" t="s">
        <v>756</v>
      </c>
      <c r="S134" s="39" t="s">
        <v>750</v>
      </c>
      <c r="T134" s="39" t="s">
        <v>750</v>
      </c>
      <c r="U134" s="39" t="s">
        <v>751</v>
      </c>
      <c r="V134" s="39" t="s">
        <v>750</v>
      </c>
      <c r="W134" s="39" t="s">
        <v>751</v>
      </c>
      <c r="X134" s="39" t="s">
        <v>751</v>
      </c>
    </row>
    <row r="135">
      <c r="A135" s="39" t="s">
        <v>739</v>
      </c>
      <c r="B135" s="39">
        <v>11917.0</v>
      </c>
      <c r="C135" s="39" t="s">
        <v>1047</v>
      </c>
      <c r="D135" s="39">
        <v>7.0</v>
      </c>
      <c r="F135" s="39">
        <v>17140.0</v>
      </c>
      <c r="G135" s="39" t="s">
        <v>1048</v>
      </c>
      <c r="H135" s="39">
        <v>1.0</v>
      </c>
      <c r="I135" s="39" t="s">
        <v>742</v>
      </c>
      <c r="J135" s="39" t="s">
        <v>743</v>
      </c>
      <c r="K135" s="39" t="s">
        <v>744</v>
      </c>
      <c r="L135" s="39" t="s">
        <v>1049</v>
      </c>
      <c r="M135" s="39" t="s">
        <v>746</v>
      </c>
      <c r="N135" s="39" t="s">
        <v>755</v>
      </c>
      <c r="O135" s="39" t="s">
        <v>756</v>
      </c>
      <c r="P135" s="39" t="s">
        <v>755</v>
      </c>
      <c r="Q135" s="39" t="s">
        <v>756</v>
      </c>
      <c r="R135" s="39" t="s">
        <v>1050</v>
      </c>
      <c r="S135" s="39" t="s">
        <v>750</v>
      </c>
      <c r="T135" s="39" t="s">
        <v>751</v>
      </c>
      <c r="U135" s="39" t="s">
        <v>751</v>
      </c>
      <c r="V135" s="39" t="s">
        <v>750</v>
      </c>
      <c r="W135" s="39" t="s">
        <v>751</v>
      </c>
      <c r="X135" s="39" t="s">
        <v>751</v>
      </c>
    </row>
    <row r="136">
      <c r="A136" s="39" t="s">
        <v>739</v>
      </c>
      <c r="B136" s="39">
        <v>11928.0</v>
      </c>
      <c r="C136" s="39" t="s">
        <v>1051</v>
      </c>
      <c r="D136" s="39">
        <v>5.0</v>
      </c>
      <c r="F136" s="39">
        <v>17162.0</v>
      </c>
      <c r="G136" s="39" t="s">
        <v>1052</v>
      </c>
      <c r="H136" s="39">
        <v>1.0</v>
      </c>
      <c r="I136" s="39" t="s">
        <v>742</v>
      </c>
      <c r="J136" s="39" t="s">
        <v>743</v>
      </c>
      <c r="K136" s="39" t="s">
        <v>744</v>
      </c>
      <c r="L136" s="39" t="s">
        <v>1053</v>
      </c>
      <c r="M136" s="39" t="s">
        <v>746</v>
      </c>
      <c r="N136" s="39" t="s">
        <v>755</v>
      </c>
      <c r="O136" s="39" t="s">
        <v>756</v>
      </c>
      <c r="P136" s="39" t="s">
        <v>755</v>
      </c>
      <c r="Q136" s="39" t="s">
        <v>756</v>
      </c>
      <c r="R136" s="39" t="s">
        <v>1054</v>
      </c>
      <c r="S136" s="39" t="s">
        <v>750</v>
      </c>
      <c r="T136" s="39" t="s">
        <v>751</v>
      </c>
      <c r="U136" s="39" t="s">
        <v>751</v>
      </c>
      <c r="V136" s="39" t="s">
        <v>750</v>
      </c>
      <c r="W136" s="39" t="s">
        <v>751</v>
      </c>
      <c r="X136" s="39" t="s">
        <v>751</v>
      </c>
    </row>
    <row r="137">
      <c r="A137" s="39" t="s">
        <v>739</v>
      </c>
      <c r="B137" s="39">
        <v>11928.0</v>
      </c>
      <c r="C137" s="39" t="s">
        <v>1051</v>
      </c>
      <c r="D137" s="39">
        <v>5.0</v>
      </c>
      <c r="F137" s="39">
        <v>17163.0</v>
      </c>
      <c r="G137" s="39" t="s">
        <v>1055</v>
      </c>
      <c r="H137" s="39">
        <v>2.0</v>
      </c>
      <c r="I137" s="39" t="s">
        <v>753</v>
      </c>
      <c r="J137" s="39" t="s">
        <v>754</v>
      </c>
      <c r="K137" s="39" t="s">
        <v>744</v>
      </c>
      <c r="L137" s="39" t="s">
        <v>1056</v>
      </c>
      <c r="M137" s="39" t="s">
        <v>746</v>
      </c>
      <c r="N137" s="39" t="s">
        <v>755</v>
      </c>
      <c r="O137" s="39" t="s">
        <v>756</v>
      </c>
      <c r="P137" s="39" t="s">
        <v>755</v>
      </c>
      <c r="Q137" s="39" t="s">
        <v>756</v>
      </c>
      <c r="S137" s="39" t="s">
        <v>750</v>
      </c>
      <c r="T137" s="39" t="s">
        <v>751</v>
      </c>
      <c r="U137" s="39" t="s">
        <v>751</v>
      </c>
      <c r="V137" s="39" t="s">
        <v>750</v>
      </c>
      <c r="W137" s="39" t="s">
        <v>751</v>
      </c>
      <c r="X137" s="39" t="s">
        <v>751</v>
      </c>
    </row>
    <row r="138">
      <c r="A138" s="39" t="s">
        <v>739</v>
      </c>
      <c r="B138" s="39">
        <v>11928.0</v>
      </c>
      <c r="C138" s="39" t="s">
        <v>1051</v>
      </c>
      <c r="D138" s="39">
        <v>5.0</v>
      </c>
      <c r="F138" s="39">
        <v>17164.0</v>
      </c>
      <c r="G138" s="39" t="s">
        <v>1057</v>
      </c>
      <c r="H138" s="39">
        <v>3.0</v>
      </c>
      <c r="I138" s="39" t="s">
        <v>791</v>
      </c>
      <c r="J138" s="39" t="s">
        <v>768</v>
      </c>
      <c r="K138" s="39" t="s">
        <v>744</v>
      </c>
      <c r="L138" s="39" t="s">
        <v>1058</v>
      </c>
      <c r="M138" s="39" t="s">
        <v>746</v>
      </c>
      <c r="N138" s="39" t="s">
        <v>755</v>
      </c>
      <c r="O138" s="39" t="s">
        <v>756</v>
      </c>
      <c r="P138" s="39" t="s">
        <v>755</v>
      </c>
      <c r="Q138" s="39" t="s">
        <v>756</v>
      </c>
      <c r="S138" s="39" t="s">
        <v>750</v>
      </c>
      <c r="T138" s="39" t="s">
        <v>750</v>
      </c>
      <c r="U138" s="39" t="s">
        <v>750</v>
      </c>
      <c r="V138" s="39" t="s">
        <v>750</v>
      </c>
      <c r="W138" s="39" t="s">
        <v>751</v>
      </c>
      <c r="X138" s="39" t="s">
        <v>751</v>
      </c>
    </row>
    <row r="139">
      <c r="A139" s="39" t="s">
        <v>739</v>
      </c>
      <c r="B139" s="39">
        <v>11581.0</v>
      </c>
      <c r="C139" s="39" t="s">
        <v>1059</v>
      </c>
      <c r="D139" s="39">
        <v>7.0</v>
      </c>
      <c r="F139" s="39">
        <v>10757.0</v>
      </c>
      <c r="G139" s="39" t="s">
        <v>1060</v>
      </c>
      <c r="H139" s="39">
        <v>1.0</v>
      </c>
      <c r="I139" s="39" t="s">
        <v>742</v>
      </c>
      <c r="J139" s="39" t="s">
        <v>743</v>
      </c>
      <c r="K139" s="39" t="s">
        <v>744</v>
      </c>
      <c r="L139" s="39" t="s">
        <v>1061</v>
      </c>
      <c r="M139" s="39" t="s">
        <v>746</v>
      </c>
      <c r="N139" s="39" t="s">
        <v>1062</v>
      </c>
      <c r="O139" s="39" t="s">
        <v>748</v>
      </c>
      <c r="P139" s="39" t="s">
        <v>1063</v>
      </c>
      <c r="Q139" s="39" t="s">
        <v>748</v>
      </c>
      <c r="R139" s="39" t="s">
        <v>1064</v>
      </c>
      <c r="S139" s="39" t="s">
        <v>750</v>
      </c>
      <c r="T139" s="39" t="s">
        <v>751</v>
      </c>
      <c r="U139" s="39" t="s">
        <v>751</v>
      </c>
      <c r="V139" s="39" t="s">
        <v>751</v>
      </c>
      <c r="W139" s="39" t="s">
        <v>751</v>
      </c>
      <c r="X139" s="39" t="s">
        <v>751</v>
      </c>
    </row>
    <row r="140">
      <c r="A140" s="39" t="s">
        <v>739</v>
      </c>
      <c r="B140" s="39">
        <v>11581.0</v>
      </c>
      <c r="C140" s="39" t="s">
        <v>1059</v>
      </c>
      <c r="D140" s="39">
        <v>7.0</v>
      </c>
      <c r="F140" s="39">
        <v>10754.0</v>
      </c>
      <c r="G140" s="39" t="s">
        <v>1065</v>
      </c>
      <c r="H140" s="39">
        <v>2.0</v>
      </c>
      <c r="I140" s="39" t="s">
        <v>758</v>
      </c>
      <c r="J140" s="39" t="s">
        <v>768</v>
      </c>
      <c r="K140" s="39" t="s">
        <v>744</v>
      </c>
      <c r="L140" s="39" t="s">
        <v>1066</v>
      </c>
      <c r="M140" s="39" t="s">
        <v>748</v>
      </c>
      <c r="N140" s="39" t="s">
        <v>1067</v>
      </c>
      <c r="O140" s="39" t="s">
        <v>746</v>
      </c>
      <c r="P140" s="39" t="s">
        <v>1068</v>
      </c>
      <c r="Q140" s="39" t="s">
        <v>748</v>
      </c>
      <c r="R140" s="39" t="s">
        <v>1069</v>
      </c>
      <c r="S140" s="39" t="s">
        <v>750</v>
      </c>
      <c r="T140" s="39" t="s">
        <v>750</v>
      </c>
      <c r="U140" s="39" t="s">
        <v>750</v>
      </c>
      <c r="V140" s="39" t="s">
        <v>750</v>
      </c>
      <c r="W140" s="39" t="s">
        <v>751</v>
      </c>
      <c r="X140" s="39" t="s">
        <v>751</v>
      </c>
    </row>
    <row r="141">
      <c r="A141" s="39" t="s">
        <v>739</v>
      </c>
      <c r="B141" s="39">
        <v>11581.0</v>
      </c>
      <c r="C141" s="39" t="s">
        <v>1059</v>
      </c>
      <c r="D141" s="39">
        <v>7.0</v>
      </c>
      <c r="F141" s="39">
        <v>11278.0</v>
      </c>
      <c r="G141" s="39" t="s">
        <v>1070</v>
      </c>
      <c r="H141" s="39">
        <v>3.0</v>
      </c>
      <c r="I141" s="39" t="s">
        <v>788</v>
      </c>
      <c r="K141" s="39" t="s">
        <v>744</v>
      </c>
      <c r="L141" s="39">
        <v>3.146503576E9</v>
      </c>
      <c r="M141" s="39" t="s">
        <v>746</v>
      </c>
      <c r="N141" s="39" t="s">
        <v>755</v>
      </c>
      <c r="O141" s="39" t="s">
        <v>756</v>
      </c>
      <c r="P141" s="39" t="s">
        <v>755</v>
      </c>
      <c r="Q141" s="39" t="s">
        <v>756</v>
      </c>
      <c r="R141" s="39" t="s">
        <v>1071</v>
      </c>
      <c r="S141" s="39" t="s">
        <v>750</v>
      </c>
      <c r="T141" s="39" t="s">
        <v>750</v>
      </c>
      <c r="U141" s="39" t="s">
        <v>750</v>
      </c>
      <c r="V141" s="39" t="s">
        <v>750</v>
      </c>
      <c r="W141" s="39" t="s">
        <v>751</v>
      </c>
      <c r="X141" s="39" t="s">
        <v>751</v>
      </c>
    </row>
    <row r="142">
      <c r="A142" s="39" t="s">
        <v>739</v>
      </c>
      <c r="B142" s="39">
        <v>11581.0</v>
      </c>
      <c r="C142" s="39" t="s">
        <v>1059</v>
      </c>
      <c r="D142" s="39">
        <v>7.0</v>
      </c>
      <c r="F142" s="39">
        <v>13411.0</v>
      </c>
      <c r="G142" s="39" t="s">
        <v>1060</v>
      </c>
      <c r="H142" s="39">
        <v>4.0</v>
      </c>
      <c r="I142" s="39" t="s">
        <v>756</v>
      </c>
      <c r="K142" s="39" t="s">
        <v>744</v>
      </c>
      <c r="L142" s="39">
        <v>3.1468848E9</v>
      </c>
      <c r="M142" s="39" t="s">
        <v>805</v>
      </c>
      <c r="N142" s="39" t="s">
        <v>755</v>
      </c>
      <c r="O142" s="39" t="s">
        <v>756</v>
      </c>
      <c r="P142" s="39" t="s">
        <v>755</v>
      </c>
      <c r="Q142" s="39" t="s">
        <v>756</v>
      </c>
      <c r="R142" s="39" t="s">
        <v>1064</v>
      </c>
      <c r="S142" s="39" t="s">
        <v>750</v>
      </c>
      <c r="T142" s="39" t="s">
        <v>750</v>
      </c>
      <c r="U142" s="39" t="s">
        <v>750</v>
      </c>
      <c r="V142" s="39" t="s">
        <v>750</v>
      </c>
      <c r="W142" s="39" t="s">
        <v>750</v>
      </c>
      <c r="X142" s="39" t="s">
        <v>750</v>
      </c>
    </row>
    <row r="143">
      <c r="A143" s="39" t="s">
        <v>739</v>
      </c>
      <c r="B143" s="39">
        <v>19808.0</v>
      </c>
      <c r="C143" s="39" t="s">
        <v>1072</v>
      </c>
      <c r="D143" s="39">
        <v>8.0</v>
      </c>
      <c r="F143" s="39">
        <v>1168.0</v>
      </c>
      <c r="G143" s="39" t="s">
        <v>1073</v>
      </c>
      <c r="H143" s="39">
        <v>1.0</v>
      </c>
      <c r="I143" s="39" t="s">
        <v>742</v>
      </c>
      <c r="J143" s="39" t="s">
        <v>743</v>
      </c>
      <c r="K143" s="39" t="s">
        <v>744</v>
      </c>
      <c r="L143" s="39" t="s">
        <v>1074</v>
      </c>
      <c r="M143" s="39" t="s">
        <v>746</v>
      </c>
      <c r="N143" s="39" t="s">
        <v>1074</v>
      </c>
      <c r="O143" s="39" t="s">
        <v>756</v>
      </c>
      <c r="P143" s="39" t="s">
        <v>755</v>
      </c>
      <c r="Q143" s="39" t="s">
        <v>756</v>
      </c>
      <c r="R143" s="39" t="s">
        <v>1075</v>
      </c>
      <c r="S143" s="39" t="s">
        <v>750</v>
      </c>
      <c r="T143" s="39" t="s">
        <v>751</v>
      </c>
      <c r="U143" s="39" t="s">
        <v>751</v>
      </c>
      <c r="V143" s="39" t="s">
        <v>750</v>
      </c>
      <c r="W143" s="39" t="s">
        <v>751</v>
      </c>
      <c r="X143" s="39" t="s">
        <v>751</v>
      </c>
    </row>
    <row r="144">
      <c r="A144" s="39" t="s">
        <v>739</v>
      </c>
      <c r="B144" s="39">
        <v>19808.0</v>
      </c>
      <c r="C144" s="39" t="s">
        <v>1072</v>
      </c>
      <c r="D144" s="39">
        <v>8.0</v>
      </c>
      <c r="F144" s="39">
        <v>17749.0</v>
      </c>
      <c r="G144" s="39" t="s">
        <v>1076</v>
      </c>
      <c r="H144" s="39">
        <v>2.0</v>
      </c>
      <c r="I144" s="39" t="s">
        <v>775</v>
      </c>
      <c r="J144" s="39" t="s">
        <v>768</v>
      </c>
      <c r="K144" s="39" t="s">
        <v>744</v>
      </c>
      <c r="L144" s="39" t="s">
        <v>1077</v>
      </c>
      <c r="M144" s="39" t="s">
        <v>746</v>
      </c>
      <c r="N144" s="39" t="s">
        <v>755</v>
      </c>
      <c r="O144" s="39" t="s">
        <v>756</v>
      </c>
      <c r="P144" s="39" t="s">
        <v>755</v>
      </c>
      <c r="Q144" s="39" t="s">
        <v>756</v>
      </c>
      <c r="S144" s="39" t="s">
        <v>750</v>
      </c>
      <c r="T144" s="39" t="s">
        <v>750</v>
      </c>
      <c r="U144" s="39" t="s">
        <v>750</v>
      </c>
      <c r="V144" s="39" t="s">
        <v>750</v>
      </c>
      <c r="W144" s="39" t="s">
        <v>751</v>
      </c>
      <c r="X144" s="39" t="s">
        <v>751</v>
      </c>
    </row>
    <row r="145">
      <c r="A145" s="39" t="s">
        <v>739</v>
      </c>
      <c r="B145" s="39">
        <v>19808.0</v>
      </c>
      <c r="C145" s="39" t="s">
        <v>1072</v>
      </c>
      <c r="D145" s="39">
        <v>8.0</v>
      </c>
      <c r="F145" s="39">
        <v>17750.0</v>
      </c>
      <c r="G145" s="39" t="s">
        <v>1078</v>
      </c>
      <c r="H145" s="39">
        <v>3.0</v>
      </c>
      <c r="I145" s="39" t="s">
        <v>753</v>
      </c>
      <c r="J145" s="39" t="s">
        <v>754</v>
      </c>
      <c r="K145" s="39" t="s">
        <v>744</v>
      </c>
      <c r="L145" s="39" t="s">
        <v>1079</v>
      </c>
      <c r="M145" s="39" t="s">
        <v>746</v>
      </c>
      <c r="N145" s="39" t="s">
        <v>755</v>
      </c>
      <c r="O145" s="39" t="s">
        <v>756</v>
      </c>
      <c r="P145" s="39" t="s">
        <v>755</v>
      </c>
      <c r="Q145" s="39" t="s">
        <v>756</v>
      </c>
      <c r="S145" s="39" t="s">
        <v>750</v>
      </c>
      <c r="T145" s="39" t="s">
        <v>751</v>
      </c>
      <c r="U145" s="39" t="s">
        <v>751</v>
      </c>
      <c r="V145" s="39" t="s">
        <v>750</v>
      </c>
      <c r="W145" s="39" t="s">
        <v>751</v>
      </c>
      <c r="X145" s="39" t="s">
        <v>751</v>
      </c>
    </row>
    <row r="146">
      <c r="A146" s="39" t="s">
        <v>739</v>
      </c>
      <c r="B146" s="39">
        <v>12071.0</v>
      </c>
      <c r="C146" s="39" t="s">
        <v>1080</v>
      </c>
      <c r="D146" s="39">
        <v>7.0</v>
      </c>
      <c r="F146" s="39">
        <v>17965.0</v>
      </c>
      <c r="G146" s="39" t="s">
        <v>1081</v>
      </c>
      <c r="H146" s="39">
        <v>1.0</v>
      </c>
      <c r="I146" s="39" t="s">
        <v>742</v>
      </c>
      <c r="J146" s="39" t="s">
        <v>743</v>
      </c>
      <c r="K146" s="39" t="s">
        <v>744</v>
      </c>
      <c r="L146" s="39" t="s">
        <v>1082</v>
      </c>
      <c r="M146" s="39" t="s">
        <v>748</v>
      </c>
      <c r="N146" s="39" t="s">
        <v>755</v>
      </c>
      <c r="O146" s="39" t="s">
        <v>756</v>
      </c>
      <c r="P146" s="39" t="s">
        <v>755</v>
      </c>
      <c r="Q146" s="39" t="s">
        <v>756</v>
      </c>
      <c r="R146" s="39" t="s">
        <v>1083</v>
      </c>
      <c r="S146" s="39" t="s">
        <v>750</v>
      </c>
      <c r="T146" s="39" t="s">
        <v>751</v>
      </c>
      <c r="U146" s="39" t="s">
        <v>751</v>
      </c>
      <c r="V146" s="39" t="s">
        <v>750</v>
      </c>
      <c r="W146" s="39" t="s">
        <v>751</v>
      </c>
      <c r="X146" s="39" t="s">
        <v>751</v>
      </c>
    </row>
    <row r="147">
      <c r="A147" s="39" t="s">
        <v>739</v>
      </c>
      <c r="B147" s="39">
        <v>12071.0</v>
      </c>
      <c r="C147" s="39" t="s">
        <v>1080</v>
      </c>
      <c r="D147" s="39">
        <v>7.0</v>
      </c>
      <c r="F147" s="39">
        <v>17966.0</v>
      </c>
      <c r="G147" s="39" t="s">
        <v>1084</v>
      </c>
      <c r="H147" s="39">
        <v>2.0</v>
      </c>
      <c r="I147" s="39" t="s">
        <v>775</v>
      </c>
      <c r="J147" s="39" t="s">
        <v>768</v>
      </c>
      <c r="K147" s="39" t="s">
        <v>744</v>
      </c>
      <c r="L147" s="39" t="s">
        <v>1085</v>
      </c>
      <c r="M147" s="39" t="s">
        <v>746</v>
      </c>
      <c r="N147" s="39" t="s">
        <v>755</v>
      </c>
      <c r="O147" s="39" t="s">
        <v>756</v>
      </c>
      <c r="P147" s="39" t="s">
        <v>755</v>
      </c>
      <c r="Q147" s="39" t="s">
        <v>756</v>
      </c>
      <c r="S147" s="39" t="s">
        <v>750</v>
      </c>
      <c r="T147" s="39" t="s">
        <v>750</v>
      </c>
      <c r="U147" s="39" t="s">
        <v>750</v>
      </c>
      <c r="V147" s="39" t="s">
        <v>750</v>
      </c>
      <c r="W147" s="39" t="s">
        <v>751</v>
      </c>
      <c r="X147" s="39" t="s">
        <v>751</v>
      </c>
    </row>
    <row r="148">
      <c r="A148" s="39" t="s">
        <v>739</v>
      </c>
      <c r="B148" s="39">
        <v>11887.0</v>
      </c>
      <c r="C148" s="39" t="s">
        <v>1086</v>
      </c>
      <c r="D148" s="39">
        <v>6.0</v>
      </c>
      <c r="F148" s="39">
        <v>17103.0</v>
      </c>
      <c r="G148" s="39" t="s">
        <v>1087</v>
      </c>
      <c r="H148" s="39">
        <v>1.0</v>
      </c>
      <c r="I148" s="39" t="s">
        <v>742</v>
      </c>
      <c r="J148" s="39" t="s">
        <v>743</v>
      </c>
      <c r="K148" s="39" t="s">
        <v>744</v>
      </c>
      <c r="L148" s="39" t="s">
        <v>1088</v>
      </c>
      <c r="M148" s="39" t="s">
        <v>746</v>
      </c>
      <c r="N148" s="39" t="s">
        <v>755</v>
      </c>
      <c r="O148" s="39" t="s">
        <v>756</v>
      </c>
      <c r="P148" s="39" t="s">
        <v>755</v>
      </c>
      <c r="Q148" s="39" t="s">
        <v>756</v>
      </c>
      <c r="R148" s="39" t="s">
        <v>1089</v>
      </c>
      <c r="S148" s="39" t="s">
        <v>751</v>
      </c>
      <c r="T148" s="39" t="s">
        <v>751</v>
      </c>
      <c r="U148" s="39" t="s">
        <v>751</v>
      </c>
      <c r="V148" s="39" t="s">
        <v>750</v>
      </c>
      <c r="W148" s="39" t="s">
        <v>751</v>
      </c>
      <c r="X148" s="39" t="s">
        <v>751</v>
      </c>
    </row>
    <row r="149">
      <c r="A149" s="39" t="s">
        <v>739</v>
      </c>
      <c r="B149" s="39">
        <v>10949.0</v>
      </c>
      <c r="C149" s="39" t="s">
        <v>542</v>
      </c>
      <c r="D149" s="39">
        <v>8.0</v>
      </c>
      <c r="F149" s="39">
        <v>7693.0</v>
      </c>
      <c r="G149" s="39" t="s">
        <v>1090</v>
      </c>
      <c r="H149" s="39">
        <v>1.0</v>
      </c>
      <c r="I149" s="39" t="s">
        <v>742</v>
      </c>
      <c r="J149" s="39" t="s">
        <v>743</v>
      </c>
      <c r="K149" s="39" t="s">
        <v>744</v>
      </c>
      <c r="L149" s="39" t="s">
        <v>1091</v>
      </c>
      <c r="M149" s="39" t="s">
        <v>746</v>
      </c>
      <c r="N149" s="39" t="s">
        <v>755</v>
      </c>
      <c r="O149" s="39" t="s">
        <v>756</v>
      </c>
      <c r="P149" s="39" t="s">
        <v>755</v>
      </c>
      <c r="Q149" s="39" t="s">
        <v>756</v>
      </c>
      <c r="R149" s="39" t="s">
        <v>1092</v>
      </c>
      <c r="S149" s="39" t="s">
        <v>750</v>
      </c>
      <c r="T149" s="39" t="s">
        <v>751</v>
      </c>
      <c r="U149" s="39" t="s">
        <v>751</v>
      </c>
      <c r="V149" s="39" t="s">
        <v>751</v>
      </c>
      <c r="W149" s="39" t="s">
        <v>751</v>
      </c>
      <c r="X149" s="39" t="s">
        <v>751</v>
      </c>
    </row>
    <row r="150">
      <c r="A150" s="39" t="s">
        <v>739</v>
      </c>
      <c r="B150" s="39">
        <v>10949.0</v>
      </c>
      <c r="C150" s="39" t="s">
        <v>542</v>
      </c>
      <c r="D150" s="39">
        <v>8.0</v>
      </c>
      <c r="F150" s="39">
        <v>7694.0</v>
      </c>
      <c r="G150" s="39" t="s">
        <v>1093</v>
      </c>
      <c r="H150" s="39">
        <v>2.0</v>
      </c>
      <c r="I150" s="39" t="s">
        <v>753</v>
      </c>
      <c r="J150" s="39" t="s">
        <v>754</v>
      </c>
      <c r="K150" s="39" t="s">
        <v>744</v>
      </c>
      <c r="L150" s="39" t="s">
        <v>1094</v>
      </c>
      <c r="M150" s="39" t="s">
        <v>746</v>
      </c>
      <c r="N150" s="39" t="s">
        <v>755</v>
      </c>
      <c r="O150" s="39" t="s">
        <v>756</v>
      </c>
      <c r="P150" s="39" t="s">
        <v>755</v>
      </c>
      <c r="Q150" s="39" t="s">
        <v>756</v>
      </c>
      <c r="S150" s="39" t="s">
        <v>750</v>
      </c>
      <c r="T150" s="39" t="s">
        <v>751</v>
      </c>
      <c r="U150" s="39" t="s">
        <v>751</v>
      </c>
      <c r="V150" s="39" t="s">
        <v>750</v>
      </c>
      <c r="W150" s="39" t="s">
        <v>751</v>
      </c>
      <c r="X150" s="39" t="s">
        <v>751</v>
      </c>
    </row>
    <row r="151">
      <c r="A151" s="39" t="s">
        <v>739</v>
      </c>
      <c r="B151" s="39">
        <v>10949.0</v>
      </c>
      <c r="C151" s="39" t="s">
        <v>542</v>
      </c>
      <c r="D151" s="39">
        <v>8.0</v>
      </c>
      <c r="F151" s="39">
        <v>590.0</v>
      </c>
      <c r="G151" s="39" t="s">
        <v>1095</v>
      </c>
      <c r="H151" s="39">
        <v>3.0</v>
      </c>
      <c r="I151" s="39" t="s">
        <v>753</v>
      </c>
      <c r="K151" s="39" t="s">
        <v>744</v>
      </c>
      <c r="L151" s="39" t="s">
        <v>1094</v>
      </c>
      <c r="M151" s="39" t="s">
        <v>746</v>
      </c>
      <c r="N151" s="39" t="s">
        <v>755</v>
      </c>
      <c r="O151" s="39" t="s">
        <v>756</v>
      </c>
      <c r="P151" s="39" t="s">
        <v>755</v>
      </c>
      <c r="Q151" s="39" t="s">
        <v>756</v>
      </c>
      <c r="R151" s="39" t="s">
        <v>1096</v>
      </c>
      <c r="S151" s="39" t="s">
        <v>750</v>
      </c>
      <c r="T151" s="39" t="s">
        <v>751</v>
      </c>
      <c r="U151" s="39" t="s">
        <v>750</v>
      </c>
      <c r="V151" s="39" t="s">
        <v>750</v>
      </c>
      <c r="W151" s="39" t="s">
        <v>750</v>
      </c>
      <c r="X151" s="39" t="s">
        <v>750</v>
      </c>
    </row>
    <row r="152">
      <c r="A152" s="39" t="s">
        <v>739</v>
      </c>
      <c r="B152" s="39">
        <v>11954.0</v>
      </c>
      <c r="C152" s="39" t="s">
        <v>1097</v>
      </c>
      <c r="D152" s="39">
        <v>7.0</v>
      </c>
      <c r="F152" s="39">
        <v>17361.0</v>
      </c>
      <c r="G152" s="39" t="s">
        <v>1098</v>
      </c>
      <c r="H152" s="39">
        <v>1.0</v>
      </c>
      <c r="I152" s="39" t="s">
        <v>742</v>
      </c>
      <c r="J152" s="39" t="s">
        <v>743</v>
      </c>
      <c r="K152" s="39" t="s">
        <v>744</v>
      </c>
      <c r="L152" s="39" t="s">
        <v>1099</v>
      </c>
      <c r="M152" s="39" t="s">
        <v>746</v>
      </c>
      <c r="N152" s="39" t="s">
        <v>1100</v>
      </c>
      <c r="O152" s="39" t="s">
        <v>748</v>
      </c>
      <c r="P152" s="39" t="s">
        <v>755</v>
      </c>
      <c r="Q152" s="39" t="s">
        <v>756</v>
      </c>
      <c r="R152" s="39" t="s">
        <v>1101</v>
      </c>
      <c r="S152" s="39" t="s">
        <v>750</v>
      </c>
      <c r="T152" s="39" t="s">
        <v>751</v>
      </c>
      <c r="U152" s="39" t="s">
        <v>751</v>
      </c>
      <c r="V152" s="39" t="s">
        <v>751</v>
      </c>
      <c r="W152" s="39" t="s">
        <v>751</v>
      </c>
      <c r="X152" s="39" t="s">
        <v>751</v>
      </c>
    </row>
    <row r="153">
      <c r="A153" s="39" t="s">
        <v>739</v>
      </c>
      <c r="B153" s="39">
        <v>11954.0</v>
      </c>
      <c r="C153" s="39" t="s">
        <v>1097</v>
      </c>
      <c r="D153" s="39">
        <v>7.0</v>
      </c>
      <c r="F153" s="39">
        <v>17362.0</v>
      </c>
      <c r="G153" s="39" t="s">
        <v>1102</v>
      </c>
      <c r="H153" s="39">
        <v>2.0</v>
      </c>
      <c r="I153" s="39" t="s">
        <v>775</v>
      </c>
      <c r="J153" s="39" t="s">
        <v>803</v>
      </c>
      <c r="K153" s="39" t="s">
        <v>744</v>
      </c>
      <c r="L153" s="39" t="s">
        <v>1103</v>
      </c>
      <c r="M153" s="39" t="s">
        <v>746</v>
      </c>
      <c r="N153" s="39" t="s">
        <v>755</v>
      </c>
      <c r="O153" s="39" t="s">
        <v>756</v>
      </c>
      <c r="P153" s="39" t="s">
        <v>755</v>
      </c>
      <c r="Q153" s="39" t="s">
        <v>756</v>
      </c>
      <c r="R153" s="39" t="s">
        <v>1104</v>
      </c>
      <c r="S153" s="39" t="s">
        <v>750</v>
      </c>
      <c r="T153" s="39" t="s">
        <v>751</v>
      </c>
      <c r="U153" s="39" t="s">
        <v>751</v>
      </c>
      <c r="V153" s="39" t="s">
        <v>750</v>
      </c>
      <c r="W153" s="39" t="s">
        <v>751</v>
      </c>
      <c r="X153" s="39" t="s">
        <v>751</v>
      </c>
    </row>
    <row r="154">
      <c r="A154" s="39" t="s">
        <v>739</v>
      </c>
      <c r="B154" s="39">
        <v>11954.0</v>
      </c>
      <c r="C154" s="39" t="s">
        <v>1097</v>
      </c>
      <c r="D154" s="39">
        <v>7.0</v>
      </c>
      <c r="F154" s="39">
        <v>17363.0</v>
      </c>
      <c r="G154" s="39" t="s">
        <v>1105</v>
      </c>
      <c r="H154" s="39">
        <v>3.0</v>
      </c>
      <c r="I154" s="39" t="s">
        <v>758</v>
      </c>
      <c r="J154" s="39" t="s">
        <v>768</v>
      </c>
      <c r="K154" s="39" t="s">
        <v>744</v>
      </c>
      <c r="L154" s="39" t="s">
        <v>1106</v>
      </c>
      <c r="M154" s="39" t="s">
        <v>746</v>
      </c>
      <c r="N154" s="39" t="s">
        <v>755</v>
      </c>
      <c r="O154" s="39" t="s">
        <v>756</v>
      </c>
      <c r="P154" s="39" t="s">
        <v>755</v>
      </c>
      <c r="Q154" s="39" t="s">
        <v>756</v>
      </c>
      <c r="S154" s="39" t="s">
        <v>750</v>
      </c>
      <c r="T154" s="39" t="s">
        <v>751</v>
      </c>
      <c r="U154" s="39" t="s">
        <v>751</v>
      </c>
      <c r="V154" s="39" t="s">
        <v>750</v>
      </c>
      <c r="W154" s="39" t="s">
        <v>751</v>
      </c>
      <c r="X154" s="39" t="s">
        <v>751</v>
      </c>
    </row>
    <row r="155">
      <c r="A155" s="39" t="s">
        <v>739</v>
      </c>
      <c r="B155" s="39">
        <v>11954.0</v>
      </c>
      <c r="C155" s="39" t="s">
        <v>1097</v>
      </c>
      <c r="D155" s="39">
        <v>7.0</v>
      </c>
      <c r="F155" s="39">
        <v>17364.0</v>
      </c>
      <c r="G155" s="39" t="s">
        <v>1107</v>
      </c>
      <c r="H155" s="39">
        <v>4.0</v>
      </c>
      <c r="I155" s="39" t="s">
        <v>791</v>
      </c>
      <c r="J155" s="39" t="s">
        <v>771</v>
      </c>
      <c r="K155" s="39" t="s">
        <v>744</v>
      </c>
      <c r="L155" s="39" t="s">
        <v>1108</v>
      </c>
      <c r="M155" s="39" t="s">
        <v>746</v>
      </c>
      <c r="N155" s="39" t="s">
        <v>755</v>
      </c>
      <c r="O155" s="39" t="s">
        <v>756</v>
      </c>
      <c r="P155" s="39" t="s">
        <v>755</v>
      </c>
      <c r="Q155" s="39" t="s">
        <v>756</v>
      </c>
      <c r="R155" s="39" t="s">
        <v>1109</v>
      </c>
      <c r="S155" s="39" t="s">
        <v>750</v>
      </c>
      <c r="T155" s="39" t="s">
        <v>750</v>
      </c>
      <c r="U155" s="39" t="s">
        <v>750</v>
      </c>
      <c r="V155" s="39" t="s">
        <v>750</v>
      </c>
      <c r="W155" s="39" t="s">
        <v>751</v>
      </c>
      <c r="X155" s="39" t="s">
        <v>751</v>
      </c>
    </row>
    <row r="156">
      <c r="A156" s="39" t="s">
        <v>739</v>
      </c>
      <c r="B156" s="39">
        <v>11677.0</v>
      </c>
      <c r="C156" s="39" t="s">
        <v>1110</v>
      </c>
      <c r="D156" s="39">
        <v>8.0</v>
      </c>
      <c r="F156" s="39">
        <v>13498.0</v>
      </c>
      <c r="G156" s="39" t="s">
        <v>1111</v>
      </c>
      <c r="H156" s="39">
        <v>1.0</v>
      </c>
      <c r="I156" s="39" t="s">
        <v>742</v>
      </c>
      <c r="J156" s="39" t="s">
        <v>743</v>
      </c>
      <c r="K156" s="39" t="s">
        <v>744</v>
      </c>
      <c r="L156" s="39" t="s">
        <v>1112</v>
      </c>
      <c r="M156" s="39" t="s">
        <v>746</v>
      </c>
      <c r="N156" s="39">
        <v>3.14707229E9</v>
      </c>
      <c r="O156" s="39" t="s">
        <v>805</v>
      </c>
      <c r="P156" s="39" t="s">
        <v>755</v>
      </c>
      <c r="Q156" s="39" t="s">
        <v>756</v>
      </c>
      <c r="R156" s="39" t="s">
        <v>1113</v>
      </c>
      <c r="S156" s="39" t="s">
        <v>750</v>
      </c>
      <c r="T156" s="39" t="s">
        <v>750</v>
      </c>
      <c r="U156" s="39" t="s">
        <v>751</v>
      </c>
      <c r="V156" s="39" t="s">
        <v>751</v>
      </c>
      <c r="W156" s="39" t="s">
        <v>751</v>
      </c>
      <c r="X156" s="39" t="s">
        <v>751</v>
      </c>
    </row>
    <row r="157">
      <c r="A157" s="39" t="s">
        <v>739</v>
      </c>
      <c r="B157" s="39">
        <v>11677.0</v>
      </c>
      <c r="C157" s="39" t="s">
        <v>1110</v>
      </c>
      <c r="D157" s="39">
        <v>8.0</v>
      </c>
      <c r="F157" s="39">
        <v>17208.0</v>
      </c>
      <c r="G157" s="39" t="s">
        <v>1114</v>
      </c>
      <c r="H157" s="39">
        <v>2.0</v>
      </c>
      <c r="I157" s="39" t="s">
        <v>788</v>
      </c>
      <c r="J157" s="39" t="s">
        <v>768</v>
      </c>
      <c r="K157" s="39" t="s">
        <v>744</v>
      </c>
      <c r="L157" s="39" t="s">
        <v>1115</v>
      </c>
      <c r="M157" s="39" t="s">
        <v>746</v>
      </c>
      <c r="N157" s="39" t="s">
        <v>755</v>
      </c>
      <c r="O157" s="39" t="s">
        <v>756</v>
      </c>
      <c r="P157" s="39" t="s">
        <v>755</v>
      </c>
      <c r="Q157" s="39" t="s">
        <v>756</v>
      </c>
      <c r="S157" s="39" t="s">
        <v>750</v>
      </c>
      <c r="T157" s="39" t="s">
        <v>750</v>
      </c>
      <c r="U157" s="39" t="s">
        <v>750</v>
      </c>
      <c r="V157" s="39" t="s">
        <v>750</v>
      </c>
      <c r="W157" s="39" t="s">
        <v>751</v>
      </c>
      <c r="X157" s="39" t="s">
        <v>751</v>
      </c>
    </row>
    <row r="158">
      <c r="A158" s="39" t="s">
        <v>739</v>
      </c>
      <c r="B158" s="39">
        <v>11677.0</v>
      </c>
      <c r="C158" s="39" t="s">
        <v>1110</v>
      </c>
      <c r="D158" s="39">
        <v>8.0</v>
      </c>
      <c r="F158" s="39">
        <v>11413.0</v>
      </c>
      <c r="G158" s="39" t="s">
        <v>1111</v>
      </c>
      <c r="H158" s="39">
        <v>3.0</v>
      </c>
      <c r="I158" s="39" t="s">
        <v>742</v>
      </c>
      <c r="K158" s="39" t="s">
        <v>744</v>
      </c>
      <c r="L158" s="39" t="s">
        <v>1112</v>
      </c>
      <c r="M158" s="39" t="s">
        <v>748</v>
      </c>
      <c r="N158" s="39" t="s">
        <v>1112</v>
      </c>
      <c r="O158" s="39" t="s">
        <v>746</v>
      </c>
      <c r="P158" s="39" t="s">
        <v>755</v>
      </c>
      <c r="Q158" s="39" t="s">
        <v>756</v>
      </c>
      <c r="R158" s="39" t="s">
        <v>1113</v>
      </c>
      <c r="S158" s="39" t="s">
        <v>750</v>
      </c>
      <c r="T158" s="39" t="s">
        <v>751</v>
      </c>
      <c r="U158" s="39" t="s">
        <v>750</v>
      </c>
      <c r="V158" s="39" t="s">
        <v>750</v>
      </c>
      <c r="W158" s="39" t="s">
        <v>750</v>
      </c>
      <c r="X158" s="39" t="s">
        <v>751</v>
      </c>
    </row>
    <row r="159">
      <c r="A159" s="39" t="s">
        <v>739</v>
      </c>
      <c r="B159" s="39">
        <v>11677.0</v>
      </c>
      <c r="C159" s="39" t="s">
        <v>1110</v>
      </c>
      <c r="D159" s="39">
        <v>8.0</v>
      </c>
      <c r="F159" s="39">
        <v>11414.0</v>
      </c>
      <c r="G159" s="39" t="s">
        <v>1116</v>
      </c>
      <c r="H159" s="39">
        <v>4.0</v>
      </c>
      <c r="I159" s="39" t="s">
        <v>791</v>
      </c>
      <c r="J159" s="39" t="s">
        <v>958</v>
      </c>
      <c r="K159" s="39" t="s">
        <v>744</v>
      </c>
      <c r="L159" s="39" t="s">
        <v>1117</v>
      </c>
      <c r="M159" s="39" t="s">
        <v>746</v>
      </c>
      <c r="N159" s="39" t="s">
        <v>755</v>
      </c>
      <c r="O159" s="39" t="s">
        <v>756</v>
      </c>
      <c r="P159" s="39" t="s">
        <v>755</v>
      </c>
      <c r="Q159" s="39" t="s">
        <v>756</v>
      </c>
      <c r="R159" s="39" t="s">
        <v>1118</v>
      </c>
      <c r="S159" s="39" t="s">
        <v>750</v>
      </c>
      <c r="T159" s="39" t="s">
        <v>750</v>
      </c>
      <c r="U159" s="39" t="s">
        <v>750</v>
      </c>
      <c r="V159" s="39" t="s">
        <v>750</v>
      </c>
      <c r="W159" s="39" t="s">
        <v>751</v>
      </c>
      <c r="X159" s="39" t="s">
        <v>751</v>
      </c>
    </row>
    <row r="160">
      <c r="A160" s="39" t="s">
        <v>739</v>
      </c>
      <c r="B160" s="39">
        <v>11677.0</v>
      </c>
      <c r="C160" s="39" t="s">
        <v>1110</v>
      </c>
      <c r="D160" s="39">
        <v>8.0</v>
      </c>
      <c r="F160" s="39">
        <v>11415.0</v>
      </c>
      <c r="G160" s="39" t="s">
        <v>1119</v>
      </c>
      <c r="H160" s="39">
        <v>5.0</v>
      </c>
      <c r="I160" s="39" t="s">
        <v>775</v>
      </c>
      <c r="J160" s="39" t="s">
        <v>771</v>
      </c>
      <c r="K160" s="39" t="s">
        <v>744</v>
      </c>
      <c r="L160" s="39" t="s">
        <v>1120</v>
      </c>
      <c r="M160" s="39" t="s">
        <v>746</v>
      </c>
      <c r="N160" s="39" t="s">
        <v>755</v>
      </c>
      <c r="O160" s="39" t="s">
        <v>756</v>
      </c>
      <c r="P160" s="39" t="s">
        <v>755</v>
      </c>
      <c r="Q160" s="39" t="s">
        <v>756</v>
      </c>
      <c r="S160" s="39" t="s">
        <v>750</v>
      </c>
      <c r="T160" s="39" t="s">
        <v>750</v>
      </c>
      <c r="U160" s="39" t="s">
        <v>750</v>
      </c>
      <c r="V160" s="39" t="s">
        <v>750</v>
      </c>
      <c r="W160" s="39" t="s">
        <v>751</v>
      </c>
      <c r="X160" s="39" t="s">
        <v>751</v>
      </c>
    </row>
    <row r="161">
      <c r="A161" s="39" t="s">
        <v>739</v>
      </c>
      <c r="B161" s="39">
        <v>11677.0</v>
      </c>
      <c r="C161" s="39" t="s">
        <v>1110</v>
      </c>
      <c r="D161" s="39">
        <v>8.0</v>
      </c>
      <c r="F161" s="39">
        <v>14554.0</v>
      </c>
      <c r="G161" s="39" t="s">
        <v>1111</v>
      </c>
      <c r="H161" s="39">
        <v>6.0</v>
      </c>
      <c r="I161" s="39" t="s">
        <v>756</v>
      </c>
      <c r="K161" s="39" t="s">
        <v>744</v>
      </c>
      <c r="L161" s="39" t="s">
        <v>755</v>
      </c>
      <c r="M161" s="39" t="s">
        <v>756</v>
      </c>
      <c r="N161" s="39" t="s">
        <v>755</v>
      </c>
      <c r="O161" s="39" t="s">
        <v>756</v>
      </c>
      <c r="P161" s="39" t="s">
        <v>755</v>
      </c>
      <c r="Q161" s="39" t="s">
        <v>756</v>
      </c>
      <c r="S161" s="39" t="s">
        <v>751</v>
      </c>
      <c r="T161" s="39" t="s">
        <v>750</v>
      </c>
      <c r="U161" s="39" t="s">
        <v>750</v>
      </c>
      <c r="V161" s="39" t="s">
        <v>750</v>
      </c>
      <c r="W161" s="39" t="s">
        <v>750</v>
      </c>
      <c r="X161" s="39" t="s">
        <v>750</v>
      </c>
    </row>
    <row r="162">
      <c r="A162" s="39" t="s">
        <v>739</v>
      </c>
      <c r="B162" s="39">
        <v>11676.0</v>
      </c>
      <c r="C162" s="39" t="s">
        <v>1121</v>
      </c>
      <c r="D162" s="39">
        <v>8.0</v>
      </c>
      <c r="F162" s="39">
        <v>11413.0</v>
      </c>
      <c r="G162" s="39" t="s">
        <v>1111</v>
      </c>
      <c r="H162" s="39">
        <v>1.0</v>
      </c>
      <c r="I162" s="39" t="s">
        <v>742</v>
      </c>
      <c r="J162" s="39" t="s">
        <v>743</v>
      </c>
      <c r="K162" s="39" t="s">
        <v>744</v>
      </c>
      <c r="L162" s="39" t="s">
        <v>1112</v>
      </c>
      <c r="M162" s="39" t="s">
        <v>748</v>
      </c>
      <c r="N162" s="39" t="s">
        <v>1112</v>
      </c>
      <c r="O162" s="39" t="s">
        <v>746</v>
      </c>
      <c r="P162" s="39" t="s">
        <v>755</v>
      </c>
      <c r="Q162" s="39" t="s">
        <v>756</v>
      </c>
      <c r="R162" s="39" t="s">
        <v>1113</v>
      </c>
      <c r="S162" s="39" t="s">
        <v>750</v>
      </c>
      <c r="T162" s="39" t="s">
        <v>751</v>
      </c>
      <c r="U162" s="39" t="s">
        <v>751</v>
      </c>
      <c r="V162" s="39" t="s">
        <v>751</v>
      </c>
      <c r="W162" s="39" t="s">
        <v>750</v>
      </c>
      <c r="X162" s="39" t="s">
        <v>751</v>
      </c>
    </row>
    <row r="163">
      <c r="A163" s="39" t="s">
        <v>739</v>
      </c>
      <c r="B163" s="39">
        <v>11676.0</v>
      </c>
      <c r="C163" s="39" t="s">
        <v>1121</v>
      </c>
      <c r="D163" s="39">
        <v>8.0</v>
      </c>
      <c r="F163" s="39">
        <v>11414.0</v>
      </c>
      <c r="G163" s="39" t="s">
        <v>1116</v>
      </c>
      <c r="H163" s="39">
        <v>2.0</v>
      </c>
      <c r="I163" s="39" t="s">
        <v>791</v>
      </c>
      <c r="J163" s="39" t="s">
        <v>768</v>
      </c>
      <c r="K163" s="39" t="s">
        <v>744</v>
      </c>
      <c r="L163" s="39" t="s">
        <v>1117</v>
      </c>
      <c r="M163" s="39" t="s">
        <v>746</v>
      </c>
      <c r="N163" s="39" t="s">
        <v>755</v>
      </c>
      <c r="O163" s="39" t="s">
        <v>756</v>
      </c>
      <c r="P163" s="39" t="s">
        <v>755</v>
      </c>
      <c r="Q163" s="39" t="s">
        <v>756</v>
      </c>
      <c r="R163" s="39" t="s">
        <v>1118</v>
      </c>
      <c r="S163" s="39" t="s">
        <v>750</v>
      </c>
      <c r="T163" s="39" t="s">
        <v>750</v>
      </c>
      <c r="U163" s="39" t="s">
        <v>750</v>
      </c>
      <c r="V163" s="39" t="s">
        <v>750</v>
      </c>
      <c r="W163" s="39" t="s">
        <v>751</v>
      </c>
      <c r="X163" s="39" t="s">
        <v>751</v>
      </c>
    </row>
    <row r="164">
      <c r="A164" s="39" t="s">
        <v>739</v>
      </c>
      <c r="B164" s="39">
        <v>11676.0</v>
      </c>
      <c r="C164" s="39" t="s">
        <v>1121</v>
      </c>
      <c r="D164" s="39">
        <v>8.0</v>
      </c>
      <c r="F164" s="39">
        <v>17208.0</v>
      </c>
      <c r="G164" s="39" t="s">
        <v>1114</v>
      </c>
      <c r="H164" s="39">
        <v>3.0</v>
      </c>
      <c r="I164" s="39" t="s">
        <v>788</v>
      </c>
      <c r="J164" s="39" t="s">
        <v>771</v>
      </c>
      <c r="K164" s="39" t="s">
        <v>744</v>
      </c>
      <c r="L164" s="39" t="s">
        <v>1115</v>
      </c>
      <c r="M164" s="39" t="s">
        <v>746</v>
      </c>
      <c r="N164" s="39" t="s">
        <v>755</v>
      </c>
      <c r="O164" s="39" t="s">
        <v>756</v>
      </c>
      <c r="P164" s="39" t="s">
        <v>755</v>
      </c>
      <c r="Q164" s="39" t="s">
        <v>756</v>
      </c>
      <c r="S164" s="39" t="s">
        <v>750</v>
      </c>
      <c r="T164" s="39" t="s">
        <v>750</v>
      </c>
      <c r="U164" s="39" t="s">
        <v>750</v>
      </c>
      <c r="V164" s="39" t="s">
        <v>751</v>
      </c>
      <c r="W164" s="39" t="s">
        <v>751</v>
      </c>
      <c r="X164" s="39" t="s">
        <v>751</v>
      </c>
    </row>
    <row r="165">
      <c r="A165" s="39" t="s">
        <v>739</v>
      </c>
      <c r="B165" s="39">
        <v>11676.0</v>
      </c>
      <c r="C165" s="39" t="s">
        <v>1121</v>
      </c>
      <c r="D165" s="39">
        <v>8.0</v>
      </c>
      <c r="F165" s="39">
        <v>11415.0</v>
      </c>
      <c r="G165" s="39" t="s">
        <v>1119</v>
      </c>
      <c r="H165" s="39">
        <v>4.0</v>
      </c>
      <c r="I165" s="39" t="s">
        <v>758</v>
      </c>
      <c r="J165" s="39" t="s">
        <v>958</v>
      </c>
      <c r="K165" s="39" t="s">
        <v>744</v>
      </c>
      <c r="L165" s="39" t="s">
        <v>1120</v>
      </c>
      <c r="M165" s="39" t="s">
        <v>746</v>
      </c>
      <c r="N165" s="39" t="s">
        <v>755</v>
      </c>
      <c r="O165" s="39" t="s">
        <v>756</v>
      </c>
      <c r="P165" s="39" t="s">
        <v>755</v>
      </c>
      <c r="Q165" s="39" t="s">
        <v>756</v>
      </c>
      <c r="S165" s="39" t="s">
        <v>750</v>
      </c>
      <c r="T165" s="39" t="s">
        <v>750</v>
      </c>
      <c r="U165" s="39" t="s">
        <v>750</v>
      </c>
      <c r="V165" s="39" t="s">
        <v>750</v>
      </c>
      <c r="W165" s="39" t="s">
        <v>751</v>
      </c>
      <c r="X165" s="39" t="s">
        <v>751</v>
      </c>
    </row>
    <row r="166">
      <c r="A166" s="39" t="s">
        <v>739</v>
      </c>
      <c r="B166" s="39">
        <v>11676.0</v>
      </c>
      <c r="C166" s="39" t="s">
        <v>1121</v>
      </c>
      <c r="D166" s="39">
        <v>8.0</v>
      </c>
      <c r="F166" s="39">
        <v>13496.0</v>
      </c>
      <c r="G166" s="39" t="s">
        <v>1111</v>
      </c>
      <c r="H166" s="39">
        <v>5.0</v>
      </c>
      <c r="I166" s="39" t="s">
        <v>756</v>
      </c>
      <c r="K166" s="39" t="s">
        <v>744</v>
      </c>
      <c r="L166" s="39">
        <v>3.14707229E9</v>
      </c>
      <c r="M166" s="39" t="s">
        <v>805</v>
      </c>
      <c r="N166" s="39" t="s">
        <v>755</v>
      </c>
      <c r="O166" s="39" t="s">
        <v>756</v>
      </c>
      <c r="P166" s="39" t="s">
        <v>755</v>
      </c>
      <c r="Q166" s="39" t="s">
        <v>756</v>
      </c>
      <c r="R166" s="39" t="s">
        <v>1113</v>
      </c>
      <c r="S166" s="39" t="s">
        <v>750</v>
      </c>
      <c r="T166" s="39" t="s">
        <v>750</v>
      </c>
      <c r="U166" s="39" t="s">
        <v>750</v>
      </c>
      <c r="V166" s="39" t="s">
        <v>750</v>
      </c>
      <c r="W166" s="39" t="s">
        <v>750</v>
      </c>
      <c r="X166" s="39" t="s">
        <v>750</v>
      </c>
    </row>
    <row r="167">
      <c r="A167" s="39" t="s">
        <v>739</v>
      </c>
      <c r="B167" s="39">
        <v>11676.0</v>
      </c>
      <c r="C167" s="39" t="s">
        <v>1121</v>
      </c>
      <c r="D167" s="39">
        <v>8.0</v>
      </c>
      <c r="F167" s="39">
        <v>14554.0</v>
      </c>
      <c r="G167" s="39" t="s">
        <v>1111</v>
      </c>
      <c r="H167" s="39">
        <v>6.0</v>
      </c>
      <c r="I167" s="39" t="s">
        <v>756</v>
      </c>
      <c r="K167" s="39" t="s">
        <v>744</v>
      </c>
      <c r="L167" s="39" t="s">
        <v>755</v>
      </c>
      <c r="M167" s="39" t="s">
        <v>756</v>
      </c>
      <c r="N167" s="39" t="s">
        <v>755</v>
      </c>
      <c r="O167" s="39" t="s">
        <v>756</v>
      </c>
      <c r="P167" s="39" t="s">
        <v>755</v>
      </c>
      <c r="Q167" s="39" t="s">
        <v>756</v>
      </c>
      <c r="S167" s="39" t="s">
        <v>751</v>
      </c>
      <c r="T167" s="39" t="s">
        <v>750</v>
      </c>
      <c r="U167" s="39" t="s">
        <v>750</v>
      </c>
      <c r="V167" s="39" t="s">
        <v>750</v>
      </c>
      <c r="W167" s="39" t="s">
        <v>750</v>
      </c>
      <c r="X167" s="39" t="s">
        <v>750</v>
      </c>
    </row>
    <row r="168">
      <c r="A168" s="39" t="s">
        <v>739</v>
      </c>
      <c r="B168" s="39">
        <v>11376.0</v>
      </c>
      <c r="C168" s="39" t="s">
        <v>554</v>
      </c>
      <c r="D168" s="39">
        <v>7.0</v>
      </c>
      <c r="F168" s="39">
        <v>8152.0</v>
      </c>
      <c r="G168" s="39" t="s">
        <v>1122</v>
      </c>
      <c r="H168" s="39">
        <v>1.0</v>
      </c>
      <c r="I168" s="39" t="s">
        <v>742</v>
      </c>
      <c r="J168" s="39" t="s">
        <v>743</v>
      </c>
      <c r="K168" s="39" t="s">
        <v>744</v>
      </c>
      <c r="L168" s="39" t="s">
        <v>1123</v>
      </c>
      <c r="M168" s="39" t="s">
        <v>746</v>
      </c>
      <c r="N168" s="39" t="s">
        <v>1124</v>
      </c>
      <c r="O168" s="39" t="s">
        <v>746</v>
      </c>
      <c r="P168" s="39" t="s">
        <v>1125</v>
      </c>
      <c r="Q168" s="39" t="s">
        <v>746</v>
      </c>
      <c r="R168" s="39" t="s">
        <v>1126</v>
      </c>
      <c r="S168" s="39" t="s">
        <v>750</v>
      </c>
      <c r="T168" s="39" t="s">
        <v>751</v>
      </c>
      <c r="U168" s="39" t="s">
        <v>750</v>
      </c>
      <c r="V168" s="39" t="s">
        <v>750</v>
      </c>
      <c r="W168" s="39" t="s">
        <v>750</v>
      </c>
      <c r="X168" s="39" t="s">
        <v>750</v>
      </c>
    </row>
    <row r="169">
      <c r="A169" s="39" t="s">
        <v>739</v>
      </c>
      <c r="B169" s="39">
        <v>11376.0</v>
      </c>
      <c r="C169" s="39" t="s">
        <v>554</v>
      </c>
      <c r="D169" s="39">
        <v>7.0</v>
      </c>
      <c r="F169" s="39">
        <v>17211.0</v>
      </c>
      <c r="G169" s="39" t="s">
        <v>1127</v>
      </c>
      <c r="H169" s="39">
        <v>2.0</v>
      </c>
      <c r="I169" s="39" t="s">
        <v>788</v>
      </c>
      <c r="J169" s="39" t="s">
        <v>803</v>
      </c>
      <c r="K169" s="39" t="s">
        <v>744</v>
      </c>
      <c r="L169" s="39" t="s">
        <v>1128</v>
      </c>
      <c r="M169" s="39" t="s">
        <v>746</v>
      </c>
      <c r="N169" s="39" t="s">
        <v>755</v>
      </c>
      <c r="O169" s="39" t="s">
        <v>756</v>
      </c>
      <c r="P169" s="39" t="s">
        <v>755</v>
      </c>
      <c r="Q169" s="39" t="s">
        <v>756</v>
      </c>
      <c r="S169" s="39" t="s">
        <v>750</v>
      </c>
      <c r="T169" s="39" t="s">
        <v>751</v>
      </c>
      <c r="U169" s="39" t="s">
        <v>751</v>
      </c>
      <c r="V169" s="39" t="s">
        <v>750</v>
      </c>
      <c r="W169" s="39" t="s">
        <v>751</v>
      </c>
      <c r="X169" s="39" t="s">
        <v>751</v>
      </c>
    </row>
    <row r="170">
      <c r="A170" s="39" t="s">
        <v>739</v>
      </c>
      <c r="B170" s="39">
        <v>11376.0</v>
      </c>
      <c r="C170" s="39" t="s">
        <v>554</v>
      </c>
      <c r="D170" s="39">
        <v>7.0</v>
      </c>
      <c r="F170" s="39">
        <v>8153.0</v>
      </c>
      <c r="G170" s="39" t="s">
        <v>1129</v>
      </c>
      <c r="H170" s="39">
        <v>3.0</v>
      </c>
      <c r="I170" s="39" t="s">
        <v>753</v>
      </c>
      <c r="K170" s="39" t="s">
        <v>744</v>
      </c>
      <c r="L170" s="39">
        <v>3.148859224E9</v>
      </c>
      <c r="M170" s="39" t="s">
        <v>746</v>
      </c>
      <c r="N170" s="39" t="s">
        <v>755</v>
      </c>
      <c r="O170" s="39" t="s">
        <v>756</v>
      </c>
      <c r="P170" s="39" t="s">
        <v>755</v>
      </c>
      <c r="Q170" s="39" t="s">
        <v>756</v>
      </c>
      <c r="S170" s="39" t="s">
        <v>750</v>
      </c>
      <c r="T170" s="39" t="s">
        <v>751</v>
      </c>
      <c r="U170" s="39" t="s">
        <v>750</v>
      </c>
      <c r="V170" s="39" t="s">
        <v>750</v>
      </c>
      <c r="W170" s="39" t="s">
        <v>750</v>
      </c>
      <c r="X170" s="39" t="s">
        <v>750</v>
      </c>
    </row>
    <row r="171">
      <c r="A171" s="39" t="s">
        <v>739</v>
      </c>
      <c r="B171" s="39">
        <v>11376.0</v>
      </c>
      <c r="C171" s="39" t="s">
        <v>554</v>
      </c>
      <c r="D171" s="39">
        <v>7.0</v>
      </c>
      <c r="F171" s="39">
        <v>13403.0</v>
      </c>
      <c r="G171" s="39" t="s">
        <v>889</v>
      </c>
      <c r="H171" s="39">
        <v>4.0</v>
      </c>
      <c r="I171" s="39" t="s">
        <v>756</v>
      </c>
      <c r="K171" s="39" t="s">
        <v>744</v>
      </c>
      <c r="L171" s="39" t="s">
        <v>755</v>
      </c>
      <c r="M171" s="39" t="s">
        <v>756</v>
      </c>
      <c r="N171" s="39" t="s">
        <v>755</v>
      </c>
      <c r="O171" s="39" t="s">
        <v>756</v>
      </c>
      <c r="P171" s="39" t="s">
        <v>755</v>
      </c>
      <c r="Q171" s="39" t="s">
        <v>756</v>
      </c>
      <c r="R171" s="39" t="s">
        <v>1126</v>
      </c>
      <c r="S171" s="39" t="s">
        <v>750</v>
      </c>
      <c r="T171" s="39" t="s">
        <v>750</v>
      </c>
      <c r="U171" s="39" t="s">
        <v>750</v>
      </c>
      <c r="V171" s="39" t="s">
        <v>750</v>
      </c>
      <c r="W171" s="39" t="s">
        <v>750</v>
      </c>
      <c r="X171" s="39" t="s">
        <v>750</v>
      </c>
    </row>
    <row r="172">
      <c r="A172" s="39" t="s">
        <v>739</v>
      </c>
      <c r="B172" s="39">
        <v>11376.0</v>
      </c>
      <c r="C172" s="39" t="s">
        <v>554</v>
      </c>
      <c r="D172" s="39">
        <v>7.0</v>
      </c>
      <c r="F172" s="39">
        <v>16001.0</v>
      </c>
      <c r="G172" s="39" t="s">
        <v>981</v>
      </c>
      <c r="H172" s="39">
        <v>5.0</v>
      </c>
      <c r="I172" s="39" t="s">
        <v>756</v>
      </c>
      <c r="K172" s="39" t="s">
        <v>744</v>
      </c>
      <c r="L172" s="39">
        <v>3.14406119E9</v>
      </c>
      <c r="M172" s="39" t="s">
        <v>756</v>
      </c>
      <c r="N172" s="39" t="s">
        <v>755</v>
      </c>
      <c r="O172" s="39" t="s">
        <v>756</v>
      </c>
      <c r="P172" s="39" t="s">
        <v>755</v>
      </c>
      <c r="Q172" s="39" t="s">
        <v>756</v>
      </c>
      <c r="S172" s="39" t="s">
        <v>750</v>
      </c>
      <c r="T172" s="39" t="s">
        <v>750</v>
      </c>
      <c r="U172" s="39" t="s">
        <v>750</v>
      </c>
      <c r="V172" s="39" t="s">
        <v>750</v>
      </c>
      <c r="W172" s="39" t="s">
        <v>750</v>
      </c>
      <c r="X172" s="39" t="s">
        <v>750</v>
      </c>
    </row>
    <row r="173">
      <c r="A173" s="39" t="s">
        <v>739</v>
      </c>
      <c r="B173" s="39">
        <v>11376.0</v>
      </c>
      <c r="C173" s="39" t="s">
        <v>554</v>
      </c>
      <c r="D173" s="39">
        <v>7.0</v>
      </c>
      <c r="F173" s="39">
        <v>16002.0</v>
      </c>
      <c r="G173" s="39" t="s">
        <v>1130</v>
      </c>
      <c r="H173" s="39">
        <v>6.0</v>
      </c>
      <c r="I173" s="39" t="s">
        <v>756</v>
      </c>
      <c r="K173" s="39" t="s">
        <v>744</v>
      </c>
      <c r="L173" s="39">
        <v>3.148253395E9</v>
      </c>
      <c r="M173" s="39" t="s">
        <v>746</v>
      </c>
      <c r="N173" s="39" t="s">
        <v>755</v>
      </c>
      <c r="O173" s="39" t="s">
        <v>756</v>
      </c>
      <c r="P173" s="39" t="s">
        <v>755</v>
      </c>
      <c r="Q173" s="39" t="s">
        <v>756</v>
      </c>
      <c r="S173" s="39" t="s">
        <v>750</v>
      </c>
      <c r="T173" s="39" t="s">
        <v>750</v>
      </c>
      <c r="U173" s="39" t="s">
        <v>750</v>
      </c>
      <c r="V173" s="39" t="s">
        <v>750</v>
      </c>
      <c r="W173" s="39" t="s">
        <v>750</v>
      </c>
      <c r="X173" s="39" t="s">
        <v>750</v>
      </c>
    </row>
    <row r="174">
      <c r="A174" s="39" t="s">
        <v>739</v>
      </c>
      <c r="B174" s="39">
        <v>11574.0</v>
      </c>
      <c r="C174" s="39" t="s">
        <v>1131</v>
      </c>
      <c r="D174" s="39">
        <v>6.0</v>
      </c>
      <c r="F174" s="39">
        <v>11267.0</v>
      </c>
      <c r="G174" s="39" t="s">
        <v>1132</v>
      </c>
      <c r="H174" s="39">
        <v>1.0</v>
      </c>
      <c r="I174" s="39" t="s">
        <v>742</v>
      </c>
      <c r="J174" s="39" t="s">
        <v>743</v>
      </c>
      <c r="K174" s="39" t="s">
        <v>744</v>
      </c>
      <c r="L174" s="39" t="s">
        <v>1133</v>
      </c>
      <c r="M174" s="39" t="s">
        <v>748</v>
      </c>
      <c r="N174" s="39" t="s">
        <v>755</v>
      </c>
      <c r="O174" s="39" t="s">
        <v>756</v>
      </c>
      <c r="P174" s="39" t="s">
        <v>755</v>
      </c>
      <c r="Q174" s="39" t="s">
        <v>756</v>
      </c>
      <c r="R174" s="39" t="s">
        <v>1134</v>
      </c>
      <c r="S174" s="39" t="s">
        <v>750</v>
      </c>
      <c r="T174" s="39" t="s">
        <v>751</v>
      </c>
      <c r="U174" s="39" t="s">
        <v>751</v>
      </c>
      <c r="V174" s="39" t="s">
        <v>751</v>
      </c>
      <c r="W174" s="39" t="s">
        <v>751</v>
      </c>
      <c r="X174" s="39" t="s">
        <v>751</v>
      </c>
    </row>
    <row r="175">
      <c r="A175" s="39" t="s">
        <v>739</v>
      </c>
      <c r="B175" s="39">
        <v>11574.0</v>
      </c>
      <c r="C175" s="39" t="s">
        <v>1131</v>
      </c>
      <c r="D175" s="39">
        <v>6.0</v>
      </c>
      <c r="F175" s="39">
        <v>13400.0</v>
      </c>
      <c r="G175" s="39" t="s">
        <v>1132</v>
      </c>
      <c r="H175" s="39">
        <v>2.0</v>
      </c>
      <c r="I175" s="39" t="s">
        <v>791</v>
      </c>
      <c r="J175" s="39" t="s">
        <v>803</v>
      </c>
      <c r="K175" s="39" t="s">
        <v>744</v>
      </c>
      <c r="L175" s="39" t="s">
        <v>1133</v>
      </c>
      <c r="M175" s="39" t="s">
        <v>805</v>
      </c>
      <c r="N175" s="39" t="s">
        <v>755</v>
      </c>
      <c r="O175" s="39" t="s">
        <v>756</v>
      </c>
      <c r="P175" s="39" t="s">
        <v>755</v>
      </c>
      <c r="Q175" s="39" t="s">
        <v>756</v>
      </c>
      <c r="R175" s="39" t="s">
        <v>1134</v>
      </c>
      <c r="S175" s="39" t="s">
        <v>750</v>
      </c>
      <c r="T175" s="39" t="s">
        <v>750</v>
      </c>
      <c r="U175" s="39" t="s">
        <v>750</v>
      </c>
      <c r="V175" s="39" t="s">
        <v>750</v>
      </c>
      <c r="W175" s="39" t="s">
        <v>750</v>
      </c>
      <c r="X175" s="39" t="s">
        <v>750</v>
      </c>
    </row>
    <row r="176">
      <c r="A176" s="39" t="s">
        <v>739</v>
      </c>
      <c r="B176" s="39">
        <v>11574.0</v>
      </c>
      <c r="C176" s="39" t="s">
        <v>1131</v>
      </c>
      <c r="D176" s="39">
        <v>6.0</v>
      </c>
      <c r="F176" s="39">
        <v>15001.0</v>
      </c>
      <c r="G176" s="39" t="s">
        <v>1132</v>
      </c>
      <c r="H176" s="39">
        <v>3.0</v>
      </c>
      <c r="I176" s="39" t="s">
        <v>788</v>
      </c>
      <c r="K176" s="39" t="s">
        <v>744</v>
      </c>
      <c r="L176" s="39" t="s">
        <v>1133</v>
      </c>
      <c r="M176" s="39" t="s">
        <v>746</v>
      </c>
      <c r="N176" s="39" t="s">
        <v>755</v>
      </c>
      <c r="O176" s="39" t="s">
        <v>756</v>
      </c>
      <c r="P176" s="39" t="s">
        <v>755</v>
      </c>
      <c r="Q176" s="39" t="s">
        <v>756</v>
      </c>
      <c r="S176" s="39" t="s">
        <v>751</v>
      </c>
      <c r="T176" s="39" t="s">
        <v>750</v>
      </c>
      <c r="U176" s="39" t="s">
        <v>750</v>
      </c>
      <c r="V176" s="39" t="s">
        <v>750</v>
      </c>
      <c r="W176" s="39" t="s">
        <v>750</v>
      </c>
      <c r="X176" s="39" t="s">
        <v>750</v>
      </c>
    </row>
    <row r="177">
      <c r="A177" s="39" t="s">
        <v>739</v>
      </c>
      <c r="B177" s="39">
        <v>11574.0</v>
      </c>
      <c r="C177" s="39" t="s">
        <v>1131</v>
      </c>
      <c r="D177" s="39">
        <v>6.0</v>
      </c>
      <c r="F177" s="39">
        <v>11268.0</v>
      </c>
      <c r="G177" s="39" t="s">
        <v>1135</v>
      </c>
      <c r="H177" s="39">
        <v>4.0</v>
      </c>
      <c r="I177" s="39" t="s">
        <v>791</v>
      </c>
      <c r="J177" s="39" t="s">
        <v>768</v>
      </c>
      <c r="K177" s="39" t="s">
        <v>744</v>
      </c>
      <c r="L177" s="39" t="s">
        <v>1136</v>
      </c>
      <c r="M177" s="39" t="s">
        <v>746</v>
      </c>
      <c r="N177" s="39" t="s">
        <v>755</v>
      </c>
      <c r="O177" s="39" t="s">
        <v>756</v>
      </c>
      <c r="P177" s="39" t="s">
        <v>755</v>
      </c>
      <c r="Q177" s="39" t="s">
        <v>756</v>
      </c>
      <c r="R177" s="39" t="s">
        <v>1137</v>
      </c>
      <c r="S177" s="39" t="s">
        <v>750</v>
      </c>
      <c r="T177" s="39" t="s">
        <v>750</v>
      </c>
      <c r="U177" s="39" t="s">
        <v>750</v>
      </c>
      <c r="V177" s="39" t="s">
        <v>750</v>
      </c>
      <c r="W177" s="39" t="s">
        <v>751</v>
      </c>
      <c r="X177" s="39" t="s">
        <v>751</v>
      </c>
    </row>
    <row r="178">
      <c r="A178" s="39" t="s">
        <v>739</v>
      </c>
      <c r="B178" s="39">
        <v>11413.0</v>
      </c>
      <c r="C178" s="39" t="s">
        <v>1138</v>
      </c>
      <c r="D178" s="39">
        <v>8.0</v>
      </c>
      <c r="F178" s="39">
        <v>8407.0</v>
      </c>
      <c r="G178" s="39" t="s">
        <v>1139</v>
      </c>
      <c r="H178" s="39">
        <v>1.0</v>
      </c>
      <c r="I178" s="39" t="s">
        <v>742</v>
      </c>
      <c r="J178" s="39" t="s">
        <v>743</v>
      </c>
      <c r="K178" s="39" t="s">
        <v>744</v>
      </c>
      <c r="L178" s="39" t="s">
        <v>1140</v>
      </c>
      <c r="M178" s="39" t="s">
        <v>746</v>
      </c>
      <c r="N178" s="39" t="s">
        <v>755</v>
      </c>
      <c r="O178" s="39" t="s">
        <v>756</v>
      </c>
      <c r="P178" s="39" t="s">
        <v>755</v>
      </c>
      <c r="Q178" s="39" t="s">
        <v>756</v>
      </c>
      <c r="R178" s="39" t="s">
        <v>1141</v>
      </c>
      <c r="S178" s="39" t="s">
        <v>750</v>
      </c>
      <c r="T178" s="39" t="s">
        <v>751</v>
      </c>
      <c r="U178" s="39" t="s">
        <v>751</v>
      </c>
      <c r="V178" s="39" t="s">
        <v>751</v>
      </c>
      <c r="W178" s="39" t="s">
        <v>751</v>
      </c>
      <c r="X178" s="39" t="s">
        <v>751</v>
      </c>
    </row>
    <row r="179">
      <c r="A179" s="39" t="s">
        <v>739</v>
      </c>
      <c r="B179" s="39">
        <v>11413.0</v>
      </c>
      <c r="C179" s="39" t="s">
        <v>1138</v>
      </c>
      <c r="D179" s="39">
        <v>8.0</v>
      </c>
      <c r="F179" s="39">
        <v>17510.0</v>
      </c>
      <c r="G179" s="39" t="s">
        <v>1142</v>
      </c>
      <c r="H179" s="39">
        <v>2.0</v>
      </c>
      <c r="I179" s="39" t="s">
        <v>775</v>
      </c>
      <c r="J179" s="39" t="s">
        <v>768</v>
      </c>
      <c r="K179" s="39" t="s">
        <v>744</v>
      </c>
      <c r="L179" s="39" t="s">
        <v>1140</v>
      </c>
      <c r="M179" s="39" t="s">
        <v>746</v>
      </c>
      <c r="N179" s="39" t="s">
        <v>1143</v>
      </c>
      <c r="O179" s="39" t="s">
        <v>746</v>
      </c>
      <c r="P179" s="39" t="s">
        <v>755</v>
      </c>
      <c r="Q179" s="39" t="s">
        <v>756</v>
      </c>
      <c r="S179" s="39" t="s">
        <v>750</v>
      </c>
      <c r="T179" s="39" t="s">
        <v>750</v>
      </c>
      <c r="U179" s="39" t="s">
        <v>750</v>
      </c>
      <c r="V179" s="39" t="s">
        <v>750</v>
      </c>
      <c r="W179" s="39" t="s">
        <v>751</v>
      </c>
      <c r="X179" s="39" t="s">
        <v>751</v>
      </c>
    </row>
    <row r="180">
      <c r="A180" s="39" t="s">
        <v>739</v>
      </c>
      <c r="B180" s="39">
        <v>11413.0</v>
      </c>
      <c r="C180" s="39" t="s">
        <v>1138</v>
      </c>
      <c r="D180" s="39">
        <v>8.0</v>
      </c>
      <c r="F180" s="39">
        <v>13577.0</v>
      </c>
      <c r="G180" s="39" t="s">
        <v>889</v>
      </c>
      <c r="H180" s="39">
        <v>3.0</v>
      </c>
      <c r="I180" s="39" t="s">
        <v>756</v>
      </c>
      <c r="K180" s="39" t="s">
        <v>744</v>
      </c>
      <c r="L180" s="39" t="s">
        <v>755</v>
      </c>
      <c r="M180" s="39" t="s">
        <v>756</v>
      </c>
      <c r="N180" s="39" t="s">
        <v>755</v>
      </c>
      <c r="O180" s="39" t="s">
        <v>756</v>
      </c>
      <c r="P180" s="39" t="s">
        <v>755</v>
      </c>
      <c r="Q180" s="39" t="s">
        <v>756</v>
      </c>
      <c r="R180" s="39" t="s">
        <v>1141</v>
      </c>
      <c r="S180" s="39" t="s">
        <v>750</v>
      </c>
      <c r="T180" s="39" t="s">
        <v>750</v>
      </c>
      <c r="U180" s="39" t="s">
        <v>750</v>
      </c>
      <c r="V180" s="39" t="s">
        <v>750</v>
      </c>
      <c r="W180" s="39" t="s">
        <v>750</v>
      </c>
      <c r="X180" s="39" t="s">
        <v>750</v>
      </c>
    </row>
    <row r="181">
      <c r="A181" s="39" t="s">
        <v>739</v>
      </c>
      <c r="B181" s="39">
        <v>11413.0</v>
      </c>
      <c r="C181" s="39" t="s">
        <v>1138</v>
      </c>
      <c r="D181" s="39">
        <v>8.0</v>
      </c>
      <c r="F181" s="39">
        <v>16455.0</v>
      </c>
      <c r="G181" s="39" t="s">
        <v>1144</v>
      </c>
      <c r="H181" s="39">
        <v>4.0</v>
      </c>
      <c r="I181" s="39" t="s">
        <v>775</v>
      </c>
      <c r="K181" s="39" t="s">
        <v>744</v>
      </c>
      <c r="L181" s="39" t="s">
        <v>1143</v>
      </c>
      <c r="M181" s="39" t="s">
        <v>756</v>
      </c>
      <c r="N181" s="39" t="s">
        <v>755</v>
      </c>
      <c r="O181" s="39" t="s">
        <v>756</v>
      </c>
      <c r="P181" s="39" t="s">
        <v>755</v>
      </c>
      <c r="Q181" s="39" t="s">
        <v>756</v>
      </c>
      <c r="S181" s="39" t="s">
        <v>750</v>
      </c>
      <c r="T181" s="39" t="s">
        <v>750</v>
      </c>
      <c r="U181" s="39" t="s">
        <v>750</v>
      </c>
      <c r="V181" s="39" t="s">
        <v>750</v>
      </c>
      <c r="W181" s="39" t="s">
        <v>750</v>
      </c>
      <c r="X181" s="39" t="s">
        <v>750</v>
      </c>
    </row>
    <row r="182">
      <c r="A182" s="39" t="s">
        <v>739</v>
      </c>
      <c r="B182" s="39">
        <v>11938.0</v>
      </c>
      <c r="C182" s="39" t="s">
        <v>1145</v>
      </c>
      <c r="D182" s="39">
        <v>8.0</v>
      </c>
      <c r="F182" s="39">
        <v>17185.0</v>
      </c>
      <c r="G182" s="39" t="s">
        <v>1146</v>
      </c>
      <c r="H182" s="39">
        <v>1.0</v>
      </c>
      <c r="I182" s="39" t="s">
        <v>742</v>
      </c>
      <c r="J182" s="39" t="s">
        <v>743</v>
      </c>
      <c r="K182" s="39" t="s">
        <v>744</v>
      </c>
      <c r="L182" s="39" t="s">
        <v>1147</v>
      </c>
      <c r="M182" s="39" t="s">
        <v>746</v>
      </c>
      <c r="N182" s="39" t="s">
        <v>1148</v>
      </c>
      <c r="O182" s="39" t="s">
        <v>746</v>
      </c>
      <c r="P182" s="39" t="s">
        <v>755</v>
      </c>
      <c r="Q182" s="39" t="s">
        <v>756</v>
      </c>
      <c r="R182" s="39" t="s">
        <v>1149</v>
      </c>
      <c r="S182" s="39" t="s">
        <v>750</v>
      </c>
      <c r="T182" s="39" t="s">
        <v>751</v>
      </c>
      <c r="U182" s="39" t="s">
        <v>751</v>
      </c>
      <c r="V182" s="39" t="s">
        <v>750</v>
      </c>
      <c r="W182" s="39" t="s">
        <v>751</v>
      </c>
      <c r="X182" s="39" t="s">
        <v>751</v>
      </c>
    </row>
    <row r="183">
      <c r="A183" s="39" t="s">
        <v>739</v>
      </c>
      <c r="B183" s="39">
        <v>12100.0</v>
      </c>
      <c r="C183" s="39" t="s">
        <v>1150</v>
      </c>
      <c r="D183" s="39">
        <v>7.0</v>
      </c>
      <c r="F183" s="39">
        <v>18303.0</v>
      </c>
      <c r="G183" s="39" t="s">
        <v>1151</v>
      </c>
      <c r="H183" s="39">
        <v>1.0</v>
      </c>
      <c r="I183" s="39" t="s">
        <v>742</v>
      </c>
      <c r="J183" s="39" t="s">
        <v>743</v>
      </c>
      <c r="K183" s="39" t="s">
        <v>744</v>
      </c>
      <c r="L183" s="39" t="s">
        <v>1152</v>
      </c>
      <c r="M183" s="39" t="s">
        <v>746</v>
      </c>
      <c r="N183" s="39" t="s">
        <v>755</v>
      </c>
      <c r="O183" s="39" t="s">
        <v>756</v>
      </c>
      <c r="P183" s="39" t="s">
        <v>755</v>
      </c>
      <c r="Q183" s="39" t="s">
        <v>756</v>
      </c>
      <c r="R183" s="39" t="s">
        <v>1153</v>
      </c>
      <c r="S183" s="39" t="s">
        <v>750</v>
      </c>
      <c r="T183" s="39" t="s">
        <v>751</v>
      </c>
      <c r="U183" s="39" t="s">
        <v>751</v>
      </c>
      <c r="V183" s="39" t="s">
        <v>750</v>
      </c>
      <c r="W183" s="39" t="s">
        <v>751</v>
      </c>
      <c r="X183" s="39" t="s">
        <v>751</v>
      </c>
    </row>
    <row r="184">
      <c r="A184" s="39" t="s">
        <v>739</v>
      </c>
      <c r="B184" s="39">
        <v>12100.0</v>
      </c>
      <c r="C184" s="39" t="s">
        <v>1150</v>
      </c>
      <c r="D184" s="39">
        <v>7.0</v>
      </c>
      <c r="F184" s="39">
        <v>18304.0</v>
      </c>
      <c r="G184" s="39" t="s">
        <v>1154</v>
      </c>
      <c r="H184" s="39">
        <v>2.0</v>
      </c>
      <c r="I184" s="39" t="s">
        <v>760</v>
      </c>
      <c r="J184" s="39" t="s">
        <v>768</v>
      </c>
      <c r="K184" s="39" t="s">
        <v>744</v>
      </c>
      <c r="L184" s="39" t="s">
        <v>1155</v>
      </c>
      <c r="M184" s="39" t="s">
        <v>746</v>
      </c>
      <c r="N184" s="39" t="s">
        <v>755</v>
      </c>
      <c r="O184" s="39" t="s">
        <v>756</v>
      </c>
      <c r="P184" s="39" t="s">
        <v>755</v>
      </c>
      <c r="Q184" s="39" t="s">
        <v>756</v>
      </c>
      <c r="S184" s="39" t="s">
        <v>750</v>
      </c>
      <c r="T184" s="39" t="s">
        <v>750</v>
      </c>
      <c r="U184" s="39" t="s">
        <v>751</v>
      </c>
      <c r="V184" s="39" t="s">
        <v>750</v>
      </c>
      <c r="W184" s="39" t="s">
        <v>751</v>
      </c>
      <c r="X184" s="39" t="s">
        <v>751</v>
      </c>
    </row>
    <row r="185">
      <c r="A185" s="39" t="s">
        <v>739</v>
      </c>
      <c r="B185" s="39">
        <v>10100.0</v>
      </c>
      <c r="C185" s="39" t="s">
        <v>563</v>
      </c>
      <c r="D185" s="39">
        <v>8.0</v>
      </c>
      <c r="F185" s="39">
        <v>5650.0</v>
      </c>
      <c r="G185" s="39" t="s">
        <v>1156</v>
      </c>
      <c r="H185" s="39">
        <v>1.0</v>
      </c>
      <c r="I185" s="39" t="s">
        <v>742</v>
      </c>
      <c r="J185" s="39" t="s">
        <v>743</v>
      </c>
      <c r="K185" s="39" t="s">
        <v>744</v>
      </c>
      <c r="L185" s="39" t="s">
        <v>1157</v>
      </c>
      <c r="M185" s="39" t="s">
        <v>746</v>
      </c>
      <c r="N185" s="39" t="s">
        <v>1158</v>
      </c>
      <c r="O185" s="39" t="s">
        <v>746</v>
      </c>
      <c r="P185" s="39" t="s">
        <v>755</v>
      </c>
      <c r="Q185" s="39" t="s">
        <v>756</v>
      </c>
      <c r="R185" s="39" t="s">
        <v>1159</v>
      </c>
      <c r="S185" s="39" t="s">
        <v>750</v>
      </c>
      <c r="T185" s="39" t="s">
        <v>751</v>
      </c>
      <c r="U185" s="39" t="s">
        <v>751</v>
      </c>
      <c r="V185" s="39" t="s">
        <v>750</v>
      </c>
      <c r="W185" s="39" t="s">
        <v>751</v>
      </c>
      <c r="X185" s="39" t="s">
        <v>751</v>
      </c>
    </row>
    <row r="186">
      <c r="A186" s="39" t="s">
        <v>739</v>
      </c>
      <c r="B186" s="39">
        <v>10100.0</v>
      </c>
      <c r="C186" s="39" t="s">
        <v>563</v>
      </c>
      <c r="D186" s="39">
        <v>8.0</v>
      </c>
      <c r="F186" s="39">
        <v>5651.0</v>
      </c>
      <c r="G186" s="39" t="s">
        <v>1160</v>
      </c>
      <c r="H186" s="39">
        <v>2.0</v>
      </c>
      <c r="I186" s="39" t="s">
        <v>775</v>
      </c>
      <c r="J186" s="39" t="s">
        <v>768</v>
      </c>
      <c r="K186" s="39" t="s">
        <v>744</v>
      </c>
      <c r="L186" s="39" t="s">
        <v>1161</v>
      </c>
      <c r="M186" s="39" t="s">
        <v>746</v>
      </c>
      <c r="N186" s="39" t="s">
        <v>1162</v>
      </c>
      <c r="O186" s="39" t="s">
        <v>746</v>
      </c>
      <c r="P186" s="39" t="s">
        <v>1163</v>
      </c>
      <c r="Q186" s="39" t="s">
        <v>746</v>
      </c>
      <c r="S186" s="39" t="s">
        <v>750</v>
      </c>
      <c r="T186" s="39" t="s">
        <v>750</v>
      </c>
      <c r="U186" s="39" t="s">
        <v>750</v>
      </c>
      <c r="V186" s="39" t="s">
        <v>750</v>
      </c>
      <c r="W186" s="39" t="s">
        <v>751</v>
      </c>
      <c r="X186" s="39" t="s">
        <v>751</v>
      </c>
    </row>
    <row r="187">
      <c r="A187" s="39" t="s">
        <v>739</v>
      </c>
      <c r="B187" s="39">
        <v>10100.0</v>
      </c>
      <c r="C187" s="39" t="s">
        <v>563</v>
      </c>
      <c r="D187" s="39">
        <v>8.0</v>
      </c>
      <c r="F187" s="39">
        <v>5652.0</v>
      </c>
      <c r="G187" s="39" t="s">
        <v>1164</v>
      </c>
      <c r="H187" s="39">
        <v>3.0</v>
      </c>
      <c r="I187" s="39" t="s">
        <v>788</v>
      </c>
      <c r="K187" s="39" t="s">
        <v>744</v>
      </c>
      <c r="L187" s="39">
        <v>3.147450676E9</v>
      </c>
      <c r="M187" s="39" t="s">
        <v>746</v>
      </c>
      <c r="N187" s="39" t="s">
        <v>755</v>
      </c>
      <c r="O187" s="39" t="s">
        <v>756</v>
      </c>
      <c r="P187" s="39" t="s">
        <v>755</v>
      </c>
      <c r="Q187" s="39" t="s">
        <v>756</v>
      </c>
      <c r="R187" s="39" t="s">
        <v>1159</v>
      </c>
      <c r="S187" s="39" t="s">
        <v>750</v>
      </c>
      <c r="T187" s="39" t="s">
        <v>750</v>
      </c>
      <c r="U187" s="39" t="s">
        <v>750</v>
      </c>
      <c r="V187" s="39" t="s">
        <v>750</v>
      </c>
      <c r="W187" s="39" t="s">
        <v>750</v>
      </c>
      <c r="X187" s="39" t="s">
        <v>750</v>
      </c>
    </row>
    <row r="188">
      <c r="A188" s="39" t="s">
        <v>739</v>
      </c>
      <c r="B188" s="39">
        <v>12073.0</v>
      </c>
      <c r="C188" s="39" t="s">
        <v>1165</v>
      </c>
      <c r="D188" s="39">
        <v>8.0</v>
      </c>
      <c r="F188" s="39">
        <v>17971.0</v>
      </c>
      <c r="G188" s="39" t="s">
        <v>1166</v>
      </c>
      <c r="H188" s="39">
        <v>1.0</v>
      </c>
      <c r="I188" s="39" t="s">
        <v>742</v>
      </c>
      <c r="J188" s="39" t="s">
        <v>743</v>
      </c>
      <c r="K188" s="39" t="s">
        <v>744</v>
      </c>
      <c r="L188" s="39" t="s">
        <v>1167</v>
      </c>
      <c r="M188" s="39" t="s">
        <v>746</v>
      </c>
      <c r="N188" s="39" t="s">
        <v>755</v>
      </c>
      <c r="O188" s="39" t="s">
        <v>756</v>
      </c>
      <c r="P188" s="39" t="s">
        <v>755</v>
      </c>
      <c r="Q188" s="39" t="s">
        <v>756</v>
      </c>
      <c r="R188" s="39" t="s">
        <v>1168</v>
      </c>
      <c r="S188" s="39" t="s">
        <v>750</v>
      </c>
      <c r="T188" s="39" t="s">
        <v>751</v>
      </c>
      <c r="U188" s="39" t="s">
        <v>751</v>
      </c>
      <c r="V188" s="39" t="s">
        <v>750</v>
      </c>
      <c r="W188" s="39" t="s">
        <v>751</v>
      </c>
      <c r="X188" s="39" t="s">
        <v>751</v>
      </c>
    </row>
    <row r="189">
      <c r="A189" s="39" t="s">
        <v>739</v>
      </c>
      <c r="B189" s="39">
        <v>12073.0</v>
      </c>
      <c r="C189" s="39" t="s">
        <v>1165</v>
      </c>
      <c r="D189" s="39">
        <v>8.0</v>
      </c>
      <c r="F189" s="39">
        <v>17972.0</v>
      </c>
      <c r="G189" s="39" t="s">
        <v>1169</v>
      </c>
      <c r="H189" s="39">
        <v>2.0</v>
      </c>
      <c r="I189" s="39" t="s">
        <v>753</v>
      </c>
      <c r="J189" s="39" t="s">
        <v>754</v>
      </c>
      <c r="K189" s="39" t="s">
        <v>744</v>
      </c>
      <c r="L189" s="39" t="s">
        <v>1167</v>
      </c>
      <c r="M189" s="39" t="s">
        <v>746</v>
      </c>
      <c r="N189" s="39" t="s">
        <v>755</v>
      </c>
      <c r="O189" s="39" t="s">
        <v>756</v>
      </c>
      <c r="P189" s="39" t="s">
        <v>755</v>
      </c>
      <c r="Q189" s="39" t="s">
        <v>756</v>
      </c>
      <c r="S189" s="39" t="s">
        <v>750</v>
      </c>
      <c r="T189" s="39" t="s">
        <v>751</v>
      </c>
      <c r="U189" s="39" t="s">
        <v>751</v>
      </c>
      <c r="V189" s="39" t="s">
        <v>750</v>
      </c>
      <c r="W189" s="39" t="s">
        <v>751</v>
      </c>
      <c r="X189" s="39" t="s">
        <v>751</v>
      </c>
    </row>
    <row r="190">
      <c r="A190" s="39" t="s">
        <v>739</v>
      </c>
      <c r="B190" s="39">
        <v>12073.0</v>
      </c>
      <c r="C190" s="39" t="s">
        <v>1165</v>
      </c>
      <c r="D190" s="39">
        <v>8.0</v>
      </c>
      <c r="F190" s="39">
        <v>17973.0</v>
      </c>
      <c r="G190" s="39" t="s">
        <v>1170</v>
      </c>
      <c r="H190" s="39">
        <v>3.0</v>
      </c>
      <c r="I190" s="39" t="s">
        <v>788</v>
      </c>
      <c r="J190" s="39" t="s">
        <v>768</v>
      </c>
      <c r="K190" s="39" t="s">
        <v>744</v>
      </c>
      <c r="L190" s="39" t="s">
        <v>1171</v>
      </c>
      <c r="M190" s="39" t="s">
        <v>746</v>
      </c>
      <c r="N190" s="39" t="s">
        <v>755</v>
      </c>
      <c r="O190" s="39" t="s">
        <v>756</v>
      </c>
      <c r="P190" s="39" t="s">
        <v>755</v>
      </c>
      <c r="Q190" s="39" t="s">
        <v>756</v>
      </c>
      <c r="S190" s="39" t="s">
        <v>750</v>
      </c>
      <c r="T190" s="39" t="s">
        <v>750</v>
      </c>
      <c r="U190" s="39" t="s">
        <v>751</v>
      </c>
      <c r="V190" s="39" t="s">
        <v>750</v>
      </c>
      <c r="W190" s="39" t="s">
        <v>751</v>
      </c>
      <c r="X190" s="39" t="s">
        <v>751</v>
      </c>
    </row>
    <row r="191">
      <c r="A191" s="39" t="s">
        <v>739</v>
      </c>
      <c r="B191" s="39">
        <v>12052.0</v>
      </c>
      <c r="C191" s="39" t="s">
        <v>1172</v>
      </c>
      <c r="D191" s="39">
        <v>7.0</v>
      </c>
      <c r="F191" s="39">
        <v>7863.0</v>
      </c>
      <c r="G191" s="39" t="s">
        <v>1173</v>
      </c>
      <c r="H191" s="39">
        <v>1.0</v>
      </c>
      <c r="I191" s="39" t="s">
        <v>753</v>
      </c>
      <c r="J191" s="39" t="s">
        <v>754</v>
      </c>
      <c r="K191" s="39" t="s">
        <v>744</v>
      </c>
      <c r="L191" s="39" t="s">
        <v>1174</v>
      </c>
      <c r="M191" s="39" t="s">
        <v>746</v>
      </c>
      <c r="N191" s="39">
        <v>3.146886814E9</v>
      </c>
      <c r="O191" s="39" t="s">
        <v>748</v>
      </c>
      <c r="P191" s="39" t="s">
        <v>755</v>
      </c>
      <c r="Q191" s="39" t="s">
        <v>756</v>
      </c>
      <c r="R191" s="39" t="s">
        <v>1175</v>
      </c>
      <c r="S191" s="39" t="s">
        <v>750</v>
      </c>
      <c r="T191" s="39" t="s">
        <v>751</v>
      </c>
      <c r="U191" s="39" t="s">
        <v>751</v>
      </c>
      <c r="V191" s="39" t="s">
        <v>750</v>
      </c>
      <c r="W191" s="39" t="s">
        <v>751</v>
      </c>
      <c r="X191" s="39" t="s">
        <v>751</v>
      </c>
    </row>
    <row r="192">
      <c r="A192" s="39" t="s">
        <v>739</v>
      </c>
      <c r="B192" s="39">
        <v>12052.0</v>
      </c>
      <c r="C192" s="39" t="s">
        <v>1172</v>
      </c>
      <c r="D192" s="39">
        <v>7.0</v>
      </c>
      <c r="F192" s="39">
        <v>17908.0</v>
      </c>
      <c r="G192" s="39" t="s">
        <v>1176</v>
      </c>
      <c r="H192" s="39">
        <v>2.0</v>
      </c>
      <c r="I192" s="39" t="s">
        <v>742</v>
      </c>
      <c r="J192" s="39" t="s">
        <v>743</v>
      </c>
      <c r="K192" s="39" t="s">
        <v>744</v>
      </c>
      <c r="L192" s="39" t="s">
        <v>1177</v>
      </c>
      <c r="M192" s="39" t="s">
        <v>746</v>
      </c>
      <c r="N192" s="39" t="s">
        <v>755</v>
      </c>
      <c r="O192" s="39" t="s">
        <v>756</v>
      </c>
      <c r="P192" s="39" t="s">
        <v>755</v>
      </c>
      <c r="Q192" s="39" t="s">
        <v>756</v>
      </c>
      <c r="S192" s="39" t="s">
        <v>750</v>
      </c>
      <c r="T192" s="39" t="s">
        <v>751</v>
      </c>
      <c r="U192" s="39" t="s">
        <v>750</v>
      </c>
      <c r="V192" s="39" t="s">
        <v>751</v>
      </c>
      <c r="W192" s="39" t="s">
        <v>751</v>
      </c>
      <c r="X192" s="39" t="s">
        <v>751</v>
      </c>
    </row>
    <row r="193">
      <c r="A193" s="39" t="s">
        <v>739</v>
      </c>
      <c r="B193" s="39">
        <v>12052.0</v>
      </c>
      <c r="C193" s="39" t="s">
        <v>1172</v>
      </c>
      <c r="D193" s="39">
        <v>7.0</v>
      </c>
      <c r="F193" s="39">
        <v>7862.0</v>
      </c>
      <c r="G193" s="39" t="s">
        <v>1178</v>
      </c>
      <c r="H193" s="39">
        <v>3.0</v>
      </c>
      <c r="I193" s="39" t="s">
        <v>788</v>
      </c>
      <c r="J193" s="39" t="s">
        <v>768</v>
      </c>
      <c r="K193" s="39" t="s">
        <v>744</v>
      </c>
      <c r="L193" s="39" t="s">
        <v>1179</v>
      </c>
      <c r="M193" s="39" t="s">
        <v>746</v>
      </c>
      <c r="N193" s="39" t="s">
        <v>755</v>
      </c>
      <c r="O193" s="39" t="s">
        <v>756</v>
      </c>
      <c r="P193" s="39" t="s">
        <v>755</v>
      </c>
      <c r="Q193" s="39" t="s">
        <v>756</v>
      </c>
      <c r="R193" s="39" t="s">
        <v>1180</v>
      </c>
      <c r="S193" s="39" t="s">
        <v>750</v>
      </c>
      <c r="T193" s="39" t="s">
        <v>750</v>
      </c>
      <c r="U193" s="39" t="s">
        <v>750</v>
      </c>
      <c r="V193" s="39" t="s">
        <v>750</v>
      </c>
      <c r="W193" s="39" t="s">
        <v>751</v>
      </c>
      <c r="X193" s="39" t="s">
        <v>751</v>
      </c>
    </row>
    <row r="194">
      <c r="A194" s="39" t="s">
        <v>739</v>
      </c>
      <c r="B194" s="39">
        <v>11849.0</v>
      </c>
      <c r="C194" s="39" t="s">
        <v>1181</v>
      </c>
      <c r="D194" s="39">
        <v>8.0</v>
      </c>
      <c r="F194" s="39">
        <v>15452.0</v>
      </c>
      <c r="G194" s="39" t="s">
        <v>1182</v>
      </c>
      <c r="H194" s="39">
        <v>1.0</v>
      </c>
      <c r="I194" s="39" t="s">
        <v>742</v>
      </c>
      <c r="J194" s="39" t="s">
        <v>743</v>
      </c>
      <c r="K194" s="39" t="s">
        <v>744</v>
      </c>
      <c r="L194" s="39" t="s">
        <v>1183</v>
      </c>
      <c r="M194" s="39" t="s">
        <v>746</v>
      </c>
      <c r="N194" s="39" t="s">
        <v>755</v>
      </c>
      <c r="O194" s="39" t="s">
        <v>756</v>
      </c>
      <c r="P194" s="39" t="s">
        <v>755</v>
      </c>
      <c r="Q194" s="39" t="s">
        <v>756</v>
      </c>
      <c r="R194" s="39" t="s">
        <v>1184</v>
      </c>
      <c r="S194" s="39" t="s">
        <v>750</v>
      </c>
      <c r="T194" s="39" t="s">
        <v>751</v>
      </c>
      <c r="U194" s="39" t="s">
        <v>751</v>
      </c>
      <c r="V194" s="39" t="s">
        <v>750</v>
      </c>
      <c r="W194" s="39" t="s">
        <v>751</v>
      </c>
      <c r="X194" s="39" t="s">
        <v>751</v>
      </c>
    </row>
    <row r="195">
      <c r="A195" s="39" t="s">
        <v>739</v>
      </c>
      <c r="B195" s="39">
        <v>11849.0</v>
      </c>
      <c r="C195" s="39" t="s">
        <v>1181</v>
      </c>
      <c r="D195" s="39">
        <v>8.0</v>
      </c>
      <c r="F195" s="39">
        <v>15453.0</v>
      </c>
      <c r="G195" s="39" t="s">
        <v>1185</v>
      </c>
      <c r="H195" s="39">
        <v>2.0</v>
      </c>
      <c r="I195" s="39" t="s">
        <v>753</v>
      </c>
      <c r="J195" s="39" t="s">
        <v>754</v>
      </c>
      <c r="K195" s="39" t="s">
        <v>744</v>
      </c>
      <c r="L195" s="39" t="s">
        <v>1186</v>
      </c>
      <c r="M195" s="39" t="s">
        <v>746</v>
      </c>
      <c r="N195" s="39" t="s">
        <v>755</v>
      </c>
      <c r="O195" s="39" t="s">
        <v>756</v>
      </c>
      <c r="P195" s="39" t="s">
        <v>755</v>
      </c>
      <c r="Q195" s="39" t="s">
        <v>756</v>
      </c>
      <c r="R195" s="39" t="s">
        <v>1187</v>
      </c>
      <c r="S195" s="39" t="s">
        <v>750</v>
      </c>
      <c r="T195" s="39" t="s">
        <v>751</v>
      </c>
      <c r="U195" s="39" t="s">
        <v>751</v>
      </c>
      <c r="V195" s="39" t="s">
        <v>750</v>
      </c>
      <c r="W195" s="39" t="s">
        <v>751</v>
      </c>
      <c r="X195" s="39" t="s">
        <v>751</v>
      </c>
    </row>
    <row r="196">
      <c r="A196" s="39" t="s">
        <v>739</v>
      </c>
      <c r="B196" s="39">
        <v>11849.0</v>
      </c>
      <c r="C196" s="39" t="s">
        <v>1181</v>
      </c>
      <c r="D196" s="39">
        <v>8.0</v>
      </c>
      <c r="F196" s="39">
        <v>15454.0</v>
      </c>
      <c r="G196" s="39" t="s">
        <v>1188</v>
      </c>
      <c r="H196" s="39">
        <v>3.0</v>
      </c>
      <c r="I196" s="39" t="s">
        <v>791</v>
      </c>
      <c r="J196" s="39" t="s">
        <v>768</v>
      </c>
      <c r="K196" s="39" t="s">
        <v>744</v>
      </c>
      <c r="L196" s="39" t="s">
        <v>1189</v>
      </c>
      <c r="M196" s="39" t="s">
        <v>746</v>
      </c>
      <c r="N196" s="39" t="s">
        <v>755</v>
      </c>
      <c r="O196" s="39" t="s">
        <v>756</v>
      </c>
      <c r="P196" s="39" t="s">
        <v>755</v>
      </c>
      <c r="Q196" s="39" t="s">
        <v>756</v>
      </c>
      <c r="S196" s="39" t="s">
        <v>750</v>
      </c>
      <c r="T196" s="39" t="s">
        <v>750</v>
      </c>
      <c r="U196" s="39" t="s">
        <v>750</v>
      </c>
      <c r="V196" s="39" t="s">
        <v>750</v>
      </c>
      <c r="W196" s="39" t="s">
        <v>751</v>
      </c>
      <c r="X196" s="39" t="s">
        <v>751</v>
      </c>
    </row>
    <row r="197">
      <c r="A197" s="39" t="s">
        <v>739</v>
      </c>
      <c r="B197" s="39">
        <v>11849.0</v>
      </c>
      <c r="C197" s="39" t="s">
        <v>1181</v>
      </c>
      <c r="D197" s="39">
        <v>8.0</v>
      </c>
      <c r="F197" s="39">
        <v>15455.0</v>
      </c>
      <c r="G197" s="39" t="s">
        <v>1190</v>
      </c>
      <c r="H197" s="39">
        <v>4.0</v>
      </c>
      <c r="I197" s="39" t="s">
        <v>775</v>
      </c>
      <c r="J197" s="39" t="s">
        <v>771</v>
      </c>
      <c r="K197" s="39" t="s">
        <v>744</v>
      </c>
      <c r="L197" s="39" t="s">
        <v>1191</v>
      </c>
      <c r="M197" s="39" t="s">
        <v>746</v>
      </c>
      <c r="N197" s="39" t="s">
        <v>755</v>
      </c>
      <c r="O197" s="39" t="s">
        <v>756</v>
      </c>
      <c r="P197" s="39" t="s">
        <v>755</v>
      </c>
      <c r="Q197" s="39" t="s">
        <v>756</v>
      </c>
      <c r="S197" s="39" t="s">
        <v>750</v>
      </c>
      <c r="T197" s="39" t="s">
        <v>750</v>
      </c>
      <c r="U197" s="39" t="s">
        <v>751</v>
      </c>
      <c r="V197" s="39" t="s">
        <v>750</v>
      </c>
      <c r="W197" s="39" t="s">
        <v>751</v>
      </c>
      <c r="X197" s="39" t="s">
        <v>751</v>
      </c>
    </row>
    <row r="198">
      <c r="A198" s="39" t="s">
        <v>739</v>
      </c>
      <c r="B198" s="39">
        <v>11849.0</v>
      </c>
      <c r="C198" s="39" t="s">
        <v>1181</v>
      </c>
      <c r="D198" s="39">
        <v>8.0</v>
      </c>
      <c r="F198" s="39">
        <v>15456.0</v>
      </c>
      <c r="G198" s="39" t="s">
        <v>1192</v>
      </c>
      <c r="H198" s="39">
        <v>5.0</v>
      </c>
      <c r="I198" s="39" t="s">
        <v>760</v>
      </c>
      <c r="J198" s="39" t="s">
        <v>958</v>
      </c>
      <c r="K198" s="39" t="s">
        <v>744</v>
      </c>
      <c r="L198" s="39" t="s">
        <v>1193</v>
      </c>
      <c r="M198" s="39" t="s">
        <v>746</v>
      </c>
      <c r="N198" s="39" t="s">
        <v>755</v>
      </c>
      <c r="O198" s="39" t="s">
        <v>756</v>
      </c>
      <c r="P198" s="39" t="s">
        <v>755</v>
      </c>
      <c r="Q198" s="39" t="s">
        <v>756</v>
      </c>
      <c r="S198" s="39" t="s">
        <v>750</v>
      </c>
      <c r="T198" s="39" t="s">
        <v>750</v>
      </c>
      <c r="U198" s="39" t="s">
        <v>750</v>
      </c>
      <c r="V198" s="39" t="s">
        <v>750</v>
      </c>
      <c r="W198" s="39" t="s">
        <v>751</v>
      </c>
      <c r="X198" s="39" t="s">
        <v>751</v>
      </c>
    </row>
    <row r="199">
      <c r="A199" s="39" t="s">
        <v>739</v>
      </c>
      <c r="B199" s="39">
        <v>11849.0</v>
      </c>
      <c r="C199" s="39" t="s">
        <v>1181</v>
      </c>
      <c r="D199" s="39">
        <v>8.0</v>
      </c>
      <c r="F199" s="39">
        <v>15601.0</v>
      </c>
      <c r="G199" s="39" t="s">
        <v>889</v>
      </c>
      <c r="H199" s="39">
        <v>6.0</v>
      </c>
      <c r="I199" s="39" t="s">
        <v>756</v>
      </c>
      <c r="K199" s="39" t="s">
        <v>744</v>
      </c>
      <c r="L199" s="39" t="s">
        <v>755</v>
      </c>
      <c r="M199" s="39" t="s">
        <v>756</v>
      </c>
      <c r="N199" s="39" t="s">
        <v>755</v>
      </c>
      <c r="O199" s="39" t="s">
        <v>756</v>
      </c>
      <c r="P199" s="39" t="s">
        <v>755</v>
      </c>
      <c r="Q199" s="39" t="s">
        <v>756</v>
      </c>
      <c r="R199" s="39" t="s">
        <v>1184</v>
      </c>
      <c r="S199" s="39" t="s">
        <v>750</v>
      </c>
      <c r="T199" s="39" t="s">
        <v>750</v>
      </c>
      <c r="U199" s="39" t="s">
        <v>750</v>
      </c>
      <c r="V199" s="39" t="s">
        <v>750</v>
      </c>
      <c r="W199" s="39" t="s">
        <v>750</v>
      </c>
      <c r="X199" s="39" t="s">
        <v>750</v>
      </c>
    </row>
    <row r="200">
      <c r="A200" s="39" t="s">
        <v>739</v>
      </c>
      <c r="B200" s="39">
        <v>11799.0</v>
      </c>
      <c r="C200" s="39" t="s">
        <v>1194</v>
      </c>
      <c r="D200" s="39">
        <v>7.0</v>
      </c>
      <c r="F200" s="39">
        <v>12452.0</v>
      </c>
      <c r="G200" s="39" t="s">
        <v>1195</v>
      </c>
      <c r="H200" s="39">
        <v>1.0</v>
      </c>
      <c r="I200" s="39" t="s">
        <v>742</v>
      </c>
      <c r="J200" s="39" t="s">
        <v>743</v>
      </c>
      <c r="K200" s="39" t="s">
        <v>744</v>
      </c>
      <c r="L200" s="39" t="s">
        <v>1196</v>
      </c>
      <c r="M200" s="39" t="s">
        <v>748</v>
      </c>
      <c r="N200" s="39" t="s">
        <v>755</v>
      </c>
      <c r="O200" s="39" t="s">
        <v>756</v>
      </c>
      <c r="P200" s="39" t="s">
        <v>755</v>
      </c>
      <c r="Q200" s="39" t="s">
        <v>756</v>
      </c>
      <c r="R200" s="39" t="s">
        <v>1197</v>
      </c>
      <c r="S200" s="39" t="s">
        <v>750</v>
      </c>
      <c r="T200" s="39" t="s">
        <v>751</v>
      </c>
      <c r="U200" s="39" t="s">
        <v>751</v>
      </c>
      <c r="V200" s="39" t="s">
        <v>750</v>
      </c>
      <c r="W200" s="39" t="s">
        <v>750</v>
      </c>
      <c r="X200" s="39" t="s">
        <v>751</v>
      </c>
    </row>
    <row r="201">
      <c r="A201" s="39" t="s">
        <v>739</v>
      </c>
      <c r="B201" s="39">
        <v>11799.0</v>
      </c>
      <c r="C201" s="39" t="s">
        <v>1194</v>
      </c>
      <c r="D201" s="39">
        <v>7.0</v>
      </c>
      <c r="F201" s="39">
        <v>13700.0</v>
      </c>
      <c r="G201" s="39" t="s">
        <v>889</v>
      </c>
      <c r="H201" s="39">
        <v>2.0</v>
      </c>
      <c r="I201" s="39" t="s">
        <v>756</v>
      </c>
      <c r="K201" s="39" t="s">
        <v>744</v>
      </c>
      <c r="L201" s="39" t="s">
        <v>755</v>
      </c>
      <c r="M201" s="39" t="s">
        <v>756</v>
      </c>
      <c r="N201" s="39" t="s">
        <v>755</v>
      </c>
      <c r="O201" s="39" t="s">
        <v>756</v>
      </c>
      <c r="P201" s="39" t="s">
        <v>755</v>
      </c>
      <c r="Q201" s="39" t="s">
        <v>756</v>
      </c>
      <c r="R201" s="39" t="s">
        <v>1197</v>
      </c>
      <c r="S201" s="39" t="s">
        <v>750</v>
      </c>
      <c r="T201" s="39" t="s">
        <v>750</v>
      </c>
      <c r="U201" s="39" t="s">
        <v>750</v>
      </c>
      <c r="V201" s="39" t="s">
        <v>750</v>
      </c>
      <c r="W201" s="39" t="s">
        <v>750</v>
      </c>
      <c r="X201" s="39" t="s">
        <v>750</v>
      </c>
    </row>
    <row r="202">
      <c r="A202" s="39" t="s">
        <v>739</v>
      </c>
      <c r="B202" s="39">
        <v>11997.0</v>
      </c>
      <c r="C202" s="39" t="s">
        <v>1198</v>
      </c>
      <c r="D202" s="39">
        <v>6.0</v>
      </c>
      <c r="F202" s="39">
        <v>928.0</v>
      </c>
      <c r="G202" s="39" t="s">
        <v>1199</v>
      </c>
      <c r="H202" s="39">
        <v>1.0</v>
      </c>
      <c r="I202" s="39" t="s">
        <v>753</v>
      </c>
      <c r="J202" s="39" t="s">
        <v>754</v>
      </c>
      <c r="K202" s="39" t="s">
        <v>744</v>
      </c>
      <c r="L202" s="39" t="s">
        <v>1200</v>
      </c>
      <c r="M202" s="39" t="s">
        <v>746</v>
      </c>
      <c r="N202" s="39">
        <v>3.143594781E9</v>
      </c>
      <c r="O202" s="39" t="s">
        <v>756</v>
      </c>
      <c r="P202" s="39" t="s">
        <v>755</v>
      </c>
      <c r="Q202" s="39" t="s">
        <v>756</v>
      </c>
      <c r="R202" s="39" t="s">
        <v>1201</v>
      </c>
      <c r="S202" s="39" t="s">
        <v>750</v>
      </c>
      <c r="T202" s="39" t="s">
        <v>751</v>
      </c>
      <c r="U202" s="39" t="s">
        <v>751</v>
      </c>
      <c r="V202" s="39" t="s">
        <v>750</v>
      </c>
      <c r="W202" s="39" t="s">
        <v>751</v>
      </c>
      <c r="X202" s="39" t="s">
        <v>751</v>
      </c>
    </row>
    <row r="203">
      <c r="A203" s="39" t="s">
        <v>739</v>
      </c>
      <c r="B203" s="39">
        <v>11997.0</v>
      </c>
      <c r="C203" s="39" t="s">
        <v>1198</v>
      </c>
      <c r="D203" s="39">
        <v>6.0</v>
      </c>
      <c r="F203" s="39">
        <v>929.0</v>
      </c>
      <c r="G203" s="39" t="s">
        <v>1202</v>
      </c>
      <c r="H203" s="39">
        <v>2.0</v>
      </c>
      <c r="I203" s="39" t="s">
        <v>742</v>
      </c>
      <c r="J203" s="39" t="s">
        <v>743</v>
      </c>
      <c r="K203" s="39" t="s">
        <v>744</v>
      </c>
      <c r="L203" s="39" t="s">
        <v>1203</v>
      </c>
      <c r="M203" s="39" t="s">
        <v>746</v>
      </c>
      <c r="N203" s="39">
        <v>3.145838526E9</v>
      </c>
      <c r="O203" s="39" t="s">
        <v>756</v>
      </c>
      <c r="P203" s="39" t="s">
        <v>755</v>
      </c>
      <c r="Q203" s="39" t="s">
        <v>756</v>
      </c>
      <c r="R203" s="39" t="s">
        <v>1204</v>
      </c>
      <c r="S203" s="39" t="s">
        <v>750</v>
      </c>
      <c r="T203" s="39" t="s">
        <v>751</v>
      </c>
      <c r="U203" s="39" t="s">
        <v>751</v>
      </c>
      <c r="V203" s="39" t="s">
        <v>750</v>
      </c>
      <c r="W203" s="39" t="s">
        <v>751</v>
      </c>
      <c r="X203" s="39" t="s">
        <v>751</v>
      </c>
    </row>
    <row r="204">
      <c r="A204" s="39" t="s">
        <v>739</v>
      </c>
      <c r="B204" s="39">
        <v>19894.0</v>
      </c>
      <c r="C204" s="39" t="s">
        <v>1205</v>
      </c>
      <c r="D204" s="39">
        <v>8.0</v>
      </c>
      <c r="F204" s="39">
        <v>928.0</v>
      </c>
      <c r="G204" s="39" t="s">
        <v>1199</v>
      </c>
      <c r="H204" s="39">
        <v>1.0</v>
      </c>
      <c r="I204" s="39" t="s">
        <v>753</v>
      </c>
      <c r="J204" s="39" t="s">
        <v>754</v>
      </c>
      <c r="K204" s="39" t="s">
        <v>744</v>
      </c>
      <c r="L204" s="39" t="s">
        <v>1200</v>
      </c>
      <c r="M204" s="39" t="s">
        <v>746</v>
      </c>
      <c r="N204" s="39">
        <v>3.143594781E9</v>
      </c>
      <c r="O204" s="39" t="s">
        <v>756</v>
      </c>
      <c r="P204" s="39" t="s">
        <v>755</v>
      </c>
      <c r="Q204" s="39" t="s">
        <v>756</v>
      </c>
      <c r="R204" s="39" t="s">
        <v>1201</v>
      </c>
      <c r="S204" s="39" t="s">
        <v>750</v>
      </c>
      <c r="T204" s="39" t="s">
        <v>751</v>
      </c>
      <c r="U204" s="39" t="s">
        <v>751</v>
      </c>
      <c r="V204" s="39" t="s">
        <v>750</v>
      </c>
      <c r="W204" s="39" t="s">
        <v>751</v>
      </c>
      <c r="X204" s="39" t="s">
        <v>751</v>
      </c>
    </row>
    <row r="205">
      <c r="A205" s="39" t="s">
        <v>739</v>
      </c>
      <c r="B205" s="39">
        <v>19894.0</v>
      </c>
      <c r="C205" s="39" t="s">
        <v>1205</v>
      </c>
      <c r="D205" s="39">
        <v>8.0</v>
      </c>
      <c r="F205" s="39">
        <v>929.0</v>
      </c>
      <c r="G205" s="39" t="s">
        <v>1202</v>
      </c>
      <c r="H205" s="39">
        <v>2.0</v>
      </c>
      <c r="I205" s="39" t="s">
        <v>742</v>
      </c>
      <c r="J205" s="39" t="s">
        <v>743</v>
      </c>
      <c r="K205" s="39" t="s">
        <v>744</v>
      </c>
      <c r="L205" s="39" t="s">
        <v>1203</v>
      </c>
      <c r="M205" s="39" t="s">
        <v>746</v>
      </c>
      <c r="N205" s="39">
        <v>3.145838526E9</v>
      </c>
      <c r="O205" s="39" t="s">
        <v>756</v>
      </c>
      <c r="P205" s="39" t="s">
        <v>755</v>
      </c>
      <c r="Q205" s="39" t="s">
        <v>756</v>
      </c>
      <c r="R205" s="39" t="s">
        <v>1204</v>
      </c>
      <c r="S205" s="39" t="s">
        <v>750</v>
      </c>
      <c r="T205" s="39" t="s">
        <v>751</v>
      </c>
      <c r="U205" s="39" t="s">
        <v>751</v>
      </c>
      <c r="V205" s="39" t="s">
        <v>750</v>
      </c>
      <c r="W205" s="39" t="s">
        <v>751</v>
      </c>
      <c r="X205" s="39" t="s">
        <v>751</v>
      </c>
    </row>
    <row r="206">
      <c r="A206" s="39" t="s">
        <v>739</v>
      </c>
      <c r="B206" s="39">
        <v>19894.0</v>
      </c>
      <c r="C206" s="39" t="s">
        <v>1205</v>
      </c>
      <c r="D206" s="39">
        <v>8.0</v>
      </c>
      <c r="F206" s="39">
        <v>13748.0</v>
      </c>
      <c r="G206" s="39" t="s">
        <v>889</v>
      </c>
      <c r="H206" s="39">
        <v>3.0</v>
      </c>
      <c r="I206" s="39" t="s">
        <v>756</v>
      </c>
      <c r="K206" s="39" t="s">
        <v>744</v>
      </c>
      <c r="L206" s="39" t="s">
        <v>755</v>
      </c>
      <c r="M206" s="39" t="s">
        <v>756</v>
      </c>
      <c r="N206" s="39" t="s">
        <v>755</v>
      </c>
      <c r="O206" s="39" t="s">
        <v>756</v>
      </c>
      <c r="P206" s="39" t="s">
        <v>755</v>
      </c>
      <c r="Q206" s="39" t="s">
        <v>756</v>
      </c>
      <c r="R206" s="39" t="s">
        <v>1206</v>
      </c>
      <c r="S206" s="39" t="s">
        <v>750</v>
      </c>
      <c r="T206" s="39" t="s">
        <v>750</v>
      </c>
      <c r="U206" s="39" t="s">
        <v>750</v>
      </c>
      <c r="V206" s="39" t="s">
        <v>750</v>
      </c>
      <c r="W206" s="39" t="s">
        <v>750</v>
      </c>
      <c r="X206" s="39" t="s">
        <v>750</v>
      </c>
    </row>
    <row r="207">
      <c r="A207" s="39" t="s">
        <v>739</v>
      </c>
      <c r="B207" s="39">
        <v>11998.0</v>
      </c>
      <c r="C207" s="39" t="s">
        <v>1207</v>
      </c>
      <c r="D207" s="39">
        <v>6.0</v>
      </c>
      <c r="F207" s="39">
        <v>928.0</v>
      </c>
      <c r="G207" s="39" t="s">
        <v>1199</v>
      </c>
      <c r="H207" s="39">
        <v>1.0</v>
      </c>
      <c r="I207" s="39" t="s">
        <v>753</v>
      </c>
      <c r="J207" s="39" t="s">
        <v>754</v>
      </c>
      <c r="K207" s="39" t="s">
        <v>744</v>
      </c>
      <c r="L207" s="39" t="s">
        <v>1200</v>
      </c>
      <c r="M207" s="39" t="s">
        <v>746</v>
      </c>
      <c r="N207" s="39">
        <v>3.143594781E9</v>
      </c>
      <c r="O207" s="39" t="s">
        <v>756</v>
      </c>
      <c r="P207" s="39" t="s">
        <v>755</v>
      </c>
      <c r="Q207" s="39" t="s">
        <v>756</v>
      </c>
      <c r="R207" s="39" t="s">
        <v>1201</v>
      </c>
      <c r="S207" s="39" t="s">
        <v>750</v>
      </c>
      <c r="T207" s="39" t="s">
        <v>751</v>
      </c>
      <c r="U207" s="39" t="s">
        <v>751</v>
      </c>
      <c r="V207" s="39" t="s">
        <v>750</v>
      </c>
      <c r="W207" s="39" t="s">
        <v>751</v>
      </c>
      <c r="X207" s="39" t="s">
        <v>751</v>
      </c>
    </row>
    <row r="208">
      <c r="A208" s="39" t="s">
        <v>739</v>
      </c>
      <c r="B208" s="39">
        <v>11998.0</v>
      </c>
      <c r="C208" s="39" t="s">
        <v>1207</v>
      </c>
      <c r="D208" s="39">
        <v>6.0</v>
      </c>
      <c r="F208" s="39">
        <v>929.0</v>
      </c>
      <c r="G208" s="39" t="s">
        <v>1202</v>
      </c>
      <c r="H208" s="39">
        <v>2.0</v>
      </c>
      <c r="I208" s="39" t="s">
        <v>742</v>
      </c>
      <c r="J208" s="39" t="s">
        <v>743</v>
      </c>
      <c r="K208" s="39" t="s">
        <v>744</v>
      </c>
      <c r="L208" s="39" t="s">
        <v>1203</v>
      </c>
      <c r="M208" s="39" t="s">
        <v>746</v>
      </c>
      <c r="N208" s="39">
        <v>3.145838526E9</v>
      </c>
      <c r="O208" s="39" t="s">
        <v>756</v>
      </c>
      <c r="P208" s="39" t="s">
        <v>755</v>
      </c>
      <c r="Q208" s="39" t="s">
        <v>756</v>
      </c>
      <c r="R208" s="39" t="s">
        <v>1204</v>
      </c>
      <c r="S208" s="39" t="s">
        <v>750</v>
      </c>
      <c r="T208" s="39" t="s">
        <v>751</v>
      </c>
      <c r="U208" s="39" t="s">
        <v>751</v>
      </c>
      <c r="V208" s="39" t="s">
        <v>750</v>
      </c>
      <c r="W208" s="39" t="s">
        <v>751</v>
      </c>
      <c r="X208" s="39" t="s">
        <v>751</v>
      </c>
    </row>
    <row r="209">
      <c r="A209" s="39" t="s">
        <v>739</v>
      </c>
      <c r="B209" s="39">
        <v>11817.0</v>
      </c>
      <c r="C209" s="39" t="s">
        <v>1208</v>
      </c>
      <c r="D209" s="39">
        <v>7.0</v>
      </c>
      <c r="F209" s="39">
        <v>12752.0</v>
      </c>
      <c r="G209" s="39" t="s">
        <v>1209</v>
      </c>
      <c r="H209" s="39">
        <v>1.0</v>
      </c>
      <c r="I209" s="39" t="s">
        <v>742</v>
      </c>
      <c r="J209" s="39" t="s">
        <v>743</v>
      </c>
      <c r="K209" s="39" t="s">
        <v>744</v>
      </c>
      <c r="L209" s="39" t="s">
        <v>1210</v>
      </c>
      <c r="M209" s="39" t="s">
        <v>748</v>
      </c>
      <c r="N209" s="39" t="s">
        <v>1211</v>
      </c>
      <c r="O209" s="39" t="s">
        <v>746</v>
      </c>
      <c r="P209" s="39" t="s">
        <v>755</v>
      </c>
      <c r="Q209" s="39" t="s">
        <v>756</v>
      </c>
      <c r="R209" s="39" t="s">
        <v>1212</v>
      </c>
      <c r="S209" s="39" t="s">
        <v>750</v>
      </c>
      <c r="T209" s="39" t="s">
        <v>751</v>
      </c>
      <c r="U209" s="39" t="s">
        <v>751</v>
      </c>
      <c r="V209" s="39" t="s">
        <v>751</v>
      </c>
      <c r="W209" s="39" t="s">
        <v>751</v>
      </c>
      <c r="X209" s="39" t="s">
        <v>751</v>
      </c>
    </row>
    <row r="210">
      <c r="A210" s="39" t="s">
        <v>739</v>
      </c>
      <c r="B210" s="39">
        <v>11817.0</v>
      </c>
      <c r="C210" s="39" t="s">
        <v>1208</v>
      </c>
      <c r="D210" s="39">
        <v>7.0</v>
      </c>
      <c r="F210" s="39">
        <v>12753.0</v>
      </c>
      <c r="G210" s="39" t="s">
        <v>1213</v>
      </c>
      <c r="H210" s="39">
        <v>2.0</v>
      </c>
      <c r="I210" s="39" t="s">
        <v>753</v>
      </c>
      <c r="J210" s="39" t="s">
        <v>754</v>
      </c>
      <c r="K210" s="39" t="s">
        <v>744</v>
      </c>
      <c r="L210" s="39" t="s">
        <v>1211</v>
      </c>
      <c r="M210" s="39" t="s">
        <v>746</v>
      </c>
      <c r="N210" s="39">
        <v>3.145808542E9</v>
      </c>
      <c r="O210" s="39" t="s">
        <v>748</v>
      </c>
      <c r="P210" s="39" t="s">
        <v>755</v>
      </c>
      <c r="Q210" s="39" t="s">
        <v>756</v>
      </c>
      <c r="R210" s="39" t="s">
        <v>1214</v>
      </c>
      <c r="S210" s="39" t="s">
        <v>750</v>
      </c>
      <c r="T210" s="39" t="s">
        <v>751</v>
      </c>
      <c r="U210" s="39" t="s">
        <v>751</v>
      </c>
      <c r="V210" s="39" t="s">
        <v>750</v>
      </c>
      <c r="W210" s="39" t="s">
        <v>751</v>
      </c>
      <c r="X210" s="39" t="s">
        <v>751</v>
      </c>
    </row>
    <row r="211">
      <c r="A211" s="39" t="s">
        <v>739</v>
      </c>
      <c r="B211" s="39">
        <v>11817.0</v>
      </c>
      <c r="C211" s="39" t="s">
        <v>1208</v>
      </c>
      <c r="D211" s="39">
        <v>7.0</v>
      </c>
      <c r="F211" s="39">
        <v>12754.0</v>
      </c>
      <c r="G211" s="39" t="s">
        <v>1215</v>
      </c>
      <c r="H211" s="39">
        <v>3.0</v>
      </c>
      <c r="I211" s="39" t="s">
        <v>788</v>
      </c>
      <c r="J211" s="39" t="s">
        <v>768</v>
      </c>
      <c r="K211" s="39" t="s">
        <v>744</v>
      </c>
      <c r="L211" s="39" t="s">
        <v>1216</v>
      </c>
      <c r="M211" s="39" t="s">
        <v>746</v>
      </c>
      <c r="N211" s="39" t="s">
        <v>755</v>
      </c>
      <c r="O211" s="39" t="s">
        <v>756</v>
      </c>
      <c r="P211" s="39" t="s">
        <v>755</v>
      </c>
      <c r="Q211" s="39" t="s">
        <v>756</v>
      </c>
      <c r="R211" s="39" t="s">
        <v>1217</v>
      </c>
      <c r="S211" s="39" t="s">
        <v>750</v>
      </c>
      <c r="T211" s="39" t="s">
        <v>750</v>
      </c>
      <c r="U211" s="39" t="s">
        <v>750</v>
      </c>
      <c r="V211" s="39" t="s">
        <v>750</v>
      </c>
      <c r="W211" s="39" t="s">
        <v>751</v>
      </c>
      <c r="X211" s="39" t="s">
        <v>751</v>
      </c>
    </row>
    <row r="212">
      <c r="A212" s="39" t="s">
        <v>739</v>
      </c>
      <c r="B212" s="39">
        <v>11816.0</v>
      </c>
      <c r="C212" s="39" t="s">
        <v>575</v>
      </c>
      <c r="D212" s="39">
        <v>8.0</v>
      </c>
      <c r="F212" s="39">
        <v>12752.0</v>
      </c>
      <c r="G212" s="39" t="s">
        <v>1209</v>
      </c>
      <c r="H212" s="39">
        <v>1.0</v>
      </c>
      <c r="I212" s="39" t="s">
        <v>742</v>
      </c>
      <c r="J212" s="39" t="s">
        <v>743</v>
      </c>
      <c r="K212" s="39" t="s">
        <v>744</v>
      </c>
      <c r="L212" s="39" t="s">
        <v>1210</v>
      </c>
      <c r="M212" s="39" t="s">
        <v>748</v>
      </c>
      <c r="N212" s="39" t="s">
        <v>1211</v>
      </c>
      <c r="O212" s="39" t="s">
        <v>746</v>
      </c>
      <c r="P212" s="39" t="s">
        <v>755</v>
      </c>
      <c r="Q212" s="39" t="s">
        <v>756</v>
      </c>
      <c r="R212" s="39" t="s">
        <v>1212</v>
      </c>
      <c r="S212" s="39" t="s">
        <v>750</v>
      </c>
      <c r="T212" s="39" t="s">
        <v>751</v>
      </c>
      <c r="U212" s="39" t="s">
        <v>751</v>
      </c>
      <c r="V212" s="39" t="s">
        <v>751</v>
      </c>
      <c r="W212" s="39" t="s">
        <v>751</v>
      </c>
      <c r="X212" s="39" t="s">
        <v>751</v>
      </c>
    </row>
    <row r="213">
      <c r="A213" s="39" t="s">
        <v>739</v>
      </c>
      <c r="B213" s="39">
        <v>11816.0</v>
      </c>
      <c r="C213" s="39" t="s">
        <v>575</v>
      </c>
      <c r="D213" s="39">
        <v>8.0</v>
      </c>
      <c r="F213" s="39">
        <v>12753.0</v>
      </c>
      <c r="G213" s="39" t="s">
        <v>1213</v>
      </c>
      <c r="H213" s="39">
        <v>2.0</v>
      </c>
      <c r="I213" s="39" t="s">
        <v>753</v>
      </c>
      <c r="J213" s="39" t="s">
        <v>754</v>
      </c>
      <c r="K213" s="39" t="s">
        <v>744</v>
      </c>
      <c r="L213" s="39" t="s">
        <v>1211</v>
      </c>
      <c r="M213" s="39" t="s">
        <v>746</v>
      </c>
      <c r="N213" s="39">
        <v>3.145808542E9</v>
      </c>
      <c r="O213" s="39" t="s">
        <v>748</v>
      </c>
      <c r="P213" s="39" t="s">
        <v>755</v>
      </c>
      <c r="Q213" s="39" t="s">
        <v>756</v>
      </c>
      <c r="R213" s="39" t="s">
        <v>1214</v>
      </c>
      <c r="S213" s="39" t="s">
        <v>750</v>
      </c>
      <c r="T213" s="39" t="s">
        <v>751</v>
      </c>
      <c r="U213" s="39" t="s">
        <v>751</v>
      </c>
      <c r="V213" s="39" t="s">
        <v>750</v>
      </c>
      <c r="W213" s="39" t="s">
        <v>751</v>
      </c>
      <c r="X213" s="39" t="s">
        <v>751</v>
      </c>
    </row>
    <row r="214">
      <c r="A214" s="39" t="s">
        <v>739</v>
      </c>
      <c r="B214" s="39">
        <v>11816.0</v>
      </c>
      <c r="C214" s="39" t="s">
        <v>575</v>
      </c>
      <c r="D214" s="39">
        <v>8.0</v>
      </c>
      <c r="F214" s="39">
        <v>12754.0</v>
      </c>
      <c r="G214" s="39" t="s">
        <v>1215</v>
      </c>
      <c r="H214" s="39">
        <v>3.0</v>
      </c>
      <c r="I214" s="39" t="s">
        <v>788</v>
      </c>
      <c r="J214" s="39" t="s">
        <v>768</v>
      </c>
      <c r="K214" s="39" t="s">
        <v>744</v>
      </c>
      <c r="L214" s="39" t="s">
        <v>1216</v>
      </c>
      <c r="M214" s="39" t="s">
        <v>746</v>
      </c>
      <c r="N214" s="39" t="s">
        <v>755</v>
      </c>
      <c r="O214" s="39" t="s">
        <v>756</v>
      </c>
      <c r="P214" s="39" t="s">
        <v>755</v>
      </c>
      <c r="Q214" s="39" t="s">
        <v>756</v>
      </c>
      <c r="R214" s="39" t="s">
        <v>1217</v>
      </c>
      <c r="S214" s="39" t="s">
        <v>750</v>
      </c>
      <c r="T214" s="39" t="s">
        <v>750</v>
      </c>
      <c r="U214" s="39" t="s">
        <v>750</v>
      </c>
      <c r="V214" s="39" t="s">
        <v>750</v>
      </c>
      <c r="W214" s="39" t="s">
        <v>751</v>
      </c>
      <c r="X214" s="39" t="s">
        <v>751</v>
      </c>
    </row>
    <row r="215">
      <c r="A215" s="39" t="s">
        <v>739</v>
      </c>
      <c r="B215" s="39">
        <v>11816.0</v>
      </c>
      <c r="C215" s="39" t="s">
        <v>575</v>
      </c>
      <c r="D215" s="39">
        <v>8.0</v>
      </c>
      <c r="F215" s="39">
        <v>13775.0</v>
      </c>
      <c r="G215" s="39" t="s">
        <v>889</v>
      </c>
      <c r="H215" s="39">
        <v>4.0</v>
      </c>
      <c r="I215" s="39" t="s">
        <v>756</v>
      </c>
      <c r="K215" s="39" t="s">
        <v>744</v>
      </c>
      <c r="L215" s="39" t="s">
        <v>755</v>
      </c>
      <c r="M215" s="39" t="s">
        <v>756</v>
      </c>
      <c r="N215" s="39" t="s">
        <v>755</v>
      </c>
      <c r="O215" s="39" t="s">
        <v>756</v>
      </c>
      <c r="P215" s="39" t="s">
        <v>755</v>
      </c>
      <c r="Q215" s="39" t="s">
        <v>756</v>
      </c>
      <c r="R215" s="39" t="s">
        <v>1212</v>
      </c>
      <c r="S215" s="39" t="s">
        <v>750</v>
      </c>
      <c r="T215" s="39" t="s">
        <v>750</v>
      </c>
      <c r="U215" s="39" t="s">
        <v>750</v>
      </c>
      <c r="V215" s="39" t="s">
        <v>750</v>
      </c>
      <c r="W215" s="39" t="s">
        <v>750</v>
      </c>
      <c r="X215" s="39" t="s">
        <v>750</v>
      </c>
    </row>
    <row r="216">
      <c r="A216" s="39" t="s">
        <v>739</v>
      </c>
      <c r="B216" s="39">
        <v>11835.0</v>
      </c>
      <c r="C216" s="39" t="s">
        <v>578</v>
      </c>
      <c r="D216" s="39">
        <v>8.0</v>
      </c>
      <c r="F216" s="39">
        <v>13103.0</v>
      </c>
      <c r="G216" s="39" t="s">
        <v>1218</v>
      </c>
      <c r="H216" s="39">
        <v>1.0</v>
      </c>
      <c r="I216" s="39" t="s">
        <v>742</v>
      </c>
      <c r="J216" s="39" t="s">
        <v>743</v>
      </c>
      <c r="K216" s="39" t="s">
        <v>744</v>
      </c>
      <c r="L216" s="39" t="s">
        <v>1219</v>
      </c>
      <c r="M216" s="39" t="s">
        <v>748</v>
      </c>
      <c r="N216" s="39" t="s">
        <v>755</v>
      </c>
      <c r="O216" s="39" t="s">
        <v>756</v>
      </c>
      <c r="P216" s="39" t="s">
        <v>755</v>
      </c>
      <c r="Q216" s="39" t="s">
        <v>756</v>
      </c>
      <c r="R216" s="39" t="s">
        <v>1220</v>
      </c>
      <c r="S216" s="39" t="s">
        <v>750</v>
      </c>
      <c r="T216" s="39" t="s">
        <v>751</v>
      </c>
      <c r="U216" s="39" t="s">
        <v>751</v>
      </c>
      <c r="V216" s="39" t="s">
        <v>751</v>
      </c>
      <c r="W216" s="39" t="s">
        <v>751</v>
      </c>
      <c r="X216" s="39" t="s">
        <v>751</v>
      </c>
    </row>
    <row r="217">
      <c r="A217" s="39" t="s">
        <v>739</v>
      </c>
      <c r="B217" s="39">
        <v>11835.0</v>
      </c>
      <c r="C217" s="39" t="s">
        <v>578</v>
      </c>
      <c r="D217" s="39">
        <v>8.0</v>
      </c>
      <c r="F217" s="39">
        <v>16201.0</v>
      </c>
      <c r="G217" s="39" t="s">
        <v>1221</v>
      </c>
      <c r="H217" s="39">
        <v>2.0</v>
      </c>
      <c r="I217" s="39" t="s">
        <v>756</v>
      </c>
      <c r="K217" s="39" t="s">
        <v>744</v>
      </c>
      <c r="L217" s="39" t="s">
        <v>755</v>
      </c>
      <c r="M217" s="39" t="s">
        <v>756</v>
      </c>
      <c r="N217" s="39" t="s">
        <v>755</v>
      </c>
      <c r="O217" s="39" t="s">
        <v>756</v>
      </c>
      <c r="P217" s="39" t="s">
        <v>755</v>
      </c>
      <c r="Q217" s="39" t="s">
        <v>756</v>
      </c>
      <c r="S217" s="39" t="s">
        <v>751</v>
      </c>
      <c r="T217" s="39" t="s">
        <v>750</v>
      </c>
      <c r="U217" s="39" t="s">
        <v>750</v>
      </c>
      <c r="V217" s="39" t="s">
        <v>750</v>
      </c>
      <c r="W217" s="39" t="s">
        <v>750</v>
      </c>
      <c r="X217" s="39" t="s">
        <v>750</v>
      </c>
    </row>
    <row r="218">
      <c r="A218" s="39" t="s">
        <v>739</v>
      </c>
      <c r="B218" s="39">
        <v>11841.0</v>
      </c>
      <c r="C218" s="39" t="s">
        <v>581</v>
      </c>
      <c r="D218" s="39">
        <v>8.0</v>
      </c>
      <c r="F218" s="39">
        <v>17210.0</v>
      </c>
      <c r="G218" s="39" t="s">
        <v>1222</v>
      </c>
      <c r="H218" s="39">
        <v>1.0</v>
      </c>
      <c r="I218" s="39" t="s">
        <v>753</v>
      </c>
      <c r="J218" s="39" t="s">
        <v>754</v>
      </c>
      <c r="K218" s="39" t="s">
        <v>744</v>
      </c>
      <c r="L218" s="39" t="s">
        <v>1223</v>
      </c>
      <c r="M218" s="39" t="s">
        <v>746</v>
      </c>
      <c r="N218" s="39" t="s">
        <v>1224</v>
      </c>
      <c r="O218" s="39" t="s">
        <v>807</v>
      </c>
      <c r="P218" s="39" t="s">
        <v>755</v>
      </c>
      <c r="Q218" s="39" t="s">
        <v>756</v>
      </c>
      <c r="R218" s="39" t="s">
        <v>1225</v>
      </c>
      <c r="S218" s="39" t="s">
        <v>750</v>
      </c>
      <c r="T218" s="39" t="s">
        <v>751</v>
      </c>
      <c r="U218" s="39" t="s">
        <v>751</v>
      </c>
      <c r="V218" s="39" t="s">
        <v>750</v>
      </c>
      <c r="W218" s="39" t="s">
        <v>751</v>
      </c>
      <c r="X218" s="39" t="s">
        <v>751</v>
      </c>
    </row>
    <row r="219">
      <c r="A219" s="39" t="s">
        <v>739</v>
      </c>
      <c r="B219" s="39">
        <v>11841.0</v>
      </c>
      <c r="C219" s="39" t="s">
        <v>581</v>
      </c>
      <c r="D219" s="39">
        <v>8.0</v>
      </c>
      <c r="F219" s="39">
        <v>12902.0</v>
      </c>
      <c r="G219" s="39" t="s">
        <v>1226</v>
      </c>
      <c r="H219" s="39">
        <v>2.0</v>
      </c>
      <c r="I219" s="39" t="s">
        <v>742</v>
      </c>
      <c r="J219" s="39" t="s">
        <v>743</v>
      </c>
      <c r="K219" s="39" t="s">
        <v>744</v>
      </c>
      <c r="L219" s="39" t="s">
        <v>1227</v>
      </c>
      <c r="M219" s="39" t="s">
        <v>748</v>
      </c>
      <c r="N219" s="39" t="s">
        <v>1228</v>
      </c>
      <c r="O219" s="39" t="s">
        <v>807</v>
      </c>
      <c r="P219" s="39" t="s">
        <v>755</v>
      </c>
      <c r="Q219" s="39" t="s">
        <v>756</v>
      </c>
      <c r="R219" s="39" t="s">
        <v>1229</v>
      </c>
      <c r="S219" s="39" t="s">
        <v>750</v>
      </c>
      <c r="T219" s="39" t="s">
        <v>751</v>
      </c>
      <c r="U219" s="39" t="s">
        <v>751</v>
      </c>
      <c r="V219" s="39" t="s">
        <v>750</v>
      </c>
      <c r="W219" s="39" t="s">
        <v>751</v>
      </c>
      <c r="X219" s="39" t="s">
        <v>751</v>
      </c>
    </row>
    <row r="220">
      <c r="A220" s="39" t="s">
        <v>739</v>
      </c>
      <c r="B220" s="39">
        <v>11841.0</v>
      </c>
      <c r="C220" s="39" t="s">
        <v>581</v>
      </c>
      <c r="D220" s="39">
        <v>8.0</v>
      </c>
      <c r="F220" s="39">
        <v>15151.0</v>
      </c>
      <c r="G220" s="39" t="s">
        <v>1226</v>
      </c>
      <c r="H220" s="39">
        <v>3.0</v>
      </c>
      <c r="I220" s="39" t="s">
        <v>756</v>
      </c>
      <c r="K220" s="39" t="s">
        <v>744</v>
      </c>
      <c r="L220" s="39" t="s">
        <v>755</v>
      </c>
      <c r="M220" s="39" t="s">
        <v>756</v>
      </c>
      <c r="N220" s="39" t="s">
        <v>755</v>
      </c>
      <c r="O220" s="39" t="s">
        <v>756</v>
      </c>
      <c r="P220" s="39" t="s">
        <v>755</v>
      </c>
      <c r="Q220" s="39" t="s">
        <v>756</v>
      </c>
      <c r="S220" s="39" t="s">
        <v>751</v>
      </c>
      <c r="T220" s="39" t="s">
        <v>750</v>
      </c>
      <c r="U220" s="39" t="s">
        <v>750</v>
      </c>
      <c r="V220" s="39" t="s">
        <v>750</v>
      </c>
      <c r="W220" s="39" t="s">
        <v>750</v>
      </c>
      <c r="X220" s="39" t="s">
        <v>750</v>
      </c>
    </row>
    <row r="221">
      <c r="A221" s="39" t="s">
        <v>739</v>
      </c>
      <c r="B221" s="39">
        <v>11842.0</v>
      </c>
      <c r="C221" s="39" t="s">
        <v>1230</v>
      </c>
      <c r="D221" s="39">
        <v>7.0</v>
      </c>
      <c r="F221" s="39">
        <v>17210.0</v>
      </c>
      <c r="G221" s="39" t="s">
        <v>1222</v>
      </c>
      <c r="H221" s="39">
        <v>1.0</v>
      </c>
      <c r="I221" s="39" t="s">
        <v>753</v>
      </c>
      <c r="J221" s="39" t="s">
        <v>754</v>
      </c>
      <c r="K221" s="39" t="s">
        <v>744</v>
      </c>
      <c r="L221" s="39" t="s">
        <v>1223</v>
      </c>
      <c r="M221" s="39" t="s">
        <v>746</v>
      </c>
      <c r="N221" s="39" t="s">
        <v>1224</v>
      </c>
      <c r="O221" s="39" t="s">
        <v>807</v>
      </c>
      <c r="P221" s="39" t="s">
        <v>755</v>
      </c>
      <c r="Q221" s="39" t="s">
        <v>756</v>
      </c>
      <c r="R221" s="39" t="s">
        <v>1225</v>
      </c>
      <c r="S221" s="39" t="s">
        <v>750</v>
      </c>
      <c r="T221" s="39" t="s">
        <v>751</v>
      </c>
      <c r="U221" s="39" t="s">
        <v>751</v>
      </c>
      <c r="V221" s="39" t="s">
        <v>750</v>
      </c>
      <c r="W221" s="39" t="s">
        <v>751</v>
      </c>
      <c r="X221" s="39" t="s">
        <v>751</v>
      </c>
    </row>
    <row r="222">
      <c r="A222" s="39" t="s">
        <v>739</v>
      </c>
      <c r="B222" s="39">
        <v>11842.0</v>
      </c>
      <c r="C222" s="39" t="s">
        <v>1230</v>
      </c>
      <c r="D222" s="39">
        <v>7.0</v>
      </c>
      <c r="F222" s="39">
        <v>12902.0</v>
      </c>
      <c r="G222" s="39" t="s">
        <v>1226</v>
      </c>
      <c r="H222" s="39">
        <v>2.0</v>
      </c>
      <c r="I222" s="39" t="s">
        <v>742</v>
      </c>
      <c r="J222" s="39" t="s">
        <v>743</v>
      </c>
      <c r="K222" s="39" t="s">
        <v>744</v>
      </c>
      <c r="L222" s="39" t="s">
        <v>1227</v>
      </c>
      <c r="M222" s="39" t="s">
        <v>748</v>
      </c>
      <c r="N222" s="39" t="s">
        <v>1228</v>
      </c>
      <c r="O222" s="39" t="s">
        <v>807</v>
      </c>
      <c r="P222" s="39" t="s">
        <v>755</v>
      </c>
      <c r="Q222" s="39" t="s">
        <v>756</v>
      </c>
      <c r="R222" s="39" t="s">
        <v>1229</v>
      </c>
      <c r="S222" s="39" t="s">
        <v>750</v>
      </c>
      <c r="T222" s="39" t="s">
        <v>751</v>
      </c>
      <c r="U222" s="39" t="s">
        <v>751</v>
      </c>
      <c r="V222" s="39" t="s">
        <v>750</v>
      </c>
      <c r="W222" s="39" t="s">
        <v>751</v>
      </c>
      <c r="X222" s="39" t="s">
        <v>751</v>
      </c>
    </row>
    <row r="223">
      <c r="A223" s="39" t="s">
        <v>739</v>
      </c>
      <c r="B223" s="39">
        <v>11842.0</v>
      </c>
      <c r="C223" s="39" t="s">
        <v>1230</v>
      </c>
      <c r="D223" s="39">
        <v>7.0</v>
      </c>
      <c r="F223" s="39">
        <v>15151.0</v>
      </c>
      <c r="G223" s="39" t="s">
        <v>1226</v>
      </c>
      <c r="H223" s="39">
        <v>3.0</v>
      </c>
      <c r="I223" s="39" t="s">
        <v>756</v>
      </c>
      <c r="K223" s="39" t="s">
        <v>744</v>
      </c>
      <c r="L223" s="39" t="s">
        <v>755</v>
      </c>
      <c r="M223" s="39" t="s">
        <v>756</v>
      </c>
      <c r="N223" s="39" t="s">
        <v>755</v>
      </c>
      <c r="O223" s="39" t="s">
        <v>756</v>
      </c>
      <c r="P223" s="39" t="s">
        <v>755</v>
      </c>
      <c r="Q223" s="39" t="s">
        <v>756</v>
      </c>
      <c r="S223" s="39" t="s">
        <v>751</v>
      </c>
      <c r="T223" s="39" t="s">
        <v>750</v>
      </c>
      <c r="U223" s="39" t="s">
        <v>750</v>
      </c>
      <c r="V223" s="39" t="s">
        <v>750</v>
      </c>
      <c r="W223" s="39" t="s">
        <v>750</v>
      </c>
      <c r="X223" s="39" t="s">
        <v>750</v>
      </c>
    </row>
    <row r="224">
      <c r="A224" s="39" t="s">
        <v>739</v>
      </c>
      <c r="B224" s="39">
        <v>12014.0</v>
      </c>
      <c r="C224" s="39" t="s">
        <v>584</v>
      </c>
      <c r="D224" s="39">
        <v>8.0</v>
      </c>
      <c r="F224" s="39">
        <v>17573.0</v>
      </c>
      <c r="G224" s="39" t="s">
        <v>1231</v>
      </c>
      <c r="H224" s="39">
        <v>1.0</v>
      </c>
      <c r="I224" s="39" t="s">
        <v>753</v>
      </c>
      <c r="J224" s="39" t="s">
        <v>754</v>
      </c>
      <c r="K224" s="39" t="s">
        <v>744</v>
      </c>
      <c r="L224" s="39" t="s">
        <v>1232</v>
      </c>
      <c r="M224" s="39" t="s">
        <v>746</v>
      </c>
      <c r="N224" s="39" t="s">
        <v>755</v>
      </c>
      <c r="O224" s="39" t="s">
        <v>756</v>
      </c>
      <c r="P224" s="39" t="s">
        <v>755</v>
      </c>
      <c r="Q224" s="39" t="s">
        <v>756</v>
      </c>
      <c r="R224" s="39" t="s">
        <v>1233</v>
      </c>
      <c r="S224" s="39" t="s">
        <v>750</v>
      </c>
      <c r="T224" s="39" t="s">
        <v>751</v>
      </c>
      <c r="U224" s="39" t="s">
        <v>751</v>
      </c>
      <c r="V224" s="39" t="s">
        <v>750</v>
      </c>
      <c r="W224" s="39" t="s">
        <v>751</v>
      </c>
      <c r="X224" s="39" t="s">
        <v>751</v>
      </c>
    </row>
    <row r="225">
      <c r="A225" s="39" t="s">
        <v>739</v>
      </c>
      <c r="B225" s="39">
        <v>12014.0</v>
      </c>
      <c r="C225" s="39" t="s">
        <v>584</v>
      </c>
      <c r="D225" s="39">
        <v>8.0</v>
      </c>
      <c r="F225" s="39">
        <v>17572.0</v>
      </c>
      <c r="G225" s="39" t="s">
        <v>1234</v>
      </c>
      <c r="H225" s="39">
        <v>2.0</v>
      </c>
      <c r="I225" s="39" t="s">
        <v>788</v>
      </c>
      <c r="J225" s="39" t="s">
        <v>803</v>
      </c>
      <c r="K225" s="39" t="s">
        <v>744</v>
      </c>
      <c r="L225" s="39" t="s">
        <v>1235</v>
      </c>
      <c r="M225" s="39" t="s">
        <v>746</v>
      </c>
      <c r="N225" s="39" t="s">
        <v>1236</v>
      </c>
      <c r="O225" s="39" t="s">
        <v>746</v>
      </c>
      <c r="P225" s="39" t="s">
        <v>755</v>
      </c>
      <c r="Q225" s="39" t="s">
        <v>756</v>
      </c>
      <c r="R225" s="39" t="s">
        <v>1237</v>
      </c>
      <c r="S225" s="39" t="s">
        <v>750</v>
      </c>
      <c r="T225" s="39" t="s">
        <v>751</v>
      </c>
      <c r="U225" s="39" t="s">
        <v>751</v>
      </c>
      <c r="V225" s="39" t="s">
        <v>750</v>
      </c>
      <c r="W225" s="39" t="s">
        <v>751</v>
      </c>
      <c r="X225" s="39" t="s">
        <v>751</v>
      </c>
    </row>
    <row r="226">
      <c r="A226" s="39" t="s">
        <v>739</v>
      </c>
      <c r="B226" s="39">
        <v>12088.0</v>
      </c>
      <c r="C226" s="39" t="s">
        <v>1238</v>
      </c>
      <c r="D226" s="39">
        <v>6.0</v>
      </c>
      <c r="F226" s="39">
        <v>18157.0</v>
      </c>
      <c r="G226" s="39" t="s">
        <v>1239</v>
      </c>
      <c r="H226" s="39">
        <v>1.0</v>
      </c>
      <c r="I226" s="39" t="s">
        <v>742</v>
      </c>
      <c r="J226" s="39" t="s">
        <v>743</v>
      </c>
      <c r="K226" s="39" t="s">
        <v>744</v>
      </c>
      <c r="L226" s="39" t="s">
        <v>1240</v>
      </c>
      <c r="M226" s="39" t="s">
        <v>746</v>
      </c>
      <c r="N226" s="39" t="s">
        <v>1241</v>
      </c>
      <c r="O226" s="39" t="s">
        <v>807</v>
      </c>
      <c r="P226" s="39" t="s">
        <v>755</v>
      </c>
      <c r="Q226" s="39" t="s">
        <v>756</v>
      </c>
      <c r="R226" s="39" t="s">
        <v>1242</v>
      </c>
      <c r="S226" s="39" t="s">
        <v>750</v>
      </c>
      <c r="T226" s="39" t="s">
        <v>751</v>
      </c>
      <c r="U226" s="39" t="s">
        <v>751</v>
      </c>
      <c r="V226" s="39" t="s">
        <v>750</v>
      </c>
      <c r="W226" s="39" t="s">
        <v>751</v>
      </c>
      <c r="X226" s="39" t="s">
        <v>751</v>
      </c>
    </row>
    <row r="227">
      <c r="A227" s="39" t="s">
        <v>739</v>
      </c>
      <c r="B227" s="39">
        <v>12088.0</v>
      </c>
      <c r="C227" s="39" t="s">
        <v>1238</v>
      </c>
      <c r="D227" s="39">
        <v>6.0</v>
      </c>
      <c r="F227" s="39">
        <v>18158.0</v>
      </c>
      <c r="G227" s="39" t="s">
        <v>1243</v>
      </c>
      <c r="H227" s="39">
        <v>2.0</v>
      </c>
      <c r="I227" s="39" t="s">
        <v>753</v>
      </c>
      <c r="J227" s="39" t="s">
        <v>754</v>
      </c>
      <c r="K227" s="39" t="s">
        <v>744</v>
      </c>
      <c r="L227" s="39" t="s">
        <v>1244</v>
      </c>
      <c r="M227" s="39" t="s">
        <v>746</v>
      </c>
      <c r="N227" s="39" t="s">
        <v>755</v>
      </c>
      <c r="O227" s="39" t="s">
        <v>756</v>
      </c>
      <c r="P227" s="39" t="s">
        <v>755</v>
      </c>
      <c r="Q227" s="39" t="s">
        <v>756</v>
      </c>
      <c r="R227" s="39" t="s">
        <v>1245</v>
      </c>
      <c r="S227" s="39" t="s">
        <v>750</v>
      </c>
      <c r="T227" s="39" t="s">
        <v>751</v>
      </c>
      <c r="U227" s="39" t="s">
        <v>751</v>
      </c>
      <c r="V227" s="39" t="s">
        <v>750</v>
      </c>
      <c r="W227" s="39" t="s">
        <v>751</v>
      </c>
      <c r="X227" s="39" t="s">
        <v>751</v>
      </c>
    </row>
    <row r="228">
      <c r="A228" s="39" t="s">
        <v>739</v>
      </c>
      <c r="B228" s="39">
        <v>12088.0</v>
      </c>
      <c r="C228" s="39" t="s">
        <v>1238</v>
      </c>
      <c r="D228" s="39">
        <v>6.0</v>
      </c>
      <c r="F228" s="39">
        <v>18159.0</v>
      </c>
      <c r="G228" s="39" t="s">
        <v>1246</v>
      </c>
      <c r="H228" s="39">
        <v>3.0</v>
      </c>
      <c r="I228" s="39" t="s">
        <v>775</v>
      </c>
      <c r="J228" s="39" t="s">
        <v>768</v>
      </c>
      <c r="K228" s="39" t="s">
        <v>744</v>
      </c>
      <c r="L228" s="39" t="s">
        <v>1247</v>
      </c>
      <c r="M228" s="39" t="s">
        <v>746</v>
      </c>
      <c r="N228" s="39" t="s">
        <v>755</v>
      </c>
      <c r="O228" s="39" t="s">
        <v>756</v>
      </c>
      <c r="P228" s="39" t="s">
        <v>755</v>
      </c>
      <c r="Q228" s="39" t="s">
        <v>756</v>
      </c>
      <c r="S228" s="39" t="s">
        <v>750</v>
      </c>
      <c r="T228" s="39" t="s">
        <v>750</v>
      </c>
      <c r="U228" s="39" t="s">
        <v>750</v>
      </c>
      <c r="V228" s="39" t="s">
        <v>750</v>
      </c>
      <c r="W228" s="39" t="s">
        <v>751</v>
      </c>
      <c r="X228" s="39" t="s">
        <v>751</v>
      </c>
    </row>
    <row r="229">
      <c r="A229" s="39" t="s">
        <v>739</v>
      </c>
      <c r="B229" s="39">
        <v>12009.0</v>
      </c>
      <c r="C229" s="39" t="s">
        <v>1248</v>
      </c>
      <c r="D229" s="39">
        <v>7.0</v>
      </c>
      <c r="F229" s="39">
        <v>17737.0</v>
      </c>
      <c r="G229" s="39" t="s">
        <v>1249</v>
      </c>
      <c r="H229" s="39">
        <v>1.0</v>
      </c>
      <c r="I229" s="39" t="s">
        <v>742</v>
      </c>
      <c r="J229" s="39" t="s">
        <v>743</v>
      </c>
      <c r="K229" s="39" t="s">
        <v>744</v>
      </c>
      <c r="L229" s="39" t="s">
        <v>1250</v>
      </c>
      <c r="M229" s="39" t="s">
        <v>746</v>
      </c>
      <c r="N229" s="39" t="s">
        <v>755</v>
      </c>
      <c r="O229" s="39" t="s">
        <v>756</v>
      </c>
      <c r="P229" s="39" t="s">
        <v>755</v>
      </c>
      <c r="Q229" s="39" t="s">
        <v>756</v>
      </c>
      <c r="R229" s="39" t="s">
        <v>1251</v>
      </c>
      <c r="S229" s="39" t="s">
        <v>750</v>
      </c>
      <c r="T229" s="39" t="s">
        <v>751</v>
      </c>
      <c r="U229" s="39" t="s">
        <v>751</v>
      </c>
      <c r="V229" s="39" t="s">
        <v>750</v>
      </c>
      <c r="W229" s="39" t="s">
        <v>751</v>
      </c>
      <c r="X229" s="39" t="s">
        <v>751</v>
      </c>
    </row>
    <row r="230">
      <c r="A230" s="39" t="s">
        <v>739</v>
      </c>
      <c r="B230" s="39">
        <v>12009.0</v>
      </c>
      <c r="C230" s="39" t="s">
        <v>1248</v>
      </c>
      <c r="D230" s="39">
        <v>7.0</v>
      </c>
      <c r="F230" s="39">
        <v>17738.0</v>
      </c>
      <c r="G230" s="39" t="s">
        <v>1252</v>
      </c>
      <c r="H230" s="39">
        <v>2.0</v>
      </c>
      <c r="I230" s="39" t="s">
        <v>753</v>
      </c>
      <c r="J230" s="39" t="s">
        <v>754</v>
      </c>
      <c r="K230" s="39" t="s">
        <v>744</v>
      </c>
      <c r="L230" s="39" t="s">
        <v>1253</v>
      </c>
      <c r="M230" s="39" t="s">
        <v>746</v>
      </c>
      <c r="N230" s="39" t="s">
        <v>755</v>
      </c>
      <c r="O230" s="39" t="s">
        <v>756</v>
      </c>
      <c r="P230" s="39" t="s">
        <v>755</v>
      </c>
      <c r="Q230" s="39" t="s">
        <v>756</v>
      </c>
      <c r="S230" s="39" t="s">
        <v>750</v>
      </c>
      <c r="T230" s="39" t="s">
        <v>751</v>
      </c>
      <c r="U230" s="39" t="s">
        <v>750</v>
      </c>
      <c r="V230" s="39" t="s">
        <v>750</v>
      </c>
      <c r="W230" s="39" t="s">
        <v>751</v>
      </c>
      <c r="X230" s="39" t="s">
        <v>751</v>
      </c>
    </row>
    <row r="231">
      <c r="A231" s="39" t="s">
        <v>739</v>
      </c>
      <c r="B231" s="39">
        <v>12089.0</v>
      </c>
      <c r="C231" s="39" t="s">
        <v>1254</v>
      </c>
      <c r="D231" s="39">
        <v>7.0</v>
      </c>
      <c r="F231" s="39">
        <v>18157.0</v>
      </c>
      <c r="G231" s="39" t="s">
        <v>1239</v>
      </c>
      <c r="H231" s="39">
        <v>1.0</v>
      </c>
      <c r="I231" s="39" t="s">
        <v>742</v>
      </c>
      <c r="J231" s="39" t="s">
        <v>743</v>
      </c>
      <c r="K231" s="39" t="s">
        <v>744</v>
      </c>
      <c r="L231" s="39" t="s">
        <v>1240</v>
      </c>
      <c r="M231" s="39" t="s">
        <v>746</v>
      </c>
      <c r="N231" s="39" t="s">
        <v>1241</v>
      </c>
      <c r="O231" s="39" t="s">
        <v>807</v>
      </c>
      <c r="P231" s="39" t="s">
        <v>755</v>
      </c>
      <c r="Q231" s="39" t="s">
        <v>756</v>
      </c>
      <c r="R231" s="39" t="s">
        <v>1242</v>
      </c>
      <c r="S231" s="39" t="s">
        <v>750</v>
      </c>
      <c r="T231" s="39" t="s">
        <v>751</v>
      </c>
      <c r="U231" s="39" t="s">
        <v>751</v>
      </c>
      <c r="V231" s="39" t="s">
        <v>750</v>
      </c>
      <c r="W231" s="39" t="s">
        <v>751</v>
      </c>
      <c r="X231" s="39" t="s">
        <v>751</v>
      </c>
    </row>
    <row r="232">
      <c r="A232" s="39" t="s">
        <v>739</v>
      </c>
      <c r="B232" s="39">
        <v>12089.0</v>
      </c>
      <c r="C232" s="39" t="s">
        <v>1254</v>
      </c>
      <c r="D232" s="39">
        <v>7.0</v>
      </c>
      <c r="F232" s="39">
        <v>18158.0</v>
      </c>
      <c r="G232" s="39" t="s">
        <v>1243</v>
      </c>
      <c r="H232" s="39">
        <v>2.0</v>
      </c>
      <c r="I232" s="39" t="s">
        <v>753</v>
      </c>
      <c r="J232" s="39" t="s">
        <v>754</v>
      </c>
      <c r="K232" s="39" t="s">
        <v>744</v>
      </c>
      <c r="L232" s="39" t="s">
        <v>1244</v>
      </c>
      <c r="M232" s="39" t="s">
        <v>746</v>
      </c>
      <c r="N232" s="39" t="s">
        <v>755</v>
      </c>
      <c r="O232" s="39" t="s">
        <v>756</v>
      </c>
      <c r="P232" s="39" t="s">
        <v>755</v>
      </c>
      <c r="Q232" s="39" t="s">
        <v>756</v>
      </c>
      <c r="R232" s="39" t="s">
        <v>1245</v>
      </c>
      <c r="S232" s="39" t="s">
        <v>750</v>
      </c>
      <c r="T232" s="39" t="s">
        <v>751</v>
      </c>
      <c r="U232" s="39" t="s">
        <v>751</v>
      </c>
      <c r="V232" s="39" t="s">
        <v>750</v>
      </c>
      <c r="W232" s="39" t="s">
        <v>751</v>
      </c>
      <c r="X232" s="39" t="s">
        <v>751</v>
      </c>
    </row>
    <row r="233">
      <c r="A233" s="39" t="s">
        <v>739</v>
      </c>
      <c r="B233" s="39">
        <v>12089.0</v>
      </c>
      <c r="C233" s="39" t="s">
        <v>1254</v>
      </c>
      <c r="D233" s="39">
        <v>7.0</v>
      </c>
      <c r="F233" s="39">
        <v>18159.0</v>
      </c>
      <c r="G233" s="39" t="s">
        <v>1246</v>
      </c>
      <c r="H233" s="39">
        <v>3.0</v>
      </c>
      <c r="I233" s="39" t="s">
        <v>775</v>
      </c>
      <c r="J233" s="39" t="s">
        <v>768</v>
      </c>
      <c r="K233" s="39" t="s">
        <v>744</v>
      </c>
      <c r="L233" s="39" t="s">
        <v>1247</v>
      </c>
      <c r="M233" s="39" t="s">
        <v>746</v>
      </c>
      <c r="N233" s="39" t="s">
        <v>755</v>
      </c>
      <c r="O233" s="39" t="s">
        <v>756</v>
      </c>
      <c r="P233" s="39" t="s">
        <v>755</v>
      </c>
      <c r="Q233" s="39" t="s">
        <v>756</v>
      </c>
      <c r="S233" s="39" t="s">
        <v>750</v>
      </c>
      <c r="T233" s="39" t="s">
        <v>750</v>
      </c>
      <c r="U233" s="39" t="s">
        <v>750</v>
      </c>
      <c r="V233" s="39" t="s">
        <v>750</v>
      </c>
      <c r="W233" s="39" t="s">
        <v>751</v>
      </c>
      <c r="X233" s="39" t="s">
        <v>751</v>
      </c>
    </row>
    <row r="234">
      <c r="A234" s="39" t="s">
        <v>739</v>
      </c>
      <c r="B234" s="39">
        <v>11794.0</v>
      </c>
      <c r="C234" s="39" t="s">
        <v>1255</v>
      </c>
      <c r="D234" s="39">
        <v>7.0</v>
      </c>
      <c r="F234" s="39">
        <v>322.0</v>
      </c>
      <c r="G234" s="39" t="s">
        <v>1256</v>
      </c>
      <c r="H234" s="39">
        <v>1.0</v>
      </c>
      <c r="I234" s="39" t="s">
        <v>775</v>
      </c>
      <c r="J234" s="39" t="s">
        <v>803</v>
      </c>
      <c r="K234" s="39" t="s">
        <v>744</v>
      </c>
      <c r="L234" s="39" t="s">
        <v>1257</v>
      </c>
      <c r="M234" s="39" t="s">
        <v>746</v>
      </c>
      <c r="N234" s="39" t="s">
        <v>1258</v>
      </c>
      <c r="O234" s="39" t="s">
        <v>807</v>
      </c>
      <c r="P234" s="39">
        <v>3.143394998E9</v>
      </c>
      <c r="Q234" s="39" t="s">
        <v>756</v>
      </c>
      <c r="R234" s="39" t="s">
        <v>1259</v>
      </c>
      <c r="S234" s="39" t="s">
        <v>750</v>
      </c>
      <c r="T234" s="39" t="s">
        <v>751</v>
      </c>
      <c r="U234" s="39" t="s">
        <v>751</v>
      </c>
      <c r="V234" s="39" t="s">
        <v>751</v>
      </c>
      <c r="W234" s="39" t="s">
        <v>751</v>
      </c>
      <c r="X234" s="39" t="s">
        <v>751</v>
      </c>
    </row>
    <row r="235">
      <c r="A235" s="39" t="s">
        <v>739</v>
      </c>
      <c r="B235" s="39">
        <v>11794.0</v>
      </c>
      <c r="C235" s="39" t="s">
        <v>1255</v>
      </c>
      <c r="D235" s="39">
        <v>7.0</v>
      </c>
      <c r="F235" s="39">
        <v>17263.0</v>
      </c>
      <c r="G235" s="39" t="s">
        <v>1260</v>
      </c>
      <c r="H235" s="39">
        <v>2.0</v>
      </c>
      <c r="I235" s="39" t="s">
        <v>791</v>
      </c>
      <c r="J235" s="39" t="s">
        <v>768</v>
      </c>
      <c r="K235" s="39" t="s">
        <v>744</v>
      </c>
      <c r="L235" s="39" t="s">
        <v>1261</v>
      </c>
      <c r="M235" s="39" t="s">
        <v>748</v>
      </c>
      <c r="N235" s="39" t="s">
        <v>755</v>
      </c>
      <c r="O235" s="39" t="s">
        <v>756</v>
      </c>
      <c r="P235" s="39" t="s">
        <v>755</v>
      </c>
      <c r="Q235" s="39" t="s">
        <v>756</v>
      </c>
      <c r="S235" s="39" t="s">
        <v>750</v>
      </c>
      <c r="T235" s="39" t="s">
        <v>750</v>
      </c>
      <c r="U235" s="39" t="s">
        <v>750</v>
      </c>
      <c r="V235" s="39" t="s">
        <v>750</v>
      </c>
      <c r="W235" s="39" t="s">
        <v>751</v>
      </c>
      <c r="X235" s="39" t="s">
        <v>751</v>
      </c>
    </row>
    <row r="236">
      <c r="A236" s="39" t="s">
        <v>739</v>
      </c>
      <c r="B236" s="39">
        <v>11794.0</v>
      </c>
      <c r="C236" s="39" t="s">
        <v>1255</v>
      </c>
      <c r="D236" s="39">
        <v>7.0</v>
      </c>
      <c r="F236" s="39">
        <v>17264.0</v>
      </c>
      <c r="G236" s="39" t="s">
        <v>1262</v>
      </c>
      <c r="H236" s="39">
        <v>3.0</v>
      </c>
      <c r="I236" s="39" t="s">
        <v>854</v>
      </c>
      <c r="J236" s="39" t="s">
        <v>771</v>
      </c>
      <c r="K236" s="39" t="s">
        <v>744</v>
      </c>
      <c r="L236" s="39" t="s">
        <v>1263</v>
      </c>
      <c r="M236" s="39" t="s">
        <v>748</v>
      </c>
      <c r="N236" s="39" t="s">
        <v>755</v>
      </c>
      <c r="O236" s="39" t="s">
        <v>756</v>
      </c>
      <c r="P236" s="39" t="s">
        <v>755</v>
      </c>
      <c r="Q236" s="39" t="s">
        <v>756</v>
      </c>
      <c r="S236" s="39" t="s">
        <v>750</v>
      </c>
      <c r="T236" s="39" t="s">
        <v>750</v>
      </c>
      <c r="U236" s="39" t="s">
        <v>751</v>
      </c>
      <c r="V236" s="39" t="s">
        <v>750</v>
      </c>
      <c r="W236" s="39" t="s">
        <v>751</v>
      </c>
      <c r="X236" s="39" t="s">
        <v>751</v>
      </c>
    </row>
    <row r="237">
      <c r="A237" s="39" t="s">
        <v>739</v>
      </c>
      <c r="B237" s="39">
        <v>11794.0</v>
      </c>
      <c r="C237" s="39" t="s">
        <v>1255</v>
      </c>
      <c r="D237" s="39">
        <v>7.0</v>
      </c>
      <c r="F237" s="39">
        <v>12266.0</v>
      </c>
      <c r="G237" s="39" t="s">
        <v>1256</v>
      </c>
      <c r="H237" s="39">
        <v>4.0</v>
      </c>
      <c r="I237" s="39" t="s">
        <v>758</v>
      </c>
      <c r="K237" s="39" t="s">
        <v>744</v>
      </c>
      <c r="L237" s="39">
        <v>3.143394998E9</v>
      </c>
      <c r="M237" s="39" t="s">
        <v>746</v>
      </c>
      <c r="N237" s="39" t="s">
        <v>755</v>
      </c>
      <c r="O237" s="39" t="s">
        <v>756</v>
      </c>
      <c r="P237" s="39" t="s">
        <v>755</v>
      </c>
      <c r="Q237" s="39" t="s">
        <v>756</v>
      </c>
      <c r="R237" s="39" t="s">
        <v>1259</v>
      </c>
      <c r="S237" s="39" t="s">
        <v>750</v>
      </c>
      <c r="T237" s="39" t="s">
        <v>750</v>
      </c>
      <c r="U237" s="39" t="s">
        <v>750</v>
      </c>
      <c r="V237" s="39" t="s">
        <v>750</v>
      </c>
      <c r="W237" s="39" t="s">
        <v>751</v>
      </c>
      <c r="X237" s="39" t="s">
        <v>751</v>
      </c>
    </row>
    <row r="238">
      <c r="A238" s="39" t="s">
        <v>739</v>
      </c>
      <c r="B238" s="39">
        <v>11794.0</v>
      </c>
      <c r="C238" s="39" t="s">
        <v>1255</v>
      </c>
      <c r="D238" s="39">
        <v>7.0</v>
      </c>
      <c r="F238" s="39">
        <v>13689.0</v>
      </c>
      <c r="G238" s="39" t="s">
        <v>889</v>
      </c>
      <c r="H238" s="39">
        <v>5.0</v>
      </c>
      <c r="I238" s="39" t="s">
        <v>756</v>
      </c>
      <c r="K238" s="39" t="s">
        <v>744</v>
      </c>
      <c r="L238" s="39" t="s">
        <v>755</v>
      </c>
      <c r="M238" s="39" t="s">
        <v>756</v>
      </c>
      <c r="N238" s="39" t="s">
        <v>755</v>
      </c>
      <c r="O238" s="39" t="s">
        <v>756</v>
      </c>
      <c r="P238" s="39" t="s">
        <v>755</v>
      </c>
      <c r="Q238" s="39" t="s">
        <v>756</v>
      </c>
      <c r="R238" s="39" t="s">
        <v>1259</v>
      </c>
      <c r="S238" s="39" t="s">
        <v>750</v>
      </c>
      <c r="T238" s="39" t="s">
        <v>750</v>
      </c>
      <c r="U238" s="39" t="s">
        <v>750</v>
      </c>
      <c r="V238" s="39" t="s">
        <v>750</v>
      </c>
      <c r="W238" s="39" t="s">
        <v>750</v>
      </c>
      <c r="X238" s="39" t="s">
        <v>750</v>
      </c>
    </row>
    <row r="239">
      <c r="A239" s="39" t="s">
        <v>739</v>
      </c>
      <c r="B239" s="39">
        <v>11582.0</v>
      </c>
      <c r="C239" s="39" t="s">
        <v>1264</v>
      </c>
      <c r="D239" s="39">
        <v>7.0</v>
      </c>
      <c r="F239" s="39">
        <v>13219.0</v>
      </c>
      <c r="G239" s="39" t="s">
        <v>1265</v>
      </c>
      <c r="H239" s="39">
        <v>1.0</v>
      </c>
      <c r="I239" s="39" t="s">
        <v>742</v>
      </c>
      <c r="J239" s="39" t="s">
        <v>743</v>
      </c>
      <c r="K239" s="39" t="s">
        <v>744</v>
      </c>
      <c r="L239" s="39" t="s">
        <v>1266</v>
      </c>
      <c r="M239" s="39" t="s">
        <v>805</v>
      </c>
      <c r="N239" s="39" t="s">
        <v>755</v>
      </c>
      <c r="O239" s="39" t="s">
        <v>756</v>
      </c>
      <c r="P239" s="39" t="s">
        <v>755</v>
      </c>
      <c r="Q239" s="39" t="s">
        <v>756</v>
      </c>
      <c r="R239" s="39" t="s">
        <v>1267</v>
      </c>
      <c r="S239" s="39" t="s">
        <v>750</v>
      </c>
      <c r="T239" s="39" t="s">
        <v>751</v>
      </c>
      <c r="U239" s="39" t="s">
        <v>751</v>
      </c>
      <c r="V239" s="39" t="s">
        <v>750</v>
      </c>
      <c r="W239" s="39" t="s">
        <v>751</v>
      </c>
      <c r="X239" s="39" t="s">
        <v>751</v>
      </c>
    </row>
    <row r="240">
      <c r="A240" s="39" t="s">
        <v>739</v>
      </c>
      <c r="B240" s="39">
        <v>11132.0</v>
      </c>
      <c r="C240" s="39" t="s">
        <v>1268</v>
      </c>
      <c r="D240" s="39">
        <v>7.0</v>
      </c>
      <c r="F240" s="39">
        <v>7757.0</v>
      </c>
      <c r="G240" s="39" t="s">
        <v>1269</v>
      </c>
      <c r="H240" s="39">
        <v>1.0</v>
      </c>
      <c r="I240" s="39" t="s">
        <v>742</v>
      </c>
      <c r="J240" s="39" t="s">
        <v>743</v>
      </c>
      <c r="K240" s="39" t="s">
        <v>744</v>
      </c>
      <c r="L240" s="39" t="s">
        <v>1270</v>
      </c>
      <c r="M240" s="39" t="s">
        <v>746</v>
      </c>
      <c r="N240" s="39" t="s">
        <v>755</v>
      </c>
      <c r="O240" s="39" t="s">
        <v>756</v>
      </c>
      <c r="P240" s="39" t="s">
        <v>755</v>
      </c>
      <c r="Q240" s="39" t="s">
        <v>756</v>
      </c>
      <c r="R240" s="39" t="s">
        <v>1271</v>
      </c>
      <c r="S240" s="39" t="s">
        <v>750</v>
      </c>
      <c r="T240" s="39" t="s">
        <v>751</v>
      </c>
      <c r="U240" s="39" t="s">
        <v>751</v>
      </c>
      <c r="V240" s="39" t="s">
        <v>750</v>
      </c>
      <c r="W240" s="39" t="s">
        <v>751</v>
      </c>
      <c r="X240" s="39" t="s">
        <v>751</v>
      </c>
    </row>
    <row r="241">
      <c r="A241" s="39" t="s">
        <v>739</v>
      </c>
      <c r="B241" s="39">
        <v>11132.0</v>
      </c>
      <c r="C241" s="39" t="s">
        <v>1268</v>
      </c>
      <c r="D241" s="39">
        <v>7.0</v>
      </c>
      <c r="F241" s="39">
        <v>17224.0</v>
      </c>
      <c r="G241" s="39" t="s">
        <v>1272</v>
      </c>
      <c r="H241" s="39">
        <v>2.0</v>
      </c>
      <c r="I241" s="39" t="s">
        <v>760</v>
      </c>
      <c r="J241" s="39" t="s">
        <v>768</v>
      </c>
      <c r="K241" s="39" t="s">
        <v>744</v>
      </c>
      <c r="L241" s="39" t="s">
        <v>1273</v>
      </c>
      <c r="M241" s="39" t="s">
        <v>746</v>
      </c>
      <c r="N241" s="39" t="s">
        <v>755</v>
      </c>
      <c r="O241" s="39" t="s">
        <v>756</v>
      </c>
      <c r="P241" s="39" t="s">
        <v>755</v>
      </c>
      <c r="Q241" s="39" t="s">
        <v>756</v>
      </c>
      <c r="S241" s="39" t="s">
        <v>750</v>
      </c>
      <c r="T241" s="39" t="s">
        <v>750</v>
      </c>
      <c r="U241" s="39" t="s">
        <v>750</v>
      </c>
      <c r="V241" s="39" t="s">
        <v>750</v>
      </c>
      <c r="W241" s="39" t="s">
        <v>751</v>
      </c>
      <c r="X241" s="39" t="s">
        <v>751</v>
      </c>
    </row>
    <row r="242">
      <c r="A242" s="39" t="s">
        <v>739</v>
      </c>
      <c r="B242" s="39">
        <v>11932.0</v>
      </c>
      <c r="C242" s="39" t="s">
        <v>1274</v>
      </c>
      <c r="D242" s="39">
        <v>5.0</v>
      </c>
      <c r="F242" s="39">
        <v>17173.0</v>
      </c>
      <c r="G242" s="39" t="s">
        <v>1275</v>
      </c>
      <c r="H242" s="39">
        <v>1.0</v>
      </c>
      <c r="I242" s="39" t="s">
        <v>742</v>
      </c>
      <c r="J242" s="39" t="s">
        <v>743</v>
      </c>
      <c r="K242" s="39" t="s">
        <v>744</v>
      </c>
      <c r="L242" s="39" t="s">
        <v>1276</v>
      </c>
      <c r="M242" s="39" t="s">
        <v>746</v>
      </c>
      <c r="N242" s="39" t="s">
        <v>1277</v>
      </c>
      <c r="O242" s="39" t="s">
        <v>746</v>
      </c>
      <c r="P242" s="39" t="s">
        <v>1278</v>
      </c>
      <c r="Q242" s="39" t="s">
        <v>748</v>
      </c>
      <c r="R242" s="39" t="s">
        <v>1279</v>
      </c>
      <c r="S242" s="39" t="s">
        <v>750</v>
      </c>
      <c r="T242" s="39" t="s">
        <v>751</v>
      </c>
      <c r="U242" s="39" t="s">
        <v>751</v>
      </c>
      <c r="V242" s="39" t="s">
        <v>750</v>
      </c>
      <c r="W242" s="39" t="s">
        <v>751</v>
      </c>
      <c r="X242" s="39" t="s">
        <v>751</v>
      </c>
    </row>
    <row r="243">
      <c r="A243" s="39" t="s">
        <v>739</v>
      </c>
      <c r="B243" s="39">
        <v>11932.0</v>
      </c>
      <c r="C243" s="39" t="s">
        <v>1274</v>
      </c>
      <c r="D243" s="39">
        <v>5.0</v>
      </c>
      <c r="F243" s="39">
        <v>17174.0</v>
      </c>
      <c r="G243" s="39" t="s">
        <v>1280</v>
      </c>
      <c r="H243" s="39">
        <v>2.0</v>
      </c>
      <c r="I243" s="39" t="s">
        <v>775</v>
      </c>
      <c r="J243" s="39" t="s">
        <v>803</v>
      </c>
      <c r="K243" s="39" t="s">
        <v>744</v>
      </c>
      <c r="L243" s="39" t="s">
        <v>1281</v>
      </c>
      <c r="M243" s="39" t="s">
        <v>746</v>
      </c>
      <c r="N243" s="39" t="s">
        <v>755</v>
      </c>
      <c r="O243" s="39" t="s">
        <v>756</v>
      </c>
      <c r="P243" s="39" t="s">
        <v>755</v>
      </c>
      <c r="Q243" s="39" t="s">
        <v>756</v>
      </c>
      <c r="S243" s="39" t="s">
        <v>750</v>
      </c>
      <c r="T243" s="39" t="s">
        <v>751</v>
      </c>
      <c r="U243" s="39" t="s">
        <v>751</v>
      </c>
      <c r="V243" s="39" t="s">
        <v>750</v>
      </c>
      <c r="W243" s="39" t="s">
        <v>751</v>
      </c>
      <c r="X243" s="39" t="s">
        <v>751</v>
      </c>
    </row>
    <row r="244">
      <c r="A244" s="39" t="s">
        <v>739</v>
      </c>
      <c r="B244" s="39">
        <v>11578.0</v>
      </c>
      <c r="C244" s="39" t="s">
        <v>1282</v>
      </c>
      <c r="D244" s="39">
        <v>7.0</v>
      </c>
      <c r="F244" s="39">
        <v>13220.0</v>
      </c>
      <c r="G244" s="39" t="s">
        <v>1283</v>
      </c>
      <c r="H244" s="39">
        <v>1.0</v>
      </c>
      <c r="I244" s="39" t="s">
        <v>742</v>
      </c>
      <c r="J244" s="39" t="s">
        <v>743</v>
      </c>
      <c r="K244" s="39" t="s">
        <v>744</v>
      </c>
      <c r="L244" s="39" t="s">
        <v>1284</v>
      </c>
      <c r="M244" s="39" t="s">
        <v>805</v>
      </c>
      <c r="N244" s="39" t="s">
        <v>755</v>
      </c>
      <c r="O244" s="39" t="s">
        <v>756</v>
      </c>
      <c r="P244" s="39" t="s">
        <v>755</v>
      </c>
      <c r="Q244" s="39" t="s">
        <v>756</v>
      </c>
      <c r="R244" s="39" t="s">
        <v>1285</v>
      </c>
      <c r="S244" s="39" t="s">
        <v>750</v>
      </c>
      <c r="T244" s="39" t="s">
        <v>751</v>
      </c>
      <c r="U244" s="39" t="s">
        <v>751</v>
      </c>
      <c r="V244" s="39" t="s">
        <v>750</v>
      </c>
      <c r="W244" s="39" t="s">
        <v>751</v>
      </c>
      <c r="X244" s="39" t="s">
        <v>751</v>
      </c>
    </row>
    <row r="245">
      <c r="A245" s="39" t="s">
        <v>739</v>
      </c>
      <c r="B245" s="39">
        <v>10973.0</v>
      </c>
      <c r="C245" s="39" t="s">
        <v>1286</v>
      </c>
      <c r="D245" s="39">
        <v>8.0</v>
      </c>
      <c r="F245" s="39">
        <v>7863.0</v>
      </c>
      <c r="G245" s="39" t="s">
        <v>1173</v>
      </c>
      <c r="H245" s="39">
        <v>1.0</v>
      </c>
      <c r="I245" s="39" t="s">
        <v>753</v>
      </c>
      <c r="J245" s="39" t="s">
        <v>754</v>
      </c>
      <c r="K245" s="39" t="s">
        <v>744</v>
      </c>
      <c r="L245" s="39" t="s">
        <v>1174</v>
      </c>
      <c r="M245" s="39" t="s">
        <v>746</v>
      </c>
      <c r="N245" s="39">
        <v>3.146886814E9</v>
      </c>
      <c r="O245" s="39" t="s">
        <v>748</v>
      </c>
      <c r="P245" s="39" t="s">
        <v>755</v>
      </c>
      <c r="Q245" s="39" t="s">
        <v>756</v>
      </c>
      <c r="R245" s="39" t="s">
        <v>1175</v>
      </c>
      <c r="S245" s="39" t="s">
        <v>750</v>
      </c>
      <c r="T245" s="39" t="s">
        <v>751</v>
      </c>
      <c r="U245" s="39" t="s">
        <v>751</v>
      </c>
      <c r="V245" s="39" t="s">
        <v>751</v>
      </c>
      <c r="W245" s="39" t="s">
        <v>751</v>
      </c>
      <c r="X245" s="39" t="s">
        <v>751</v>
      </c>
    </row>
    <row r="246">
      <c r="A246" s="39" t="s">
        <v>739</v>
      </c>
      <c r="B246" s="39">
        <v>10973.0</v>
      </c>
      <c r="C246" s="39" t="s">
        <v>1286</v>
      </c>
      <c r="D246" s="39">
        <v>8.0</v>
      </c>
      <c r="F246" s="39">
        <v>11682.0</v>
      </c>
      <c r="G246" s="39" t="s">
        <v>1287</v>
      </c>
      <c r="H246" s="39">
        <v>2.0</v>
      </c>
      <c r="I246" s="39" t="s">
        <v>758</v>
      </c>
      <c r="J246" s="39" t="s">
        <v>768</v>
      </c>
      <c r="K246" s="39" t="s">
        <v>744</v>
      </c>
      <c r="L246" s="39" t="s">
        <v>1288</v>
      </c>
      <c r="M246" s="39" t="s">
        <v>746</v>
      </c>
      <c r="N246" s="39" t="s">
        <v>755</v>
      </c>
      <c r="O246" s="39" t="s">
        <v>756</v>
      </c>
      <c r="P246" s="39" t="s">
        <v>755</v>
      </c>
      <c r="Q246" s="39" t="s">
        <v>756</v>
      </c>
      <c r="R246" s="39" t="s">
        <v>1289</v>
      </c>
      <c r="S246" s="39" t="s">
        <v>750</v>
      </c>
      <c r="T246" s="39" t="s">
        <v>750</v>
      </c>
      <c r="U246" s="39" t="s">
        <v>750</v>
      </c>
      <c r="V246" s="39" t="s">
        <v>750</v>
      </c>
      <c r="W246" s="39" t="s">
        <v>751</v>
      </c>
      <c r="X246" s="39" t="s">
        <v>751</v>
      </c>
    </row>
    <row r="247">
      <c r="A247" s="39" t="s">
        <v>739</v>
      </c>
      <c r="B247" s="39">
        <v>10973.0</v>
      </c>
      <c r="C247" s="39" t="s">
        <v>1286</v>
      </c>
      <c r="D247" s="39">
        <v>8.0</v>
      </c>
      <c r="F247" s="39">
        <v>7862.0</v>
      </c>
      <c r="G247" s="39" t="s">
        <v>1178</v>
      </c>
      <c r="H247" s="39">
        <v>3.0</v>
      </c>
      <c r="I247" s="39" t="s">
        <v>788</v>
      </c>
      <c r="K247" s="39" t="s">
        <v>744</v>
      </c>
      <c r="L247" s="39" t="s">
        <v>1179</v>
      </c>
      <c r="M247" s="39" t="s">
        <v>746</v>
      </c>
      <c r="N247" s="39" t="s">
        <v>755</v>
      </c>
      <c r="O247" s="39" t="s">
        <v>756</v>
      </c>
      <c r="P247" s="39" t="s">
        <v>755</v>
      </c>
      <c r="Q247" s="39" t="s">
        <v>756</v>
      </c>
      <c r="R247" s="39" t="s">
        <v>1180</v>
      </c>
      <c r="S247" s="39" t="s">
        <v>750</v>
      </c>
      <c r="T247" s="39" t="s">
        <v>750</v>
      </c>
      <c r="U247" s="39" t="s">
        <v>751</v>
      </c>
      <c r="V247" s="39" t="s">
        <v>750</v>
      </c>
      <c r="W247" s="39" t="s">
        <v>750</v>
      </c>
      <c r="X247" s="39" t="s">
        <v>751</v>
      </c>
    </row>
    <row r="248">
      <c r="A248" s="39" t="s">
        <v>739</v>
      </c>
      <c r="B248" s="39">
        <v>10973.0</v>
      </c>
      <c r="C248" s="39" t="s">
        <v>1286</v>
      </c>
      <c r="D248" s="39">
        <v>8.0</v>
      </c>
      <c r="F248" s="39">
        <v>13369.0</v>
      </c>
      <c r="G248" s="39" t="s">
        <v>889</v>
      </c>
      <c r="H248" s="39">
        <v>4.0</v>
      </c>
      <c r="I248" s="39" t="s">
        <v>756</v>
      </c>
      <c r="K248" s="39" t="s">
        <v>744</v>
      </c>
      <c r="L248" s="39" t="s">
        <v>755</v>
      </c>
      <c r="M248" s="39" t="s">
        <v>756</v>
      </c>
      <c r="N248" s="39" t="s">
        <v>755</v>
      </c>
      <c r="O248" s="39" t="s">
        <v>756</v>
      </c>
      <c r="P248" s="39" t="s">
        <v>755</v>
      </c>
      <c r="Q248" s="39" t="s">
        <v>756</v>
      </c>
      <c r="R248" s="39" t="s">
        <v>1175</v>
      </c>
      <c r="S248" s="39" t="s">
        <v>750</v>
      </c>
      <c r="T248" s="39" t="s">
        <v>750</v>
      </c>
      <c r="U248" s="39" t="s">
        <v>750</v>
      </c>
      <c r="V248" s="39" t="s">
        <v>750</v>
      </c>
      <c r="W248" s="39" t="s">
        <v>750</v>
      </c>
      <c r="X248" s="39" t="s">
        <v>750</v>
      </c>
    </row>
    <row r="249">
      <c r="A249" s="39" t="s">
        <v>739</v>
      </c>
      <c r="B249" s="39">
        <v>10975.0</v>
      </c>
      <c r="C249" s="39" t="s">
        <v>1290</v>
      </c>
      <c r="D249" s="39">
        <v>8.0</v>
      </c>
      <c r="F249" s="39">
        <v>7832.0</v>
      </c>
      <c r="G249" s="39" t="s">
        <v>1291</v>
      </c>
      <c r="H249" s="39">
        <v>1.0</v>
      </c>
      <c r="I249" s="39" t="s">
        <v>791</v>
      </c>
      <c r="J249" s="39" t="s">
        <v>803</v>
      </c>
      <c r="K249" s="39" t="s">
        <v>744</v>
      </c>
      <c r="L249" s="39" t="s">
        <v>1292</v>
      </c>
      <c r="M249" s="39" t="s">
        <v>746</v>
      </c>
      <c r="N249" s="39" t="s">
        <v>755</v>
      </c>
      <c r="O249" s="39" t="s">
        <v>756</v>
      </c>
      <c r="P249" s="39" t="s">
        <v>755</v>
      </c>
      <c r="Q249" s="39" t="s">
        <v>756</v>
      </c>
      <c r="R249" s="39" t="s">
        <v>1293</v>
      </c>
      <c r="S249" s="39" t="s">
        <v>750</v>
      </c>
      <c r="T249" s="39" t="s">
        <v>751</v>
      </c>
      <c r="U249" s="39" t="s">
        <v>751</v>
      </c>
      <c r="V249" s="39" t="s">
        <v>751</v>
      </c>
      <c r="W249" s="39" t="s">
        <v>751</v>
      </c>
      <c r="X249" s="39" t="s">
        <v>751</v>
      </c>
    </row>
    <row r="250">
      <c r="A250" s="39" t="s">
        <v>739</v>
      </c>
      <c r="B250" s="39">
        <v>12022.0</v>
      </c>
      <c r="C250" s="39" t="s">
        <v>593</v>
      </c>
      <c r="D250" s="39">
        <v>8.0</v>
      </c>
      <c r="F250" s="39">
        <v>17762.0</v>
      </c>
      <c r="G250" s="39" t="s">
        <v>1294</v>
      </c>
      <c r="H250" s="39">
        <v>1.0</v>
      </c>
      <c r="I250" s="39" t="s">
        <v>742</v>
      </c>
      <c r="J250" s="39" t="s">
        <v>743</v>
      </c>
      <c r="K250" s="39" t="s">
        <v>744</v>
      </c>
      <c r="L250" s="39" t="s">
        <v>1295</v>
      </c>
      <c r="M250" s="39" t="s">
        <v>746</v>
      </c>
      <c r="N250" s="39" t="s">
        <v>755</v>
      </c>
      <c r="O250" s="39" t="s">
        <v>756</v>
      </c>
      <c r="P250" s="39" t="s">
        <v>755</v>
      </c>
      <c r="Q250" s="39" t="s">
        <v>756</v>
      </c>
      <c r="R250" s="39" t="s">
        <v>1296</v>
      </c>
      <c r="S250" s="39" t="s">
        <v>750</v>
      </c>
      <c r="T250" s="39" t="s">
        <v>751</v>
      </c>
      <c r="U250" s="39" t="s">
        <v>751</v>
      </c>
      <c r="V250" s="39" t="s">
        <v>750</v>
      </c>
      <c r="W250" s="39" t="s">
        <v>751</v>
      </c>
      <c r="X250" s="39" t="s">
        <v>751</v>
      </c>
    </row>
    <row r="251">
      <c r="A251" s="39" t="s">
        <v>739</v>
      </c>
      <c r="B251" s="39">
        <v>12022.0</v>
      </c>
      <c r="C251" s="39" t="s">
        <v>593</v>
      </c>
      <c r="D251" s="39">
        <v>8.0</v>
      </c>
      <c r="F251" s="39">
        <v>16973.0</v>
      </c>
      <c r="G251" s="39" t="s">
        <v>1297</v>
      </c>
      <c r="H251" s="39">
        <v>2.0</v>
      </c>
      <c r="I251" s="39" t="s">
        <v>775</v>
      </c>
      <c r="J251" s="39" t="s">
        <v>768</v>
      </c>
      <c r="K251" s="39" t="s">
        <v>744</v>
      </c>
      <c r="L251" s="39" t="s">
        <v>1298</v>
      </c>
      <c r="M251" s="39" t="s">
        <v>746</v>
      </c>
      <c r="N251" s="39" t="s">
        <v>755</v>
      </c>
      <c r="O251" s="39" t="s">
        <v>756</v>
      </c>
      <c r="P251" s="39" t="s">
        <v>755</v>
      </c>
      <c r="Q251" s="39" t="s">
        <v>756</v>
      </c>
      <c r="R251" s="39" t="s">
        <v>1299</v>
      </c>
      <c r="S251" s="39" t="s">
        <v>750</v>
      </c>
      <c r="T251" s="39" t="s">
        <v>750</v>
      </c>
      <c r="U251" s="39" t="s">
        <v>751</v>
      </c>
      <c r="V251" s="39" t="s">
        <v>750</v>
      </c>
      <c r="W251" s="39" t="s">
        <v>751</v>
      </c>
      <c r="X251" s="39" t="s">
        <v>751</v>
      </c>
    </row>
    <row r="252">
      <c r="A252" s="39" t="s">
        <v>739</v>
      </c>
      <c r="B252" s="39">
        <v>11479.0</v>
      </c>
      <c r="C252" s="39" t="s">
        <v>596</v>
      </c>
      <c r="D252" s="39">
        <v>8.0</v>
      </c>
      <c r="F252" s="39">
        <v>9402.0</v>
      </c>
      <c r="G252" s="39" t="s">
        <v>1300</v>
      </c>
      <c r="H252" s="39">
        <v>1.0</v>
      </c>
      <c r="I252" s="39" t="s">
        <v>791</v>
      </c>
      <c r="J252" s="39" t="s">
        <v>768</v>
      </c>
      <c r="K252" s="39" t="s">
        <v>744</v>
      </c>
      <c r="L252" s="39" t="s">
        <v>1301</v>
      </c>
      <c r="M252" s="39" t="s">
        <v>746</v>
      </c>
      <c r="N252" s="39" t="s">
        <v>1302</v>
      </c>
      <c r="O252" s="39" t="s">
        <v>746</v>
      </c>
      <c r="P252" s="39" t="s">
        <v>755</v>
      </c>
      <c r="Q252" s="39" t="s">
        <v>756</v>
      </c>
      <c r="R252" s="39" t="s">
        <v>1303</v>
      </c>
      <c r="S252" s="39" t="s">
        <v>750</v>
      </c>
      <c r="T252" s="39" t="s">
        <v>751</v>
      </c>
      <c r="U252" s="39" t="s">
        <v>751</v>
      </c>
      <c r="V252" s="39" t="s">
        <v>751</v>
      </c>
      <c r="W252" s="39" t="s">
        <v>751</v>
      </c>
      <c r="X252" s="39" t="s">
        <v>751</v>
      </c>
    </row>
    <row r="253">
      <c r="A253" s="39" t="s">
        <v>739</v>
      </c>
      <c r="B253" s="39">
        <v>11479.0</v>
      </c>
      <c r="C253" s="39" t="s">
        <v>596</v>
      </c>
      <c r="D253" s="39">
        <v>8.0</v>
      </c>
      <c r="F253" s="39">
        <v>6752.0</v>
      </c>
      <c r="G253" s="39" t="s">
        <v>1304</v>
      </c>
      <c r="H253" s="39">
        <v>2.0</v>
      </c>
      <c r="I253" s="39" t="s">
        <v>758</v>
      </c>
      <c r="J253" s="39" t="s">
        <v>803</v>
      </c>
      <c r="K253" s="39" t="s">
        <v>744</v>
      </c>
      <c r="L253" s="39" t="s">
        <v>1305</v>
      </c>
      <c r="M253" s="39" t="s">
        <v>746</v>
      </c>
      <c r="N253" s="39" t="s">
        <v>1306</v>
      </c>
      <c r="O253" s="39" t="s">
        <v>746</v>
      </c>
      <c r="P253" s="39" t="s">
        <v>755</v>
      </c>
      <c r="Q253" s="39" t="s">
        <v>756</v>
      </c>
      <c r="R253" s="39" t="s">
        <v>1303</v>
      </c>
      <c r="S253" s="39" t="s">
        <v>750</v>
      </c>
      <c r="T253" s="39" t="s">
        <v>751</v>
      </c>
      <c r="U253" s="39" t="s">
        <v>751</v>
      </c>
      <c r="V253" s="39" t="s">
        <v>751</v>
      </c>
      <c r="W253" s="39" t="s">
        <v>751</v>
      </c>
      <c r="X253" s="39" t="s">
        <v>751</v>
      </c>
    </row>
    <row r="254">
      <c r="A254" s="39" t="s">
        <v>739</v>
      </c>
      <c r="B254" s="39">
        <v>11479.0</v>
      </c>
      <c r="C254" s="39" t="s">
        <v>596</v>
      </c>
      <c r="D254" s="39">
        <v>8.0</v>
      </c>
      <c r="F254" s="39">
        <v>13557.0</v>
      </c>
      <c r="G254" s="39" t="s">
        <v>889</v>
      </c>
      <c r="H254" s="39">
        <v>3.0</v>
      </c>
      <c r="I254" s="39" t="s">
        <v>756</v>
      </c>
      <c r="K254" s="39" t="s">
        <v>744</v>
      </c>
      <c r="L254" s="39" t="s">
        <v>755</v>
      </c>
      <c r="M254" s="39" t="s">
        <v>756</v>
      </c>
      <c r="N254" s="39" t="s">
        <v>755</v>
      </c>
      <c r="O254" s="39" t="s">
        <v>756</v>
      </c>
      <c r="P254" s="39" t="s">
        <v>755</v>
      </c>
      <c r="Q254" s="39" t="s">
        <v>756</v>
      </c>
      <c r="R254" s="39" t="s">
        <v>1303</v>
      </c>
      <c r="S254" s="39" t="s">
        <v>750</v>
      </c>
      <c r="T254" s="39" t="s">
        <v>750</v>
      </c>
      <c r="U254" s="39" t="s">
        <v>750</v>
      </c>
      <c r="V254" s="39" t="s">
        <v>750</v>
      </c>
      <c r="W254" s="39" t="s">
        <v>750</v>
      </c>
      <c r="X254" s="39" t="s">
        <v>750</v>
      </c>
    </row>
    <row r="255">
      <c r="A255" s="39" t="s">
        <v>739</v>
      </c>
      <c r="B255" s="39">
        <v>11985.0</v>
      </c>
      <c r="C255" s="39" t="s">
        <v>1307</v>
      </c>
      <c r="D255" s="39">
        <v>7.0</v>
      </c>
      <c r="F255" s="39">
        <v>17572.0</v>
      </c>
      <c r="G255" s="39" t="s">
        <v>1234</v>
      </c>
      <c r="H255" s="39">
        <v>1.0</v>
      </c>
      <c r="I255" s="39" t="s">
        <v>742</v>
      </c>
      <c r="J255" s="39" t="s">
        <v>743</v>
      </c>
      <c r="K255" s="39" t="s">
        <v>744</v>
      </c>
      <c r="L255" s="39" t="s">
        <v>1235</v>
      </c>
      <c r="M255" s="39" t="s">
        <v>746</v>
      </c>
      <c r="N255" s="39" t="s">
        <v>1236</v>
      </c>
      <c r="O255" s="39" t="s">
        <v>746</v>
      </c>
      <c r="P255" s="39" t="s">
        <v>755</v>
      </c>
      <c r="Q255" s="39" t="s">
        <v>756</v>
      </c>
      <c r="R255" s="39" t="s">
        <v>1237</v>
      </c>
      <c r="S255" s="39" t="s">
        <v>750</v>
      </c>
      <c r="T255" s="39" t="s">
        <v>751</v>
      </c>
      <c r="U255" s="39" t="s">
        <v>751</v>
      </c>
      <c r="V255" s="39" t="s">
        <v>750</v>
      </c>
      <c r="W255" s="39" t="s">
        <v>751</v>
      </c>
      <c r="X255" s="39" t="s">
        <v>751</v>
      </c>
    </row>
    <row r="256">
      <c r="A256" s="39" t="s">
        <v>739</v>
      </c>
      <c r="B256" s="39">
        <v>11985.0</v>
      </c>
      <c r="C256" s="39" t="s">
        <v>1307</v>
      </c>
      <c r="D256" s="39">
        <v>7.0</v>
      </c>
      <c r="F256" s="39">
        <v>17573.0</v>
      </c>
      <c r="G256" s="39" t="s">
        <v>1231</v>
      </c>
      <c r="H256" s="39">
        <v>2.0</v>
      </c>
      <c r="I256" s="39" t="s">
        <v>753</v>
      </c>
      <c r="J256" s="39" t="s">
        <v>754</v>
      </c>
      <c r="K256" s="39" t="s">
        <v>744</v>
      </c>
      <c r="L256" s="39" t="s">
        <v>1232</v>
      </c>
      <c r="M256" s="39" t="s">
        <v>746</v>
      </c>
      <c r="N256" s="39" t="s">
        <v>755</v>
      </c>
      <c r="O256" s="39" t="s">
        <v>756</v>
      </c>
      <c r="P256" s="39" t="s">
        <v>755</v>
      </c>
      <c r="Q256" s="39" t="s">
        <v>756</v>
      </c>
      <c r="R256" s="39" t="s">
        <v>1233</v>
      </c>
      <c r="S256" s="39" t="s">
        <v>750</v>
      </c>
      <c r="T256" s="39" t="s">
        <v>751</v>
      </c>
      <c r="U256" s="39" t="s">
        <v>751</v>
      </c>
      <c r="V256" s="39" t="s">
        <v>750</v>
      </c>
      <c r="W256" s="39" t="s">
        <v>751</v>
      </c>
      <c r="X256" s="39" t="s">
        <v>751</v>
      </c>
    </row>
    <row r="257">
      <c r="A257" s="39" t="s">
        <v>739</v>
      </c>
      <c r="B257" s="39">
        <v>12115.0</v>
      </c>
      <c r="C257" s="39" t="s">
        <v>1308</v>
      </c>
      <c r="D257" s="39">
        <v>8.0</v>
      </c>
      <c r="F257" s="39">
        <v>18753.0</v>
      </c>
      <c r="G257" s="39" t="s">
        <v>1309</v>
      </c>
      <c r="H257" s="39">
        <v>1.0</v>
      </c>
      <c r="I257" s="39" t="s">
        <v>742</v>
      </c>
      <c r="J257" s="39" t="s">
        <v>743</v>
      </c>
      <c r="K257" s="39" t="s">
        <v>744</v>
      </c>
      <c r="L257" s="39" t="s">
        <v>1232</v>
      </c>
      <c r="M257" s="39" t="s">
        <v>746</v>
      </c>
      <c r="N257" s="39" t="s">
        <v>1310</v>
      </c>
      <c r="O257" s="39" t="s">
        <v>746</v>
      </c>
      <c r="P257" s="39" t="s">
        <v>755</v>
      </c>
      <c r="Q257" s="39" t="s">
        <v>756</v>
      </c>
      <c r="R257" s="39" t="s">
        <v>1311</v>
      </c>
      <c r="S257" s="39" t="s">
        <v>750</v>
      </c>
      <c r="T257" s="39" t="s">
        <v>751</v>
      </c>
      <c r="U257" s="39" t="s">
        <v>751</v>
      </c>
      <c r="V257" s="39" t="s">
        <v>751</v>
      </c>
      <c r="W257" s="39" t="s">
        <v>751</v>
      </c>
      <c r="X257" s="39" t="s">
        <v>751</v>
      </c>
    </row>
    <row r="258">
      <c r="A258" s="39" t="s">
        <v>739</v>
      </c>
      <c r="B258" s="39">
        <v>12115.0</v>
      </c>
      <c r="C258" s="39" t="s">
        <v>1308</v>
      </c>
      <c r="D258" s="39">
        <v>8.0</v>
      </c>
      <c r="F258" s="39">
        <v>18754.0</v>
      </c>
      <c r="G258" s="39" t="s">
        <v>1312</v>
      </c>
      <c r="H258" s="39">
        <v>2.0</v>
      </c>
      <c r="I258" s="39" t="s">
        <v>753</v>
      </c>
      <c r="J258" s="39" t="s">
        <v>754</v>
      </c>
      <c r="K258" s="39" t="s">
        <v>744</v>
      </c>
      <c r="L258" s="39" t="s">
        <v>1310</v>
      </c>
      <c r="M258" s="39" t="s">
        <v>746</v>
      </c>
      <c r="N258" s="39" t="s">
        <v>1232</v>
      </c>
      <c r="O258" s="39" t="s">
        <v>746</v>
      </c>
      <c r="P258" s="39" t="s">
        <v>755</v>
      </c>
      <c r="Q258" s="39" t="s">
        <v>756</v>
      </c>
      <c r="S258" s="39" t="s">
        <v>750</v>
      </c>
      <c r="T258" s="39" t="s">
        <v>751</v>
      </c>
      <c r="U258" s="39" t="s">
        <v>751</v>
      </c>
      <c r="V258" s="39" t="s">
        <v>751</v>
      </c>
      <c r="W258" s="39" t="s">
        <v>751</v>
      </c>
      <c r="X258" s="39" t="s">
        <v>751</v>
      </c>
    </row>
    <row r="259">
      <c r="A259" s="39" t="s">
        <v>739</v>
      </c>
      <c r="B259" s="39">
        <v>12115.0</v>
      </c>
      <c r="C259" s="39" t="s">
        <v>1308</v>
      </c>
      <c r="D259" s="39">
        <v>8.0</v>
      </c>
      <c r="F259" s="39">
        <v>17573.0</v>
      </c>
      <c r="G259" s="39" t="s">
        <v>1231</v>
      </c>
      <c r="H259" s="39">
        <v>3.0</v>
      </c>
      <c r="I259" s="39" t="s">
        <v>760</v>
      </c>
      <c r="J259" s="39" t="s">
        <v>803</v>
      </c>
      <c r="K259" s="39" t="s">
        <v>744</v>
      </c>
      <c r="L259" s="39" t="s">
        <v>1232</v>
      </c>
      <c r="M259" s="39" t="s">
        <v>746</v>
      </c>
      <c r="N259" s="39" t="s">
        <v>755</v>
      </c>
      <c r="O259" s="39" t="s">
        <v>756</v>
      </c>
      <c r="P259" s="39" t="s">
        <v>755</v>
      </c>
      <c r="Q259" s="39" t="s">
        <v>756</v>
      </c>
      <c r="R259" s="39" t="s">
        <v>1233</v>
      </c>
      <c r="S259" s="39" t="s">
        <v>750</v>
      </c>
      <c r="T259" s="39" t="s">
        <v>751</v>
      </c>
      <c r="U259" s="39" t="s">
        <v>751</v>
      </c>
      <c r="V259" s="39" t="s">
        <v>750</v>
      </c>
      <c r="W259" s="39" t="s">
        <v>750</v>
      </c>
      <c r="X259" s="39" t="s">
        <v>751</v>
      </c>
    </row>
    <row r="260">
      <c r="A260" s="39" t="s">
        <v>739</v>
      </c>
      <c r="B260" s="39">
        <v>12115.0</v>
      </c>
      <c r="C260" s="39" t="s">
        <v>1308</v>
      </c>
      <c r="D260" s="39">
        <v>8.0</v>
      </c>
      <c r="F260" s="39">
        <v>18755.0</v>
      </c>
      <c r="G260" s="39" t="s">
        <v>1313</v>
      </c>
      <c r="H260" s="39">
        <v>4.0</v>
      </c>
      <c r="I260" s="39" t="s">
        <v>791</v>
      </c>
      <c r="K260" s="39" t="s">
        <v>744</v>
      </c>
      <c r="L260" s="39" t="s">
        <v>1310</v>
      </c>
      <c r="M260" s="39" t="s">
        <v>746</v>
      </c>
      <c r="N260" s="39" t="s">
        <v>755</v>
      </c>
      <c r="O260" s="39" t="s">
        <v>756</v>
      </c>
      <c r="P260" s="39" t="s">
        <v>755</v>
      </c>
      <c r="Q260" s="39" t="s">
        <v>756</v>
      </c>
      <c r="S260" s="39" t="s">
        <v>750</v>
      </c>
      <c r="T260" s="39" t="s">
        <v>751</v>
      </c>
      <c r="U260" s="39" t="s">
        <v>751</v>
      </c>
      <c r="V260" s="39" t="s">
        <v>750</v>
      </c>
      <c r="W260" s="39" t="s">
        <v>750</v>
      </c>
      <c r="X260" s="39" t="s">
        <v>751</v>
      </c>
    </row>
    <row r="261">
      <c r="A261" s="39" t="s">
        <v>739</v>
      </c>
      <c r="B261" s="39">
        <v>12050.0</v>
      </c>
      <c r="C261" s="39" t="s">
        <v>1314</v>
      </c>
      <c r="D261" s="39">
        <v>6.0</v>
      </c>
      <c r="F261" s="39">
        <v>17899.0</v>
      </c>
      <c r="G261" s="39" t="s">
        <v>1315</v>
      </c>
      <c r="H261" s="39">
        <v>1.0</v>
      </c>
      <c r="I261" s="39" t="s">
        <v>742</v>
      </c>
      <c r="J261" s="39" t="s">
        <v>743</v>
      </c>
      <c r="K261" s="39" t="s">
        <v>744</v>
      </c>
      <c r="L261" s="39" t="s">
        <v>1316</v>
      </c>
      <c r="M261" s="39" t="s">
        <v>746</v>
      </c>
      <c r="N261" s="39" t="s">
        <v>755</v>
      </c>
      <c r="O261" s="39" t="s">
        <v>756</v>
      </c>
      <c r="P261" s="39" t="s">
        <v>755</v>
      </c>
      <c r="Q261" s="39" t="s">
        <v>756</v>
      </c>
      <c r="R261" s="39" t="s">
        <v>1317</v>
      </c>
      <c r="S261" s="39" t="s">
        <v>750</v>
      </c>
      <c r="T261" s="39" t="s">
        <v>751</v>
      </c>
      <c r="U261" s="39" t="s">
        <v>751</v>
      </c>
      <c r="V261" s="39" t="s">
        <v>750</v>
      </c>
      <c r="W261" s="39" t="s">
        <v>751</v>
      </c>
      <c r="X261" s="39" t="s">
        <v>751</v>
      </c>
    </row>
    <row r="262">
      <c r="A262" s="39" t="s">
        <v>739</v>
      </c>
      <c r="B262" s="39">
        <v>12050.0</v>
      </c>
      <c r="C262" s="39" t="s">
        <v>1314</v>
      </c>
      <c r="D262" s="39">
        <v>6.0</v>
      </c>
      <c r="F262" s="39">
        <v>552.0</v>
      </c>
      <c r="G262" s="39" t="s">
        <v>1318</v>
      </c>
      <c r="H262" s="39">
        <v>2.0</v>
      </c>
      <c r="I262" s="39" t="s">
        <v>788</v>
      </c>
      <c r="J262" s="39" t="s">
        <v>768</v>
      </c>
      <c r="K262" s="39" t="s">
        <v>744</v>
      </c>
      <c r="L262" s="39" t="s">
        <v>1319</v>
      </c>
      <c r="M262" s="39" t="s">
        <v>746</v>
      </c>
      <c r="N262" s="39">
        <v>3.145850634E9</v>
      </c>
      <c r="O262" s="39" t="s">
        <v>756</v>
      </c>
      <c r="P262" s="39" t="s">
        <v>755</v>
      </c>
      <c r="Q262" s="39" t="s">
        <v>756</v>
      </c>
      <c r="R262" s="39" t="s">
        <v>1320</v>
      </c>
      <c r="S262" s="39" t="s">
        <v>750</v>
      </c>
      <c r="T262" s="39" t="s">
        <v>750</v>
      </c>
      <c r="U262" s="39" t="s">
        <v>751</v>
      </c>
      <c r="V262" s="39" t="s">
        <v>750</v>
      </c>
      <c r="W262" s="39" t="s">
        <v>751</v>
      </c>
      <c r="X262" s="39" t="s">
        <v>751</v>
      </c>
    </row>
    <row r="263">
      <c r="A263" s="39" t="s">
        <v>739</v>
      </c>
      <c r="B263" s="39">
        <v>11994.0</v>
      </c>
      <c r="C263" s="39" t="s">
        <v>1321</v>
      </c>
      <c r="D263" s="39">
        <v>5.0</v>
      </c>
      <c r="F263" s="39">
        <v>11446.0</v>
      </c>
      <c r="G263" s="39" t="s">
        <v>1322</v>
      </c>
      <c r="H263" s="39">
        <v>1.0</v>
      </c>
      <c r="I263" s="39" t="s">
        <v>742</v>
      </c>
      <c r="J263" s="39" t="s">
        <v>743</v>
      </c>
      <c r="K263" s="39" t="s">
        <v>744</v>
      </c>
      <c r="L263" s="39" t="s">
        <v>1323</v>
      </c>
      <c r="M263" s="39" t="s">
        <v>746</v>
      </c>
      <c r="N263" s="39">
        <v>3.143992207E9</v>
      </c>
      <c r="O263" s="39" t="s">
        <v>748</v>
      </c>
      <c r="P263" s="39" t="s">
        <v>755</v>
      </c>
      <c r="Q263" s="39" t="s">
        <v>756</v>
      </c>
      <c r="R263" s="39" t="s">
        <v>1324</v>
      </c>
      <c r="S263" s="39" t="s">
        <v>750</v>
      </c>
      <c r="T263" s="39" t="s">
        <v>751</v>
      </c>
      <c r="U263" s="39" t="s">
        <v>751</v>
      </c>
      <c r="V263" s="39" t="s">
        <v>750</v>
      </c>
      <c r="W263" s="39" t="s">
        <v>751</v>
      </c>
      <c r="X263" s="39" t="s">
        <v>751</v>
      </c>
    </row>
    <row r="264">
      <c r="A264" s="39" t="s">
        <v>739</v>
      </c>
      <c r="B264" s="39">
        <v>12036.0</v>
      </c>
      <c r="C264" s="39" t="s">
        <v>1325</v>
      </c>
      <c r="D264" s="39">
        <v>5.0</v>
      </c>
      <c r="F264" s="39">
        <v>13695.0</v>
      </c>
      <c r="G264" s="39" t="s">
        <v>1326</v>
      </c>
      <c r="H264" s="39">
        <v>1.0</v>
      </c>
      <c r="I264" s="39" t="s">
        <v>788</v>
      </c>
      <c r="J264" s="39" t="s">
        <v>803</v>
      </c>
      <c r="K264" s="39" t="s">
        <v>744</v>
      </c>
      <c r="L264" s="39" t="s">
        <v>1327</v>
      </c>
      <c r="M264" s="39" t="s">
        <v>746</v>
      </c>
      <c r="N264" s="39">
        <v>3.142558966E9</v>
      </c>
      <c r="O264" s="39" t="s">
        <v>805</v>
      </c>
      <c r="P264" s="39" t="s">
        <v>755</v>
      </c>
      <c r="Q264" s="39" t="s">
        <v>756</v>
      </c>
      <c r="R264" s="39" t="s">
        <v>1328</v>
      </c>
      <c r="S264" s="39" t="s">
        <v>750</v>
      </c>
      <c r="T264" s="39" t="s">
        <v>751</v>
      </c>
      <c r="U264" s="39" t="s">
        <v>751</v>
      </c>
      <c r="V264" s="39" t="s">
        <v>750</v>
      </c>
      <c r="W264" s="39" t="s">
        <v>751</v>
      </c>
      <c r="X264" s="39" t="s">
        <v>751</v>
      </c>
    </row>
    <row r="265">
      <c r="A265" s="39" t="s">
        <v>739</v>
      </c>
      <c r="B265" s="39">
        <v>11836.0</v>
      </c>
      <c r="C265" s="39" t="s">
        <v>603</v>
      </c>
      <c r="D265" s="39">
        <v>8.0</v>
      </c>
      <c r="F265" s="39">
        <v>13106.0</v>
      </c>
      <c r="G265" s="39" t="s">
        <v>1329</v>
      </c>
      <c r="H265" s="39">
        <v>1.0</v>
      </c>
      <c r="I265" s="39" t="s">
        <v>791</v>
      </c>
      <c r="J265" s="39" t="s">
        <v>768</v>
      </c>
      <c r="K265" s="39" t="s">
        <v>744</v>
      </c>
      <c r="L265" s="39" t="s">
        <v>1330</v>
      </c>
      <c r="M265" s="39" t="s">
        <v>746</v>
      </c>
      <c r="N265" s="39" t="s">
        <v>755</v>
      </c>
      <c r="O265" s="39" t="s">
        <v>756</v>
      </c>
      <c r="P265" s="39" t="s">
        <v>755</v>
      </c>
      <c r="Q265" s="39" t="s">
        <v>756</v>
      </c>
      <c r="R265" s="39" t="s">
        <v>1331</v>
      </c>
      <c r="S265" s="39" t="s">
        <v>750</v>
      </c>
      <c r="T265" s="39" t="s">
        <v>750</v>
      </c>
      <c r="U265" s="39" t="s">
        <v>750</v>
      </c>
      <c r="V265" s="39" t="s">
        <v>751</v>
      </c>
      <c r="W265" s="39" t="s">
        <v>751</v>
      </c>
      <c r="X265" s="39" t="s">
        <v>751</v>
      </c>
    </row>
    <row r="266">
      <c r="A266" s="39" t="s">
        <v>739</v>
      </c>
      <c r="B266" s="39">
        <v>11836.0</v>
      </c>
      <c r="C266" s="39" t="s">
        <v>603</v>
      </c>
      <c r="D266" s="39">
        <v>8.0</v>
      </c>
      <c r="F266" s="39">
        <v>13105.0</v>
      </c>
      <c r="G266" s="39" t="s">
        <v>1332</v>
      </c>
      <c r="H266" s="39">
        <v>2.0</v>
      </c>
      <c r="I266" s="39" t="s">
        <v>742</v>
      </c>
      <c r="J266" s="39" t="s">
        <v>743</v>
      </c>
      <c r="K266" s="39" t="s">
        <v>744</v>
      </c>
      <c r="L266" s="39" t="s">
        <v>1333</v>
      </c>
      <c r="M266" s="39" t="s">
        <v>748</v>
      </c>
      <c r="N266" s="39" t="s">
        <v>755</v>
      </c>
      <c r="O266" s="39" t="s">
        <v>756</v>
      </c>
      <c r="P266" s="39" t="s">
        <v>755</v>
      </c>
      <c r="Q266" s="39" t="s">
        <v>756</v>
      </c>
      <c r="R266" s="39" t="s">
        <v>1331</v>
      </c>
      <c r="S266" s="39" t="s">
        <v>751</v>
      </c>
      <c r="T266" s="39" t="s">
        <v>751</v>
      </c>
      <c r="U266" s="39" t="s">
        <v>751</v>
      </c>
      <c r="V266" s="39" t="s">
        <v>750</v>
      </c>
      <c r="W266" s="39" t="s">
        <v>750</v>
      </c>
      <c r="X266" s="39" t="s">
        <v>751</v>
      </c>
    </row>
    <row r="267">
      <c r="A267" s="39" t="s">
        <v>739</v>
      </c>
      <c r="B267" s="39">
        <v>11836.0</v>
      </c>
      <c r="C267" s="39" t="s">
        <v>603</v>
      </c>
      <c r="D267" s="39">
        <v>8.0</v>
      </c>
      <c r="F267" s="39">
        <v>17478.0</v>
      </c>
      <c r="G267" s="39" t="s">
        <v>1334</v>
      </c>
      <c r="H267" s="39">
        <v>3.0</v>
      </c>
      <c r="I267" s="39" t="s">
        <v>760</v>
      </c>
      <c r="J267" s="39" t="s">
        <v>771</v>
      </c>
      <c r="K267" s="39" t="s">
        <v>744</v>
      </c>
      <c r="L267" s="39" t="s">
        <v>1335</v>
      </c>
      <c r="M267" s="39" t="s">
        <v>746</v>
      </c>
      <c r="N267" s="39" t="s">
        <v>755</v>
      </c>
      <c r="O267" s="39" t="s">
        <v>756</v>
      </c>
      <c r="P267" s="39" t="s">
        <v>755</v>
      </c>
      <c r="Q267" s="39" t="s">
        <v>756</v>
      </c>
      <c r="S267" s="39" t="s">
        <v>750</v>
      </c>
      <c r="T267" s="39" t="s">
        <v>750</v>
      </c>
      <c r="U267" s="39" t="s">
        <v>750</v>
      </c>
      <c r="V267" s="39" t="s">
        <v>751</v>
      </c>
      <c r="W267" s="39" t="s">
        <v>751</v>
      </c>
      <c r="X267" s="39" t="s">
        <v>751</v>
      </c>
    </row>
    <row r="268">
      <c r="A268" s="39" t="s">
        <v>739</v>
      </c>
      <c r="B268" s="39">
        <v>11836.0</v>
      </c>
      <c r="C268" s="39" t="s">
        <v>603</v>
      </c>
      <c r="D268" s="39">
        <v>8.0</v>
      </c>
      <c r="F268" s="39">
        <v>13714.0</v>
      </c>
      <c r="G268" s="39" t="s">
        <v>1332</v>
      </c>
      <c r="H268" s="39">
        <v>4.0</v>
      </c>
      <c r="I268" s="39" t="s">
        <v>753</v>
      </c>
      <c r="J268" s="39" t="s">
        <v>754</v>
      </c>
      <c r="K268" s="39" t="s">
        <v>744</v>
      </c>
      <c r="L268" s="39" t="s">
        <v>1333</v>
      </c>
      <c r="M268" s="39" t="s">
        <v>805</v>
      </c>
      <c r="N268" s="39" t="s">
        <v>755</v>
      </c>
      <c r="O268" s="39" t="s">
        <v>756</v>
      </c>
      <c r="P268" s="39" t="s">
        <v>755</v>
      </c>
      <c r="Q268" s="39" t="s">
        <v>756</v>
      </c>
      <c r="R268" s="39" t="s">
        <v>1336</v>
      </c>
      <c r="S268" s="39" t="s">
        <v>750</v>
      </c>
      <c r="T268" s="39" t="s">
        <v>750</v>
      </c>
      <c r="U268" s="39" t="s">
        <v>750</v>
      </c>
      <c r="V268" s="39" t="s">
        <v>750</v>
      </c>
      <c r="W268" s="39" t="s">
        <v>750</v>
      </c>
      <c r="X268" s="39" t="s">
        <v>750</v>
      </c>
    </row>
    <row r="269">
      <c r="A269" s="39" t="s">
        <v>739</v>
      </c>
      <c r="B269" s="39">
        <v>12091.0</v>
      </c>
      <c r="C269" s="39" t="s">
        <v>1337</v>
      </c>
      <c r="D269" s="39">
        <v>6.0</v>
      </c>
      <c r="F269" s="39">
        <v>12302.0</v>
      </c>
      <c r="G269" s="39" t="s">
        <v>1338</v>
      </c>
      <c r="H269" s="39">
        <v>1.0</v>
      </c>
      <c r="I269" s="39" t="s">
        <v>742</v>
      </c>
      <c r="J269" s="39" t="s">
        <v>743</v>
      </c>
      <c r="K269" s="39" t="s">
        <v>744</v>
      </c>
      <c r="L269" s="39" t="s">
        <v>1339</v>
      </c>
      <c r="M269" s="39" t="s">
        <v>748</v>
      </c>
      <c r="N269" s="39" t="s">
        <v>755</v>
      </c>
      <c r="O269" s="39" t="s">
        <v>756</v>
      </c>
      <c r="P269" s="39" t="s">
        <v>755</v>
      </c>
      <c r="Q269" s="39" t="s">
        <v>756</v>
      </c>
      <c r="R269" s="39" t="s">
        <v>1340</v>
      </c>
      <c r="S269" s="39" t="s">
        <v>750</v>
      </c>
      <c r="T269" s="39" t="s">
        <v>751</v>
      </c>
      <c r="U269" s="39" t="s">
        <v>751</v>
      </c>
      <c r="V269" s="39" t="s">
        <v>750</v>
      </c>
      <c r="W269" s="39" t="s">
        <v>751</v>
      </c>
      <c r="X269" s="39" t="s">
        <v>751</v>
      </c>
    </row>
    <row r="270">
      <c r="A270" s="39" t="s">
        <v>739</v>
      </c>
      <c r="B270" s="39">
        <v>12091.0</v>
      </c>
      <c r="C270" s="39" t="s">
        <v>1337</v>
      </c>
      <c r="D270" s="39">
        <v>6.0</v>
      </c>
      <c r="F270" s="39">
        <v>12303.0</v>
      </c>
      <c r="G270" s="39" t="s">
        <v>1341</v>
      </c>
      <c r="H270" s="39">
        <v>2.0</v>
      </c>
      <c r="I270" s="39" t="s">
        <v>753</v>
      </c>
      <c r="J270" s="39" t="s">
        <v>754</v>
      </c>
      <c r="K270" s="39" t="s">
        <v>744</v>
      </c>
      <c r="L270" s="39" t="s">
        <v>1342</v>
      </c>
      <c r="M270" s="39" t="s">
        <v>748</v>
      </c>
      <c r="N270" s="39" t="s">
        <v>755</v>
      </c>
      <c r="O270" s="39" t="s">
        <v>756</v>
      </c>
      <c r="P270" s="39" t="s">
        <v>755</v>
      </c>
      <c r="Q270" s="39" t="s">
        <v>756</v>
      </c>
      <c r="S270" s="39" t="s">
        <v>750</v>
      </c>
      <c r="T270" s="39" t="s">
        <v>751</v>
      </c>
      <c r="U270" s="39" t="s">
        <v>750</v>
      </c>
      <c r="V270" s="39" t="s">
        <v>750</v>
      </c>
      <c r="W270" s="39" t="s">
        <v>751</v>
      </c>
      <c r="X270" s="39" t="s">
        <v>751</v>
      </c>
    </row>
    <row r="271">
      <c r="A271" s="39" t="s">
        <v>739</v>
      </c>
      <c r="B271" s="39">
        <v>12091.0</v>
      </c>
      <c r="C271" s="39" t="s">
        <v>1337</v>
      </c>
      <c r="D271" s="39">
        <v>6.0</v>
      </c>
      <c r="F271" s="39">
        <v>12304.0</v>
      </c>
      <c r="G271" s="39" t="s">
        <v>1343</v>
      </c>
      <c r="H271" s="39">
        <v>3.0</v>
      </c>
      <c r="I271" s="39" t="s">
        <v>775</v>
      </c>
      <c r="J271" s="39" t="s">
        <v>768</v>
      </c>
      <c r="K271" s="39" t="s">
        <v>744</v>
      </c>
      <c r="L271" s="39" t="s">
        <v>1344</v>
      </c>
      <c r="M271" s="39" t="s">
        <v>746</v>
      </c>
      <c r="N271" s="39" t="s">
        <v>755</v>
      </c>
      <c r="O271" s="39" t="s">
        <v>756</v>
      </c>
      <c r="P271" s="39" t="s">
        <v>755</v>
      </c>
      <c r="Q271" s="39" t="s">
        <v>756</v>
      </c>
      <c r="R271" s="39" t="s">
        <v>1345</v>
      </c>
      <c r="S271" s="39" t="s">
        <v>750</v>
      </c>
      <c r="T271" s="39" t="s">
        <v>750</v>
      </c>
      <c r="U271" s="39" t="s">
        <v>750</v>
      </c>
      <c r="V271" s="39" t="s">
        <v>751</v>
      </c>
      <c r="W271" s="39" t="s">
        <v>751</v>
      </c>
      <c r="X271" s="39" t="s">
        <v>751</v>
      </c>
    </row>
    <row r="272">
      <c r="A272" s="39" t="s">
        <v>739</v>
      </c>
      <c r="B272" s="39">
        <v>12091.0</v>
      </c>
      <c r="C272" s="39" t="s">
        <v>1337</v>
      </c>
      <c r="D272" s="39">
        <v>6.0</v>
      </c>
      <c r="F272" s="39">
        <v>12306.0</v>
      </c>
      <c r="G272" s="39" t="s">
        <v>1346</v>
      </c>
      <c r="H272" s="39">
        <v>4.0</v>
      </c>
      <c r="I272" s="39" t="s">
        <v>788</v>
      </c>
      <c r="J272" s="39" t="s">
        <v>771</v>
      </c>
      <c r="K272" s="39" t="s">
        <v>744</v>
      </c>
      <c r="L272" s="39" t="s">
        <v>1347</v>
      </c>
      <c r="M272" s="39" t="s">
        <v>746</v>
      </c>
      <c r="N272" s="39" t="s">
        <v>755</v>
      </c>
      <c r="O272" s="39" t="s">
        <v>756</v>
      </c>
      <c r="P272" s="39" t="s">
        <v>755</v>
      </c>
      <c r="Q272" s="39" t="s">
        <v>756</v>
      </c>
      <c r="R272" s="39" t="s">
        <v>1348</v>
      </c>
      <c r="S272" s="39" t="s">
        <v>750</v>
      </c>
      <c r="T272" s="39" t="s">
        <v>750</v>
      </c>
      <c r="U272" s="39" t="s">
        <v>750</v>
      </c>
      <c r="V272" s="39" t="s">
        <v>750</v>
      </c>
      <c r="W272" s="39" t="s">
        <v>751</v>
      </c>
      <c r="X272" s="39" t="s">
        <v>751</v>
      </c>
    </row>
    <row r="273">
      <c r="A273" s="39" t="s">
        <v>739</v>
      </c>
      <c r="B273" s="39">
        <v>12091.0</v>
      </c>
      <c r="C273" s="39" t="s">
        <v>1337</v>
      </c>
      <c r="D273" s="39">
        <v>6.0</v>
      </c>
      <c r="F273" s="39">
        <v>12305.0</v>
      </c>
      <c r="G273" s="39" t="s">
        <v>1349</v>
      </c>
      <c r="H273" s="39">
        <v>5.0</v>
      </c>
      <c r="I273" s="39" t="s">
        <v>791</v>
      </c>
      <c r="J273" s="39" t="s">
        <v>958</v>
      </c>
      <c r="K273" s="39" t="s">
        <v>744</v>
      </c>
      <c r="L273" s="39" t="s">
        <v>1350</v>
      </c>
      <c r="M273" s="39" t="s">
        <v>746</v>
      </c>
      <c r="N273" s="39" t="s">
        <v>755</v>
      </c>
      <c r="O273" s="39" t="s">
        <v>756</v>
      </c>
      <c r="P273" s="39" t="s">
        <v>755</v>
      </c>
      <c r="Q273" s="39" t="s">
        <v>756</v>
      </c>
      <c r="R273" s="39" t="s">
        <v>1351</v>
      </c>
      <c r="S273" s="39" t="s">
        <v>750</v>
      </c>
      <c r="T273" s="39" t="s">
        <v>750</v>
      </c>
      <c r="U273" s="39" t="s">
        <v>750</v>
      </c>
      <c r="V273" s="39" t="s">
        <v>750</v>
      </c>
      <c r="W273" s="39" t="s">
        <v>751</v>
      </c>
      <c r="X273" s="39" t="s">
        <v>751</v>
      </c>
    </row>
    <row r="274">
      <c r="A274" s="39" t="s">
        <v>739</v>
      </c>
      <c r="B274" s="39">
        <v>12092.0</v>
      </c>
      <c r="C274" s="39" t="s">
        <v>1352</v>
      </c>
      <c r="D274" s="39">
        <v>6.0</v>
      </c>
      <c r="F274" s="39">
        <v>12302.0</v>
      </c>
      <c r="G274" s="39" t="s">
        <v>1338</v>
      </c>
      <c r="H274" s="39">
        <v>1.0</v>
      </c>
      <c r="I274" s="39" t="s">
        <v>742</v>
      </c>
      <c r="J274" s="39" t="s">
        <v>743</v>
      </c>
      <c r="K274" s="39" t="s">
        <v>744</v>
      </c>
      <c r="L274" s="39" t="s">
        <v>1339</v>
      </c>
      <c r="M274" s="39" t="s">
        <v>748</v>
      </c>
      <c r="N274" s="39" t="s">
        <v>755</v>
      </c>
      <c r="O274" s="39" t="s">
        <v>756</v>
      </c>
      <c r="P274" s="39" t="s">
        <v>755</v>
      </c>
      <c r="Q274" s="39" t="s">
        <v>756</v>
      </c>
      <c r="R274" s="39" t="s">
        <v>1340</v>
      </c>
      <c r="S274" s="39" t="s">
        <v>750</v>
      </c>
      <c r="T274" s="39" t="s">
        <v>751</v>
      </c>
      <c r="U274" s="39" t="s">
        <v>751</v>
      </c>
      <c r="V274" s="39" t="s">
        <v>750</v>
      </c>
      <c r="W274" s="39" t="s">
        <v>751</v>
      </c>
      <c r="X274" s="39" t="s">
        <v>751</v>
      </c>
    </row>
    <row r="275">
      <c r="A275" s="39" t="s">
        <v>739</v>
      </c>
      <c r="B275" s="39">
        <v>12092.0</v>
      </c>
      <c r="C275" s="39" t="s">
        <v>1352</v>
      </c>
      <c r="D275" s="39">
        <v>6.0</v>
      </c>
      <c r="F275" s="39">
        <v>12303.0</v>
      </c>
      <c r="G275" s="39" t="s">
        <v>1341</v>
      </c>
      <c r="H275" s="39">
        <v>2.0</v>
      </c>
      <c r="I275" s="39" t="s">
        <v>753</v>
      </c>
      <c r="J275" s="39" t="s">
        <v>754</v>
      </c>
      <c r="K275" s="39" t="s">
        <v>744</v>
      </c>
      <c r="L275" s="39" t="s">
        <v>1342</v>
      </c>
      <c r="M275" s="39" t="s">
        <v>748</v>
      </c>
      <c r="N275" s="39" t="s">
        <v>755</v>
      </c>
      <c r="O275" s="39" t="s">
        <v>756</v>
      </c>
      <c r="P275" s="39" t="s">
        <v>755</v>
      </c>
      <c r="Q275" s="39" t="s">
        <v>756</v>
      </c>
      <c r="S275" s="39" t="s">
        <v>750</v>
      </c>
      <c r="T275" s="39" t="s">
        <v>751</v>
      </c>
      <c r="U275" s="39" t="s">
        <v>750</v>
      </c>
      <c r="V275" s="39" t="s">
        <v>750</v>
      </c>
      <c r="W275" s="39" t="s">
        <v>751</v>
      </c>
      <c r="X275" s="39" t="s">
        <v>751</v>
      </c>
    </row>
    <row r="276">
      <c r="A276" s="39" t="s">
        <v>739</v>
      </c>
      <c r="B276" s="39">
        <v>12092.0</v>
      </c>
      <c r="C276" s="39" t="s">
        <v>1352</v>
      </c>
      <c r="D276" s="39">
        <v>6.0</v>
      </c>
      <c r="F276" s="39">
        <v>12304.0</v>
      </c>
      <c r="G276" s="39" t="s">
        <v>1343</v>
      </c>
      <c r="H276" s="39">
        <v>3.0</v>
      </c>
      <c r="I276" s="39" t="s">
        <v>775</v>
      </c>
      <c r="J276" s="39" t="s">
        <v>768</v>
      </c>
      <c r="K276" s="39" t="s">
        <v>744</v>
      </c>
      <c r="L276" s="39" t="s">
        <v>1344</v>
      </c>
      <c r="M276" s="39" t="s">
        <v>746</v>
      </c>
      <c r="N276" s="39" t="s">
        <v>755</v>
      </c>
      <c r="O276" s="39" t="s">
        <v>756</v>
      </c>
      <c r="P276" s="39" t="s">
        <v>755</v>
      </c>
      <c r="Q276" s="39" t="s">
        <v>756</v>
      </c>
      <c r="R276" s="39" t="s">
        <v>1345</v>
      </c>
      <c r="S276" s="39" t="s">
        <v>750</v>
      </c>
      <c r="T276" s="39" t="s">
        <v>750</v>
      </c>
      <c r="U276" s="39" t="s">
        <v>750</v>
      </c>
      <c r="V276" s="39" t="s">
        <v>751</v>
      </c>
      <c r="W276" s="39" t="s">
        <v>751</v>
      </c>
      <c r="X276" s="39" t="s">
        <v>751</v>
      </c>
    </row>
    <row r="277">
      <c r="A277" s="39" t="s">
        <v>739</v>
      </c>
      <c r="B277" s="39">
        <v>12092.0</v>
      </c>
      <c r="C277" s="39" t="s">
        <v>1352</v>
      </c>
      <c r="D277" s="39">
        <v>6.0</v>
      </c>
      <c r="F277" s="39">
        <v>12306.0</v>
      </c>
      <c r="G277" s="39" t="s">
        <v>1346</v>
      </c>
      <c r="H277" s="39">
        <v>4.0</v>
      </c>
      <c r="I277" s="39" t="s">
        <v>788</v>
      </c>
      <c r="J277" s="39" t="s">
        <v>771</v>
      </c>
      <c r="K277" s="39" t="s">
        <v>744</v>
      </c>
      <c r="L277" s="39" t="s">
        <v>1347</v>
      </c>
      <c r="M277" s="39" t="s">
        <v>746</v>
      </c>
      <c r="N277" s="39" t="s">
        <v>755</v>
      </c>
      <c r="O277" s="39" t="s">
        <v>756</v>
      </c>
      <c r="P277" s="39" t="s">
        <v>755</v>
      </c>
      <c r="Q277" s="39" t="s">
        <v>756</v>
      </c>
      <c r="R277" s="39" t="s">
        <v>1348</v>
      </c>
      <c r="S277" s="39" t="s">
        <v>750</v>
      </c>
      <c r="T277" s="39" t="s">
        <v>750</v>
      </c>
      <c r="U277" s="39" t="s">
        <v>750</v>
      </c>
      <c r="V277" s="39" t="s">
        <v>750</v>
      </c>
      <c r="W277" s="39" t="s">
        <v>751</v>
      </c>
      <c r="X277" s="39" t="s">
        <v>751</v>
      </c>
    </row>
    <row r="278">
      <c r="A278" s="39" t="s">
        <v>739</v>
      </c>
      <c r="B278" s="39">
        <v>12092.0</v>
      </c>
      <c r="C278" s="39" t="s">
        <v>1352</v>
      </c>
      <c r="D278" s="39">
        <v>6.0</v>
      </c>
      <c r="F278" s="39">
        <v>12305.0</v>
      </c>
      <c r="G278" s="39" t="s">
        <v>1349</v>
      </c>
      <c r="H278" s="39">
        <v>5.0</v>
      </c>
      <c r="I278" s="39" t="s">
        <v>791</v>
      </c>
      <c r="J278" s="39" t="s">
        <v>958</v>
      </c>
      <c r="K278" s="39" t="s">
        <v>744</v>
      </c>
      <c r="L278" s="39" t="s">
        <v>1350</v>
      </c>
      <c r="M278" s="39" t="s">
        <v>746</v>
      </c>
      <c r="N278" s="39" t="s">
        <v>755</v>
      </c>
      <c r="O278" s="39" t="s">
        <v>756</v>
      </c>
      <c r="P278" s="39" t="s">
        <v>755</v>
      </c>
      <c r="Q278" s="39" t="s">
        <v>756</v>
      </c>
      <c r="R278" s="39" t="s">
        <v>1351</v>
      </c>
      <c r="S278" s="39" t="s">
        <v>750</v>
      </c>
      <c r="T278" s="39" t="s">
        <v>750</v>
      </c>
      <c r="U278" s="39" t="s">
        <v>750</v>
      </c>
      <c r="V278" s="39" t="s">
        <v>750</v>
      </c>
      <c r="W278" s="39" t="s">
        <v>751</v>
      </c>
      <c r="X278" s="39" t="s">
        <v>751</v>
      </c>
    </row>
    <row r="279">
      <c r="A279" s="39" t="s">
        <v>739</v>
      </c>
      <c r="B279" s="39">
        <v>12093.0</v>
      </c>
      <c r="C279" s="39" t="s">
        <v>1353</v>
      </c>
      <c r="D279" s="39">
        <v>5.0</v>
      </c>
      <c r="F279" s="39">
        <v>12302.0</v>
      </c>
      <c r="G279" s="39" t="s">
        <v>1338</v>
      </c>
      <c r="H279" s="39">
        <v>1.0</v>
      </c>
      <c r="I279" s="39" t="s">
        <v>742</v>
      </c>
      <c r="J279" s="39" t="s">
        <v>743</v>
      </c>
      <c r="K279" s="39" t="s">
        <v>744</v>
      </c>
      <c r="L279" s="39" t="s">
        <v>1339</v>
      </c>
      <c r="M279" s="39" t="s">
        <v>748</v>
      </c>
      <c r="N279" s="39" t="s">
        <v>755</v>
      </c>
      <c r="O279" s="39" t="s">
        <v>756</v>
      </c>
      <c r="P279" s="39" t="s">
        <v>755</v>
      </c>
      <c r="Q279" s="39" t="s">
        <v>756</v>
      </c>
      <c r="R279" s="39" t="s">
        <v>1340</v>
      </c>
      <c r="S279" s="39" t="s">
        <v>750</v>
      </c>
      <c r="T279" s="39" t="s">
        <v>751</v>
      </c>
      <c r="U279" s="39" t="s">
        <v>751</v>
      </c>
      <c r="V279" s="39" t="s">
        <v>750</v>
      </c>
      <c r="W279" s="39" t="s">
        <v>751</v>
      </c>
      <c r="X279" s="39" t="s">
        <v>751</v>
      </c>
    </row>
    <row r="280">
      <c r="A280" s="39" t="s">
        <v>739</v>
      </c>
      <c r="B280" s="39">
        <v>12093.0</v>
      </c>
      <c r="C280" s="39" t="s">
        <v>1353</v>
      </c>
      <c r="D280" s="39">
        <v>5.0</v>
      </c>
      <c r="F280" s="39">
        <v>12303.0</v>
      </c>
      <c r="G280" s="39" t="s">
        <v>1341</v>
      </c>
      <c r="H280" s="39">
        <v>2.0</v>
      </c>
      <c r="I280" s="39" t="s">
        <v>753</v>
      </c>
      <c r="J280" s="39" t="s">
        <v>754</v>
      </c>
      <c r="K280" s="39" t="s">
        <v>744</v>
      </c>
      <c r="L280" s="39" t="s">
        <v>1342</v>
      </c>
      <c r="M280" s="39" t="s">
        <v>748</v>
      </c>
      <c r="N280" s="39" t="s">
        <v>755</v>
      </c>
      <c r="O280" s="39" t="s">
        <v>756</v>
      </c>
      <c r="P280" s="39" t="s">
        <v>755</v>
      </c>
      <c r="Q280" s="39" t="s">
        <v>756</v>
      </c>
      <c r="S280" s="39" t="s">
        <v>750</v>
      </c>
      <c r="T280" s="39" t="s">
        <v>751</v>
      </c>
      <c r="U280" s="39" t="s">
        <v>750</v>
      </c>
      <c r="V280" s="39" t="s">
        <v>750</v>
      </c>
      <c r="W280" s="39" t="s">
        <v>751</v>
      </c>
      <c r="X280" s="39" t="s">
        <v>751</v>
      </c>
    </row>
    <row r="281">
      <c r="A281" s="39" t="s">
        <v>739</v>
      </c>
      <c r="B281" s="39">
        <v>12093.0</v>
      </c>
      <c r="C281" s="39" t="s">
        <v>1353</v>
      </c>
      <c r="D281" s="39">
        <v>5.0</v>
      </c>
      <c r="F281" s="39">
        <v>12304.0</v>
      </c>
      <c r="G281" s="39" t="s">
        <v>1343</v>
      </c>
      <c r="H281" s="39">
        <v>3.0</v>
      </c>
      <c r="I281" s="39" t="s">
        <v>775</v>
      </c>
      <c r="J281" s="39" t="s">
        <v>768</v>
      </c>
      <c r="K281" s="39" t="s">
        <v>744</v>
      </c>
      <c r="L281" s="39" t="s">
        <v>1344</v>
      </c>
      <c r="M281" s="39" t="s">
        <v>746</v>
      </c>
      <c r="N281" s="39" t="s">
        <v>755</v>
      </c>
      <c r="O281" s="39" t="s">
        <v>756</v>
      </c>
      <c r="P281" s="39" t="s">
        <v>755</v>
      </c>
      <c r="Q281" s="39" t="s">
        <v>756</v>
      </c>
      <c r="R281" s="39" t="s">
        <v>1345</v>
      </c>
      <c r="S281" s="39" t="s">
        <v>750</v>
      </c>
      <c r="T281" s="39" t="s">
        <v>750</v>
      </c>
      <c r="U281" s="39" t="s">
        <v>750</v>
      </c>
      <c r="V281" s="39" t="s">
        <v>751</v>
      </c>
      <c r="W281" s="39" t="s">
        <v>751</v>
      </c>
      <c r="X281" s="39" t="s">
        <v>751</v>
      </c>
    </row>
    <row r="282">
      <c r="A282" s="39" t="s">
        <v>739</v>
      </c>
      <c r="B282" s="39">
        <v>12093.0</v>
      </c>
      <c r="C282" s="39" t="s">
        <v>1353</v>
      </c>
      <c r="D282" s="39">
        <v>5.0</v>
      </c>
      <c r="F282" s="39">
        <v>12306.0</v>
      </c>
      <c r="G282" s="39" t="s">
        <v>1346</v>
      </c>
      <c r="H282" s="39">
        <v>4.0</v>
      </c>
      <c r="I282" s="39" t="s">
        <v>788</v>
      </c>
      <c r="J282" s="39" t="s">
        <v>771</v>
      </c>
      <c r="K282" s="39" t="s">
        <v>744</v>
      </c>
      <c r="L282" s="39" t="s">
        <v>1347</v>
      </c>
      <c r="M282" s="39" t="s">
        <v>746</v>
      </c>
      <c r="N282" s="39" t="s">
        <v>755</v>
      </c>
      <c r="O282" s="39" t="s">
        <v>756</v>
      </c>
      <c r="P282" s="39" t="s">
        <v>755</v>
      </c>
      <c r="Q282" s="39" t="s">
        <v>756</v>
      </c>
      <c r="R282" s="39" t="s">
        <v>1348</v>
      </c>
      <c r="S282" s="39" t="s">
        <v>750</v>
      </c>
      <c r="T282" s="39" t="s">
        <v>750</v>
      </c>
      <c r="U282" s="39" t="s">
        <v>750</v>
      </c>
      <c r="V282" s="39" t="s">
        <v>750</v>
      </c>
      <c r="W282" s="39" t="s">
        <v>751</v>
      </c>
      <c r="X282" s="39" t="s">
        <v>751</v>
      </c>
    </row>
    <row r="283">
      <c r="A283" s="39" t="s">
        <v>739</v>
      </c>
      <c r="B283" s="39">
        <v>12093.0</v>
      </c>
      <c r="C283" s="39" t="s">
        <v>1353</v>
      </c>
      <c r="D283" s="39">
        <v>5.0</v>
      </c>
      <c r="F283" s="39">
        <v>12305.0</v>
      </c>
      <c r="G283" s="39" t="s">
        <v>1349</v>
      </c>
      <c r="H283" s="39">
        <v>5.0</v>
      </c>
      <c r="I283" s="39" t="s">
        <v>791</v>
      </c>
      <c r="J283" s="39" t="s">
        <v>958</v>
      </c>
      <c r="K283" s="39" t="s">
        <v>744</v>
      </c>
      <c r="L283" s="39" t="s">
        <v>1350</v>
      </c>
      <c r="M283" s="39" t="s">
        <v>746</v>
      </c>
      <c r="N283" s="39" t="s">
        <v>755</v>
      </c>
      <c r="O283" s="39" t="s">
        <v>756</v>
      </c>
      <c r="P283" s="39" t="s">
        <v>755</v>
      </c>
      <c r="Q283" s="39" t="s">
        <v>756</v>
      </c>
      <c r="R283" s="39" t="s">
        <v>1351</v>
      </c>
      <c r="S283" s="39" t="s">
        <v>750</v>
      </c>
      <c r="T283" s="39" t="s">
        <v>750</v>
      </c>
      <c r="U283" s="39" t="s">
        <v>750</v>
      </c>
      <c r="V283" s="39" t="s">
        <v>750</v>
      </c>
      <c r="W283" s="39" t="s">
        <v>751</v>
      </c>
      <c r="X283" s="39" t="s">
        <v>751</v>
      </c>
    </row>
    <row r="284">
      <c r="A284" s="39" t="s">
        <v>739</v>
      </c>
      <c r="B284" s="39">
        <v>12068.0</v>
      </c>
      <c r="C284" s="39" t="s">
        <v>1354</v>
      </c>
      <c r="D284" s="39">
        <v>5.0</v>
      </c>
      <c r="F284" s="39">
        <v>17956.0</v>
      </c>
      <c r="G284" s="39" t="s">
        <v>1355</v>
      </c>
      <c r="H284" s="39">
        <v>1.0</v>
      </c>
      <c r="I284" s="39" t="s">
        <v>742</v>
      </c>
      <c r="J284" s="39" t="s">
        <v>743</v>
      </c>
      <c r="K284" s="39" t="s">
        <v>744</v>
      </c>
      <c r="L284" s="39" t="s">
        <v>1356</v>
      </c>
      <c r="M284" s="39" t="s">
        <v>746</v>
      </c>
      <c r="N284" s="39" t="s">
        <v>755</v>
      </c>
      <c r="O284" s="39" t="s">
        <v>756</v>
      </c>
      <c r="P284" s="39" t="s">
        <v>755</v>
      </c>
      <c r="Q284" s="39" t="s">
        <v>756</v>
      </c>
      <c r="R284" s="39" t="s">
        <v>1357</v>
      </c>
      <c r="S284" s="39" t="s">
        <v>751</v>
      </c>
      <c r="T284" s="39" t="s">
        <v>751</v>
      </c>
      <c r="U284" s="39" t="s">
        <v>751</v>
      </c>
      <c r="V284" s="39" t="s">
        <v>750</v>
      </c>
      <c r="W284" s="39" t="s">
        <v>751</v>
      </c>
      <c r="X284" s="39" t="s">
        <v>751</v>
      </c>
    </row>
    <row r="285">
      <c r="A285" s="39" t="s">
        <v>739</v>
      </c>
      <c r="B285" s="39">
        <v>12068.0</v>
      </c>
      <c r="C285" s="39" t="s">
        <v>1354</v>
      </c>
      <c r="D285" s="39">
        <v>5.0</v>
      </c>
      <c r="F285" s="39">
        <v>17958.0</v>
      </c>
      <c r="G285" s="39" t="s">
        <v>1358</v>
      </c>
      <c r="H285" s="39">
        <v>2.0</v>
      </c>
      <c r="I285" s="39" t="s">
        <v>775</v>
      </c>
      <c r="J285" s="39" t="s">
        <v>768</v>
      </c>
      <c r="K285" s="39" t="s">
        <v>744</v>
      </c>
      <c r="L285" s="39" t="s">
        <v>1359</v>
      </c>
      <c r="M285" s="39" t="s">
        <v>746</v>
      </c>
      <c r="N285" s="39" t="s">
        <v>755</v>
      </c>
      <c r="O285" s="39" t="s">
        <v>756</v>
      </c>
      <c r="P285" s="39" t="s">
        <v>755</v>
      </c>
      <c r="Q285" s="39" t="s">
        <v>756</v>
      </c>
      <c r="S285" s="39" t="s">
        <v>750</v>
      </c>
      <c r="T285" s="39" t="s">
        <v>750</v>
      </c>
      <c r="U285" s="39" t="s">
        <v>750</v>
      </c>
      <c r="V285" s="39" t="s">
        <v>750</v>
      </c>
      <c r="W285" s="39" t="s">
        <v>751</v>
      </c>
      <c r="X285" s="39" t="s">
        <v>751</v>
      </c>
    </row>
    <row r="286">
      <c r="A286" s="39" t="s">
        <v>739</v>
      </c>
      <c r="B286" s="39">
        <v>12068.0</v>
      </c>
      <c r="C286" s="39" t="s">
        <v>1354</v>
      </c>
      <c r="D286" s="39">
        <v>5.0</v>
      </c>
      <c r="F286" s="39">
        <v>17957.0</v>
      </c>
      <c r="G286" s="39" t="s">
        <v>1360</v>
      </c>
      <c r="H286" s="39">
        <v>3.0</v>
      </c>
      <c r="I286" s="39" t="s">
        <v>753</v>
      </c>
      <c r="J286" s="39" t="s">
        <v>754</v>
      </c>
      <c r="K286" s="39" t="s">
        <v>744</v>
      </c>
      <c r="L286" s="39" t="s">
        <v>1361</v>
      </c>
      <c r="M286" s="39" t="s">
        <v>746</v>
      </c>
      <c r="N286" s="39" t="s">
        <v>755</v>
      </c>
      <c r="O286" s="39" t="s">
        <v>756</v>
      </c>
      <c r="P286" s="39" t="s">
        <v>755</v>
      </c>
      <c r="Q286" s="39" t="s">
        <v>756</v>
      </c>
      <c r="R286" s="39" t="s">
        <v>1362</v>
      </c>
      <c r="S286" s="39" t="s">
        <v>750</v>
      </c>
      <c r="T286" s="39" t="s">
        <v>751</v>
      </c>
      <c r="U286" s="39" t="s">
        <v>750</v>
      </c>
      <c r="V286" s="39" t="s">
        <v>750</v>
      </c>
      <c r="W286" s="39" t="s">
        <v>751</v>
      </c>
      <c r="X286" s="39" t="s">
        <v>751</v>
      </c>
    </row>
    <row r="287">
      <c r="A287" s="39" t="s">
        <v>739</v>
      </c>
      <c r="B287" s="39">
        <v>12063.0</v>
      </c>
      <c r="C287" s="39" t="s">
        <v>1363</v>
      </c>
      <c r="D287" s="39">
        <v>7.0</v>
      </c>
      <c r="F287" s="39">
        <v>17930.0</v>
      </c>
      <c r="G287" s="39" t="s">
        <v>1364</v>
      </c>
      <c r="H287" s="39">
        <v>1.0</v>
      </c>
      <c r="I287" s="39" t="s">
        <v>775</v>
      </c>
      <c r="J287" s="39" t="s">
        <v>768</v>
      </c>
      <c r="K287" s="39" t="s">
        <v>744</v>
      </c>
      <c r="L287" s="39" t="s">
        <v>1365</v>
      </c>
      <c r="M287" s="39" t="s">
        <v>746</v>
      </c>
      <c r="N287" s="39" t="s">
        <v>1366</v>
      </c>
      <c r="O287" s="39" t="s">
        <v>746</v>
      </c>
      <c r="P287" s="39" t="s">
        <v>755</v>
      </c>
      <c r="Q287" s="39" t="s">
        <v>756</v>
      </c>
      <c r="R287" s="39" t="s">
        <v>1367</v>
      </c>
      <c r="S287" s="39" t="s">
        <v>751</v>
      </c>
      <c r="T287" s="39" t="s">
        <v>750</v>
      </c>
      <c r="U287" s="39" t="s">
        <v>751</v>
      </c>
      <c r="V287" s="39" t="s">
        <v>750</v>
      </c>
      <c r="W287" s="39" t="s">
        <v>751</v>
      </c>
      <c r="X287" s="39" t="s">
        <v>751</v>
      </c>
    </row>
    <row r="288">
      <c r="A288" s="39" t="s">
        <v>739</v>
      </c>
      <c r="B288" s="39">
        <v>12063.0</v>
      </c>
      <c r="C288" s="39" t="s">
        <v>1363</v>
      </c>
      <c r="D288" s="39">
        <v>7.0</v>
      </c>
      <c r="F288" s="39">
        <v>17931.0</v>
      </c>
      <c r="G288" s="39" t="s">
        <v>1368</v>
      </c>
      <c r="H288" s="39">
        <v>2.0</v>
      </c>
      <c r="I288" s="39" t="s">
        <v>791</v>
      </c>
      <c r="J288" s="39" t="s">
        <v>771</v>
      </c>
      <c r="K288" s="39" t="s">
        <v>744</v>
      </c>
      <c r="L288" s="39" t="s">
        <v>1369</v>
      </c>
      <c r="M288" s="39" t="s">
        <v>746</v>
      </c>
      <c r="N288" s="39" t="s">
        <v>755</v>
      </c>
      <c r="O288" s="39" t="s">
        <v>756</v>
      </c>
      <c r="P288" s="39" t="s">
        <v>755</v>
      </c>
      <c r="Q288" s="39" t="s">
        <v>756</v>
      </c>
      <c r="S288" s="39" t="s">
        <v>750</v>
      </c>
      <c r="T288" s="39" t="s">
        <v>750</v>
      </c>
      <c r="U288" s="39" t="s">
        <v>751</v>
      </c>
      <c r="V288" s="39" t="s">
        <v>750</v>
      </c>
      <c r="W288" s="39" t="s">
        <v>751</v>
      </c>
      <c r="X288" s="39" t="s">
        <v>751</v>
      </c>
    </row>
    <row r="289">
      <c r="A289" s="39" t="s">
        <v>739</v>
      </c>
      <c r="B289" s="39">
        <v>11916.0</v>
      </c>
      <c r="C289" s="39" t="s">
        <v>1370</v>
      </c>
      <c r="D289" s="39">
        <v>5.0</v>
      </c>
      <c r="F289" s="39">
        <v>8559.0</v>
      </c>
      <c r="G289" s="39" t="s">
        <v>1371</v>
      </c>
      <c r="H289" s="39">
        <v>1.0</v>
      </c>
      <c r="I289" s="39" t="s">
        <v>742</v>
      </c>
      <c r="J289" s="39" t="s">
        <v>743</v>
      </c>
      <c r="K289" s="39" t="s">
        <v>744</v>
      </c>
      <c r="L289" s="39" t="s">
        <v>1372</v>
      </c>
      <c r="M289" s="39" t="s">
        <v>746</v>
      </c>
      <c r="N289" s="39" t="s">
        <v>755</v>
      </c>
      <c r="O289" s="39" t="s">
        <v>756</v>
      </c>
      <c r="P289" s="39" t="s">
        <v>755</v>
      </c>
      <c r="Q289" s="39" t="s">
        <v>756</v>
      </c>
      <c r="R289" s="39" t="s">
        <v>1373</v>
      </c>
      <c r="S289" s="39" t="s">
        <v>750</v>
      </c>
      <c r="T289" s="39" t="s">
        <v>751</v>
      </c>
      <c r="U289" s="39" t="s">
        <v>751</v>
      </c>
      <c r="V289" s="39" t="s">
        <v>750</v>
      </c>
      <c r="W289" s="39" t="s">
        <v>751</v>
      </c>
      <c r="X289" s="39" t="s">
        <v>751</v>
      </c>
    </row>
    <row r="290">
      <c r="A290" s="39" t="s">
        <v>739</v>
      </c>
      <c r="B290" s="39">
        <v>11916.0</v>
      </c>
      <c r="C290" s="39" t="s">
        <v>1370</v>
      </c>
      <c r="D290" s="39">
        <v>5.0</v>
      </c>
      <c r="F290" s="39">
        <v>17138.0</v>
      </c>
      <c r="G290" s="39" t="s">
        <v>1374</v>
      </c>
      <c r="H290" s="39">
        <v>2.0</v>
      </c>
      <c r="I290" s="39" t="s">
        <v>775</v>
      </c>
      <c r="J290" s="39" t="s">
        <v>768</v>
      </c>
      <c r="K290" s="39" t="s">
        <v>744</v>
      </c>
      <c r="L290" s="39" t="s">
        <v>1375</v>
      </c>
      <c r="M290" s="39" t="s">
        <v>746</v>
      </c>
      <c r="N290" s="39" t="s">
        <v>755</v>
      </c>
      <c r="O290" s="39" t="s">
        <v>756</v>
      </c>
      <c r="P290" s="39" t="s">
        <v>755</v>
      </c>
      <c r="Q290" s="39" t="s">
        <v>756</v>
      </c>
      <c r="R290" s="39" t="s">
        <v>1376</v>
      </c>
      <c r="S290" s="39" t="s">
        <v>750</v>
      </c>
      <c r="T290" s="39" t="s">
        <v>750</v>
      </c>
      <c r="U290" s="39" t="s">
        <v>751</v>
      </c>
      <c r="V290" s="39" t="s">
        <v>750</v>
      </c>
      <c r="W290" s="39" t="s">
        <v>751</v>
      </c>
      <c r="X290" s="39" t="s">
        <v>751</v>
      </c>
    </row>
    <row r="291">
      <c r="A291" s="39" t="s">
        <v>739</v>
      </c>
      <c r="B291" s="39">
        <v>11605.0</v>
      </c>
      <c r="C291" s="39" t="s">
        <v>1377</v>
      </c>
      <c r="D291" s="39">
        <v>8.0</v>
      </c>
      <c r="F291" s="39">
        <v>11328.0</v>
      </c>
      <c r="G291" s="39" t="s">
        <v>1378</v>
      </c>
      <c r="H291" s="39">
        <v>1.0</v>
      </c>
      <c r="I291" s="39" t="s">
        <v>742</v>
      </c>
      <c r="J291" s="39" t="s">
        <v>743</v>
      </c>
      <c r="K291" s="39" t="s">
        <v>744</v>
      </c>
      <c r="L291" s="39" t="s">
        <v>1379</v>
      </c>
      <c r="M291" s="39" t="s">
        <v>748</v>
      </c>
      <c r="N291" s="39" t="s">
        <v>755</v>
      </c>
      <c r="O291" s="39" t="s">
        <v>756</v>
      </c>
      <c r="P291" s="39" t="s">
        <v>755</v>
      </c>
      <c r="Q291" s="39" t="s">
        <v>756</v>
      </c>
      <c r="R291" s="39" t="s">
        <v>1380</v>
      </c>
      <c r="S291" s="39" t="s">
        <v>750</v>
      </c>
      <c r="T291" s="39" t="s">
        <v>751</v>
      </c>
      <c r="U291" s="39" t="s">
        <v>751</v>
      </c>
      <c r="V291" s="39" t="s">
        <v>750</v>
      </c>
      <c r="W291" s="39" t="s">
        <v>750</v>
      </c>
      <c r="X291" s="39" t="s">
        <v>751</v>
      </c>
    </row>
    <row r="292">
      <c r="A292" s="39" t="s">
        <v>739</v>
      </c>
      <c r="B292" s="39">
        <v>11605.0</v>
      </c>
      <c r="C292" s="39" t="s">
        <v>1377</v>
      </c>
      <c r="D292" s="39">
        <v>8.0</v>
      </c>
      <c r="F292" s="39">
        <v>11330.0</v>
      </c>
      <c r="G292" s="39" t="s">
        <v>1381</v>
      </c>
      <c r="H292" s="39">
        <v>2.0</v>
      </c>
      <c r="I292" s="39" t="s">
        <v>788</v>
      </c>
      <c r="J292" s="39" t="s">
        <v>768</v>
      </c>
      <c r="K292" s="39" t="s">
        <v>744</v>
      </c>
      <c r="L292" s="39" t="s">
        <v>1382</v>
      </c>
      <c r="M292" s="39" t="s">
        <v>746</v>
      </c>
      <c r="N292" s="39" t="s">
        <v>755</v>
      </c>
      <c r="O292" s="39" t="s">
        <v>756</v>
      </c>
      <c r="P292" s="39" t="s">
        <v>755</v>
      </c>
      <c r="Q292" s="39" t="s">
        <v>756</v>
      </c>
      <c r="S292" s="39" t="s">
        <v>750</v>
      </c>
      <c r="T292" s="39" t="s">
        <v>750</v>
      </c>
      <c r="U292" s="39" t="s">
        <v>750</v>
      </c>
      <c r="V292" s="39" t="s">
        <v>750</v>
      </c>
      <c r="W292" s="39" t="s">
        <v>751</v>
      </c>
      <c r="X292" s="39" t="s">
        <v>751</v>
      </c>
    </row>
    <row r="293">
      <c r="A293" s="39" t="s">
        <v>739</v>
      </c>
      <c r="B293" s="39">
        <v>11605.0</v>
      </c>
      <c r="C293" s="39" t="s">
        <v>1377</v>
      </c>
      <c r="D293" s="39">
        <v>8.0</v>
      </c>
      <c r="F293" s="39">
        <v>11329.0</v>
      </c>
      <c r="G293" s="39" t="s">
        <v>1378</v>
      </c>
      <c r="H293" s="39">
        <v>3.0</v>
      </c>
      <c r="I293" s="39" t="s">
        <v>791</v>
      </c>
      <c r="K293" s="39" t="s">
        <v>744</v>
      </c>
      <c r="L293" s="39">
        <v>3.145465035E9</v>
      </c>
      <c r="M293" s="39" t="s">
        <v>746</v>
      </c>
      <c r="N293" s="39" t="s">
        <v>755</v>
      </c>
      <c r="O293" s="39" t="s">
        <v>756</v>
      </c>
      <c r="P293" s="39" t="s">
        <v>755</v>
      </c>
      <c r="Q293" s="39" t="s">
        <v>756</v>
      </c>
      <c r="R293" s="39" t="s">
        <v>1380</v>
      </c>
      <c r="S293" s="39" t="s">
        <v>750</v>
      </c>
      <c r="T293" s="39" t="s">
        <v>750</v>
      </c>
      <c r="U293" s="39" t="s">
        <v>750</v>
      </c>
      <c r="V293" s="39" t="s">
        <v>750</v>
      </c>
      <c r="W293" s="39" t="s">
        <v>751</v>
      </c>
      <c r="X293" s="39" t="s">
        <v>751</v>
      </c>
    </row>
    <row r="294">
      <c r="A294" s="39" t="s">
        <v>739</v>
      </c>
      <c r="B294" s="39">
        <v>11605.0</v>
      </c>
      <c r="C294" s="39" t="s">
        <v>1377</v>
      </c>
      <c r="D294" s="39">
        <v>8.0</v>
      </c>
      <c r="F294" s="39">
        <v>13438.0</v>
      </c>
      <c r="G294" s="39" t="s">
        <v>1378</v>
      </c>
      <c r="H294" s="39">
        <v>4.0</v>
      </c>
      <c r="I294" s="39" t="s">
        <v>756</v>
      </c>
      <c r="K294" s="39" t="s">
        <v>744</v>
      </c>
      <c r="L294" s="39">
        <v>3.145465035E9</v>
      </c>
      <c r="M294" s="39" t="s">
        <v>805</v>
      </c>
      <c r="N294" s="39" t="s">
        <v>755</v>
      </c>
      <c r="O294" s="39" t="s">
        <v>756</v>
      </c>
      <c r="P294" s="39" t="s">
        <v>755</v>
      </c>
      <c r="Q294" s="39" t="s">
        <v>756</v>
      </c>
      <c r="R294" s="39" t="s">
        <v>1380</v>
      </c>
      <c r="S294" s="39" t="s">
        <v>750</v>
      </c>
      <c r="T294" s="39" t="s">
        <v>750</v>
      </c>
      <c r="U294" s="39" t="s">
        <v>750</v>
      </c>
      <c r="V294" s="39" t="s">
        <v>750</v>
      </c>
      <c r="W294" s="39" t="s">
        <v>750</v>
      </c>
      <c r="X294" s="39" t="s">
        <v>750</v>
      </c>
    </row>
    <row r="295">
      <c r="A295" s="39" t="s">
        <v>739</v>
      </c>
      <c r="B295" s="39">
        <v>11605.0</v>
      </c>
      <c r="C295" s="39" t="s">
        <v>1377</v>
      </c>
      <c r="D295" s="39">
        <v>8.0</v>
      </c>
      <c r="F295" s="39">
        <v>14701.0</v>
      </c>
      <c r="G295" s="39" t="s">
        <v>1378</v>
      </c>
      <c r="H295" s="39">
        <v>5.0</v>
      </c>
      <c r="I295" s="39" t="s">
        <v>756</v>
      </c>
      <c r="K295" s="39" t="s">
        <v>744</v>
      </c>
      <c r="L295" s="39" t="s">
        <v>755</v>
      </c>
      <c r="M295" s="39" t="s">
        <v>756</v>
      </c>
      <c r="N295" s="39" t="s">
        <v>755</v>
      </c>
      <c r="O295" s="39" t="s">
        <v>756</v>
      </c>
      <c r="P295" s="39" t="s">
        <v>755</v>
      </c>
      <c r="Q295" s="39" t="s">
        <v>756</v>
      </c>
      <c r="S295" s="39" t="s">
        <v>751</v>
      </c>
      <c r="T295" s="39" t="s">
        <v>750</v>
      </c>
      <c r="U295" s="39" t="s">
        <v>750</v>
      </c>
      <c r="V295" s="39" t="s">
        <v>750</v>
      </c>
      <c r="W295" s="39" t="s">
        <v>750</v>
      </c>
      <c r="X295" s="39" t="s">
        <v>750</v>
      </c>
    </row>
    <row r="296">
      <c r="A296" s="39" t="s">
        <v>739</v>
      </c>
      <c r="B296" s="39">
        <v>11698.0</v>
      </c>
      <c r="C296" s="39" t="s">
        <v>1383</v>
      </c>
      <c r="D296" s="39">
        <v>7.0</v>
      </c>
      <c r="F296" s="39">
        <v>11550.0</v>
      </c>
      <c r="G296" s="39" t="s">
        <v>1384</v>
      </c>
      <c r="H296" s="39">
        <v>1.0</v>
      </c>
      <c r="I296" s="39" t="s">
        <v>742</v>
      </c>
      <c r="J296" s="39" t="s">
        <v>743</v>
      </c>
      <c r="K296" s="39" t="s">
        <v>744</v>
      </c>
      <c r="L296" s="39" t="s">
        <v>1385</v>
      </c>
      <c r="M296" s="39" t="s">
        <v>748</v>
      </c>
      <c r="N296" s="39" t="s">
        <v>755</v>
      </c>
      <c r="O296" s="39" t="s">
        <v>756</v>
      </c>
      <c r="P296" s="39" t="s">
        <v>755</v>
      </c>
      <c r="Q296" s="39" t="s">
        <v>756</v>
      </c>
      <c r="R296" s="39" t="s">
        <v>1386</v>
      </c>
      <c r="S296" s="39" t="s">
        <v>750</v>
      </c>
      <c r="T296" s="39" t="s">
        <v>751</v>
      </c>
      <c r="U296" s="39" t="s">
        <v>751</v>
      </c>
      <c r="V296" s="39" t="s">
        <v>751</v>
      </c>
      <c r="W296" s="39" t="s">
        <v>751</v>
      </c>
      <c r="X296" s="39" t="s">
        <v>751</v>
      </c>
    </row>
    <row r="297">
      <c r="A297" s="39" t="s">
        <v>739</v>
      </c>
      <c r="B297" s="39">
        <v>11698.0</v>
      </c>
      <c r="C297" s="39" t="s">
        <v>1383</v>
      </c>
      <c r="D297" s="39">
        <v>7.0</v>
      </c>
      <c r="F297" s="39">
        <v>13522.0</v>
      </c>
      <c r="G297" s="39" t="s">
        <v>1384</v>
      </c>
      <c r="H297" s="39">
        <v>2.0</v>
      </c>
      <c r="I297" s="39" t="s">
        <v>756</v>
      </c>
      <c r="K297" s="39" t="s">
        <v>744</v>
      </c>
      <c r="L297" s="39">
        <v>3.146967994E9</v>
      </c>
      <c r="M297" s="39" t="s">
        <v>805</v>
      </c>
      <c r="N297" s="39" t="s">
        <v>755</v>
      </c>
      <c r="O297" s="39" t="s">
        <v>756</v>
      </c>
      <c r="P297" s="39" t="s">
        <v>755</v>
      </c>
      <c r="Q297" s="39" t="s">
        <v>756</v>
      </c>
      <c r="R297" s="39" t="s">
        <v>1386</v>
      </c>
      <c r="S297" s="39" t="s">
        <v>750</v>
      </c>
      <c r="T297" s="39" t="s">
        <v>750</v>
      </c>
      <c r="U297" s="39" t="s">
        <v>750</v>
      </c>
      <c r="V297" s="39" t="s">
        <v>750</v>
      </c>
      <c r="W297" s="39" t="s">
        <v>750</v>
      </c>
      <c r="X297" s="39" t="s">
        <v>750</v>
      </c>
    </row>
    <row r="298">
      <c r="A298" s="39" t="s">
        <v>739</v>
      </c>
      <c r="B298" s="39">
        <v>10055.0</v>
      </c>
      <c r="C298" s="39" t="s">
        <v>609</v>
      </c>
      <c r="D298" s="39">
        <v>8.0</v>
      </c>
      <c r="F298" s="39">
        <v>307.0</v>
      </c>
      <c r="G298" s="39" t="s">
        <v>1387</v>
      </c>
      <c r="H298" s="39">
        <v>1.0</v>
      </c>
      <c r="I298" s="39" t="s">
        <v>753</v>
      </c>
      <c r="J298" s="39" t="s">
        <v>754</v>
      </c>
      <c r="K298" s="39" t="s">
        <v>744</v>
      </c>
      <c r="L298" s="39" t="s">
        <v>1388</v>
      </c>
      <c r="M298" s="39" t="s">
        <v>746</v>
      </c>
      <c r="N298" s="39" t="s">
        <v>1389</v>
      </c>
      <c r="O298" s="39" t="s">
        <v>746</v>
      </c>
      <c r="P298" s="39">
        <v>3.143091745E9</v>
      </c>
      <c r="Q298" s="39" t="s">
        <v>756</v>
      </c>
      <c r="R298" s="39" t="s">
        <v>1390</v>
      </c>
      <c r="S298" s="39" t="s">
        <v>750</v>
      </c>
      <c r="T298" s="39" t="s">
        <v>751</v>
      </c>
      <c r="U298" s="39" t="s">
        <v>751</v>
      </c>
      <c r="V298" s="39" t="s">
        <v>751</v>
      </c>
      <c r="W298" s="39" t="s">
        <v>751</v>
      </c>
      <c r="X298" s="39" t="s">
        <v>751</v>
      </c>
    </row>
    <row r="299">
      <c r="A299" s="39" t="s">
        <v>739</v>
      </c>
      <c r="B299" s="39">
        <v>10055.0</v>
      </c>
      <c r="C299" s="39" t="s">
        <v>609</v>
      </c>
      <c r="D299" s="39">
        <v>8.0</v>
      </c>
      <c r="F299" s="39">
        <v>17254.0</v>
      </c>
      <c r="G299" s="39" t="s">
        <v>1391</v>
      </c>
      <c r="H299" s="39">
        <v>2.0</v>
      </c>
      <c r="I299" s="39" t="s">
        <v>791</v>
      </c>
      <c r="J299" s="39" t="s">
        <v>768</v>
      </c>
      <c r="K299" s="39" t="s">
        <v>744</v>
      </c>
      <c r="L299" s="39" t="s">
        <v>1392</v>
      </c>
      <c r="M299" s="39" t="s">
        <v>746</v>
      </c>
      <c r="N299" s="39" t="s">
        <v>755</v>
      </c>
      <c r="O299" s="39" t="s">
        <v>756</v>
      </c>
      <c r="P299" s="39" t="s">
        <v>755</v>
      </c>
      <c r="Q299" s="39" t="s">
        <v>756</v>
      </c>
      <c r="S299" s="39" t="s">
        <v>750</v>
      </c>
      <c r="T299" s="39" t="s">
        <v>750</v>
      </c>
      <c r="U299" s="39" t="s">
        <v>750</v>
      </c>
      <c r="V299" s="39" t="s">
        <v>750</v>
      </c>
      <c r="W299" s="39" t="s">
        <v>751</v>
      </c>
      <c r="X299" s="39" t="s">
        <v>750</v>
      </c>
    </row>
    <row r="300">
      <c r="A300" s="39" t="s">
        <v>739</v>
      </c>
      <c r="B300" s="39">
        <v>10055.0</v>
      </c>
      <c r="C300" s="39" t="s">
        <v>609</v>
      </c>
      <c r="D300" s="39">
        <v>8.0</v>
      </c>
      <c r="F300" s="39">
        <v>6054.0</v>
      </c>
      <c r="G300" s="39" t="s">
        <v>1393</v>
      </c>
      <c r="H300" s="39">
        <v>3.0</v>
      </c>
      <c r="I300" s="39" t="s">
        <v>753</v>
      </c>
      <c r="K300" s="39" t="s">
        <v>744</v>
      </c>
      <c r="L300" s="39">
        <v>3.143091745E9</v>
      </c>
      <c r="M300" s="39" t="s">
        <v>746</v>
      </c>
      <c r="N300" s="39" t="s">
        <v>755</v>
      </c>
      <c r="O300" s="39" t="s">
        <v>756</v>
      </c>
      <c r="P300" s="39" t="s">
        <v>755</v>
      </c>
      <c r="Q300" s="39" t="s">
        <v>756</v>
      </c>
      <c r="R300" s="39" t="s">
        <v>1394</v>
      </c>
      <c r="S300" s="39" t="s">
        <v>750</v>
      </c>
      <c r="T300" s="39" t="s">
        <v>751</v>
      </c>
      <c r="U300" s="39" t="s">
        <v>750</v>
      </c>
      <c r="V300" s="39" t="s">
        <v>750</v>
      </c>
      <c r="W300" s="39" t="s">
        <v>750</v>
      </c>
      <c r="X300" s="39" t="s">
        <v>750</v>
      </c>
    </row>
    <row r="301">
      <c r="A301" s="39" t="s">
        <v>739</v>
      </c>
      <c r="B301" s="39">
        <v>10055.0</v>
      </c>
      <c r="C301" s="39" t="s">
        <v>609</v>
      </c>
      <c r="D301" s="39">
        <v>8.0</v>
      </c>
      <c r="F301" s="39">
        <v>13320.0</v>
      </c>
      <c r="G301" s="39" t="s">
        <v>889</v>
      </c>
      <c r="H301" s="39">
        <v>4.0</v>
      </c>
      <c r="I301" s="39" t="s">
        <v>756</v>
      </c>
      <c r="K301" s="39" t="s">
        <v>744</v>
      </c>
      <c r="L301" s="39" t="s">
        <v>755</v>
      </c>
      <c r="M301" s="39" t="s">
        <v>756</v>
      </c>
      <c r="N301" s="39" t="s">
        <v>755</v>
      </c>
      <c r="O301" s="39" t="s">
        <v>756</v>
      </c>
      <c r="P301" s="39" t="s">
        <v>755</v>
      </c>
      <c r="Q301" s="39" t="s">
        <v>756</v>
      </c>
      <c r="R301" s="39" t="s">
        <v>1394</v>
      </c>
      <c r="S301" s="39" t="s">
        <v>750</v>
      </c>
      <c r="T301" s="39" t="s">
        <v>750</v>
      </c>
      <c r="U301" s="39" t="s">
        <v>750</v>
      </c>
      <c r="V301" s="39" t="s">
        <v>750</v>
      </c>
      <c r="W301" s="39" t="s">
        <v>750</v>
      </c>
      <c r="X301" s="39" t="s">
        <v>750</v>
      </c>
    </row>
    <row r="302">
      <c r="A302" s="39" t="s">
        <v>739</v>
      </c>
      <c r="B302" s="39">
        <v>12041.0</v>
      </c>
      <c r="C302" s="39" t="s">
        <v>1395</v>
      </c>
      <c r="D302" s="39">
        <v>8.0</v>
      </c>
      <c r="F302" s="39">
        <v>17869.0</v>
      </c>
      <c r="G302" s="39" t="s">
        <v>1396</v>
      </c>
      <c r="H302" s="39">
        <v>1.0</v>
      </c>
      <c r="I302" s="39" t="s">
        <v>753</v>
      </c>
      <c r="J302" s="39" t="s">
        <v>754</v>
      </c>
      <c r="K302" s="39" t="s">
        <v>744</v>
      </c>
      <c r="L302" s="39" t="s">
        <v>1397</v>
      </c>
      <c r="M302" s="39" t="s">
        <v>746</v>
      </c>
      <c r="N302" s="39" t="s">
        <v>1398</v>
      </c>
      <c r="O302" s="39" t="s">
        <v>746</v>
      </c>
      <c r="P302" s="39" t="s">
        <v>1399</v>
      </c>
      <c r="Q302" s="39" t="s">
        <v>746</v>
      </c>
      <c r="R302" s="39" t="s">
        <v>1400</v>
      </c>
      <c r="S302" s="39" t="s">
        <v>750</v>
      </c>
      <c r="T302" s="39" t="s">
        <v>751</v>
      </c>
      <c r="U302" s="39" t="s">
        <v>751</v>
      </c>
      <c r="V302" s="39" t="s">
        <v>750</v>
      </c>
      <c r="W302" s="39" t="s">
        <v>751</v>
      </c>
      <c r="X302" s="39" t="s">
        <v>751</v>
      </c>
    </row>
    <row r="303">
      <c r="A303" s="39" t="s">
        <v>739</v>
      </c>
      <c r="B303" s="39">
        <v>12041.0</v>
      </c>
      <c r="C303" s="39" t="s">
        <v>1395</v>
      </c>
      <c r="D303" s="39">
        <v>8.0</v>
      </c>
      <c r="F303" s="39">
        <v>17870.0</v>
      </c>
      <c r="G303" s="39" t="s">
        <v>1401</v>
      </c>
      <c r="H303" s="39">
        <v>2.0</v>
      </c>
      <c r="I303" s="39" t="s">
        <v>775</v>
      </c>
      <c r="J303" s="39" t="s">
        <v>768</v>
      </c>
      <c r="K303" s="39" t="s">
        <v>744</v>
      </c>
      <c r="L303" s="39" t="s">
        <v>1398</v>
      </c>
      <c r="M303" s="39" t="s">
        <v>746</v>
      </c>
      <c r="N303" s="39" t="s">
        <v>1399</v>
      </c>
      <c r="O303" s="39" t="s">
        <v>746</v>
      </c>
      <c r="P303" s="39" t="s">
        <v>755</v>
      </c>
      <c r="Q303" s="39" t="s">
        <v>756</v>
      </c>
      <c r="R303" s="39" t="s">
        <v>1402</v>
      </c>
      <c r="S303" s="39" t="s">
        <v>750</v>
      </c>
      <c r="T303" s="39" t="s">
        <v>750</v>
      </c>
      <c r="U303" s="39" t="s">
        <v>751</v>
      </c>
      <c r="V303" s="39" t="s">
        <v>750</v>
      </c>
      <c r="W303" s="39" t="s">
        <v>751</v>
      </c>
      <c r="X303" s="39" t="s">
        <v>751</v>
      </c>
    </row>
    <row r="304">
      <c r="A304" s="39" t="s">
        <v>739</v>
      </c>
      <c r="B304" s="39">
        <v>11012.0</v>
      </c>
      <c r="C304" s="39" t="s">
        <v>1403</v>
      </c>
      <c r="D304" s="39">
        <v>8.0</v>
      </c>
      <c r="F304" s="39">
        <v>7749.0</v>
      </c>
      <c r="G304" s="39" t="s">
        <v>1404</v>
      </c>
      <c r="H304" s="39">
        <v>1.0</v>
      </c>
      <c r="I304" s="39" t="s">
        <v>742</v>
      </c>
      <c r="J304" s="39" t="s">
        <v>743</v>
      </c>
      <c r="K304" s="39" t="s">
        <v>744</v>
      </c>
      <c r="L304" s="39" t="s">
        <v>1405</v>
      </c>
      <c r="M304" s="39" t="s">
        <v>746</v>
      </c>
      <c r="N304" s="39" t="s">
        <v>755</v>
      </c>
      <c r="O304" s="39" t="s">
        <v>756</v>
      </c>
      <c r="P304" s="39" t="s">
        <v>755</v>
      </c>
      <c r="Q304" s="39" t="s">
        <v>756</v>
      </c>
      <c r="R304" s="39" t="s">
        <v>1406</v>
      </c>
      <c r="S304" s="39" t="s">
        <v>751</v>
      </c>
      <c r="T304" s="39" t="s">
        <v>751</v>
      </c>
      <c r="U304" s="39" t="s">
        <v>751</v>
      </c>
      <c r="V304" s="39" t="s">
        <v>750</v>
      </c>
      <c r="W304" s="39" t="s">
        <v>751</v>
      </c>
      <c r="X304" s="39" t="s">
        <v>751</v>
      </c>
    </row>
    <row r="305">
      <c r="A305" s="39" t="s">
        <v>739</v>
      </c>
      <c r="B305" s="39">
        <v>11012.0</v>
      </c>
      <c r="C305" s="39" t="s">
        <v>1403</v>
      </c>
      <c r="D305" s="39">
        <v>8.0</v>
      </c>
      <c r="F305" s="39">
        <v>7750.0</v>
      </c>
      <c r="G305" s="39" t="s">
        <v>1407</v>
      </c>
      <c r="H305" s="39">
        <v>2.0</v>
      </c>
      <c r="I305" s="39" t="s">
        <v>775</v>
      </c>
      <c r="J305" s="39" t="s">
        <v>768</v>
      </c>
      <c r="K305" s="39" t="s">
        <v>744</v>
      </c>
      <c r="L305" s="39" t="s">
        <v>1408</v>
      </c>
      <c r="M305" s="39" t="s">
        <v>746</v>
      </c>
      <c r="N305" s="39" t="s">
        <v>755</v>
      </c>
      <c r="O305" s="39" t="s">
        <v>756</v>
      </c>
      <c r="P305" s="39" t="s">
        <v>755</v>
      </c>
      <c r="Q305" s="39" t="s">
        <v>756</v>
      </c>
      <c r="S305" s="39" t="s">
        <v>750</v>
      </c>
      <c r="T305" s="39" t="s">
        <v>750</v>
      </c>
      <c r="U305" s="39" t="s">
        <v>750</v>
      </c>
      <c r="V305" s="39" t="s">
        <v>751</v>
      </c>
      <c r="W305" s="39" t="s">
        <v>751</v>
      </c>
      <c r="X305" s="39" t="s">
        <v>751</v>
      </c>
    </row>
    <row r="306">
      <c r="A306" s="39" t="s">
        <v>739</v>
      </c>
      <c r="B306" s="39">
        <v>11012.0</v>
      </c>
      <c r="C306" s="39" t="s">
        <v>1403</v>
      </c>
      <c r="D306" s="39">
        <v>8.0</v>
      </c>
      <c r="F306" s="39">
        <v>7748.0</v>
      </c>
      <c r="G306" s="39" t="s">
        <v>1409</v>
      </c>
      <c r="H306" s="39">
        <v>3.0</v>
      </c>
      <c r="I306" s="39" t="s">
        <v>742</v>
      </c>
      <c r="K306" s="39" t="s">
        <v>744</v>
      </c>
      <c r="L306" s="39">
        <v>3.142694349E9</v>
      </c>
      <c r="M306" s="39" t="s">
        <v>746</v>
      </c>
      <c r="N306" s="39" t="s">
        <v>755</v>
      </c>
      <c r="O306" s="39" t="s">
        <v>756</v>
      </c>
      <c r="P306" s="39" t="s">
        <v>755</v>
      </c>
      <c r="Q306" s="39" t="s">
        <v>756</v>
      </c>
      <c r="R306" s="39" t="s">
        <v>1410</v>
      </c>
      <c r="S306" s="39" t="s">
        <v>750</v>
      </c>
      <c r="T306" s="39" t="s">
        <v>751</v>
      </c>
      <c r="U306" s="39" t="s">
        <v>750</v>
      </c>
      <c r="V306" s="39" t="s">
        <v>750</v>
      </c>
      <c r="W306" s="39" t="s">
        <v>750</v>
      </c>
      <c r="X306" s="39" t="s">
        <v>750</v>
      </c>
    </row>
    <row r="307">
      <c r="A307" s="39" t="s">
        <v>739</v>
      </c>
      <c r="B307" s="39">
        <v>11594.0</v>
      </c>
      <c r="C307" s="39" t="s">
        <v>1411</v>
      </c>
      <c r="D307" s="39">
        <v>7.0</v>
      </c>
      <c r="F307" s="39">
        <v>11312.0</v>
      </c>
      <c r="G307" s="39" t="s">
        <v>1412</v>
      </c>
      <c r="H307" s="39">
        <v>1.0</v>
      </c>
      <c r="I307" s="39" t="s">
        <v>742</v>
      </c>
      <c r="J307" s="39" t="s">
        <v>743</v>
      </c>
      <c r="K307" s="39" t="s">
        <v>744</v>
      </c>
      <c r="L307" s="39" t="s">
        <v>1413</v>
      </c>
      <c r="M307" s="39" t="s">
        <v>746</v>
      </c>
      <c r="N307" s="39">
        <v>6.362884369E9</v>
      </c>
      <c r="O307" s="39" t="s">
        <v>748</v>
      </c>
      <c r="P307" s="39" t="s">
        <v>755</v>
      </c>
      <c r="Q307" s="39" t="s">
        <v>756</v>
      </c>
      <c r="R307" s="39" t="s">
        <v>1414</v>
      </c>
      <c r="S307" s="39" t="s">
        <v>750</v>
      </c>
      <c r="T307" s="39" t="s">
        <v>751</v>
      </c>
      <c r="U307" s="39" t="s">
        <v>751</v>
      </c>
      <c r="V307" s="39" t="s">
        <v>751</v>
      </c>
      <c r="W307" s="39" t="s">
        <v>751</v>
      </c>
      <c r="X307" s="39" t="s">
        <v>751</v>
      </c>
    </row>
    <row r="308">
      <c r="A308" s="39" t="s">
        <v>739</v>
      </c>
      <c r="B308" s="39">
        <v>11594.0</v>
      </c>
      <c r="C308" s="39" t="s">
        <v>1411</v>
      </c>
      <c r="D308" s="39">
        <v>7.0</v>
      </c>
      <c r="F308" s="39">
        <v>17218.0</v>
      </c>
      <c r="G308" s="39" t="s">
        <v>1415</v>
      </c>
      <c r="H308" s="39">
        <v>2.0</v>
      </c>
      <c r="I308" s="39" t="s">
        <v>775</v>
      </c>
      <c r="J308" s="39" t="s">
        <v>768</v>
      </c>
      <c r="K308" s="39" t="s">
        <v>744</v>
      </c>
      <c r="L308" s="39" t="s">
        <v>1416</v>
      </c>
      <c r="M308" s="39" t="s">
        <v>746</v>
      </c>
      <c r="N308" s="39" t="s">
        <v>755</v>
      </c>
      <c r="O308" s="39" t="s">
        <v>756</v>
      </c>
      <c r="P308" s="39" t="s">
        <v>755</v>
      </c>
      <c r="Q308" s="39" t="s">
        <v>756</v>
      </c>
      <c r="S308" s="39" t="s">
        <v>750</v>
      </c>
      <c r="T308" s="39" t="s">
        <v>750</v>
      </c>
      <c r="U308" s="39" t="s">
        <v>750</v>
      </c>
      <c r="V308" s="39" t="s">
        <v>750</v>
      </c>
      <c r="W308" s="39" t="s">
        <v>751</v>
      </c>
      <c r="X308" s="39" t="s">
        <v>751</v>
      </c>
    </row>
    <row r="309">
      <c r="A309" s="39" t="s">
        <v>739</v>
      </c>
      <c r="B309" s="39">
        <v>11594.0</v>
      </c>
      <c r="C309" s="39" t="s">
        <v>1411</v>
      </c>
      <c r="D309" s="39">
        <v>7.0</v>
      </c>
      <c r="F309" s="39">
        <v>13430.0</v>
      </c>
      <c r="G309" s="39" t="s">
        <v>1412</v>
      </c>
      <c r="H309" s="39">
        <v>3.0</v>
      </c>
      <c r="I309" s="39" t="s">
        <v>756</v>
      </c>
      <c r="K309" s="39" t="s">
        <v>744</v>
      </c>
      <c r="L309" s="39">
        <v>6.362884369E9</v>
      </c>
      <c r="M309" s="39" t="s">
        <v>805</v>
      </c>
      <c r="N309" s="39" t="s">
        <v>755</v>
      </c>
      <c r="O309" s="39" t="s">
        <v>756</v>
      </c>
      <c r="P309" s="39" t="s">
        <v>755</v>
      </c>
      <c r="Q309" s="39" t="s">
        <v>756</v>
      </c>
      <c r="R309" s="39" t="s">
        <v>1417</v>
      </c>
      <c r="S309" s="39" t="s">
        <v>750</v>
      </c>
      <c r="T309" s="39" t="s">
        <v>750</v>
      </c>
      <c r="U309" s="39" t="s">
        <v>750</v>
      </c>
      <c r="V309" s="39" t="s">
        <v>750</v>
      </c>
      <c r="W309" s="39" t="s">
        <v>750</v>
      </c>
      <c r="X309" s="39" t="s">
        <v>750</v>
      </c>
    </row>
    <row r="310">
      <c r="A310" s="39" t="s">
        <v>739</v>
      </c>
      <c r="B310" s="39">
        <v>11970.0</v>
      </c>
      <c r="C310" s="39" t="s">
        <v>1418</v>
      </c>
      <c r="D310" s="39">
        <v>6.0</v>
      </c>
      <c r="F310" s="39">
        <v>17492.0</v>
      </c>
      <c r="G310" s="39" t="s">
        <v>1419</v>
      </c>
      <c r="H310" s="39">
        <v>1.0</v>
      </c>
      <c r="I310" s="39" t="s">
        <v>742</v>
      </c>
      <c r="J310" s="39" t="s">
        <v>743</v>
      </c>
      <c r="K310" s="39" t="s">
        <v>744</v>
      </c>
      <c r="L310" s="39" t="s">
        <v>1420</v>
      </c>
      <c r="M310" s="39" t="s">
        <v>746</v>
      </c>
      <c r="N310" s="39" t="s">
        <v>755</v>
      </c>
      <c r="O310" s="39" t="s">
        <v>756</v>
      </c>
      <c r="P310" s="39" t="s">
        <v>755</v>
      </c>
      <c r="Q310" s="39" t="s">
        <v>756</v>
      </c>
      <c r="R310" s="39" t="s">
        <v>1421</v>
      </c>
      <c r="S310" s="39" t="s">
        <v>750</v>
      </c>
      <c r="T310" s="39" t="s">
        <v>751</v>
      </c>
      <c r="U310" s="39" t="s">
        <v>751</v>
      </c>
      <c r="V310" s="39" t="s">
        <v>750</v>
      </c>
      <c r="W310" s="39" t="s">
        <v>751</v>
      </c>
      <c r="X310" s="39" t="s">
        <v>751</v>
      </c>
    </row>
    <row r="311">
      <c r="A311" s="39" t="s">
        <v>739</v>
      </c>
      <c r="B311" s="39">
        <v>11970.0</v>
      </c>
      <c r="C311" s="39" t="s">
        <v>1418</v>
      </c>
      <c r="D311" s="39">
        <v>6.0</v>
      </c>
      <c r="F311" s="39">
        <v>17493.0</v>
      </c>
      <c r="G311" s="39" t="s">
        <v>1422</v>
      </c>
      <c r="H311" s="39">
        <v>2.0</v>
      </c>
      <c r="I311" s="39" t="s">
        <v>753</v>
      </c>
      <c r="J311" s="39" t="s">
        <v>754</v>
      </c>
      <c r="K311" s="39" t="s">
        <v>744</v>
      </c>
      <c r="L311" s="39" t="s">
        <v>1423</v>
      </c>
      <c r="M311" s="39" t="s">
        <v>746</v>
      </c>
      <c r="N311" s="39" t="s">
        <v>1424</v>
      </c>
      <c r="O311" s="39" t="s">
        <v>746</v>
      </c>
      <c r="P311" s="39" t="s">
        <v>755</v>
      </c>
      <c r="Q311" s="39" t="s">
        <v>756</v>
      </c>
      <c r="S311" s="39" t="s">
        <v>750</v>
      </c>
      <c r="T311" s="39" t="s">
        <v>751</v>
      </c>
      <c r="U311" s="39" t="s">
        <v>751</v>
      </c>
      <c r="V311" s="39" t="s">
        <v>750</v>
      </c>
      <c r="W311" s="39" t="s">
        <v>751</v>
      </c>
      <c r="X311" s="39" t="s">
        <v>751</v>
      </c>
    </row>
    <row r="312">
      <c r="A312" s="39" t="s">
        <v>739</v>
      </c>
      <c r="B312" s="39">
        <v>11127.0</v>
      </c>
      <c r="C312" s="39" t="s">
        <v>1425</v>
      </c>
      <c r="D312" s="39">
        <v>6.0</v>
      </c>
      <c r="F312" s="39">
        <v>7754.0</v>
      </c>
      <c r="G312" s="39" t="s">
        <v>1426</v>
      </c>
      <c r="H312" s="39">
        <v>1.0</v>
      </c>
      <c r="I312" s="39" t="s">
        <v>788</v>
      </c>
      <c r="J312" s="39" t="s">
        <v>803</v>
      </c>
      <c r="K312" s="39" t="s">
        <v>744</v>
      </c>
      <c r="L312" s="39" t="s">
        <v>1427</v>
      </c>
      <c r="M312" s="39" t="s">
        <v>746</v>
      </c>
      <c r="N312" s="39" t="s">
        <v>755</v>
      </c>
      <c r="O312" s="39" t="s">
        <v>756</v>
      </c>
      <c r="P312" s="39" t="s">
        <v>755</v>
      </c>
      <c r="Q312" s="39" t="s">
        <v>756</v>
      </c>
      <c r="R312" s="39" t="s">
        <v>1428</v>
      </c>
      <c r="S312" s="39" t="s">
        <v>750</v>
      </c>
      <c r="T312" s="39" t="s">
        <v>751</v>
      </c>
      <c r="U312" s="39" t="s">
        <v>751</v>
      </c>
      <c r="V312" s="39" t="s">
        <v>751</v>
      </c>
      <c r="W312" s="39" t="s">
        <v>751</v>
      </c>
      <c r="X312" s="39" t="s">
        <v>751</v>
      </c>
    </row>
    <row r="313">
      <c r="A313" s="39" t="s">
        <v>739</v>
      </c>
      <c r="B313" s="39">
        <v>11127.0</v>
      </c>
      <c r="C313" s="39" t="s">
        <v>1425</v>
      </c>
      <c r="D313" s="39">
        <v>6.0</v>
      </c>
      <c r="F313" s="39">
        <v>17902.0</v>
      </c>
      <c r="G313" s="39" t="s">
        <v>1429</v>
      </c>
      <c r="H313" s="39">
        <v>2.0</v>
      </c>
      <c r="I313" s="39" t="s">
        <v>788</v>
      </c>
      <c r="J313" s="39" t="s">
        <v>768</v>
      </c>
      <c r="K313" s="39" t="s">
        <v>744</v>
      </c>
      <c r="L313" s="39" t="s">
        <v>1430</v>
      </c>
      <c r="M313" s="39" t="s">
        <v>746</v>
      </c>
      <c r="N313" s="39" t="s">
        <v>755</v>
      </c>
      <c r="O313" s="39" t="s">
        <v>756</v>
      </c>
      <c r="P313" s="39" t="s">
        <v>755</v>
      </c>
      <c r="Q313" s="39" t="s">
        <v>756</v>
      </c>
      <c r="R313" s="39" t="s">
        <v>1431</v>
      </c>
      <c r="S313" s="39" t="s">
        <v>750</v>
      </c>
      <c r="T313" s="39" t="s">
        <v>750</v>
      </c>
      <c r="U313" s="39" t="s">
        <v>750</v>
      </c>
      <c r="V313" s="39" t="s">
        <v>750</v>
      </c>
      <c r="W313" s="39" t="s">
        <v>751</v>
      </c>
      <c r="X313" s="39" t="s">
        <v>751</v>
      </c>
    </row>
    <row r="314">
      <c r="A314" s="39" t="s">
        <v>739</v>
      </c>
      <c r="B314" s="39">
        <v>11127.0</v>
      </c>
      <c r="C314" s="39" t="s">
        <v>1425</v>
      </c>
      <c r="D314" s="39">
        <v>6.0</v>
      </c>
      <c r="F314" s="39">
        <v>13520.0</v>
      </c>
      <c r="G314" s="39" t="s">
        <v>889</v>
      </c>
      <c r="H314" s="39">
        <v>3.0</v>
      </c>
      <c r="I314" s="39" t="s">
        <v>756</v>
      </c>
      <c r="K314" s="39" t="s">
        <v>744</v>
      </c>
      <c r="L314" s="39" t="s">
        <v>755</v>
      </c>
      <c r="M314" s="39" t="s">
        <v>756</v>
      </c>
      <c r="N314" s="39" t="s">
        <v>755</v>
      </c>
      <c r="O314" s="39" t="s">
        <v>756</v>
      </c>
      <c r="P314" s="39" t="s">
        <v>755</v>
      </c>
      <c r="Q314" s="39" t="s">
        <v>756</v>
      </c>
      <c r="R314" s="39" t="s">
        <v>1432</v>
      </c>
      <c r="S314" s="39" t="s">
        <v>750</v>
      </c>
      <c r="T314" s="39" t="s">
        <v>750</v>
      </c>
      <c r="U314" s="39" t="s">
        <v>750</v>
      </c>
      <c r="V314" s="39" t="s">
        <v>750</v>
      </c>
      <c r="W314" s="39" t="s">
        <v>750</v>
      </c>
      <c r="X314" s="39" t="s">
        <v>750</v>
      </c>
    </row>
    <row r="315">
      <c r="A315" s="39" t="s">
        <v>739</v>
      </c>
      <c r="B315" s="39">
        <v>11127.0</v>
      </c>
      <c r="C315" s="39" t="s">
        <v>1425</v>
      </c>
      <c r="D315" s="39">
        <v>6.0</v>
      </c>
      <c r="F315" s="39">
        <v>16453.0</v>
      </c>
      <c r="G315" s="39" t="s">
        <v>1433</v>
      </c>
      <c r="H315" s="39">
        <v>4.0</v>
      </c>
      <c r="I315" s="39" t="s">
        <v>756</v>
      </c>
      <c r="K315" s="39" t="s">
        <v>744</v>
      </c>
      <c r="L315" s="39" t="s">
        <v>1434</v>
      </c>
      <c r="M315" s="39" t="s">
        <v>756</v>
      </c>
      <c r="N315" s="39" t="s">
        <v>755</v>
      </c>
      <c r="O315" s="39" t="s">
        <v>756</v>
      </c>
      <c r="P315" s="39" t="s">
        <v>755</v>
      </c>
      <c r="Q315" s="39" t="s">
        <v>756</v>
      </c>
      <c r="S315" s="39" t="s">
        <v>750</v>
      </c>
      <c r="T315" s="39" t="s">
        <v>750</v>
      </c>
      <c r="U315" s="39" t="s">
        <v>750</v>
      </c>
      <c r="V315" s="39" t="s">
        <v>750</v>
      </c>
      <c r="W315" s="39" t="s">
        <v>750</v>
      </c>
      <c r="X315" s="39" t="s">
        <v>750</v>
      </c>
    </row>
    <row r="316">
      <c r="A316" s="39" t="s">
        <v>739</v>
      </c>
      <c r="B316" s="39">
        <v>12047.0</v>
      </c>
      <c r="C316" s="39" t="s">
        <v>1435</v>
      </c>
      <c r="D316" s="39">
        <v>6.0</v>
      </c>
      <c r="F316" s="39">
        <v>17889.0</v>
      </c>
      <c r="G316" s="39" t="s">
        <v>1436</v>
      </c>
      <c r="H316" s="39">
        <v>1.0</v>
      </c>
      <c r="I316" s="39" t="s">
        <v>791</v>
      </c>
      <c r="J316" s="39" t="s">
        <v>768</v>
      </c>
      <c r="K316" s="39" t="s">
        <v>744</v>
      </c>
      <c r="L316" s="39" t="s">
        <v>1437</v>
      </c>
      <c r="M316" s="39" t="s">
        <v>746</v>
      </c>
      <c r="N316" s="39" t="s">
        <v>755</v>
      </c>
      <c r="O316" s="39" t="s">
        <v>756</v>
      </c>
      <c r="P316" s="39" t="s">
        <v>755</v>
      </c>
      <c r="Q316" s="39" t="s">
        <v>756</v>
      </c>
      <c r="R316" s="39" t="s">
        <v>1438</v>
      </c>
      <c r="S316" s="39" t="s">
        <v>750</v>
      </c>
      <c r="T316" s="39" t="s">
        <v>750</v>
      </c>
      <c r="U316" s="39" t="s">
        <v>751</v>
      </c>
      <c r="V316" s="39" t="s">
        <v>750</v>
      </c>
      <c r="W316" s="39" t="s">
        <v>751</v>
      </c>
      <c r="X316" s="39" t="s">
        <v>751</v>
      </c>
    </row>
    <row r="317">
      <c r="A317" s="39" t="s">
        <v>739</v>
      </c>
      <c r="B317" s="39">
        <v>12047.0</v>
      </c>
      <c r="C317" s="39" t="s">
        <v>1435</v>
      </c>
      <c r="D317" s="39">
        <v>6.0</v>
      </c>
      <c r="F317" s="39">
        <v>17890.0</v>
      </c>
      <c r="G317" s="39" t="s">
        <v>1439</v>
      </c>
      <c r="H317" s="39">
        <v>2.0</v>
      </c>
      <c r="I317" s="39" t="s">
        <v>753</v>
      </c>
      <c r="J317" s="39" t="s">
        <v>754</v>
      </c>
      <c r="K317" s="39" t="s">
        <v>744</v>
      </c>
      <c r="L317" s="39" t="s">
        <v>1440</v>
      </c>
      <c r="M317" s="39" t="s">
        <v>746</v>
      </c>
      <c r="N317" s="39" t="s">
        <v>755</v>
      </c>
      <c r="O317" s="39" t="s">
        <v>756</v>
      </c>
      <c r="P317" s="39" t="s">
        <v>755</v>
      </c>
      <c r="Q317" s="39" t="s">
        <v>756</v>
      </c>
      <c r="S317" s="39" t="s">
        <v>750</v>
      </c>
      <c r="T317" s="39" t="s">
        <v>751</v>
      </c>
      <c r="U317" s="39" t="s">
        <v>751</v>
      </c>
      <c r="V317" s="39" t="s">
        <v>751</v>
      </c>
      <c r="W317" s="39" t="s">
        <v>751</v>
      </c>
      <c r="X317" s="39" t="s">
        <v>751</v>
      </c>
    </row>
    <row r="318">
      <c r="A318" s="39" t="s">
        <v>739</v>
      </c>
      <c r="B318" s="39">
        <v>12047.0</v>
      </c>
      <c r="C318" s="39" t="s">
        <v>1435</v>
      </c>
      <c r="D318" s="39">
        <v>6.0</v>
      </c>
      <c r="F318" s="39">
        <v>7979.0</v>
      </c>
      <c r="G318" s="39" t="s">
        <v>1441</v>
      </c>
      <c r="H318" s="39">
        <v>3.0</v>
      </c>
      <c r="I318" s="39" t="s">
        <v>788</v>
      </c>
      <c r="J318" s="39" t="s">
        <v>771</v>
      </c>
      <c r="K318" s="39" t="s">
        <v>744</v>
      </c>
      <c r="L318" s="39" t="s">
        <v>1442</v>
      </c>
      <c r="M318" s="39" t="s">
        <v>746</v>
      </c>
      <c r="N318" s="39" t="s">
        <v>755</v>
      </c>
      <c r="O318" s="39" t="s">
        <v>756</v>
      </c>
      <c r="P318" s="39" t="s">
        <v>755</v>
      </c>
      <c r="Q318" s="39" t="s">
        <v>756</v>
      </c>
      <c r="R318" s="39" t="s">
        <v>1443</v>
      </c>
      <c r="S318" s="39" t="s">
        <v>750</v>
      </c>
      <c r="T318" s="39" t="s">
        <v>750</v>
      </c>
      <c r="U318" s="39" t="s">
        <v>750</v>
      </c>
      <c r="V318" s="39" t="s">
        <v>750</v>
      </c>
      <c r="W318" s="39" t="s">
        <v>751</v>
      </c>
      <c r="X318" s="39" t="s">
        <v>751</v>
      </c>
    </row>
    <row r="319">
      <c r="A319" s="39" t="s">
        <v>739</v>
      </c>
      <c r="B319" s="39">
        <v>11408.0</v>
      </c>
      <c r="C319" s="39" t="s">
        <v>1444</v>
      </c>
      <c r="D319" s="39">
        <v>7.0</v>
      </c>
      <c r="F319" s="39">
        <v>8157.0</v>
      </c>
      <c r="G319" s="39" t="s">
        <v>1445</v>
      </c>
      <c r="H319" s="39">
        <v>1.0</v>
      </c>
      <c r="I319" s="39" t="s">
        <v>742</v>
      </c>
      <c r="J319" s="39" t="s">
        <v>743</v>
      </c>
      <c r="K319" s="39" t="s">
        <v>744</v>
      </c>
      <c r="L319" s="39" t="s">
        <v>1446</v>
      </c>
      <c r="M319" s="39" t="s">
        <v>746</v>
      </c>
      <c r="N319" s="39" t="s">
        <v>755</v>
      </c>
      <c r="O319" s="39" t="s">
        <v>756</v>
      </c>
      <c r="P319" s="39" t="s">
        <v>755</v>
      </c>
      <c r="Q319" s="39" t="s">
        <v>756</v>
      </c>
      <c r="R319" s="39" t="s">
        <v>1447</v>
      </c>
      <c r="S319" s="39" t="s">
        <v>750</v>
      </c>
      <c r="T319" s="39" t="s">
        <v>751</v>
      </c>
      <c r="U319" s="39" t="s">
        <v>751</v>
      </c>
      <c r="V319" s="39" t="s">
        <v>751</v>
      </c>
      <c r="W319" s="39" t="s">
        <v>751</v>
      </c>
      <c r="X319" s="39" t="s">
        <v>751</v>
      </c>
    </row>
    <row r="320">
      <c r="A320" s="39" t="s">
        <v>739</v>
      </c>
      <c r="B320" s="39">
        <v>11408.0</v>
      </c>
      <c r="C320" s="39" t="s">
        <v>1444</v>
      </c>
      <c r="D320" s="39">
        <v>7.0</v>
      </c>
      <c r="F320" s="39">
        <v>17523.0</v>
      </c>
      <c r="G320" s="39" t="s">
        <v>1448</v>
      </c>
      <c r="H320" s="39">
        <v>2.0</v>
      </c>
      <c r="I320" s="39" t="s">
        <v>758</v>
      </c>
      <c r="J320" s="39" t="s">
        <v>768</v>
      </c>
      <c r="K320" s="39" t="s">
        <v>744</v>
      </c>
      <c r="L320" s="39" t="s">
        <v>1446</v>
      </c>
      <c r="M320" s="39" t="s">
        <v>746</v>
      </c>
      <c r="N320" s="39" t="s">
        <v>1449</v>
      </c>
      <c r="O320" s="39" t="s">
        <v>748</v>
      </c>
      <c r="P320" s="39" t="s">
        <v>755</v>
      </c>
      <c r="Q320" s="39" t="s">
        <v>756</v>
      </c>
      <c r="R320" s="39" t="s">
        <v>1450</v>
      </c>
      <c r="S320" s="39" t="s">
        <v>750</v>
      </c>
      <c r="T320" s="39" t="s">
        <v>750</v>
      </c>
      <c r="U320" s="39" t="s">
        <v>751</v>
      </c>
      <c r="V320" s="39" t="s">
        <v>750</v>
      </c>
      <c r="W320" s="39" t="s">
        <v>751</v>
      </c>
      <c r="X320" s="39" t="s">
        <v>751</v>
      </c>
    </row>
    <row r="321">
      <c r="A321" s="39" t="s">
        <v>739</v>
      </c>
      <c r="B321" s="39">
        <v>11408.0</v>
      </c>
      <c r="C321" s="39" t="s">
        <v>1444</v>
      </c>
      <c r="D321" s="39">
        <v>7.0</v>
      </c>
      <c r="F321" s="39">
        <v>13575.0</v>
      </c>
      <c r="G321" s="39" t="s">
        <v>889</v>
      </c>
      <c r="H321" s="39">
        <v>3.0</v>
      </c>
      <c r="I321" s="39" t="s">
        <v>756</v>
      </c>
      <c r="K321" s="39" t="s">
        <v>744</v>
      </c>
      <c r="L321" s="39" t="s">
        <v>755</v>
      </c>
      <c r="M321" s="39" t="s">
        <v>756</v>
      </c>
      <c r="N321" s="39" t="s">
        <v>755</v>
      </c>
      <c r="O321" s="39" t="s">
        <v>756</v>
      </c>
      <c r="P321" s="39" t="s">
        <v>755</v>
      </c>
      <c r="Q321" s="39" t="s">
        <v>756</v>
      </c>
      <c r="R321" s="39" t="s">
        <v>1447</v>
      </c>
      <c r="S321" s="39" t="s">
        <v>750</v>
      </c>
      <c r="T321" s="39" t="s">
        <v>750</v>
      </c>
      <c r="U321" s="39" t="s">
        <v>750</v>
      </c>
      <c r="V321" s="39" t="s">
        <v>750</v>
      </c>
      <c r="W321" s="39" t="s">
        <v>750</v>
      </c>
      <c r="X321" s="39" t="s">
        <v>750</v>
      </c>
    </row>
    <row r="322">
      <c r="A322" s="39" t="s">
        <v>739</v>
      </c>
      <c r="B322" s="39">
        <v>12033.0</v>
      </c>
      <c r="C322" s="39" t="s">
        <v>1451</v>
      </c>
      <c r="D322" s="39">
        <v>6.0</v>
      </c>
      <c r="F322" s="39">
        <v>17789.0</v>
      </c>
      <c r="G322" s="39" t="s">
        <v>1452</v>
      </c>
      <c r="H322" s="39">
        <v>1.0</v>
      </c>
      <c r="I322" s="39" t="s">
        <v>753</v>
      </c>
      <c r="J322" s="39" t="s">
        <v>754</v>
      </c>
      <c r="K322" s="39" t="s">
        <v>744</v>
      </c>
      <c r="L322" s="39" t="s">
        <v>1453</v>
      </c>
      <c r="M322" s="39" t="s">
        <v>748</v>
      </c>
      <c r="N322" s="39" t="s">
        <v>1454</v>
      </c>
      <c r="O322" s="39" t="s">
        <v>748</v>
      </c>
      <c r="P322" s="39" t="s">
        <v>755</v>
      </c>
      <c r="Q322" s="39" t="s">
        <v>756</v>
      </c>
      <c r="R322" s="39" t="s">
        <v>1455</v>
      </c>
      <c r="S322" s="39" t="s">
        <v>750</v>
      </c>
      <c r="T322" s="39" t="s">
        <v>751</v>
      </c>
      <c r="U322" s="39" t="s">
        <v>750</v>
      </c>
      <c r="V322" s="39" t="s">
        <v>750</v>
      </c>
      <c r="W322" s="39" t="s">
        <v>751</v>
      </c>
      <c r="X322" s="39" t="s">
        <v>751</v>
      </c>
    </row>
    <row r="323">
      <c r="A323" s="39" t="s">
        <v>739</v>
      </c>
      <c r="B323" s="39">
        <v>12033.0</v>
      </c>
      <c r="C323" s="39" t="s">
        <v>1451</v>
      </c>
      <c r="D323" s="39">
        <v>6.0</v>
      </c>
      <c r="F323" s="39">
        <v>17790.0</v>
      </c>
      <c r="G323" s="39" t="s">
        <v>1456</v>
      </c>
      <c r="H323" s="39">
        <v>2.0</v>
      </c>
      <c r="I323" s="39" t="s">
        <v>775</v>
      </c>
      <c r="J323" s="39" t="s">
        <v>768</v>
      </c>
      <c r="K323" s="39" t="s">
        <v>744</v>
      </c>
      <c r="L323" s="39" t="s">
        <v>1457</v>
      </c>
      <c r="M323" s="39" t="s">
        <v>746</v>
      </c>
      <c r="N323" s="39" t="s">
        <v>755</v>
      </c>
      <c r="O323" s="39" t="s">
        <v>756</v>
      </c>
      <c r="P323" s="39" t="s">
        <v>755</v>
      </c>
      <c r="Q323" s="39" t="s">
        <v>756</v>
      </c>
      <c r="S323" s="39" t="s">
        <v>750</v>
      </c>
      <c r="T323" s="39" t="s">
        <v>750</v>
      </c>
      <c r="U323" s="39" t="s">
        <v>751</v>
      </c>
      <c r="V323" s="39" t="s">
        <v>751</v>
      </c>
      <c r="W323" s="39" t="s">
        <v>751</v>
      </c>
      <c r="X323" s="39" t="s">
        <v>751</v>
      </c>
    </row>
    <row r="324">
      <c r="A324" s="39" t="s">
        <v>739</v>
      </c>
      <c r="B324" s="39">
        <v>11851.0</v>
      </c>
      <c r="C324" s="39" t="s">
        <v>1458</v>
      </c>
      <c r="D324" s="39">
        <v>7.0</v>
      </c>
      <c r="F324" s="39">
        <v>15652.0</v>
      </c>
      <c r="G324" s="39" t="s">
        <v>1459</v>
      </c>
      <c r="H324" s="39">
        <v>1.0</v>
      </c>
      <c r="I324" s="39" t="s">
        <v>791</v>
      </c>
      <c r="J324" s="39" t="s">
        <v>803</v>
      </c>
      <c r="K324" s="39" t="s">
        <v>744</v>
      </c>
      <c r="L324" s="39" t="s">
        <v>1460</v>
      </c>
      <c r="M324" s="39" t="s">
        <v>746</v>
      </c>
      <c r="N324" s="39" t="s">
        <v>755</v>
      </c>
      <c r="O324" s="39" t="s">
        <v>756</v>
      </c>
      <c r="P324" s="39" t="s">
        <v>755</v>
      </c>
      <c r="Q324" s="39" t="s">
        <v>756</v>
      </c>
      <c r="R324" s="39" t="s">
        <v>1461</v>
      </c>
      <c r="S324" s="39" t="s">
        <v>750</v>
      </c>
      <c r="T324" s="39" t="s">
        <v>751</v>
      </c>
      <c r="U324" s="39" t="s">
        <v>751</v>
      </c>
      <c r="V324" s="39" t="s">
        <v>750</v>
      </c>
      <c r="W324" s="39" t="s">
        <v>751</v>
      </c>
      <c r="X324" s="39" t="s">
        <v>751</v>
      </c>
    </row>
    <row r="325">
      <c r="A325" s="39" t="s">
        <v>739</v>
      </c>
      <c r="B325" s="39">
        <v>11851.0</v>
      </c>
      <c r="C325" s="39" t="s">
        <v>1458</v>
      </c>
      <c r="D325" s="39">
        <v>7.0</v>
      </c>
      <c r="F325" s="39">
        <v>15653.0</v>
      </c>
      <c r="G325" s="39" t="s">
        <v>1462</v>
      </c>
      <c r="H325" s="39">
        <v>2.0</v>
      </c>
      <c r="I325" s="39" t="s">
        <v>760</v>
      </c>
      <c r="J325" s="39" t="s">
        <v>768</v>
      </c>
      <c r="K325" s="39" t="s">
        <v>744</v>
      </c>
      <c r="L325" s="39" t="s">
        <v>1463</v>
      </c>
      <c r="M325" s="39" t="s">
        <v>746</v>
      </c>
      <c r="N325" s="39" t="s">
        <v>755</v>
      </c>
      <c r="O325" s="39" t="s">
        <v>756</v>
      </c>
      <c r="P325" s="39" t="s">
        <v>755</v>
      </c>
      <c r="Q325" s="39" t="s">
        <v>756</v>
      </c>
      <c r="S325" s="39" t="s">
        <v>750</v>
      </c>
      <c r="T325" s="39" t="s">
        <v>750</v>
      </c>
      <c r="U325" s="39" t="s">
        <v>750</v>
      </c>
      <c r="V325" s="39" t="s">
        <v>750</v>
      </c>
      <c r="W325" s="39" t="s">
        <v>751</v>
      </c>
      <c r="X325" s="39" t="s">
        <v>751</v>
      </c>
    </row>
    <row r="326">
      <c r="A326" s="39" t="s">
        <v>739</v>
      </c>
      <c r="B326" s="39">
        <v>11851.0</v>
      </c>
      <c r="C326" s="39" t="s">
        <v>1458</v>
      </c>
      <c r="D326" s="39">
        <v>7.0</v>
      </c>
      <c r="F326" s="39">
        <v>15654.0</v>
      </c>
      <c r="G326" s="39" t="s">
        <v>1464</v>
      </c>
      <c r="H326" s="39">
        <v>3.0</v>
      </c>
      <c r="I326" s="39" t="s">
        <v>775</v>
      </c>
      <c r="J326" s="39" t="s">
        <v>771</v>
      </c>
      <c r="K326" s="39" t="s">
        <v>744</v>
      </c>
      <c r="L326" s="39" t="s">
        <v>1465</v>
      </c>
      <c r="M326" s="39" t="s">
        <v>746</v>
      </c>
      <c r="N326" s="39" t="s">
        <v>755</v>
      </c>
      <c r="O326" s="39" t="s">
        <v>756</v>
      </c>
      <c r="P326" s="39" t="s">
        <v>755</v>
      </c>
      <c r="Q326" s="39" t="s">
        <v>756</v>
      </c>
      <c r="S326" s="39" t="s">
        <v>750</v>
      </c>
      <c r="T326" s="39" t="s">
        <v>750</v>
      </c>
      <c r="U326" s="39" t="s">
        <v>751</v>
      </c>
      <c r="V326" s="39" t="s">
        <v>750</v>
      </c>
      <c r="W326" s="39" t="s">
        <v>751</v>
      </c>
      <c r="X326" s="39" t="s">
        <v>751</v>
      </c>
    </row>
    <row r="327">
      <c r="A327" s="39" t="s">
        <v>739</v>
      </c>
      <c r="B327" s="39">
        <v>11440.0</v>
      </c>
      <c r="C327" s="39" t="s">
        <v>1466</v>
      </c>
      <c r="D327" s="39">
        <v>7.0</v>
      </c>
      <c r="F327" s="39">
        <v>8559.0</v>
      </c>
      <c r="G327" s="39" t="s">
        <v>1371</v>
      </c>
      <c r="H327" s="39">
        <v>1.0</v>
      </c>
      <c r="I327" s="39" t="s">
        <v>742</v>
      </c>
      <c r="K327" s="39" t="s">
        <v>744</v>
      </c>
      <c r="L327" s="39" t="s">
        <v>1372</v>
      </c>
      <c r="M327" s="39" t="s">
        <v>746</v>
      </c>
      <c r="N327" s="39" t="s">
        <v>755</v>
      </c>
      <c r="O327" s="39" t="s">
        <v>756</v>
      </c>
      <c r="P327" s="39" t="s">
        <v>755</v>
      </c>
      <c r="Q327" s="39" t="s">
        <v>756</v>
      </c>
      <c r="R327" s="39" t="s">
        <v>1373</v>
      </c>
      <c r="S327" s="39" t="s">
        <v>750</v>
      </c>
      <c r="T327" s="39" t="s">
        <v>751</v>
      </c>
      <c r="U327" s="39" t="s">
        <v>751</v>
      </c>
      <c r="V327" s="39" t="s">
        <v>750</v>
      </c>
      <c r="W327" s="39" t="s">
        <v>751</v>
      </c>
      <c r="X327" s="39" t="s">
        <v>751</v>
      </c>
    </row>
    <row r="328">
      <c r="A328" s="39" t="s">
        <v>739</v>
      </c>
      <c r="B328" s="39">
        <v>11440.0</v>
      </c>
      <c r="C328" s="39" t="s">
        <v>1466</v>
      </c>
      <c r="D328" s="39">
        <v>7.0</v>
      </c>
      <c r="F328" s="39">
        <v>17138.0</v>
      </c>
      <c r="G328" s="39" t="s">
        <v>1374</v>
      </c>
      <c r="H328" s="39">
        <v>2.0</v>
      </c>
      <c r="I328" s="39" t="s">
        <v>775</v>
      </c>
      <c r="J328" s="39" t="s">
        <v>768</v>
      </c>
      <c r="K328" s="39" t="s">
        <v>744</v>
      </c>
      <c r="L328" s="39" t="s">
        <v>1375</v>
      </c>
      <c r="M328" s="39" t="s">
        <v>746</v>
      </c>
      <c r="N328" s="39" t="s">
        <v>755</v>
      </c>
      <c r="O328" s="39" t="s">
        <v>756</v>
      </c>
      <c r="P328" s="39" t="s">
        <v>755</v>
      </c>
      <c r="Q328" s="39" t="s">
        <v>756</v>
      </c>
      <c r="R328" s="39" t="s">
        <v>1376</v>
      </c>
      <c r="S328" s="39" t="s">
        <v>750</v>
      </c>
      <c r="T328" s="39" t="s">
        <v>750</v>
      </c>
      <c r="U328" s="39" t="s">
        <v>751</v>
      </c>
      <c r="V328" s="39" t="s">
        <v>750</v>
      </c>
      <c r="W328" s="39" t="s">
        <v>751</v>
      </c>
      <c r="X328" s="39" t="s">
        <v>751</v>
      </c>
    </row>
    <row r="329">
      <c r="A329" s="39" t="s">
        <v>739</v>
      </c>
      <c r="B329" s="39">
        <v>11743.0</v>
      </c>
      <c r="C329" s="39" t="s">
        <v>1467</v>
      </c>
      <c r="D329" s="39">
        <v>6.0</v>
      </c>
      <c r="F329" s="39">
        <v>6059.0</v>
      </c>
      <c r="G329" s="39" t="s">
        <v>1468</v>
      </c>
      <c r="H329" s="39">
        <v>1.0</v>
      </c>
      <c r="I329" s="39" t="s">
        <v>742</v>
      </c>
      <c r="J329" s="39" t="s">
        <v>743</v>
      </c>
      <c r="K329" s="39" t="s">
        <v>744</v>
      </c>
      <c r="L329" s="39" t="s">
        <v>1469</v>
      </c>
      <c r="M329" s="39" t="s">
        <v>746</v>
      </c>
      <c r="N329" s="39" t="s">
        <v>755</v>
      </c>
      <c r="O329" s="39" t="s">
        <v>756</v>
      </c>
      <c r="P329" s="39" t="s">
        <v>755</v>
      </c>
      <c r="Q329" s="39" t="s">
        <v>756</v>
      </c>
      <c r="R329" s="39" t="s">
        <v>1470</v>
      </c>
      <c r="S329" s="39" t="s">
        <v>750</v>
      </c>
      <c r="T329" s="39" t="s">
        <v>751</v>
      </c>
      <c r="U329" s="39" t="s">
        <v>751</v>
      </c>
      <c r="V329" s="39" t="s">
        <v>751</v>
      </c>
      <c r="W329" s="39" t="s">
        <v>751</v>
      </c>
      <c r="X329" s="39" t="s">
        <v>751</v>
      </c>
    </row>
    <row r="330">
      <c r="A330" s="39" t="s">
        <v>739</v>
      </c>
      <c r="B330" s="39">
        <v>11743.0</v>
      </c>
      <c r="C330" s="39" t="s">
        <v>1467</v>
      </c>
      <c r="D330" s="39">
        <v>6.0</v>
      </c>
      <c r="F330" s="39">
        <v>17216.0</v>
      </c>
      <c r="G330" s="39" t="s">
        <v>1471</v>
      </c>
      <c r="H330" s="39">
        <v>2.0</v>
      </c>
      <c r="I330" s="39" t="s">
        <v>775</v>
      </c>
      <c r="J330" s="39" t="s">
        <v>768</v>
      </c>
      <c r="K330" s="39" t="s">
        <v>744</v>
      </c>
      <c r="L330" s="39" t="s">
        <v>1472</v>
      </c>
      <c r="M330" s="39" t="s">
        <v>746</v>
      </c>
      <c r="N330" s="39" t="s">
        <v>755</v>
      </c>
      <c r="O330" s="39" t="s">
        <v>756</v>
      </c>
      <c r="P330" s="39" t="s">
        <v>755</v>
      </c>
      <c r="Q330" s="39" t="s">
        <v>756</v>
      </c>
      <c r="S330" s="39" t="s">
        <v>750</v>
      </c>
      <c r="T330" s="39" t="s">
        <v>750</v>
      </c>
      <c r="U330" s="39" t="s">
        <v>750</v>
      </c>
      <c r="V330" s="39" t="s">
        <v>750</v>
      </c>
      <c r="W330" s="39" t="s">
        <v>751</v>
      </c>
      <c r="X330" s="39" t="s">
        <v>751</v>
      </c>
    </row>
    <row r="331">
      <c r="A331" s="39" t="s">
        <v>739</v>
      </c>
      <c r="B331" s="39">
        <v>11743.0</v>
      </c>
      <c r="C331" s="39" t="s">
        <v>1467</v>
      </c>
      <c r="D331" s="39">
        <v>6.0</v>
      </c>
      <c r="F331" s="39">
        <v>13221.0</v>
      </c>
      <c r="G331" s="39" t="s">
        <v>1468</v>
      </c>
      <c r="H331" s="39">
        <v>3.0</v>
      </c>
      <c r="I331" s="39" t="s">
        <v>756</v>
      </c>
      <c r="K331" s="39" t="s">
        <v>744</v>
      </c>
      <c r="L331" s="39">
        <v>3.143584394E9</v>
      </c>
      <c r="M331" s="39" t="s">
        <v>805</v>
      </c>
      <c r="N331" s="39" t="s">
        <v>755</v>
      </c>
      <c r="O331" s="39" t="s">
        <v>756</v>
      </c>
      <c r="P331" s="39" t="s">
        <v>755</v>
      </c>
      <c r="Q331" s="39" t="s">
        <v>756</v>
      </c>
      <c r="R331" s="39" t="s">
        <v>1470</v>
      </c>
      <c r="S331" s="39" t="s">
        <v>750</v>
      </c>
      <c r="T331" s="39" t="s">
        <v>751</v>
      </c>
      <c r="U331" s="39" t="s">
        <v>750</v>
      </c>
      <c r="V331" s="39" t="s">
        <v>750</v>
      </c>
      <c r="W331" s="39" t="s">
        <v>750</v>
      </c>
      <c r="X331" s="39" t="s">
        <v>750</v>
      </c>
    </row>
    <row r="332">
      <c r="A332" s="39" t="s">
        <v>739</v>
      </c>
      <c r="B332" s="39">
        <v>11566.0</v>
      </c>
      <c r="C332" s="39" t="s">
        <v>1473</v>
      </c>
      <c r="D332" s="39">
        <v>6.0</v>
      </c>
      <c r="F332" s="39">
        <v>531.0</v>
      </c>
      <c r="G332" s="39" t="s">
        <v>1474</v>
      </c>
      <c r="H332" s="39">
        <v>1.0</v>
      </c>
      <c r="I332" s="39" t="s">
        <v>742</v>
      </c>
      <c r="J332" s="39" t="s">
        <v>743</v>
      </c>
      <c r="K332" s="39" t="s">
        <v>744</v>
      </c>
      <c r="L332" s="39" t="s">
        <v>1475</v>
      </c>
      <c r="M332" s="39" t="s">
        <v>746</v>
      </c>
      <c r="N332" s="39" t="s">
        <v>1476</v>
      </c>
      <c r="O332" s="39" t="s">
        <v>746</v>
      </c>
      <c r="P332" s="39" t="s">
        <v>755</v>
      </c>
      <c r="Q332" s="39" t="s">
        <v>756</v>
      </c>
      <c r="R332" s="39" t="s">
        <v>1477</v>
      </c>
      <c r="S332" s="39" t="s">
        <v>750</v>
      </c>
      <c r="T332" s="39" t="s">
        <v>751</v>
      </c>
      <c r="U332" s="39" t="s">
        <v>751</v>
      </c>
      <c r="V332" s="39" t="s">
        <v>751</v>
      </c>
      <c r="W332" s="39" t="s">
        <v>751</v>
      </c>
      <c r="X332" s="39" t="s">
        <v>751</v>
      </c>
    </row>
    <row r="333">
      <c r="A333" s="39" t="s">
        <v>739</v>
      </c>
      <c r="B333" s="39">
        <v>11649.0</v>
      </c>
      <c r="C333" s="39" t="s">
        <v>1478</v>
      </c>
      <c r="D333" s="39">
        <v>6.0</v>
      </c>
      <c r="F333" s="39">
        <v>11425.0</v>
      </c>
      <c r="G333" s="39" t="s">
        <v>1479</v>
      </c>
      <c r="H333" s="39">
        <v>1.0</v>
      </c>
      <c r="I333" s="39" t="s">
        <v>742</v>
      </c>
      <c r="K333" s="39" t="s">
        <v>744</v>
      </c>
      <c r="L333" s="39">
        <v>3.143619387E9</v>
      </c>
      <c r="M333" s="39" t="s">
        <v>748</v>
      </c>
      <c r="N333" s="39" t="s">
        <v>755</v>
      </c>
      <c r="O333" s="39" t="s">
        <v>756</v>
      </c>
      <c r="P333" s="39" t="s">
        <v>755</v>
      </c>
      <c r="Q333" s="39" t="s">
        <v>756</v>
      </c>
      <c r="R333" s="39" t="s">
        <v>1480</v>
      </c>
      <c r="S333" s="39" t="s">
        <v>750</v>
      </c>
      <c r="T333" s="39" t="s">
        <v>751</v>
      </c>
      <c r="U333" s="39" t="s">
        <v>751</v>
      </c>
      <c r="V333" s="39" t="s">
        <v>750</v>
      </c>
      <c r="W333" s="39" t="s">
        <v>750</v>
      </c>
      <c r="X333" s="39" t="s">
        <v>751</v>
      </c>
    </row>
    <row r="334">
      <c r="A334" s="39" t="s">
        <v>739</v>
      </c>
      <c r="B334" s="39">
        <v>11649.0</v>
      </c>
      <c r="C334" s="39" t="s">
        <v>1478</v>
      </c>
      <c r="D334" s="39">
        <v>6.0</v>
      </c>
      <c r="F334" s="39">
        <v>11426.0</v>
      </c>
      <c r="G334" s="39" t="s">
        <v>1481</v>
      </c>
      <c r="H334" s="39">
        <v>2.0</v>
      </c>
      <c r="I334" s="39" t="s">
        <v>758</v>
      </c>
      <c r="K334" s="39" t="s">
        <v>744</v>
      </c>
      <c r="L334" s="39">
        <v>3.14740072E9</v>
      </c>
      <c r="M334" s="39" t="s">
        <v>746</v>
      </c>
      <c r="N334" s="39" t="s">
        <v>755</v>
      </c>
      <c r="O334" s="39" t="s">
        <v>756</v>
      </c>
      <c r="P334" s="39" t="s">
        <v>755</v>
      </c>
      <c r="Q334" s="39" t="s">
        <v>756</v>
      </c>
      <c r="R334" s="39" t="s">
        <v>1482</v>
      </c>
      <c r="S334" s="39" t="s">
        <v>750</v>
      </c>
      <c r="T334" s="39" t="s">
        <v>750</v>
      </c>
      <c r="U334" s="39" t="s">
        <v>750</v>
      </c>
      <c r="V334" s="39" t="s">
        <v>750</v>
      </c>
      <c r="W334" s="39" t="s">
        <v>751</v>
      </c>
      <c r="X334" s="39" t="s">
        <v>751</v>
      </c>
    </row>
    <row r="335">
      <c r="A335" s="39" t="s">
        <v>739</v>
      </c>
      <c r="B335" s="39">
        <v>11649.0</v>
      </c>
      <c r="C335" s="39" t="s">
        <v>1478</v>
      </c>
      <c r="D335" s="39">
        <v>6.0</v>
      </c>
      <c r="F335" s="39">
        <v>11427.0</v>
      </c>
      <c r="G335" s="39" t="s">
        <v>1483</v>
      </c>
      <c r="H335" s="39">
        <v>3.0</v>
      </c>
      <c r="I335" s="39" t="s">
        <v>788</v>
      </c>
      <c r="K335" s="39" t="s">
        <v>744</v>
      </c>
      <c r="L335" s="39">
        <v>3.145468836E9</v>
      </c>
      <c r="M335" s="39" t="s">
        <v>746</v>
      </c>
      <c r="N335" s="39" t="s">
        <v>755</v>
      </c>
      <c r="O335" s="39" t="s">
        <v>756</v>
      </c>
      <c r="P335" s="39" t="s">
        <v>755</v>
      </c>
      <c r="Q335" s="39" t="s">
        <v>756</v>
      </c>
      <c r="S335" s="39" t="s">
        <v>750</v>
      </c>
      <c r="T335" s="39" t="s">
        <v>750</v>
      </c>
      <c r="U335" s="39" t="s">
        <v>750</v>
      </c>
      <c r="V335" s="39" t="s">
        <v>750</v>
      </c>
      <c r="W335" s="39" t="s">
        <v>751</v>
      </c>
      <c r="X335" s="39" t="s">
        <v>751</v>
      </c>
    </row>
    <row r="336">
      <c r="A336" s="39" t="s">
        <v>739</v>
      </c>
      <c r="B336" s="39">
        <v>11649.0</v>
      </c>
      <c r="C336" s="39" t="s">
        <v>1478</v>
      </c>
      <c r="D336" s="39">
        <v>6.0</v>
      </c>
      <c r="F336" s="39">
        <v>11428.0</v>
      </c>
      <c r="G336" s="39" t="s">
        <v>1484</v>
      </c>
      <c r="H336" s="39">
        <v>4.0</v>
      </c>
      <c r="I336" s="39" t="s">
        <v>791</v>
      </c>
      <c r="K336" s="39" t="s">
        <v>744</v>
      </c>
      <c r="L336" s="39">
        <v>3.143332793E9</v>
      </c>
      <c r="M336" s="39" t="s">
        <v>746</v>
      </c>
      <c r="N336" s="39" t="s">
        <v>755</v>
      </c>
      <c r="O336" s="39" t="s">
        <v>756</v>
      </c>
      <c r="P336" s="39" t="s">
        <v>755</v>
      </c>
      <c r="Q336" s="39" t="s">
        <v>756</v>
      </c>
      <c r="S336" s="39" t="s">
        <v>750</v>
      </c>
      <c r="T336" s="39" t="s">
        <v>750</v>
      </c>
      <c r="U336" s="39" t="s">
        <v>750</v>
      </c>
      <c r="V336" s="39" t="s">
        <v>750</v>
      </c>
      <c r="W336" s="39" t="s">
        <v>751</v>
      </c>
      <c r="X336" s="39" t="s">
        <v>751</v>
      </c>
    </row>
    <row r="337">
      <c r="A337" s="39" t="s">
        <v>739</v>
      </c>
      <c r="B337" s="39">
        <v>11154.0</v>
      </c>
      <c r="C337" s="39" t="s">
        <v>1485</v>
      </c>
      <c r="D337" s="39">
        <v>8.0</v>
      </c>
      <c r="F337" s="39">
        <v>7794.0</v>
      </c>
      <c r="G337" s="39" t="s">
        <v>1486</v>
      </c>
      <c r="H337" s="39">
        <v>1.0</v>
      </c>
      <c r="I337" s="39" t="s">
        <v>742</v>
      </c>
      <c r="J337" s="39" t="s">
        <v>743</v>
      </c>
      <c r="K337" s="39" t="s">
        <v>744</v>
      </c>
      <c r="L337" s="39" t="s">
        <v>1487</v>
      </c>
      <c r="M337" s="39" t="s">
        <v>746</v>
      </c>
      <c r="N337" s="39" t="s">
        <v>1488</v>
      </c>
      <c r="O337" s="39" t="s">
        <v>807</v>
      </c>
      <c r="P337" s="39" t="s">
        <v>755</v>
      </c>
      <c r="Q337" s="39" t="s">
        <v>756</v>
      </c>
      <c r="R337" s="39" t="s">
        <v>1489</v>
      </c>
      <c r="S337" s="39" t="s">
        <v>750</v>
      </c>
      <c r="T337" s="39" t="s">
        <v>751</v>
      </c>
      <c r="U337" s="39" t="s">
        <v>750</v>
      </c>
      <c r="V337" s="39" t="s">
        <v>750</v>
      </c>
      <c r="W337" s="39" t="s">
        <v>750</v>
      </c>
      <c r="X337" s="39" t="s">
        <v>750</v>
      </c>
    </row>
    <row r="338">
      <c r="A338" s="39" t="s">
        <v>739</v>
      </c>
      <c r="B338" s="39">
        <v>11154.0</v>
      </c>
      <c r="C338" s="39" t="s">
        <v>1485</v>
      </c>
      <c r="D338" s="39">
        <v>8.0</v>
      </c>
      <c r="F338" s="39">
        <v>7795.0</v>
      </c>
      <c r="G338" s="39" t="s">
        <v>1490</v>
      </c>
      <c r="H338" s="39">
        <v>2.0</v>
      </c>
      <c r="I338" s="39" t="s">
        <v>753</v>
      </c>
      <c r="K338" s="39" t="s">
        <v>744</v>
      </c>
      <c r="L338" s="39">
        <v>3.146371659E9</v>
      </c>
      <c r="M338" s="39" t="s">
        <v>746</v>
      </c>
      <c r="N338" s="39" t="s">
        <v>755</v>
      </c>
      <c r="O338" s="39" t="s">
        <v>756</v>
      </c>
      <c r="P338" s="39" t="s">
        <v>755</v>
      </c>
      <c r="Q338" s="39" t="s">
        <v>756</v>
      </c>
      <c r="S338" s="39" t="s">
        <v>750</v>
      </c>
      <c r="T338" s="39" t="s">
        <v>750</v>
      </c>
      <c r="U338" s="39" t="s">
        <v>750</v>
      </c>
      <c r="V338" s="39" t="s">
        <v>750</v>
      </c>
      <c r="W338" s="39" t="s">
        <v>750</v>
      </c>
      <c r="X338" s="39" t="s">
        <v>750</v>
      </c>
    </row>
    <row r="339">
      <c r="A339" s="39" t="s">
        <v>739</v>
      </c>
      <c r="B339" s="39">
        <v>11154.0</v>
      </c>
      <c r="C339" s="39" t="s">
        <v>1485</v>
      </c>
      <c r="D339" s="39">
        <v>8.0</v>
      </c>
      <c r="F339" s="39">
        <v>13538.0</v>
      </c>
      <c r="G339" s="39" t="s">
        <v>889</v>
      </c>
      <c r="H339" s="39">
        <v>3.0</v>
      </c>
      <c r="I339" s="39" t="s">
        <v>756</v>
      </c>
      <c r="K339" s="39" t="s">
        <v>744</v>
      </c>
      <c r="L339" s="39" t="s">
        <v>755</v>
      </c>
      <c r="M339" s="39" t="s">
        <v>756</v>
      </c>
      <c r="N339" s="39" t="s">
        <v>755</v>
      </c>
      <c r="O339" s="39" t="s">
        <v>756</v>
      </c>
      <c r="P339" s="39" t="s">
        <v>755</v>
      </c>
      <c r="Q339" s="39" t="s">
        <v>756</v>
      </c>
      <c r="R339" s="39" t="s">
        <v>1489</v>
      </c>
      <c r="S339" s="39" t="s">
        <v>750</v>
      </c>
      <c r="T339" s="39" t="s">
        <v>750</v>
      </c>
      <c r="U339" s="39" t="s">
        <v>750</v>
      </c>
      <c r="V339" s="39" t="s">
        <v>750</v>
      </c>
      <c r="W339" s="39" t="s">
        <v>750</v>
      </c>
      <c r="X339" s="39" t="s">
        <v>750</v>
      </c>
    </row>
    <row r="340">
      <c r="A340" s="39" t="s">
        <v>739</v>
      </c>
      <c r="B340" s="39">
        <v>11753.0</v>
      </c>
      <c r="C340" s="39" t="s">
        <v>1491</v>
      </c>
      <c r="D340" s="39">
        <v>6.0</v>
      </c>
      <c r="F340" s="39">
        <v>11785.0</v>
      </c>
      <c r="G340" s="39" t="s">
        <v>1492</v>
      </c>
      <c r="H340" s="39">
        <v>1.0</v>
      </c>
      <c r="I340" s="39" t="s">
        <v>742</v>
      </c>
      <c r="J340" s="39" t="s">
        <v>743</v>
      </c>
      <c r="K340" s="39" t="s">
        <v>744</v>
      </c>
      <c r="L340" s="39" t="s">
        <v>1493</v>
      </c>
      <c r="M340" s="39" t="s">
        <v>746</v>
      </c>
      <c r="N340" s="39">
        <v>3.145366947E9</v>
      </c>
      <c r="O340" s="39" t="s">
        <v>748</v>
      </c>
      <c r="P340" s="39" t="s">
        <v>755</v>
      </c>
      <c r="Q340" s="39" t="s">
        <v>756</v>
      </c>
      <c r="R340" s="39" t="s">
        <v>1494</v>
      </c>
      <c r="S340" s="39" t="s">
        <v>750</v>
      </c>
      <c r="T340" s="39" t="s">
        <v>751</v>
      </c>
      <c r="U340" s="39" t="s">
        <v>751</v>
      </c>
      <c r="V340" s="39" t="s">
        <v>751</v>
      </c>
      <c r="W340" s="39" t="s">
        <v>751</v>
      </c>
      <c r="X340" s="39" t="s">
        <v>751</v>
      </c>
    </row>
    <row r="341">
      <c r="A341" s="39" t="s">
        <v>739</v>
      </c>
      <c r="B341" s="39">
        <v>11753.0</v>
      </c>
      <c r="C341" s="39" t="s">
        <v>1491</v>
      </c>
      <c r="D341" s="39">
        <v>6.0</v>
      </c>
      <c r="F341" s="39">
        <v>11787.0</v>
      </c>
      <c r="G341" s="39" t="s">
        <v>1495</v>
      </c>
      <c r="H341" s="39">
        <v>2.0</v>
      </c>
      <c r="I341" s="39" t="s">
        <v>753</v>
      </c>
      <c r="J341" s="39" t="s">
        <v>754</v>
      </c>
      <c r="K341" s="39" t="s">
        <v>744</v>
      </c>
      <c r="L341" s="39" t="s">
        <v>1496</v>
      </c>
      <c r="M341" s="39" t="s">
        <v>746</v>
      </c>
      <c r="N341" s="39" t="s">
        <v>755</v>
      </c>
      <c r="O341" s="39" t="s">
        <v>756</v>
      </c>
      <c r="P341" s="39" t="s">
        <v>755</v>
      </c>
      <c r="Q341" s="39" t="s">
        <v>756</v>
      </c>
      <c r="R341" s="39" t="s">
        <v>1497</v>
      </c>
      <c r="S341" s="39" t="s">
        <v>750</v>
      </c>
      <c r="T341" s="39" t="s">
        <v>750</v>
      </c>
      <c r="U341" s="39" t="s">
        <v>751</v>
      </c>
      <c r="V341" s="39" t="s">
        <v>750</v>
      </c>
      <c r="W341" s="39" t="s">
        <v>751</v>
      </c>
      <c r="X341" s="39" t="s">
        <v>751</v>
      </c>
    </row>
    <row r="342">
      <c r="A342" s="39" t="s">
        <v>739</v>
      </c>
      <c r="B342" s="39">
        <v>11753.0</v>
      </c>
      <c r="C342" s="39" t="s">
        <v>1491</v>
      </c>
      <c r="D342" s="39">
        <v>6.0</v>
      </c>
      <c r="F342" s="39">
        <v>11786.0</v>
      </c>
      <c r="G342" s="39" t="s">
        <v>1498</v>
      </c>
      <c r="H342" s="39">
        <v>3.0</v>
      </c>
      <c r="I342" s="39" t="s">
        <v>775</v>
      </c>
      <c r="J342" s="39" t="s">
        <v>768</v>
      </c>
      <c r="K342" s="39" t="s">
        <v>744</v>
      </c>
      <c r="L342" s="39" t="s">
        <v>1499</v>
      </c>
      <c r="M342" s="39" t="s">
        <v>746</v>
      </c>
      <c r="N342" s="39" t="s">
        <v>755</v>
      </c>
      <c r="O342" s="39" t="s">
        <v>756</v>
      </c>
      <c r="P342" s="39" t="s">
        <v>755</v>
      </c>
      <c r="Q342" s="39" t="s">
        <v>756</v>
      </c>
      <c r="R342" s="39" t="s">
        <v>1494</v>
      </c>
      <c r="S342" s="39" t="s">
        <v>750</v>
      </c>
      <c r="T342" s="39" t="s">
        <v>750</v>
      </c>
      <c r="U342" s="39" t="s">
        <v>750</v>
      </c>
      <c r="V342" s="39" t="s">
        <v>750</v>
      </c>
      <c r="W342" s="39" t="s">
        <v>751</v>
      </c>
      <c r="X342" s="39" t="s">
        <v>751</v>
      </c>
    </row>
    <row r="343">
      <c r="A343" s="39" t="s">
        <v>739</v>
      </c>
      <c r="B343" s="39">
        <v>11753.0</v>
      </c>
      <c r="C343" s="39" t="s">
        <v>1491</v>
      </c>
      <c r="D343" s="39">
        <v>6.0</v>
      </c>
      <c r="F343" s="39">
        <v>11788.0</v>
      </c>
      <c r="G343" s="39" t="s">
        <v>1500</v>
      </c>
      <c r="H343" s="39">
        <v>4.0</v>
      </c>
      <c r="I343" s="39" t="s">
        <v>775</v>
      </c>
      <c r="J343" s="39" t="s">
        <v>771</v>
      </c>
      <c r="K343" s="39" t="s">
        <v>744</v>
      </c>
      <c r="L343" s="39" t="s">
        <v>1501</v>
      </c>
      <c r="M343" s="39" t="s">
        <v>746</v>
      </c>
      <c r="N343" s="39" t="s">
        <v>755</v>
      </c>
      <c r="O343" s="39" t="s">
        <v>756</v>
      </c>
      <c r="P343" s="39" t="s">
        <v>755</v>
      </c>
      <c r="Q343" s="39" t="s">
        <v>756</v>
      </c>
      <c r="S343" s="39" t="s">
        <v>750</v>
      </c>
      <c r="T343" s="39" t="s">
        <v>750</v>
      </c>
      <c r="U343" s="39" t="s">
        <v>750</v>
      </c>
      <c r="V343" s="39" t="s">
        <v>750</v>
      </c>
      <c r="W343" s="39" t="s">
        <v>751</v>
      </c>
      <c r="X343" s="39" t="s">
        <v>751</v>
      </c>
    </row>
    <row r="344">
      <c r="A344" s="39" t="s">
        <v>739</v>
      </c>
      <c r="B344" s="39">
        <v>11753.0</v>
      </c>
      <c r="C344" s="39" t="s">
        <v>1491</v>
      </c>
      <c r="D344" s="39">
        <v>6.0</v>
      </c>
      <c r="F344" s="39">
        <v>13632.0</v>
      </c>
      <c r="G344" s="39" t="s">
        <v>1492</v>
      </c>
      <c r="H344" s="39">
        <v>5.0</v>
      </c>
      <c r="I344" s="39" t="s">
        <v>756</v>
      </c>
      <c r="K344" s="39" t="s">
        <v>744</v>
      </c>
      <c r="L344" s="39">
        <v>3.145366947E9</v>
      </c>
      <c r="M344" s="39" t="s">
        <v>805</v>
      </c>
      <c r="N344" s="39" t="s">
        <v>755</v>
      </c>
      <c r="O344" s="39" t="s">
        <v>756</v>
      </c>
      <c r="P344" s="39" t="s">
        <v>755</v>
      </c>
      <c r="Q344" s="39" t="s">
        <v>756</v>
      </c>
      <c r="R344" s="39" t="s">
        <v>1502</v>
      </c>
      <c r="S344" s="39" t="s">
        <v>750</v>
      </c>
      <c r="T344" s="39" t="s">
        <v>750</v>
      </c>
      <c r="U344" s="39" t="s">
        <v>750</v>
      </c>
      <c r="V344" s="39" t="s">
        <v>750</v>
      </c>
      <c r="W344" s="39" t="s">
        <v>750</v>
      </c>
      <c r="X344" s="39" t="s">
        <v>750</v>
      </c>
    </row>
    <row r="345">
      <c r="A345" s="39" t="s">
        <v>739</v>
      </c>
      <c r="B345" s="39">
        <v>11149.0</v>
      </c>
      <c r="C345" s="39" t="s">
        <v>622</v>
      </c>
      <c r="D345" s="39">
        <v>8.0</v>
      </c>
      <c r="F345" s="39">
        <v>7785.0</v>
      </c>
      <c r="G345" s="39" t="s">
        <v>1503</v>
      </c>
      <c r="H345" s="39">
        <v>1.0</v>
      </c>
      <c r="I345" s="39" t="s">
        <v>742</v>
      </c>
      <c r="J345" s="39" t="s">
        <v>743</v>
      </c>
      <c r="K345" s="39" t="s">
        <v>744</v>
      </c>
      <c r="L345" s="39" t="s">
        <v>1504</v>
      </c>
      <c r="M345" s="39" t="s">
        <v>746</v>
      </c>
      <c r="N345" s="39">
        <v>3.144618249E9</v>
      </c>
      <c r="O345" s="39" t="s">
        <v>748</v>
      </c>
      <c r="P345" s="39" t="s">
        <v>755</v>
      </c>
      <c r="Q345" s="39" t="s">
        <v>756</v>
      </c>
      <c r="R345" s="39" t="s">
        <v>1505</v>
      </c>
      <c r="S345" s="39" t="s">
        <v>750</v>
      </c>
      <c r="T345" s="39" t="s">
        <v>751</v>
      </c>
      <c r="U345" s="39" t="s">
        <v>751</v>
      </c>
      <c r="V345" s="39" t="s">
        <v>751</v>
      </c>
      <c r="W345" s="39" t="s">
        <v>751</v>
      </c>
      <c r="X345" s="39" t="s">
        <v>751</v>
      </c>
    </row>
    <row r="346">
      <c r="A346" s="39" t="s">
        <v>739</v>
      </c>
      <c r="B346" s="39">
        <v>11149.0</v>
      </c>
      <c r="C346" s="39" t="s">
        <v>622</v>
      </c>
      <c r="D346" s="39">
        <v>8.0</v>
      </c>
      <c r="F346" s="39">
        <v>13536.0</v>
      </c>
      <c r="G346" s="39" t="s">
        <v>889</v>
      </c>
      <c r="H346" s="39">
        <v>2.0</v>
      </c>
      <c r="I346" s="39" t="s">
        <v>756</v>
      </c>
      <c r="K346" s="39" t="s">
        <v>744</v>
      </c>
      <c r="L346" s="39" t="s">
        <v>755</v>
      </c>
      <c r="M346" s="39" t="s">
        <v>756</v>
      </c>
      <c r="N346" s="39" t="s">
        <v>755</v>
      </c>
      <c r="O346" s="39" t="s">
        <v>756</v>
      </c>
      <c r="P346" s="39" t="s">
        <v>755</v>
      </c>
      <c r="Q346" s="39" t="s">
        <v>756</v>
      </c>
      <c r="R346" s="39" t="s">
        <v>1505</v>
      </c>
      <c r="S346" s="39" t="s">
        <v>750</v>
      </c>
      <c r="T346" s="39" t="s">
        <v>750</v>
      </c>
      <c r="U346" s="39" t="s">
        <v>750</v>
      </c>
      <c r="V346" s="39" t="s">
        <v>750</v>
      </c>
      <c r="W346" s="39" t="s">
        <v>750</v>
      </c>
      <c r="X346" s="39" t="s">
        <v>750</v>
      </c>
    </row>
    <row r="347">
      <c r="A347" s="39" t="s">
        <v>739</v>
      </c>
      <c r="B347" s="39">
        <v>12085.0</v>
      </c>
      <c r="C347" s="39" t="s">
        <v>1506</v>
      </c>
      <c r="D347" s="39">
        <v>5.0</v>
      </c>
      <c r="F347" s="39">
        <v>18153.0</v>
      </c>
      <c r="G347" s="39" t="s">
        <v>1507</v>
      </c>
      <c r="H347" s="39">
        <v>1.0</v>
      </c>
      <c r="I347" s="39" t="s">
        <v>753</v>
      </c>
      <c r="J347" s="39" t="s">
        <v>754</v>
      </c>
      <c r="K347" s="39" t="s">
        <v>744</v>
      </c>
      <c r="L347" s="39" t="s">
        <v>1508</v>
      </c>
      <c r="M347" s="39" t="s">
        <v>746</v>
      </c>
      <c r="N347" s="39" t="s">
        <v>755</v>
      </c>
      <c r="O347" s="39" t="s">
        <v>756</v>
      </c>
      <c r="P347" s="39" t="s">
        <v>755</v>
      </c>
      <c r="Q347" s="39" t="s">
        <v>756</v>
      </c>
      <c r="S347" s="39" t="s">
        <v>750</v>
      </c>
      <c r="T347" s="39" t="s">
        <v>750</v>
      </c>
      <c r="U347" s="39" t="s">
        <v>751</v>
      </c>
      <c r="V347" s="39" t="s">
        <v>750</v>
      </c>
      <c r="W347" s="39" t="s">
        <v>751</v>
      </c>
      <c r="X347" s="39" t="s">
        <v>751</v>
      </c>
    </row>
    <row r="348">
      <c r="A348" s="39" t="s">
        <v>739</v>
      </c>
      <c r="B348" s="39">
        <v>12085.0</v>
      </c>
      <c r="C348" s="39" t="s">
        <v>1506</v>
      </c>
      <c r="D348" s="39">
        <v>5.0</v>
      </c>
      <c r="F348" s="39">
        <v>7785.0</v>
      </c>
      <c r="G348" s="39" t="s">
        <v>1503</v>
      </c>
      <c r="H348" s="39">
        <v>2.0</v>
      </c>
      <c r="I348" s="39" t="s">
        <v>742</v>
      </c>
      <c r="J348" s="39" t="s">
        <v>743</v>
      </c>
      <c r="K348" s="39" t="s">
        <v>744</v>
      </c>
      <c r="L348" s="39" t="s">
        <v>1504</v>
      </c>
      <c r="M348" s="39" t="s">
        <v>746</v>
      </c>
      <c r="N348" s="39">
        <v>3.144618249E9</v>
      </c>
      <c r="O348" s="39" t="s">
        <v>748</v>
      </c>
      <c r="P348" s="39" t="s">
        <v>755</v>
      </c>
      <c r="Q348" s="39" t="s">
        <v>756</v>
      </c>
      <c r="R348" s="39" t="s">
        <v>1505</v>
      </c>
      <c r="S348" s="39" t="s">
        <v>750</v>
      </c>
      <c r="T348" s="39" t="s">
        <v>751</v>
      </c>
      <c r="U348" s="39" t="s">
        <v>751</v>
      </c>
      <c r="V348" s="39" t="s">
        <v>750</v>
      </c>
      <c r="W348" s="39" t="s">
        <v>751</v>
      </c>
      <c r="X348" s="39" t="s">
        <v>751</v>
      </c>
    </row>
    <row r="349">
      <c r="A349" s="39" t="s">
        <v>739</v>
      </c>
      <c r="B349" s="39">
        <v>11751.0</v>
      </c>
      <c r="C349" s="39" t="s">
        <v>1509</v>
      </c>
      <c r="D349" s="39">
        <v>6.0</v>
      </c>
      <c r="F349" s="39">
        <v>7785.0</v>
      </c>
      <c r="G349" s="39" t="s">
        <v>1503</v>
      </c>
      <c r="H349" s="39">
        <v>1.0</v>
      </c>
      <c r="I349" s="39" t="s">
        <v>742</v>
      </c>
      <c r="J349" s="39" t="s">
        <v>743</v>
      </c>
      <c r="K349" s="39" t="s">
        <v>744</v>
      </c>
      <c r="L349" s="39" t="s">
        <v>1504</v>
      </c>
      <c r="M349" s="39" t="s">
        <v>746</v>
      </c>
      <c r="N349" s="39">
        <v>3.144618249E9</v>
      </c>
      <c r="O349" s="39" t="s">
        <v>748</v>
      </c>
      <c r="P349" s="39" t="s">
        <v>755</v>
      </c>
      <c r="Q349" s="39" t="s">
        <v>756</v>
      </c>
      <c r="R349" s="39" t="s">
        <v>1505</v>
      </c>
      <c r="S349" s="39" t="s">
        <v>750</v>
      </c>
      <c r="T349" s="39" t="s">
        <v>751</v>
      </c>
      <c r="U349" s="39" t="s">
        <v>751</v>
      </c>
      <c r="V349" s="39" t="s">
        <v>751</v>
      </c>
      <c r="W349" s="39" t="s">
        <v>751</v>
      </c>
      <c r="X349" s="39" t="s">
        <v>751</v>
      </c>
    </row>
    <row r="350">
      <c r="A350" s="39" t="s">
        <v>739</v>
      </c>
      <c r="B350" s="39">
        <v>11751.0</v>
      </c>
      <c r="C350" s="39" t="s">
        <v>1509</v>
      </c>
      <c r="D350" s="39">
        <v>6.0</v>
      </c>
      <c r="F350" s="39">
        <v>11779.0</v>
      </c>
      <c r="G350" s="39" t="s">
        <v>1510</v>
      </c>
      <c r="H350" s="39">
        <v>2.0</v>
      </c>
      <c r="I350" s="39" t="s">
        <v>753</v>
      </c>
      <c r="K350" s="39" t="s">
        <v>744</v>
      </c>
      <c r="L350" s="39">
        <v>3.14934592E9</v>
      </c>
      <c r="M350" s="39" t="s">
        <v>748</v>
      </c>
      <c r="N350" s="39" t="s">
        <v>755</v>
      </c>
      <c r="O350" s="39" t="s">
        <v>756</v>
      </c>
      <c r="P350" s="39" t="s">
        <v>755</v>
      </c>
      <c r="Q350" s="39" t="s">
        <v>756</v>
      </c>
      <c r="S350" s="39" t="s">
        <v>750</v>
      </c>
      <c r="T350" s="39" t="s">
        <v>750</v>
      </c>
      <c r="U350" s="39" t="s">
        <v>750</v>
      </c>
      <c r="V350" s="39" t="s">
        <v>750</v>
      </c>
      <c r="W350" s="39" t="s">
        <v>750</v>
      </c>
      <c r="X350" s="39" t="s">
        <v>751</v>
      </c>
    </row>
    <row r="351">
      <c r="A351" s="39" t="s">
        <v>739</v>
      </c>
      <c r="B351" s="39">
        <v>11751.0</v>
      </c>
      <c r="C351" s="39" t="s">
        <v>1509</v>
      </c>
      <c r="D351" s="39">
        <v>6.0</v>
      </c>
      <c r="F351" s="39">
        <v>11780.0</v>
      </c>
      <c r="G351" s="39" t="s">
        <v>1511</v>
      </c>
      <c r="H351" s="39">
        <v>3.0</v>
      </c>
      <c r="I351" s="39" t="s">
        <v>758</v>
      </c>
      <c r="K351" s="39" t="s">
        <v>744</v>
      </c>
      <c r="L351" s="39">
        <v>5.738225596E9</v>
      </c>
      <c r="M351" s="39" t="s">
        <v>746</v>
      </c>
      <c r="N351" s="39" t="s">
        <v>755</v>
      </c>
      <c r="O351" s="39" t="s">
        <v>756</v>
      </c>
      <c r="P351" s="39" t="s">
        <v>755</v>
      </c>
      <c r="Q351" s="39" t="s">
        <v>756</v>
      </c>
      <c r="R351" s="39" t="s">
        <v>1512</v>
      </c>
      <c r="S351" s="39" t="s">
        <v>750</v>
      </c>
      <c r="T351" s="39" t="s">
        <v>750</v>
      </c>
      <c r="U351" s="39" t="s">
        <v>750</v>
      </c>
      <c r="V351" s="39" t="s">
        <v>750</v>
      </c>
      <c r="W351" s="39" t="s">
        <v>751</v>
      </c>
      <c r="X351" s="39" t="s">
        <v>750</v>
      </c>
    </row>
    <row r="352">
      <c r="A352" s="39" t="s">
        <v>739</v>
      </c>
      <c r="B352" s="39">
        <v>11751.0</v>
      </c>
      <c r="C352" s="39" t="s">
        <v>1509</v>
      </c>
      <c r="D352" s="39">
        <v>6.0</v>
      </c>
      <c r="F352" s="39">
        <v>13604.0</v>
      </c>
      <c r="G352" s="39" t="s">
        <v>1503</v>
      </c>
      <c r="H352" s="39">
        <v>4.0</v>
      </c>
      <c r="I352" s="39" t="s">
        <v>756</v>
      </c>
      <c r="K352" s="39" t="s">
        <v>744</v>
      </c>
      <c r="L352" s="39">
        <v>3.144618249E9</v>
      </c>
      <c r="M352" s="39" t="s">
        <v>805</v>
      </c>
      <c r="N352" s="39" t="s">
        <v>755</v>
      </c>
      <c r="O352" s="39" t="s">
        <v>756</v>
      </c>
      <c r="P352" s="39" t="s">
        <v>755</v>
      </c>
      <c r="Q352" s="39" t="s">
        <v>756</v>
      </c>
      <c r="R352" s="39" t="s">
        <v>1513</v>
      </c>
      <c r="S352" s="39" t="s">
        <v>750</v>
      </c>
      <c r="T352" s="39" t="s">
        <v>750</v>
      </c>
      <c r="U352" s="39" t="s">
        <v>750</v>
      </c>
      <c r="V352" s="39" t="s">
        <v>750</v>
      </c>
      <c r="W352" s="39" t="s">
        <v>750</v>
      </c>
      <c r="X352" s="39" t="s">
        <v>750</v>
      </c>
    </row>
    <row r="353">
      <c r="A353" s="39" t="s">
        <v>739</v>
      </c>
      <c r="B353" s="39">
        <v>11718.0</v>
      </c>
      <c r="C353" s="39" t="s">
        <v>1514</v>
      </c>
      <c r="D353" s="39">
        <v>7.0</v>
      </c>
      <c r="F353" s="39">
        <v>13224.0</v>
      </c>
      <c r="G353" s="39" t="s">
        <v>1515</v>
      </c>
      <c r="H353" s="39">
        <v>1.0</v>
      </c>
      <c r="I353" s="39" t="s">
        <v>742</v>
      </c>
      <c r="J353" s="39" t="s">
        <v>743</v>
      </c>
      <c r="K353" s="39" t="s">
        <v>744</v>
      </c>
      <c r="L353" s="39" t="s">
        <v>1516</v>
      </c>
      <c r="M353" s="39" t="s">
        <v>805</v>
      </c>
      <c r="N353" s="39" t="s">
        <v>755</v>
      </c>
      <c r="O353" s="39" t="s">
        <v>756</v>
      </c>
      <c r="P353" s="39" t="s">
        <v>755</v>
      </c>
      <c r="Q353" s="39" t="s">
        <v>756</v>
      </c>
      <c r="R353" s="39" t="s">
        <v>1517</v>
      </c>
      <c r="S353" s="39" t="s">
        <v>750</v>
      </c>
      <c r="T353" s="39" t="s">
        <v>750</v>
      </c>
      <c r="U353" s="39" t="s">
        <v>750</v>
      </c>
      <c r="V353" s="39" t="s">
        <v>750</v>
      </c>
      <c r="W353" s="39" t="s">
        <v>750</v>
      </c>
      <c r="X353" s="39" t="s">
        <v>750</v>
      </c>
    </row>
    <row r="354">
      <c r="A354" s="39" t="s">
        <v>739</v>
      </c>
      <c r="B354" s="39">
        <v>11718.0</v>
      </c>
      <c r="C354" s="39" t="s">
        <v>1514</v>
      </c>
      <c r="D354" s="39">
        <v>7.0</v>
      </c>
      <c r="F354" s="39">
        <v>17903.0</v>
      </c>
      <c r="G354" s="39" t="s">
        <v>1518</v>
      </c>
      <c r="H354" s="39">
        <v>2.0</v>
      </c>
      <c r="I354" s="39" t="s">
        <v>791</v>
      </c>
      <c r="J354" s="39" t="s">
        <v>768</v>
      </c>
      <c r="K354" s="39" t="s">
        <v>744</v>
      </c>
      <c r="L354" s="39" t="s">
        <v>1519</v>
      </c>
      <c r="M354" s="39" t="s">
        <v>746</v>
      </c>
      <c r="N354" s="39" t="s">
        <v>755</v>
      </c>
      <c r="O354" s="39" t="s">
        <v>756</v>
      </c>
      <c r="P354" s="39" t="s">
        <v>755</v>
      </c>
      <c r="Q354" s="39" t="s">
        <v>756</v>
      </c>
      <c r="S354" s="39" t="s">
        <v>750</v>
      </c>
      <c r="T354" s="39" t="s">
        <v>750</v>
      </c>
      <c r="U354" s="39" t="s">
        <v>750</v>
      </c>
      <c r="V354" s="39" t="s">
        <v>750</v>
      </c>
      <c r="W354" s="39" t="s">
        <v>751</v>
      </c>
      <c r="X354" s="39" t="s">
        <v>751</v>
      </c>
    </row>
    <row r="355">
      <c r="A355" s="39" t="s">
        <v>739</v>
      </c>
      <c r="B355" s="39">
        <v>11573.0</v>
      </c>
      <c r="C355" s="39" t="s">
        <v>1520</v>
      </c>
      <c r="D355" s="39">
        <v>6.0</v>
      </c>
      <c r="F355" s="39">
        <v>461.0</v>
      </c>
      <c r="G355" s="39" t="s">
        <v>1521</v>
      </c>
      <c r="H355" s="39">
        <v>1.0</v>
      </c>
      <c r="I355" s="39" t="s">
        <v>742</v>
      </c>
      <c r="J355" s="39" t="s">
        <v>743</v>
      </c>
      <c r="K355" s="39" t="s">
        <v>744</v>
      </c>
      <c r="L355" s="39" t="s">
        <v>1522</v>
      </c>
      <c r="M355" s="39" t="s">
        <v>746</v>
      </c>
      <c r="N355" s="39" t="s">
        <v>755</v>
      </c>
      <c r="O355" s="39" t="s">
        <v>756</v>
      </c>
      <c r="P355" s="39">
        <v>6.019836091E9</v>
      </c>
      <c r="Q355" s="39" t="s">
        <v>756</v>
      </c>
      <c r="R355" s="39" t="s">
        <v>1523</v>
      </c>
      <c r="S355" s="39" t="s">
        <v>750</v>
      </c>
      <c r="T355" s="39" t="s">
        <v>751</v>
      </c>
      <c r="U355" s="39" t="s">
        <v>751</v>
      </c>
      <c r="V355" s="39" t="s">
        <v>751</v>
      </c>
      <c r="W355" s="39" t="s">
        <v>751</v>
      </c>
      <c r="X355" s="39" t="s">
        <v>751</v>
      </c>
    </row>
    <row r="356">
      <c r="A356" s="39" t="s">
        <v>739</v>
      </c>
      <c r="B356" s="39">
        <v>11573.0</v>
      </c>
      <c r="C356" s="39" t="s">
        <v>1520</v>
      </c>
      <c r="D356" s="39">
        <v>6.0</v>
      </c>
      <c r="F356" s="39">
        <v>578.0</v>
      </c>
      <c r="G356" s="39" t="s">
        <v>1524</v>
      </c>
      <c r="H356" s="39">
        <v>2.0</v>
      </c>
      <c r="I356" s="39" t="s">
        <v>753</v>
      </c>
      <c r="J356" s="39" t="s">
        <v>754</v>
      </c>
      <c r="K356" s="39" t="s">
        <v>744</v>
      </c>
      <c r="L356" s="39" t="s">
        <v>1525</v>
      </c>
      <c r="M356" s="39" t="s">
        <v>746</v>
      </c>
      <c r="N356" s="39" t="s">
        <v>755</v>
      </c>
      <c r="O356" s="39" t="s">
        <v>756</v>
      </c>
      <c r="P356" s="39">
        <v>3.147610313E9</v>
      </c>
      <c r="Q356" s="39" t="s">
        <v>756</v>
      </c>
      <c r="R356" s="39" t="s">
        <v>1526</v>
      </c>
      <c r="S356" s="39" t="s">
        <v>750</v>
      </c>
      <c r="T356" s="39" t="s">
        <v>751</v>
      </c>
      <c r="U356" s="39" t="s">
        <v>751</v>
      </c>
      <c r="V356" s="39" t="s">
        <v>750</v>
      </c>
      <c r="W356" s="39" t="s">
        <v>750</v>
      </c>
      <c r="X356" s="39" t="s">
        <v>751</v>
      </c>
    </row>
    <row r="357">
      <c r="A357" s="39" t="s">
        <v>739</v>
      </c>
      <c r="B357" s="39">
        <v>11573.0</v>
      </c>
      <c r="C357" s="39" t="s">
        <v>1520</v>
      </c>
      <c r="D357" s="39">
        <v>6.0</v>
      </c>
      <c r="F357" s="39">
        <v>11264.0</v>
      </c>
      <c r="G357" s="39" t="s">
        <v>1527</v>
      </c>
      <c r="H357" s="39">
        <v>3.0</v>
      </c>
      <c r="I357" s="39" t="s">
        <v>758</v>
      </c>
      <c r="K357" s="39" t="s">
        <v>744</v>
      </c>
      <c r="L357" s="39">
        <v>3.143052662E9</v>
      </c>
      <c r="M357" s="39" t="s">
        <v>746</v>
      </c>
      <c r="N357" s="39" t="s">
        <v>755</v>
      </c>
      <c r="O357" s="39" t="s">
        <v>756</v>
      </c>
      <c r="P357" s="39" t="s">
        <v>755</v>
      </c>
      <c r="Q357" s="39" t="s">
        <v>756</v>
      </c>
      <c r="R357" s="39" t="s">
        <v>1528</v>
      </c>
      <c r="S357" s="39" t="s">
        <v>750</v>
      </c>
      <c r="T357" s="39" t="s">
        <v>750</v>
      </c>
      <c r="U357" s="39" t="s">
        <v>750</v>
      </c>
      <c r="V357" s="39" t="s">
        <v>750</v>
      </c>
      <c r="W357" s="39" t="s">
        <v>751</v>
      </c>
      <c r="X357" s="39" t="s">
        <v>751</v>
      </c>
    </row>
    <row r="358">
      <c r="A358" s="39" t="s">
        <v>739</v>
      </c>
      <c r="B358" s="39">
        <v>11573.0</v>
      </c>
      <c r="C358" s="39" t="s">
        <v>1520</v>
      </c>
      <c r="D358" s="39">
        <v>6.0</v>
      </c>
      <c r="F358" s="39">
        <v>11265.0</v>
      </c>
      <c r="G358" s="39" t="s">
        <v>1529</v>
      </c>
      <c r="H358" s="39">
        <v>4.0</v>
      </c>
      <c r="I358" s="39" t="s">
        <v>758</v>
      </c>
      <c r="K358" s="39" t="s">
        <v>744</v>
      </c>
      <c r="L358" s="39">
        <v>3.146775667E9</v>
      </c>
      <c r="M358" s="39" t="s">
        <v>746</v>
      </c>
      <c r="N358" s="39" t="s">
        <v>755</v>
      </c>
      <c r="O358" s="39" t="s">
        <v>756</v>
      </c>
      <c r="P358" s="39" t="s">
        <v>755</v>
      </c>
      <c r="Q358" s="39" t="s">
        <v>756</v>
      </c>
      <c r="S358" s="39" t="s">
        <v>750</v>
      </c>
      <c r="T358" s="39" t="s">
        <v>750</v>
      </c>
      <c r="U358" s="39" t="s">
        <v>750</v>
      </c>
      <c r="V358" s="39" t="s">
        <v>750</v>
      </c>
      <c r="W358" s="39" t="s">
        <v>751</v>
      </c>
      <c r="X358" s="39" t="s">
        <v>751</v>
      </c>
    </row>
    <row r="359">
      <c r="A359" s="39" t="s">
        <v>739</v>
      </c>
      <c r="B359" s="39">
        <v>11573.0</v>
      </c>
      <c r="C359" s="39" t="s">
        <v>1520</v>
      </c>
      <c r="D359" s="39">
        <v>6.0</v>
      </c>
      <c r="F359" s="39">
        <v>13399.0</v>
      </c>
      <c r="G359" s="39" t="s">
        <v>1521</v>
      </c>
      <c r="H359" s="39">
        <v>5.0</v>
      </c>
      <c r="I359" s="39" t="s">
        <v>756</v>
      </c>
      <c r="K359" s="39" t="s">
        <v>744</v>
      </c>
      <c r="L359" s="39">
        <v>6.019836091E9</v>
      </c>
      <c r="M359" s="39" t="s">
        <v>805</v>
      </c>
      <c r="N359" s="39" t="s">
        <v>755</v>
      </c>
      <c r="O359" s="39" t="s">
        <v>756</v>
      </c>
      <c r="P359" s="39" t="s">
        <v>755</v>
      </c>
      <c r="Q359" s="39" t="s">
        <v>756</v>
      </c>
      <c r="R359" s="39" t="s">
        <v>1523</v>
      </c>
      <c r="S359" s="39" t="s">
        <v>750</v>
      </c>
      <c r="T359" s="39" t="s">
        <v>750</v>
      </c>
      <c r="U359" s="39" t="s">
        <v>750</v>
      </c>
      <c r="V359" s="39" t="s">
        <v>750</v>
      </c>
      <c r="W359" s="39" t="s">
        <v>750</v>
      </c>
      <c r="X359" s="39" t="s">
        <v>750</v>
      </c>
    </row>
    <row r="360">
      <c r="A360" s="39" t="s">
        <v>739</v>
      </c>
      <c r="B360" s="39">
        <v>11573.0</v>
      </c>
      <c r="C360" s="39" t="s">
        <v>1520</v>
      </c>
      <c r="D360" s="39">
        <v>6.0</v>
      </c>
      <c r="F360" s="39">
        <v>15551.0</v>
      </c>
      <c r="G360" s="39" t="s">
        <v>1521</v>
      </c>
      <c r="H360" s="39">
        <v>6.0</v>
      </c>
      <c r="I360" s="39" t="s">
        <v>756</v>
      </c>
      <c r="K360" s="39" t="s">
        <v>744</v>
      </c>
      <c r="L360" s="39" t="s">
        <v>755</v>
      </c>
      <c r="M360" s="39" t="s">
        <v>756</v>
      </c>
      <c r="N360" s="39" t="s">
        <v>755</v>
      </c>
      <c r="O360" s="39" t="s">
        <v>756</v>
      </c>
      <c r="P360" s="39" t="s">
        <v>755</v>
      </c>
      <c r="Q360" s="39" t="s">
        <v>756</v>
      </c>
      <c r="S360" s="39" t="s">
        <v>751</v>
      </c>
      <c r="T360" s="39" t="s">
        <v>750</v>
      </c>
      <c r="U360" s="39" t="s">
        <v>750</v>
      </c>
      <c r="V360" s="39" t="s">
        <v>750</v>
      </c>
      <c r="W360" s="39" t="s">
        <v>750</v>
      </c>
      <c r="X360" s="39" t="s">
        <v>750</v>
      </c>
    </row>
    <row r="361">
      <c r="A361" s="39" t="s">
        <v>739</v>
      </c>
      <c r="B361" s="39">
        <v>11866.0</v>
      </c>
      <c r="C361" s="39" t="s">
        <v>1530</v>
      </c>
      <c r="D361" s="39">
        <v>6.0</v>
      </c>
      <c r="F361" s="39">
        <v>6602.0</v>
      </c>
      <c r="G361" s="39" t="s">
        <v>970</v>
      </c>
      <c r="H361" s="39">
        <v>1.0</v>
      </c>
      <c r="I361" s="39" t="s">
        <v>742</v>
      </c>
      <c r="J361" s="39" t="s">
        <v>743</v>
      </c>
      <c r="K361" s="39" t="s">
        <v>744</v>
      </c>
      <c r="L361" s="39" t="s">
        <v>972</v>
      </c>
      <c r="M361" s="39" t="s">
        <v>746</v>
      </c>
      <c r="N361" s="39" t="s">
        <v>973</v>
      </c>
      <c r="O361" s="39" t="s">
        <v>746</v>
      </c>
      <c r="P361" s="39" t="s">
        <v>755</v>
      </c>
      <c r="Q361" s="39" t="s">
        <v>756</v>
      </c>
      <c r="R361" s="39" t="s">
        <v>974</v>
      </c>
      <c r="S361" s="39" t="s">
        <v>750</v>
      </c>
      <c r="T361" s="39" t="s">
        <v>751</v>
      </c>
      <c r="U361" s="39" t="s">
        <v>751</v>
      </c>
      <c r="V361" s="39" t="s">
        <v>751</v>
      </c>
      <c r="W361" s="39" t="s">
        <v>751</v>
      </c>
      <c r="X361" s="39" t="s">
        <v>751</v>
      </c>
    </row>
    <row r="362">
      <c r="A362" s="39" t="s">
        <v>739</v>
      </c>
      <c r="B362" s="39">
        <v>11866.0</v>
      </c>
      <c r="C362" s="39" t="s">
        <v>1530</v>
      </c>
      <c r="D362" s="39">
        <v>6.0</v>
      </c>
      <c r="F362" s="39">
        <v>6603.0</v>
      </c>
      <c r="G362" s="39" t="s">
        <v>1531</v>
      </c>
      <c r="H362" s="39">
        <v>2.0</v>
      </c>
      <c r="I362" s="39" t="s">
        <v>753</v>
      </c>
      <c r="J362" s="39" t="s">
        <v>754</v>
      </c>
      <c r="K362" s="39" t="s">
        <v>744</v>
      </c>
      <c r="L362" s="39" t="s">
        <v>973</v>
      </c>
      <c r="M362" s="39" t="s">
        <v>746</v>
      </c>
      <c r="N362" s="39" t="s">
        <v>755</v>
      </c>
      <c r="O362" s="39" t="s">
        <v>756</v>
      </c>
      <c r="P362" s="39" t="s">
        <v>755</v>
      </c>
      <c r="Q362" s="39" t="s">
        <v>756</v>
      </c>
      <c r="S362" s="39" t="s">
        <v>750</v>
      </c>
      <c r="T362" s="39" t="s">
        <v>751</v>
      </c>
      <c r="U362" s="39" t="s">
        <v>751</v>
      </c>
      <c r="V362" s="39" t="s">
        <v>751</v>
      </c>
      <c r="W362" s="39" t="s">
        <v>751</v>
      </c>
      <c r="X362" s="39" t="s">
        <v>751</v>
      </c>
    </row>
    <row r="363">
      <c r="A363" s="39" t="s">
        <v>739</v>
      </c>
      <c r="B363" s="39">
        <v>10921.0</v>
      </c>
      <c r="C363" s="39" t="s">
        <v>1532</v>
      </c>
      <c r="D363" s="39">
        <v>8.0</v>
      </c>
      <c r="F363" s="39">
        <v>6602.0</v>
      </c>
      <c r="G363" s="39" t="s">
        <v>970</v>
      </c>
      <c r="H363" s="39">
        <v>1.0</v>
      </c>
      <c r="I363" s="39" t="s">
        <v>742</v>
      </c>
      <c r="J363" s="39" t="s">
        <v>743</v>
      </c>
      <c r="K363" s="39" t="s">
        <v>744</v>
      </c>
      <c r="L363" s="39" t="s">
        <v>972</v>
      </c>
      <c r="M363" s="39" t="s">
        <v>746</v>
      </c>
      <c r="N363" s="39" t="s">
        <v>973</v>
      </c>
      <c r="O363" s="39" t="s">
        <v>746</v>
      </c>
      <c r="P363" s="39" t="s">
        <v>755</v>
      </c>
      <c r="Q363" s="39" t="s">
        <v>756</v>
      </c>
      <c r="R363" s="39" t="s">
        <v>974</v>
      </c>
      <c r="S363" s="39" t="s">
        <v>751</v>
      </c>
      <c r="T363" s="39" t="s">
        <v>751</v>
      </c>
      <c r="U363" s="39" t="s">
        <v>751</v>
      </c>
      <c r="V363" s="39" t="s">
        <v>751</v>
      </c>
      <c r="W363" s="39" t="s">
        <v>751</v>
      </c>
      <c r="X363" s="39" t="s">
        <v>751</v>
      </c>
    </row>
    <row r="364">
      <c r="A364" s="39" t="s">
        <v>739</v>
      </c>
      <c r="B364" s="39">
        <v>10921.0</v>
      </c>
      <c r="C364" s="39" t="s">
        <v>1532</v>
      </c>
      <c r="D364" s="39">
        <v>8.0</v>
      </c>
      <c r="F364" s="39">
        <v>6603.0</v>
      </c>
      <c r="G364" s="39" t="s">
        <v>1531</v>
      </c>
      <c r="H364" s="39">
        <v>2.0</v>
      </c>
      <c r="I364" s="39" t="s">
        <v>753</v>
      </c>
      <c r="J364" s="39" t="s">
        <v>754</v>
      </c>
      <c r="K364" s="39" t="s">
        <v>744</v>
      </c>
      <c r="L364" s="39" t="s">
        <v>973</v>
      </c>
      <c r="M364" s="39" t="s">
        <v>746</v>
      </c>
      <c r="N364" s="39" t="s">
        <v>755</v>
      </c>
      <c r="O364" s="39" t="s">
        <v>756</v>
      </c>
      <c r="P364" s="39" t="s">
        <v>755</v>
      </c>
      <c r="Q364" s="39" t="s">
        <v>756</v>
      </c>
      <c r="S364" s="39" t="s">
        <v>750</v>
      </c>
      <c r="T364" s="39" t="s">
        <v>751</v>
      </c>
      <c r="U364" s="39" t="s">
        <v>751</v>
      </c>
      <c r="V364" s="39" t="s">
        <v>751</v>
      </c>
      <c r="W364" s="39" t="s">
        <v>751</v>
      </c>
      <c r="X364" s="39" t="s">
        <v>751</v>
      </c>
    </row>
    <row r="365">
      <c r="A365" s="39" t="s">
        <v>739</v>
      </c>
      <c r="B365" s="39">
        <v>10921.0</v>
      </c>
      <c r="C365" s="39" t="s">
        <v>1532</v>
      </c>
      <c r="D365" s="39">
        <v>8.0</v>
      </c>
      <c r="F365" s="39">
        <v>6604.0</v>
      </c>
      <c r="G365" s="39" t="s">
        <v>1533</v>
      </c>
      <c r="H365" s="39">
        <v>3.0</v>
      </c>
      <c r="I365" s="39" t="s">
        <v>758</v>
      </c>
      <c r="K365" s="39" t="s">
        <v>744</v>
      </c>
      <c r="L365" s="39">
        <v>3.149415996E9</v>
      </c>
      <c r="M365" s="39" t="s">
        <v>746</v>
      </c>
      <c r="N365" s="39" t="s">
        <v>755</v>
      </c>
      <c r="O365" s="39" t="s">
        <v>756</v>
      </c>
      <c r="P365" s="39" t="s">
        <v>755</v>
      </c>
      <c r="Q365" s="39" t="s">
        <v>756</v>
      </c>
      <c r="R365" s="39" t="s">
        <v>974</v>
      </c>
      <c r="S365" s="39" t="s">
        <v>750</v>
      </c>
      <c r="T365" s="39" t="s">
        <v>750</v>
      </c>
      <c r="U365" s="39" t="s">
        <v>750</v>
      </c>
      <c r="V365" s="39" t="s">
        <v>750</v>
      </c>
      <c r="W365" s="39" t="s">
        <v>750</v>
      </c>
      <c r="X365" s="39" t="s">
        <v>750</v>
      </c>
    </row>
    <row r="366">
      <c r="A366" s="39" t="s">
        <v>739</v>
      </c>
      <c r="B366" s="39">
        <v>10921.0</v>
      </c>
      <c r="C366" s="39" t="s">
        <v>1532</v>
      </c>
      <c r="D366" s="39">
        <v>8.0</v>
      </c>
      <c r="F366" s="39">
        <v>13440.0</v>
      </c>
      <c r="G366" s="39" t="s">
        <v>889</v>
      </c>
      <c r="H366" s="39">
        <v>4.0</v>
      </c>
      <c r="I366" s="39" t="s">
        <v>756</v>
      </c>
      <c r="K366" s="39" t="s">
        <v>744</v>
      </c>
      <c r="L366" s="39" t="s">
        <v>755</v>
      </c>
      <c r="M366" s="39" t="s">
        <v>756</v>
      </c>
      <c r="N366" s="39" t="s">
        <v>755</v>
      </c>
      <c r="O366" s="39" t="s">
        <v>756</v>
      </c>
      <c r="P366" s="39" t="s">
        <v>755</v>
      </c>
      <c r="Q366" s="39" t="s">
        <v>756</v>
      </c>
      <c r="R366" s="39" t="s">
        <v>974</v>
      </c>
      <c r="S366" s="39" t="s">
        <v>750</v>
      </c>
      <c r="T366" s="39" t="s">
        <v>750</v>
      </c>
      <c r="U366" s="39" t="s">
        <v>750</v>
      </c>
      <c r="V366" s="39" t="s">
        <v>750</v>
      </c>
      <c r="W366" s="39" t="s">
        <v>750</v>
      </c>
      <c r="X366" s="39" t="s">
        <v>750</v>
      </c>
    </row>
    <row r="367">
      <c r="A367" s="39" t="s">
        <v>739</v>
      </c>
      <c r="B367" s="39">
        <v>11914.0</v>
      </c>
      <c r="C367" s="39" t="s">
        <v>1534</v>
      </c>
      <c r="D367" s="39">
        <v>6.0</v>
      </c>
      <c r="F367" s="39">
        <v>17135.0</v>
      </c>
      <c r="G367" s="39" t="s">
        <v>1535</v>
      </c>
      <c r="H367" s="39">
        <v>1.0</v>
      </c>
      <c r="I367" s="39" t="s">
        <v>742</v>
      </c>
      <c r="J367" s="39" t="s">
        <v>743</v>
      </c>
      <c r="K367" s="39" t="s">
        <v>744</v>
      </c>
      <c r="L367" s="39" t="s">
        <v>1536</v>
      </c>
      <c r="M367" s="39" t="s">
        <v>746</v>
      </c>
      <c r="N367" s="39" t="s">
        <v>755</v>
      </c>
      <c r="O367" s="39" t="s">
        <v>756</v>
      </c>
      <c r="P367" s="39" t="s">
        <v>755</v>
      </c>
      <c r="Q367" s="39" t="s">
        <v>756</v>
      </c>
      <c r="R367" s="39" t="s">
        <v>1537</v>
      </c>
      <c r="S367" s="39" t="s">
        <v>750</v>
      </c>
      <c r="T367" s="39" t="s">
        <v>751</v>
      </c>
      <c r="U367" s="39" t="s">
        <v>751</v>
      </c>
      <c r="V367" s="39" t="s">
        <v>750</v>
      </c>
      <c r="W367" s="39" t="s">
        <v>751</v>
      </c>
      <c r="X367" s="39" t="s">
        <v>751</v>
      </c>
    </row>
    <row r="368">
      <c r="A368" s="39" t="s">
        <v>739</v>
      </c>
      <c r="B368" s="39">
        <v>11914.0</v>
      </c>
      <c r="C368" s="39" t="s">
        <v>1534</v>
      </c>
      <c r="D368" s="39">
        <v>6.0</v>
      </c>
      <c r="F368" s="39">
        <v>17136.0</v>
      </c>
      <c r="G368" s="39" t="s">
        <v>1538</v>
      </c>
      <c r="H368" s="39">
        <v>2.0</v>
      </c>
      <c r="I368" s="39" t="s">
        <v>753</v>
      </c>
      <c r="J368" s="39" t="s">
        <v>754</v>
      </c>
      <c r="K368" s="39" t="s">
        <v>744</v>
      </c>
      <c r="L368" s="39" t="s">
        <v>1539</v>
      </c>
      <c r="M368" s="39" t="s">
        <v>746</v>
      </c>
      <c r="N368" s="39" t="s">
        <v>755</v>
      </c>
      <c r="O368" s="39" t="s">
        <v>756</v>
      </c>
      <c r="P368" s="39" t="s">
        <v>755</v>
      </c>
      <c r="Q368" s="39" t="s">
        <v>756</v>
      </c>
      <c r="S368" s="39" t="s">
        <v>750</v>
      </c>
      <c r="T368" s="39" t="s">
        <v>751</v>
      </c>
      <c r="U368" s="39" t="s">
        <v>751</v>
      </c>
      <c r="V368" s="39" t="s">
        <v>750</v>
      </c>
      <c r="W368" s="39" t="s">
        <v>751</v>
      </c>
      <c r="X368" s="39" t="s">
        <v>751</v>
      </c>
    </row>
    <row r="369">
      <c r="A369" s="39" t="s">
        <v>739</v>
      </c>
      <c r="B369" s="39">
        <v>12083.0</v>
      </c>
      <c r="C369" s="39" t="s">
        <v>628</v>
      </c>
      <c r="D369" s="39">
        <v>8.0</v>
      </c>
      <c r="F369" s="39">
        <v>18113.0</v>
      </c>
      <c r="G369" s="39" t="s">
        <v>1540</v>
      </c>
      <c r="H369" s="39">
        <v>1.0</v>
      </c>
      <c r="I369" s="39" t="s">
        <v>742</v>
      </c>
      <c r="J369" s="39" t="s">
        <v>743</v>
      </c>
      <c r="K369" s="39" t="s">
        <v>744</v>
      </c>
      <c r="L369" s="39" t="s">
        <v>1541</v>
      </c>
      <c r="M369" s="39" t="s">
        <v>746</v>
      </c>
      <c r="N369" s="39" t="s">
        <v>755</v>
      </c>
      <c r="O369" s="39" t="s">
        <v>756</v>
      </c>
      <c r="P369" s="39" t="s">
        <v>755</v>
      </c>
      <c r="Q369" s="39" t="s">
        <v>756</v>
      </c>
      <c r="R369" s="39" t="s">
        <v>1542</v>
      </c>
      <c r="S369" s="39" t="s">
        <v>750</v>
      </c>
      <c r="T369" s="39" t="s">
        <v>751</v>
      </c>
      <c r="U369" s="39" t="s">
        <v>751</v>
      </c>
      <c r="V369" s="39" t="s">
        <v>750</v>
      </c>
      <c r="W369" s="39" t="s">
        <v>751</v>
      </c>
      <c r="X369" s="39" t="s">
        <v>751</v>
      </c>
    </row>
    <row r="370">
      <c r="A370" s="39" t="s">
        <v>739</v>
      </c>
      <c r="B370" s="39">
        <v>12083.0</v>
      </c>
      <c r="C370" s="39" t="s">
        <v>628</v>
      </c>
      <c r="D370" s="39">
        <v>8.0</v>
      </c>
      <c r="F370" s="39">
        <v>18114.0</v>
      </c>
      <c r="G370" s="39" t="s">
        <v>1543</v>
      </c>
      <c r="H370" s="39">
        <v>2.0</v>
      </c>
      <c r="I370" s="39" t="s">
        <v>854</v>
      </c>
      <c r="J370" s="39" t="s">
        <v>768</v>
      </c>
      <c r="K370" s="39" t="s">
        <v>744</v>
      </c>
      <c r="L370" s="39" t="s">
        <v>1541</v>
      </c>
      <c r="M370" s="39" t="s">
        <v>746</v>
      </c>
      <c r="N370" s="39" t="s">
        <v>755</v>
      </c>
      <c r="O370" s="39" t="s">
        <v>756</v>
      </c>
      <c r="P370" s="39" t="s">
        <v>755</v>
      </c>
      <c r="Q370" s="39" t="s">
        <v>756</v>
      </c>
      <c r="S370" s="39" t="s">
        <v>750</v>
      </c>
      <c r="T370" s="39" t="s">
        <v>750</v>
      </c>
      <c r="U370" s="39" t="s">
        <v>751</v>
      </c>
      <c r="V370" s="39" t="s">
        <v>750</v>
      </c>
      <c r="W370" s="39" t="s">
        <v>751</v>
      </c>
      <c r="X370" s="39" t="s">
        <v>751</v>
      </c>
    </row>
    <row r="371">
      <c r="A371" s="39" t="s">
        <v>739</v>
      </c>
      <c r="B371" s="39">
        <v>11810.0</v>
      </c>
      <c r="C371" s="39" t="s">
        <v>631</v>
      </c>
      <c r="D371" s="39">
        <v>8.0</v>
      </c>
      <c r="F371" s="39">
        <v>12605.0</v>
      </c>
      <c r="G371" s="39" t="s">
        <v>1544</v>
      </c>
      <c r="H371" s="39">
        <v>1.0</v>
      </c>
      <c r="I371" s="39" t="s">
        <v>742</v>
      </c>
      <c r="J371" s="39" t="s">
        <v>743</v>
      </c>
      <c r="K371" s="39" t="s">
        <v>744</v>
      </c>
      <c r="L371" s="39" t="s">
        <v>1545</v>
      </c>
      <c r="M371" s="39" t="s">
        <v>748</v>
      </c>
      <c r="N371" s="39" t="s">
        <v>755</v>
      </c>
      <c r="O371" s="39" t="s">
        <v>756</v>
      </c>
      <c r="P371" s="39" t="s">
        <v>755</v>
      </c>
      <c r="Q371" s="39" t="s">
        <v>756</v>
      </c>
      <c r="R371" s="39" t="s">
        <v>1546</v>
      </c>
      <c r="S371" s="39" t="s">
        <v>750</v>
      </c>
      <c r="T371" s="39" t="s">
        <v>751</v>
      </c>
      <c r="U371" s="39" t="s">
        <v>751</v>
      </c>
      <c r="V371" s="39" t="s">
        <v>751</v>
      </c>
      <c r="W371" s="39" t="s">
        <v>751</v>
      </c>
      <c r="X371" s="39" t="s">
        <v>751</v>
      </c>
    </row>
    <row r="372">
      <c r="A372" s="39" t="s">
        <v>739</v>
      </c>
      <c r="B372" s="39">
        <v>11810.0</v>
      </c>
      <c r="C372" s="39" t="s">
        <v>631</v>
      </c>
      <c r="D372" s="39">
        <v>8.0</v>
      </c>
      <c r="F372" s="39">
        <v>12606.0</v>
      </c>
      <c r="G372" s="39" t="s">
        <v>1547</v>
      </c>
      <c r="H372" s="39">
        <v>2.0</v>
      </c>
      <c r="I372" s="39" t="s">
        <v>753</v>
      </c>
      <c r="J372" s="39" t="s">
        <v>754</v>
      </c>
      <c r="K372" s="39" t="s">
        <v>744</v>
      </c>
      <c r="L372" s="39" t="s">
        <v>1548</v>
      </c>
      <c r="M372" s="39" t="s">
        <v>748</v>
      </c>
      <c r="N372" s="39" t="s">
        <v>755</v>
      </c>
      <c r="O372" s="39" t="s">
        <v>756</v>
      </c>
      <c r="P372" s="39" t="s">
        <v>755</v>
      </c>
      <c r="Q372" s="39" t="s">
        <v>756</v>
      </c>
      <c r="S372" s="39" t="s">
        <v>750</v>
      </c>
      <c r="T372" s="39" t="s">
        <v>750</v>
      </c>
      <c r="U372" s="39" t="s">
        <v>750</v>
      </c>
      <c r="V372" s="39" t="s">
        <v>750</v>
      </c>
      <c r="W372" s="39" t="s">
        <v>751</v>
      </c>
      <c r="X372" s="39" t="s">
        <v>751</v>
      </c>
    </row>
    <row r="373">
      <c r="A373" s="39" t="s">
        <v>739</v>
      </c>
      <c r="B373" s="39">
        <v>11810.0</v>
      </c>
      <c r="C373" s="39" t="s">
        <v>631</v>
      </c>
      <c r="D373" s="39">
        <v>8.0</v>
      </c>
      <c r="F373" s="39">
        <v>12607.0</v>
      </c>
      <c r="G373" s="39" t="s">
        <v>1549</v>
      </c>
      <c r="H373" s="39">
        <v>3.0</v>
      </c>
      <c r="I373" s="39" t="s">
        <v>758</v>
      </c>
      <c r="J373" s="39" t="s">
        <v>768</v>
      </c>
      <c r="K373" s="39" t="s">
        <v>744</v>
      </c>
      <c r="L373" s="39" t="s">
        <v>1550</v>
      </c>
      <c r="M373" s="39" t="s">
        <v>746</v>
      </c>
      <c r="N373" s="39" t="s">
        <v>755</v>
      </c>
      <c r="O373" s="39" t="s">
        <v>756</v>
      </c>
      <c r="P373" s="39" t="s">
        <v>755</v>
      </c>
      <c r="Q373" s="39" t="s">
        <v>756</v>
      </c>
      <c r="R373" s="39" t="s">
        <v>1551</v>
      </c>
      <c r="S373" s="39" t="s">
        <v>750</v>
      </c>
      <c r="T373" s="39" t="s">
        <v>750</v>
      </c>
      <c r="U373" s="39" t="s">
        <v>750</v>
      </c>
      <c r="V373" s="39" t="s">
        <v>750</v>
      </c>
      <c r="W373" s="39" t="s">
        <v>751</v>
      </c>
      <c r="X373" s="39" t="s">
        <v>751</v>
      </c>
    </row>
    <row r="374">
      <c r="A374" s="39" t="s">
        <v>739</v>
      </c>
      <c r="B374" s="39">
        <v>11810.0</v>
      </c>
      <c r="C374" s="39" t="s">
        <v>631</v>
      </c>
      <c r="D374" s="39">
        <v>8.0</v>
      </c>
      <c r="F374" s="39">
        <v>12608.0</v>
      </c>
      <c r="G374" s="39" t="s">
        <v>1552</v>
      </c>
      <c r="H374" s="39">
        <v>4.0</v>
      </c>
      <c r="I374" s="39" t="s">
        <v>788</v>
      </c>
      <c r="J374" s="39" t="s">
        <v>771</v>
      </c>
      <c r="K374" s="39" t="s">
        <v>744</v>
      </c>
      <c r="L374" s="39" t="s">
        <v>1553</v>
      </c>
      <c r="M374" s="39" t="s">
        <v>746</v>
      </c>
      <c r="N374" s="39" t="s">
        <v>755</v>
      </c>
      <c r="O374" s="39" t="s">
        <v>756</v>
      </c>
      <c r="P374" s="39" t="s">
        <v>755</v>
      </c>
      <c r="Q374" s="39" t="s">
        <v>756</v>
      </c>
      <c r="S374" s="39" t="s">
        <v>750</v>
      </c>
      <c r="T374" s="39" t="s">
        <v>750</v>
      </c>
      <c r="U374" s="39" t="s">
        <v>751</v>
      </c>
      <c r="V374" s="39" t="s">
        <v>750</v>
      </c>
      <c r="W374" s="39" t="s">
        <v>751</v>
      </c>
      <c r="X374" s="39" t="s">
        <v>751</v>
      </c>
    </row>
    <row r="375">
      <c r="A375" s="39" t="s">
        <v>739</v>
      </c>
      <c r="B375" s="39">
        <v>11810.0</v>
      </c>
      <c r="C375" s="39" t="s">
        <v>631</v>
      </c>
      <c r="D375" s="39">
        <v>8.0</v>
      </c>
      <c r="F375" s="39">
        <v>12609.0</v>
      </c>
      <c r="G375" s="39" t="s">
        <v>1554</v>
      </c>
      <c r="H375" s="39">
        <v>5.0</v>
      </c>
      <c r="I375" s="39" t="s">
        <v>788</v>
      </c>
      <c r="K375" s="39" t="s">
        <v>744</v>
      </c>
      <c r="L375" s="39">
        <v>3.143394657E9</v>
      </c>
      <c r="M375" s="39" t="s">
        <v>746</v>
      </c>
      <c r="N375" s="39" t="s">
        <v>755</v>
      </c>
      <c r="O375" s="39" t="s">
        <v>756</v>
      </c>
      <c r="P375" s="39" t="s">
        <v>755</v>
      </c>
      <c r="Q375" s="39" t="s">
        <v>756</v>
      </c>
      <c r="S375" s="39" t="s">
        <v>750</v>
      </c>
      <c r="T375" s="39" t="s">
        <v>750</v>
      </c>
      <c r="U375" s="39" t="s">
        <v>750</v>
      </c>
      <c r="V375" s="39" t="s">
        <v>750</v>
      </c>
      <c r="W375" s="39" t="s">
        <v>751</v>
      </c>
      <c r="X375" s="39" t="s">
        <v>751</v>
      </c>
    </row>
    <row r="376">
      <c r="A376" s="39" t="s">
        <v>739</v>
      </c>
      <c r="B376" s="39">
        <v>11810.0</v>
      </c>
      <c r="C376" s="39" t="s">
        <v>631</v>
      </c>
      <c r="D376" s="39">
        <v>8.0</v>
      </c>
      <c r="F376" s="39">
        <v>13738.0</v>
      </c>
      <c r="G376" s="39" t="s">
        <v>1544</v>
      </c>
      <c r="H376" s="39">
        <v>6.0</v>
      </c>
      <c r="I376" s="39" t="s">
        <v>756</v>
      </c>
      <c r="K376" s="39" t="s">
        <v>744</v>
      </c>
      <c r="L376" s="39">
        <v>3.142855017E9</v>
      </c>
      <c r="M376" s="39" t="s">
        <v>805</v>
      </c>
      <c r="N376" s="39" t="s">
        <v>755</v>
      </c>
      <c r="O376" s="39" t="s">
        <v>756</v>
      </c>
      <c r="P376" s="39" t="s">
        <v>755</v>
      </c>
      <c r="Q376" s="39" t="s">
        <v>756</v>
      </c>
      <c r="R376" s="39" t="s">
        <v>1546</v>
      </c>
      <c r="S376" s="39" t="s">
        <v>750</v>
      </c>
      <c r="T376" s="39" t="s">
        <v>750</v>
      </c>
      <c r="U376" s="39" t="s">
        <v>750</v>
      </c>
      <c r="V376" s="39" t="s">
        <v>750</v>
      </c>
      <c r="W376" s="39" t="s">
        <v>750</v>
      </c>
      <c r="X376" s="39" t="s">
        <v>750</v>
      </c>
    </row>
    <row r="377">
      <c r="A377" s="39" t="s">
        <v>739</v>
      </c>
      <c r="B377" s="39">
        <v>12114.0</v>
      </c>
      <c r="C377" s="39" t="s">
        <v>1555</v>
      </c>
      <c r="D377" s="39">
        <v>5.0</v>
      </c>
      <c r="F377" s="39">
        <v>18554.0</v>
      </c>
      <c r="G377" s="39" t="s">
        <v>1556</v>
      </c>
      <c r="H377" s="39">
        <v>1.0</v>
      </c>
      <c r="I377" s="39" t="s">
        <v>753</v>
      </c>
      <c r="J377" s="39" t="s">
        <v>754</v>
      </c>
      <c r="K377" s="39" t="s">
        <v>744</v>
      </c>
      <c r="L377" s="39" t="s">
        <v>1557</v>
      </c>
      <c r="M377" s="39" t="s">
        <v>746</v>
      </c>
      <c r="N377" s="39" t="s">
        <v>755</v>
      </c>
      <c r="O377" s="39" t="s">
        <v>756</v>
      </c>
      <c r="P377" s="39" t="s">
        <v>755</v>
      </c>
      <c r="Q377" s="39" t="s">
        <v>756</v>
      </c>
      <c r="S377" s="39" t="s">
        <v>750</v>
      </c>
      <c r="T377" s="39" t="s">
        <v>751</v>
      </c>
      <c r="U377" s="39" t="s">
        <v>751</v>
      </c>
      <c r="V377" s="39" t="s">
        <v>750</v>
      </c>
      <c r="W377" s="39" t="s">
        <v>751</v>
      </c>
      <c r="X377" s="39" t="s">
        <v>751</v>
      </c>
    </row>
    <row r="378">
      <c r="A378" s="39" t="s">
        <v>739</v>
      </c>
      <c r="B378" s="39">
        <v>12114.0</v>
      </c>
      <c r="C378" s="39" t="s">
        <v>1555</v>
      </c>
      <c r="D378" s="39">
        <v>5.0</v>
      </c>
      <c r="F378" s="39">
        <v>18553.0</v>
      </c>
      <c r="G378" s="39" t="s">
        <v>1558</v>
      </c>
      <c r="H378" s="39">
        <v>2.0</v>
      </c>
      <c r="I378" s="39" t="s">
        <v>742</v>
      </c>
      <c r="J378" s="39" t="s">
        <v>743</v>
      </c>
      <c r="K378" s="39" t="s">
        <v>744</v>
      </c>
      <c r="L378" s="39" t="s">
        <v>1559</v>
      </c>
      <c r="M378" s="39" t="s">
        <v>746</v>
      </c>
      <c r="N378" s="39" t="s">
        <v>755</v>
      </c>
      <c r="O378" s="39" t="s">
        <v>756</v>
      </c>
      <c r="P378" s="39" t="s">
        <v>755</v>
      </c>
      <c r="Q378" s="39" t="s">
        <v>756</v>
      </c>
      <c r="R378" s="39" t="s">
        <v>1560</v>
      </c>
      <c r="S378" s="39" t="s">
        <v>750</v>
      </c>
      <c r="T378" s="39" t="s">
        <v>751</v>
      </c>
      <c r="U378" s="39" t="s">
        <v>751</v>
      </c>
      <c r="V378" s="39" t="s">
        <v>750</v>
      </c>
      <c r="W378" s="39" t="s">
        <v>751</v>
      </c>
      <c r="X378" s="39" t="s">
        <v>751</v>
      </c>
    </row>
    <row r="379">
      <c r="A379" s="39" t="s">
        <v>739</v>
      </c>
      <c r="B379" s="39">
        <v>11713.0</v>
      </c>
      <c r="C379" s="39" t="s">
        <v>634</v>
      </c>
      <c r="D379" s="39">
        <v>8.0</v>
      </c>
      <c r="F379" s="39">
        <v>13546.0</v>
      </c>
      <c r="G379" s="39" t="s">
        <v>1561</v>
      </c>
      <c r="H379" s="39">
        <v>1.0</v>
      </c>
      <c r="I379" s="39" t="s">
        <v>775</v>
      </c>
      <c r="J379" s="39" t="s">
        <v>803</v>
      </c>
      <c r="K379" s="39" t="s">
        <v>744</v>
      </c>
      <c r="L379" s="39" t="s">
        <v>1562</v>
      </c>
      <c r="M379" s="39" t="s">
        <v>805</v>
      </c>
      <c r="N379" s="39" t="s">
        <v>755</v>
      </c>
      <c r="O379" s="39" t="s">
        <v>756</v>
      </c>
      <c r="P379" s="39" t="s">
        <v>755</v>
      </c>
      <c r="Q379" s="39" t="s">
        <v>756</v>
      </c>
      <c r="R379" s="39" t="s">
        <v>1563</v>
      </c>
      <c r="S379" s="39" t="s">
        <v>750</v>
      </c>
      <c r="T379" s="39" t="s">
        <v>751</v>
      </c>
      <c r="U379" s="39" t="s">
        <v>751</v>
      </c>
      <c r="V379" s="39" t="s">
        <v>750</v>
      </c>
      <c r="W379" s="39" t="s">
        <v>751</v>
      </c>
      <c r="X379" s="39" t="s">
        <v>751</v>
      </c>
    </row>
    <row r="380">
      <c r="A380" s="39" t="s">
        <v>739</v>
      </c>
      <c r="B380" s="39">
        <v>11713.0</v>
      </c>
      <c r="C380" s="39" t="s">
        <v>634</v>
      </c>
      <c r="D380" s="39">
        <v>8.0</v>
      </c>
      <c r="F380" s="39">
        <v>11591.0</v>
      </c>
      <c r="G380" s="39" t="s">
        <v>1564</v>
      </c>
      <c r="H380" s="39">
        <v>2.0</v>
      </c>
      <c r="I380" s="39" t="s">
        <v>753</v>
      </c>
      <c r="K380" s="39" t="s">
        <v>744</v>
      </c>
      <c r="L380" s="39">
        <v>1.61879295E9</v>
      </c>
      <c r="M380" s="39" t="s">
        <v>746</v>
      </c>
      <c r="N380" s="39" t="s">
        <v>755</v>
      </c>
      <c r="O380" s="39" t="s">
        <v>756</v>
      </c>
      <c r="P380" s="39" t="s">
        <v>755</v>
      </c>
      <c r="Q380" s="39" t="s">
        <v>756</v>
      </c>
      <c r="S380" s="39" t="s">
        <v>750</v>
      </c>
      <c r="T380" s="39" t="s">
        <v>750</v>
      </c>
      <c r="U380" s="39" t="s">
        <v>750</v>
      </c>
      <c r="V380" s="39" t="s">
        <v>750</v>
      </c>
      <c r="W380" s="39" t="s">
        <v>751</v>
      </c>
      <c r="X380" s="39" t="s">
        <v>750</v>
      </c>
    </row>
    <row r="381">
      <c r="A381" s="39" t="s">
        <v>739</v>
      </c>
      <c r="B381" s="39">
        <v>12059.0</v>
      </c>
      <c r="C381" s="39" t="s">
        <v>1565</v>
      </c>
      <c r="D381" s="39">
        <v>6.0</v>
      </c>
      <c r="F381" s="39">
        <v>17917.0</v>
      </c>
      <c r="G381" s="39" t="s">
        <v>1566</v>
      </c>
      <c r="H381" s="39">
        <v>1.0</v>
      </c>
      <c r="I381" s="39" t="s">
        <v>775</v>
      </c>
      <c r="J381" s="39" t="s">
        <v>768</v>
      </c>
      <c r="K381" s="39" t="s">
        <v>744</v>
      </c>
      <c r="L381" s="39" t="s">
        <v>1567</v>
      </c>
      <c r="M381" s="39" t="s">
        <v>746</v>
      </c>
      <c r="N381" s="39" t="s">
        <v>755</v>
      </c>
      <c r="O381" s="39" t="s">
        <v>756</v>
      </c>
      <c r="P381" s="39" t="s">
        <v>755</v>
      </c>
      <c r="Q381" s="39" t="s">
        <v>756</v>
      </c>
      <c r="R381" s="39" t="s">
        <v>1568</v>
      </c>
      <c r="S381" s="39" t="s">
        <v>750</v>
      </c>
      <c r="T381" s="39" t="s">
        <v>750</v>
      </c>
      <c r="U381" s="39" t="s">
        <v>751</v>
      </c>
      <c r="V381" s="39" t="s">
        <v>750</v>
      </c>
      <c r="W381" s="39" t="s">
        <v>751</v>
      </c>
      <c r="X381" s="39" t="s">
        <v>751</v>
      </c>
    </row>
    <row r="382">
      <c r="A382" s="39" t="s">
        <v>739</v>
      </c>
      <c r="B382" s="39">
        <v>12059.0</v>
      </c>
      <c r="C382" s="39" t="s">
        <v>1565</v>
      </c>
      <c r="D382" s="39">
        <v>6.0</v>
      </c>
      <c r="F382" s="39">
        <v>17918.0</v>
      </c>
      <c r="G382" s="39" t="s">
        <v>1569</v>
      </c>
      <c r="H382" s="39">
        <v>2.0</v>
      </c>
      <c r="I382" s="39" t="s">
        <v>791</v>
      </c>
      <c r="J382" s="39" t="s">
        <v>771</v>
      </c>
      <c r="K382" s="39" t="s">
        <v>744</v>
      </c>
      <c r="L382" s="39" t="s">
        <v>1570</v>
      </c>
      <c r="M382" s="39" t="s">
        <v>746</v>
      </c>
      <c r="N382" s="39" t="s">
        <v>755</v>
      </c>
      <c r="O382" s="39" t="s">
        <v>756</v>
      </c>
      <c r="P382" s="39" t="s">
        <v>755</v>
      </c>
      <c r="Q382" s="39" t="s">
        <v>756</v>
      </c>
      <c r="S382" s="39" t="s">
        <v>750</v>
      </c>
      <c r="T382" s="39" t="s">
        <v>750</v>
      </c>
      <c r="U382" s="39" t="s">
        <v>750</v>
      </c>
      <c r="V382" s="39" t="s">
        <v>750</v>
      </c>
      <c r="W382" s="39" t="s">
        <v>751</v>
      </c>
      <c r="X382" s="39" t="s">
        <v>751</v>
      </c>
    </row>
    <row r="383">
      <c r="A383" s="39" t="s">
        <v>739</v>
      </c>
      <c r="B383" s="39">
        <v>11361.0</v>
      </c>
      <c r="C383" s="39" t="s">
        <v>637</v>
      </c>
      <c r="D383" s="39">
        <v>8.0</v>
      </c>
      <c r="F383" s="39">
        <v>8418.0</v>
      </c>
      <c r="G383" s="39" t="s">
        <v>1571</v>
      </c>
      <c r="H383" s="39">
        <v>1.0</v>
      </c>
      <c r="I383" s="39" t="s">
        <v>742</v>
      </c>
      <c r="J383" s="39" t="s">
        <v>743</v>
      </c>
      <c r="K383" s="39" t="s">
        <v>744</v>
      </c>
      <c r="L383" s="39" t="s">
        <v>1572</v>
      </c>
      <c r="M383" s="39" t="s">
        <v>746</v>
      </c>
      <c r="N383" s="39" t="s">
        <v>1573</v>
      </c>
      <c r="O383" s="39" t="s">
        <v>748</v>
      </c>
      <c r="P383" s="39" t="s">
        <v>755</v>
      </c>
      <c r="Q383" s="39" t="s">
        <v>756</v>
      </c>
      <c r="R383" s="39" t="s">
        <v>1574</v>
      </c>
      <c r="S383" s="39" t="s">
        <v>750</v>
      </c>
      <c r="T383" s="39" t="s">
        <v>751</v>
      </c>
      <c r="U383" s="39" t="s">
        <v>751</v>
      </c>
      <c r="V383" s="39" t="s">
        <v>750</v>
      </c>
      <c r="W383" s="39" t="s">
        <v>751</v>
      </c>
      <c r="X383" s="39" t="s">
        <v>751</v>
      </c>
    </row>
    <row r="384">
      <c r="A384" s="39" t="s">
        <v>739</v>
      </c>
      <c r="B384" s="39">
        <v>11361.0</v>
      </c>
      <c r="C384" s="39" t="s">
        <v>637</v>
      </c>
      <c r="D384" s="39">
        <v>8.0</v>
      </c>
      <c r="F384" s="39">
        <v>13309.0</v>
      </c>
      <c r="G384" s="39" t="s">
        <v>889</v>
      </c>
      <c r="H384" s="39">
        <v>2.0</v>
      </c>
      <c r="I384" s="39" t="s">
        <v>756</v>
      </c>
      <c r="K384" s="39" t="s">
        <v>744</v>
      </c>
      <c r="L384" s="39" t="s">
        <v>755</v>
      </c>
      <c r="M384" s="39" t="s">
        <v>756</v>
      </c>
      <c r="N384" s="39" t="s">
        <v>755</v>
      </c>
      <c r="O384" s="39" t="s">
        <v>756</v>
      </c>
      <c r="P384" s="39" t="s">
        <v>755</v>
      </c>
      <c r="Q384" s="39" t="s">
        <v>756</v>
      </c>
      <c r="R384" s="39" t="s">
        <v>1574</v>
      </c>
      <c r="S384" s="39" t="s">
        <v>750</v>
      </c>
      <c r="T384" s="39" t="s">
        <v>750</v>
      </c>
      <c r="U384" s="39" t="s">
        <v>750</v>
      </c>
      <c r="V384" s="39" t="s">
        <v>750</v>
      </c>
      <c r="W384" s="39" t="s">
        <v>750</v>
      </c>
      <c r="X384" s="39" t="s">
        <v>750</v>
      </c>
    </row>
    <row r="385">
      <c r="A385" s="39" t="s">
        <v>739</v>
      </c>
      <c r="B385" s="39">
        <v>11921.0</v>
      </c>
      <c r="C385" s="39" t="s">
        <v>1575</v>
      </c>
      <c r="D385" s="39">
        <v>6.0</v>
      </c>
      <c r="F385" s="39">
        <v>17146.0</v>
      </c>
      <c r="G385" s="39" t="s">
        <v>1576</v>
      </c>
      <c r="H385" s="39">
        <v>1.0</v>
      </c>
      <c r="I385" s="39" t="s">
        <v>742</v>
      </c>
      <c r="J385" s="39" t="s">
        <v>743</v>
      </c>
      <c r="K385" s="39" t="s">
        <v>744</v>
      </c>
      <c r="L385" s="39" t="s">
        <v>1577</v>
      </c>
      <c r="M385" s="39" t="s">
        <v>746</v>
      </c>
      <c r="N385" s="39" t="s">
        <v>1578</v>
      </c>
      <c r="O385" s="39" t="s">
        <v>748</v>
      </c>
      <c r="P385" s="39" t="s">
        <v>755</v>
      </c>
      <c r="Q385" s="39" t="s">
        <v>756</v>
      </c>
      <c r="R385" s="39" t="s">
        <v>1579</v>
      </c>
      <c r="S385" s="39" t="s">
        <v>750</v>
      </c>
      <c r="T385" s="39" t="s">
        <v>751</v>
      </c>
      <c r="U385" s="39" t="s">
        <v>751</v>
      </c>
      <c r="V385" s="39" t="s">
        <v>750</v>
      </c>
      <c r="W385" s="39" t="s">
        <v>751</v>
      </c>
      <c r="X385" s="39" t="s">
        <v>751</v>
      </c>
    </row>
    <row r="386">
      <c r="A386" s="39" t="s">
        <v>739</v>
      </c>
      <c r="B386" s="39">
        <v>11921.0</v>
      </c>
      <c r="C386" s="39" t="s">
        <v>1575</v>
      </c>
      <c r="D386" s="39">
        <v>6.0</v>
      </c>
      <c r="F386" s="39">
        <v>17147.0</v>
      </c>
      <c r="G386" s="39" t="s">
        <v>1580</v>
      </c>
      <c r="H386" s="39">
        <v>2.0</v>
      </c>
      <c r="I386" s="39" t="s">
        <v>753</v>
      </c>
      <c r="J386" s="39" t="s">
        <v>754</v>
      </c>
      <c r="K386" s="39" t="s">
        <v>744</v>
      </c>
      <c r="L386" s="39" t="s">
        <v>1581</v>
      </c>
      <c r="M386" s="39" t="s">
        <v>746</v>
      </c>
      <c r="N386" s="39" t="s">
        <v>755</v>
      </c>
      <c r="O386" s="39" t="s">
        <v>756</v>
      </c>
      <c r="P386" s="39" t="s">
        <v>755</v>
      </c>
      <c r="Q386" s="39" t="s">
        <v>756</v>
      </c>
      <c r="S386" s="39" t="s">
        <v>750</v>
      </c>
      <c r="T386" s="39" t="s">
        <v>750</v>
      </c>
      <c r="U386" s="39" t="s">
        <v>750</v>
      </c>
      <c r="V386" s="39" t="s">
        <v>750</v>
      </c>
      <c r="W386" s="39" t="s">
        <v>751</v>
      </c>
      <c r="X386" s="39" t="s">
        <v>751</v>
      </c>
    </row>
    <row r="387">
      <c r="A387" s="39" t="s">
        <v>739</v>
      </c>
      <c r="B387" s="39">
        <v>11995.0</v>
      </c>
      <c r="C387" s="39" t="s">
        <v>1582</v>
      </c>
      <c r="D387" s="39">
        <v>7.0</v>
      </c>
      <c r="F387" s="39">
        <v>17600.0</v>
      </c>
      <c r="G387" s="39" t="s">
        <v>1583</v>
      </c>
      <c r="H387" s="39">
        <v>1.0</v>
      </c>
      <c r="I387" s="39" t="s">
        <v>742</v>
      </c>
      <c r="J387" s="39" t="s">
        <v>743</v>
      </c>
      <c r="K387" s="39" t="s">
        <v>744</v>
      </c>
      <c r="L387" s="39" t="s">
        <v>1584</v>
      </c>
      <c r="M387" s="39" t="s">
        <v>746</v>
      </c>
      <c r="N387" s="39" t="s">
        <v>927</v>
      </c>
      <c r="O387" s="39" t="s">
        <v>746</v>
      </c>
      <c r="P387" s="39" t="s">
        <v>755</v>
      </c>
      <c r="Q387" s="39" t="s">
        <v>756</v>
      </c>
      <c r="R387" s="39" t="s">
        <v>1585</v>
      </c>
      <c r="S387" s="39" t="s">
        <v>750</v>
      </c>
      <c r="T387" s="39" t="s">
        <v>751</v>
      </c>
      <c r="U387" s="39" t="s">
        <v>751</v>
      </c>
      <c r="V387" s="39" t="s">
        <v>750</v>
      </c>
      <c r="W387" s="39" t="s">
        <v>751</v>
      </c>
      <c r="X387" s="39" t="s">
        <v>751</v>
      </c>
    </row>
    <row r="388">
      <c r="A388" s="39" t="s">
        <v>739</v>
      </c>
      <c r="B388" s="39">
        <v>11995.0</v>
      </c>
      <c r="C388" s="39" t="s">
        <v>1582</v>
      </c>
      <c r="D388" s="39">
        <v>7.0</v>
      </c>
      <c r="F388" s="39">
        <v>17601.0</v>
      </c>
      <c r="G388" s="39" t="s">
        <v>1586</v>
      </c>
      <c r="H388" s="39">
        <v>2.0</v>
      </c>
      <c r="I388" s="39" t="s">
        <v>753</v>
      </c>
      <c r="J388" s="39" t="s">
        <v>754</v>
      </c>
      <c r="K388" s="39" t="s">
        <v>744</v>
      </c>
      <c r="L388" s="39" t="s">
        <v>1587</v>
      </c>
      <c r="M388" s="39" t="s">
        <v>746</v>
      </c>
      <c r="N388" s="39" t="s">
        <v>755</v>
      </c>
      <c r="O388" s="39" t="s">
        <v>756</v>
      </c>
      <c r="P388" s="39" t="s">
        <v>755</v>
      </c>
      <c r="Q388" s="39" t="s">
        <v>756</v>
      </c>
      <c r="S388" s="39" t="s">
        <v>750</v>
      </c>
      <c r="T388" s="39" t="s">
        <v>750</v>
      </c>
      <c r="U388" s="39" t="s">
        <v>750</v>
      </c>
      <c r="V388" s="39" t="s">
        <v>751</v>
      </c>
      <c r="W388" s="39" t="s">
        <v>751</v>
      </c>
      <c r="X388" s="39" t="s">
        <v>751</v>
      </c>
    </row>
    <row r="389">
      <c r="A389" s="39" t="s">
        <v>739</v>
      </c>
      <c r="B389" s="39">
        <v>11995.0</v>
      </c>
      <c r="C389" s="39" t="s">
        <v>1582</v>
      </c>
      <c r="D389" s="39">
        <v>7.0</v>
      </c>
      <c r="F389" s="39">
        <v>17602.0</v>
      </c>
      <c r="G389" s="39" t="s">
        <v>1588</v>
      </c>
      <c r="H389" s="39">
        <v>3.0</v>
      </c>
      <c r="I389" s="39" t="s">
        <v>758</v>
      </c>
      <c r="J389" s="39" t="s">
        <v>768</v>
      </c>
      <c r="K389" s="39" t="s">
        <v>744</v>
      </c>
      <c r="L389" s="39" t="s">
        <v>1589</v>
      </c>
      <c r="M389" s="39" t="s">
        <v>756</v>
      </c>
      <c r="N389" s="39" t="s">
        <v>755</v>
      </c>
      <c r="O389" s="39" t="s">
        <v>756</v>
      </c>
      <c r="P389" s="39" t="s">
        <v>755</v>
      </c>
      <c r="Q389" s="39" t="s">
        <v>756</v>
      </c>
      <c r="S389" s="39" t="s">
        <v>750</v>
      </c>
      <c r="T389" s="39" t="s">
        <v>750</v>
      </c>
      <c r="U389" s="39" t="s">
        <v>750</v>
      </c>
      <c r="V389" s="39" t="s">
        <v>750</v>
      </c>
      <c r="W389" s="39" t="s">
        <v>751</v>
      </c>
      <c r="X389" s="39" t="s">
        <v>751</v>
      </c>
    </row>
    <row r="390">
      <c r="A390" s="39" t="s">
        <v>739</v>
      </c>
      <c r="B390" s="39">
        <v>11752.0</v>
      </c>
      <c r="C390" s="39" t="s">
        <v>1590</v>
      </c>
      <c r="D390" s="39">
        <v>8.0</v>
      </c>
      <c r="F390" s="39">
        <v>11782.0</v>
      </c>
      <c r="G390" s="39" t="s">
        <v>1591</v>
      </c>
      <c r="H390" s="39">
        <v>1.0</v>
      </c>
      <c r="I390" s="39" t="s">
        <v>742</v>
      </c>
      <c r="J390" s="39" t="s">
        <v>743</v>
      </c>
      <c r="K390" s="39" t="s">
        <v>744</v>
      </c>
      <c r="L390" s="39" t="s">
        <v>1592</v>
      </c>
      <c r="M390" s="39" t="s">
        <v>748</v>
      </c>
      <c r="N390" s="39" t="s">
        <v>755</v>
      </c>
      <c r="O390" s="39" t="s">
        <v>756</v>
      </c>
      <c r="P390" s="39" t="s">
        <v>755</v>
      </c>
      <c r="Q390" s="39" t="s">
        <v>756</v>
      </c>
      <c r="R390" s="39" t="s">
        <v>1593</v>
      </c>
      <c r="S390" s="39" t="s">
        <v>750</v>
      </c>
      <c r="T390" s="39" t="s">
        <v>751</v>
      </c>
      <c r="U390" s="39" t="s">
        <v>751</v>
      </c>
      <c r="V390" s="39" t="s">
        <v>751</v>
      </c>
      <c r="W390" s="39" t="s">
        <v>751</v>
      </c>
      <c r="X390" s="39" t="s">
        <v>751</v>
      </c>
    </row>
    <row r="391">
      <c r="A391" s="39" t="s">
        <v>739</v>
      </c>
      <c r="B391" s="39">
        <v>11752.0</v>
      </c>
      <c r="C391" s="39" t="s">
        <v>1590</v>
      </c>
      <c r="D391" s="39">
        <v>8.0</v>
      </c>
      <c r="F391" s="39">
        <v>8403.0</v>
      </c>
      <c r="G391" s="39" t="s">
        <v>1591</v>
      </c>
      <c r="H391" s="39">
        <v>2.0</v>
      </c>
      <c r="I391" s="39" t="s">
        <v>742</v>
      </c>
      <c r="J391" s="39" t="s">
        <v>803</v>
      </c>
      <c r="K391" s="39" t="s">
        <v>744</v>
      </c>
      <c r="L391" s="39" t="s">
        <v>1592</v>
      </c>
      <c r="M391" s="39" t="s">
        <v>805</v>
      </c>
      <c r="N391" s="39">
        <v>3.143498724E9</v>
      </c>
      <c r="O391" s="39" t="s">
        <v>746</v>
      </c>
      <c r="P391" s="39">
        <v>3.143566035E9</v>
      </c>
      <c r="Q391" s="39" t="s">
        <v>748</v>
      </c>
      <c r="R391" s="39" t="s">
        <v>1593</v>
      </c>
      <c r="S391" s="39" t="s">
        <v>750</v>
      </c>
      <c r="T391" s="39" t="s">
        <v>751</v>
      </c>
      <c r="U391" s="39" t="s">
        <v>751</v>
      </c>
      <c r="V391" s="39" t="s">
        <v>750</v>
      </c>
      <c r="W391" s="39" t="s">
        <v>751</v>
      </c>
      <c r="X391" s="39" t="s">
        <v>751</v>
      </c>
    </row>
    <row r="392">
      <c r="A392" s="39" t="s">
        <v>739</v>
      </c>
      <c r="B392" s="39">
        <v>11752.0</v>
      </c>
      <c r="C392" s="39" t="s">
        <v>1590</v>
      </c>
      <c r="D392" s="39">
        <v>8.0</v>
      </c>
      <c r="F392" s="39">
        <v>11783.0</v>
      </c>
      <c r="G392" s="39" t="s">
        <v>1594</v>
      </c>
      <c r="H392" s="39">
        <v>3.0</v>
      </c>
      <c r="I392" s="39" t="s">
        <v>788</v>
      </c>
      <c r="J392" s="39" t="s">
        <v>768</v>
      </c>
      <c r="K392" s="39" t="s">
        <v>744</v>
      </c>
      <c r="L392" s="39" t="s">
        <v>1595</v>
      </c>
      <c r="M392" s="39" t="s">
        <v>746</v>
      </c>
      <c r="N392" s="39" t="s">
        <v>755</v>
      </c>
      <c r="O392" s="39" t="s">
        <v>756</v>
      </c>
      <c r="P392" s="39" t="s">
        <v>755</v>
      </c>
      <c r="Q392" s="39" t="s">
        <v>756</v>
      </c>
      <c r="R392" s="39" t="s">
        <v>1596</v>
      </c>
      <c r="S392" s="39" t="s">
        <v>750</v>
      </c>
      <c r="T392" s="39" t="s">
        <v>750</v>
      </c>
      <c r="U392" s="39" t="s">
        <v>751</v>
      </c>
      <c r="V392" s="39" t="s">
        <v>750</v>
      </c>
      <c r="W392" s="39" t="s">
        <v>751</v>
      </c>
      <c r="X392" s="39" t="s">
        <v>751</v>
      </c>
    </row>
    <row r="393">
      <c r="A393" s="39" t="s">
        <v>739</v>
      </c>
      <c r="B393" s="39">
        <v>11752.0</v>
      </c>
      <c r="C393" s="39" t="s">
        <v>1590</v>
      </c>
      <c r="D393" s="39">
        <v>8.0</v>
      </c>
      <c r="F393" s="39">
        <v>17313.0</v>
      </c>
      <c r="G393" s="39" t="s">
        <v>1597</v>
      </c>
      <c r="H393" s="39">
        <v>4.0</v>
      </c>
      <c r="I393" s="39" t="s">
        <v>791</v>
      </c>
      <c r="J393" s="39" t="s">
        <v>771</v>
      </c>
      <c r="K393" s="39" t="s">
        <v>744</v>
      </c>
      <c r="L393" s="39" t="s">
        <v>1598</v>
      </c>
      <c r="M393" s="39" t="s">
        <v>746</v>
      </c>
      <c r="N393" s="39" t="s">
        <v>755</v>
      </c>
      <c r="O393" s="39" t="s">
        <v>756</v>
      </c>
      <c r="P393" s="39" t="s">
        <v>755</v>
      </c>
      <c r="Q393" s="39" t="s">
        <v>756</v>
      </c>
      <c r="S393" s="39" t="s">
        <v>750</v>
      </c>
      <c r="T393" s="39" t="s">
        <v>750</v>
      </c>
      <c r="U393" s="39" t="s">
        <v>750</v>
      </c>
      <c r="V393" s="39" t="s">
        <v>750</v>
      </c>
      <c r="W393" s="39" t="s">
        <v>751</v>
      </c>
      <c r="X393" s="39" t="s">
        <v>751</v>
      </c>
    </row>
    <row r="394">
      <c r="A394" s="39" t="s">
        <v>739</v>
      </c>
      <c r="B394" s="39">
        <v>11717.0</v>
      </c>
      <c r="C394" s="39" t="s">
        <v>1599</v>
      </c>
      <c r="D394" s="39">
        <v>6.0</v>
      </c>
      <c r="F394" s="39">
        <v>11468.0</v>
      </c>
      <c r="G394" s="39" t="s">
        <v>1600</v>
      </c>
      <c r="H394" s="39">
        <v>1.0</v>
      </c>
      <c r="I394" s="39" t="s">
        <v>742</v>
      </c>
      <c r="J394" s="39" t="s">
        <v>743</v>
      </c>
      <c r="K394" s="39" t="s">
        <v>744</v>
      </c>
      <c r="L394" s="39" t="s">
        <v>1601</v>
      </c>
      <c r="M394" s="39" t="s">
        <v>746</v>
      </c>
      <c r="N394" s="39">
        <v>3.147973839E9</v>
      </c>
      <c r="O394" s="39" t="s">
        <v>748</v>
      </c>
      <c r="P394" s="39" t="s">
        <v>755</v>
      </c>
      <c r="Q394" s="39" t="s">
        <v>756</v>
      </c>
      <c r="R394" s="39" t="s">
        <v>1602</v>
      </c>
      <c r="S394" s="39" t="s">
        <v>750</v>
      </c>
      <c r="T394" s="39" t="s">
        <v>751</v>
      </c>
      <c r="U394" s="39" t="s">
        <v>751</v>
      </c>
      <c r="V394" s="39" t="s">
        <v>750</v>
      </c>
      <c r="W394" s="39" t="s">
        <v>751</v>
      </c>
      <c r="X394" s="39" t="s">
        <v>751</v>
      </c>
    </row>
    <row r="395">
      <c r="A395" s="39" t="s">
        <v>739</v>
      </c>
      <c r="B395" s="39">
        <v>11717.0</v>
      </c>
      <c r="C395" s="39" t="s">
        <v>1599</v>
      </c>
      <c r="D395" s="39">
        <v>6.0</v>
      </c>
      <c r="F395" s="39">
        <v>17743.0</v>
      </c>
      <c r="G395" s="39" t="s">
        <v>1603</v>
      </c>
      <c r="H395" s="39">
        <v>2.0</v>
      </c>
      <c r="I395" s="39" t="s">
        <v>753</v>
      </c>
      <c r="J395" s="39" t="s">
        <v>754</v>
      </c>
      <c r="K395" s="39" t="s">
        <v>744</v>
      </c>
      <c r="L395" s="39" t="s">
        <v>1604</v>
      </c>
      <c r="M395" s="39" t="s">
        <v>746</v>
      </c>
      <c r="N395" s="39" t="s">
        <v>755</v>
      </c>
      <c r="O395" s="39" t="s">
        <v>756</v>
      </c>
      <c r="P395" s="39" t="s">
        <v>755</v>
      </c>
      <c r="Q395" s="39" t="s">
        <v>756</v>
      </c>
      <c r="S395" s="39" t="s">
        <v>750</v>
      </c>
      <c r="T395" s="39" t="s">
        <v>751</v>
      </c>
      <c r="U395" s="39" t="s">
        <v>751</v>
      </c>
      <c r="V395" s="39" t="s">
        <v>750</v>
      </c>
      <c r="W395" s="39" t="s">
        <v>751</v>
      </c>
      <c r="X395" s="39" t="s">
        <v>751</v>
      </c>
    </row>
    <row r="396">
      <c r="A396" s="39" t="s">
        <v>739</v>
      </c>
      <c r="B396" s="39">
        <v>11716.0</v>
      </c>
      <c r="C396" s="39" t="s">
        <v>1605</v>
      </c>
      <c r="D396" s="39">
        <v>6.0</v>
      </c>
      <c r="F396" s="39">
        <v>11468.0</v>
      </c>
      <c r="G396" s="39" t="s">
        <v>1600</v>
      </c>
      <c r="H396" s="39">
        <v>1.0</v>
      </c>
      <c r="I396" s="39" t="s">
        <v>742</v>
      </c>
      <c r="J396" s="39" t="s">
        <v>743</v>
      </c>
      <c r="K396" s="39" t="s">
        <v>744</v>
      </c>
      <c r="L396" s="39" t="s">
        <v>1601</v>
      </c>
      <c r="M396" s="39" t="s">
        <v>746</v>
      </c>
      <c r="N396" s="39">
        <v>3.147973839E9</v>
      </c>
      <c r="O396" s="39" t="s">
        <v>748</v>
      </c>
      <c r="P396" s="39" t="s">
        <v>755</v>
      </c>
      <c r="Q396" s="39" t="s">
        <v>756</v>
      </c>
      <c r="R396" s="39" t="s">
        <v>1602</v>
      </c>
      <c r="S396" s="39" t="s">
        <v>750</v>
      </c>
      <c r="T396" s="39" t="s">
        <v>751</v>
      </c>
      <c r="U396" s="39" t="s">
        <v>751</v>
      </c>
      <c r="V396" s="39" t="s">
        <v>750</v>
      </c>
      <c r="W396" s="39" t="s">
        <v>751</v>
      </c>
      <c r="X396" s="39" t="s">
        <v>751</v>
      </c>
    </row>
    <row r="397">
      <c r="A397" s="39" t="s">
        <v>739</v>
      </c>
      <c r="B397" s="39">
        <v>11716.0</v>
      </c>
      <c r="C397" s="39" t="s">
        <v>1605</v>
      </c>
      <c r="D397" s="39">
        <v>6.0</v>
      </c>
      <c r="F397" s="39">
        <v>17743.0</v>
      </c>
      <c r="G397" s="39" t="s">
        <v>1603</v>
      </c>
      <c r="H397" s="39">
        <v>2.0</v>
      </c>
      <c r="I397" s="39" t="s">
        <v>753</v>
      </c>
      <c r="J397" s="39" t="s">
        <v>754</v>
      </c>
      <c r="K397" s="39" t="s">
        <v>744</v>
      </c>
      <c r="L397" s="39" t="s">
        <v>1604</v>
      </c>
      <c r="M397" s="39" t="s">
        <v>746</v>
      </c>
      <c r="N397" s="39" t="s">
        <v>755</v>
      </c>
      <c r="O397" s="39" t="s">
        <v>756</v>
      </c>
      <c r="P397" s="39" t="s">
        <v>755</v>
      </c>
      <c r="Q397" s="39" t="s">
        <v>756</v>
      </c>
      <c r="S397" s="39" t="s">
        <v>750</v>
      </c>
      <c r="T397" s="39" t="s">
        <v>751</v>
      </c>
      <c r="U397" s="39" t="s">
        <v>751</v>
      </c>
      <c r="V397" s="39" t="s">
        <v>750</v>
      </c>
      <c r="W397" s="39" t="s">
        <v>751</v>
      </c>
      <c r="X397" s="39" t="s">
        <v>751</v>
      </c>
    </row>
    <row r="398">
      <c r="A398" s="39" t="s">
        <v>739</v>
      </c>
      <c r="B398" s="39">
        <v>11074.0</v>
      </c>
      <c r="C398" s="39" t="s">
        <v>1606</v>
      </c>
      <c r="D398" s="39">
        <v>7.0</v>
      </c>
      <c r="F398" s="39">
        <v>5715.0</v>
      </c>
      <c r="G398" s="39" t="s">
        <v>1607</v>
      </c>
      <c r="H398" s="39">
        <v>1.0</v>
      </c>
      <c r="I398" s="39" t="s">
        <v>742</v>
      </c>
      <c r="J398" s="39" t="s">
        <v>743</v>
      </c>
      <c r="K398" s="39" t="s">
        <v>744</v>
      </c>
      <c r="L398" s="39" t="s">
        <v>1608</v>
      </c>
      <c r="M398" s="39" t="s">
        <v>746</v>
      </c>
      <c r="N398" s="39">
        <v>3.14435856E9</v>
      </c>
      <c r="O398" s="39" t="s">
        <v>748</v>
      </c>
      <c r="P398" s="39" t="s">
        <v>755</v>
      </c>
      <c r="Q398" s="39" t="s">
        <v>756</v>
      </c>
      <c r="R398" s="39" t="s">
        <v>1609</v>
      </c>
      <c r="S398" s="39" t="s">
        <v>750</v>
      </c>
      <c r="T398" s="39" t="s">
        <v>751</v>
      </c>
      <c r="U398" s="39" t="s">
        <v>751</v>
      </c>
      <c r="V398" s="39" t="s">
        <v>751</v>
      </c>
      <c r="W398" s="39" t="s">
        <v>751</v>
      </c>
      <c r="X398" s="39" t="s">
        <v>751</v>
      </c>
    </row>
    <row r="399">
      <c r="A399" s="39" t="s">
        <v>739</v>
      </c>
      <c r="B399" s="39">
        <v>11074.0</v>
      </c>
      <c r="C399" s="39" t="s">
        <v>1606</v>
      </c>
      <c r="D399" s="39">
        <v>7.0</v>
      </c>
      <c r="F399" s="39">
        <v>5716.0</v>
      </c>
      <c r="G399" s="39" t="s">
        <v>1610</v>
      </c>
      <c r="H399" s="39">
        <v>2.0</v>
      </c>
      <c r="I399" s="39" t="s">
        <v>753</v>
      </c>
      <c r="J399" s="39" t="s">
        <v>754</v>
      </c>
      <c r="K399" s="39" t="s">
        <v>744</v>
      </c>
      <c r="L399" s="39" t="s">
        <v>1611</v>
      </c>
      <c r="M399" s="39" t="s">
        <v>746</v>
      </c>
      <c r="N399" s="39">
        <v>3.143030424E9</v>
      </c>
      <c r="O399" s="39" t="s">
        <v>748</v>
      </c>
      <c r="P399" s="39" t="s">
        <v>755</v>
      </c>
      <c r="Q399" s="39" t="s">
        <v>756</v>
      </c>
      <c r="R399" s="39" t="s">
        <v>1612</v>
      </c>
      <c r="S399" s="39" t="s">
        <v>750</v>
      </c>
      <c r="T399" s="39" t="s">
        <v>751</v>
      </c>
      <c r="U399" s="39" t="s">
        <v>751</v>
      </c>
      <c r="V399" s="39" t="s">
        <v>750</v>
      </c>
      <c r="W399" s="39" t="s">
        <v>751</v>
      </c>
      <c r="X399" s="39" t="s">
        <v>751</v>
      </c>
    </row>
    <row r="400">
      <c r="A400" s="39" t="s">
        <v>739</v>
      </c>
      <c r="B400" s="39">
        <v>11074.0</v>
      </c>
      <c r="C400" s="39" t="s">
        <v>1606</v>
      </c>
      <c r="D400" s="39">
        <v>7.0</v>
      </c>
      <c r="F400" s="39">
        <v>11651.0</v>
      </c>
      <c r="G400" s="39" t="s">
        <v>1613</v>
      </c>
      <c r="H400" s="39">
        <v>3.0</v>
      </c>
      <c r="I400" s="39" t="s">
        <v>788</v>
      </c>
      <c r="J400" s="39" t="s">
        <v>768</v>
      </c>
      <c r="K400" s="39" t="s">
        <v>744</v>
      </c>
      <c r="L400" s="39" t="s">
        <v>1614</v>
      </c>
      <c r="M400" s="39" t="s">
        <v>746</v>
      </c>
      <c r="N400" s="39" t="s">
        <v>755</v>
      </c>
      <c r="O400" s="39" t="s">
        <v>756</v>
      </c>
      <c r="P400" s="39" t="s">
        <v>755</v>
      </c>
      <c r="Q400" s="39" t="s">
        <v>756</v>
      </c>
      <c r="R400" s="39" t="s">
        <v>1615</v>
      </c>
      <c r="S400" s="39" t="s">
        <v>750</v>
      </c>
      <c r="T400" s="39" t="s">
        <v>750</v>
      </c>
      <c r="U400" s="39" t="s">
        <v>750</v>
      </c>
      <c r="V400" s="39" t="s">
        <v>750</v>
      </c>
      <c r="W400" s="39" t="s">
        <v>751</v>
      </c>
      <c r="X400" s="39" t="s">
        <v>751</v>
      </c>
    </row>
    <row r="401">
      <c r="A401" s="39" t="s">
        <v>739</v>
      </c>
      <c r="B401" s="39">
        <v>11074.0</v>
      </c>
      <c r="C401" s="39" t="s">
        <v>1606</v>
      </c>
      <c r="D401" s="39">
        <v>7.0</v>
      </c>
      <c r="F401" s="39">
        <v>13469.0</v>
      </c>
      <c r="G401" s="39" t="s">
        <v>889</v>
      </c>
      <c r="H401" s="39">
        <v>4.0</v>
      </c>
      <c r="I401" s="39" t="s">
        <v>756</v>
      </c>
      <c r="K401" s="39" t="s">
        <v>744</v>
      </c>
      <c r="L401" s="39" t="s">
        <v>755</v>
      </c>
      <c r="M401" s="39" t="s">
        <v>756</v>
      </c>
      <c r="N401" s="39" t="s">
        <v>755</v>
      </c>
      <c r="O401" s="39" t="s">
        <v>756</v>
      </c>
      <c r="P401" s="39" t="s">
        <v>755</v>
      </c>
      <c r="Q401" s="39" t="s">
        <v>756</v>
      </c>
      <c r="R401" s="39" t="s">
        <v>1609</v>
      </c>
      <c r="S401" s="39" t="s">
        <v>750</v>
      </c>
      <c r="T401" s="39" t="s">
        <v>750</v>
      </c>
      <c r="U401" s="39" t="s">
        <v>750</v>
      </c>
      <c r="V401" s="39" t="s">
        <v>750</v>
      </c>
      <c r="W401" s="39" t="s">
        <v>750</v>
      </c>
      <c r="X401" s="39" t="s">
        <v>750</v>
      </c>
    </row>
    <row r="402">
      <c r="A402" s="39" t="s">
        <v>739</v>
      </c>
      <c r="B402" s="39">
        <v>11715.0</v>
      </c>
      <c r="C402" s="39" t="s">
        <v>643</v>
      </c>
      <c r="D402" s="39">
        <v>8.0</v>
      </c>
      <c r="F402" s="39">
        <v>13233.0</v>
      </c>
      <c r="G402" s="39" t="s">
        <v>1616</v>
      </c>
      <c r="H402" s="39">
        <v>1.0</v>
      </c>
      <c r="I402" s="39" t="s">
        <v>742</v>
      </c>
      <c r="J402" s="39" t="s">
        <v>743</v>
      </c>
      <c r="K402" s="39" t="s">
        <v>744</v>
      </c>
      <c r="L402" s="39" t="s">
        <v>1617</v>
      </c>
      <c r="M402" s="39" t="s">
        <v>746</v>
      </c>
      <c r="N402" s="39">
        <v>3.143076795E9</v>
      </c>
      <c r="O402" s="39" t="s">
        <v>805</v>
      </c>
      <c r="P402" s="39" t="s">
        <v>755</v>
      </c>
      <c r="Q402" s="39" t="s">
        <v>756</v>
      </c>
      <c r="R402" s="39" t="s">
        <v>1618</v>
      </c>
      <c r="S402" s="39" t="s">
        <v>750</v>
      </c>
      <c r="T402" s="39" t="s">
        <v>751</v>
      </c>
      <c r="U402" s="39" t="s">
        <v>751</v>
      </c>
      <c r="V402" s="39" t="s">
        <v>750</v>
      </c>
      <c r="W402" s="39" t="s">
        <v>751</v>
      </c>
      <c r="X402" s="39" t="s">
        <v>751</v>
      </c>
    </row>
    <row r="403">
      <c r="A403" s="39" t="s">
        <v>739</v>
      </c>
      <c r="B403" s="39">
        <v>11715.0</v>
      </c>
      <c r="C403" s="39" t="s">
        <v>643</v>
      </c>
      <c r="D403" s="39">
        <v>8.0</v>
      </c>
      <c r="F403" s="39">
        <v>14560.0</v>
      </c>
      <c r="G403" s="39" t="s">
        <v>1619</v>
      </c>
      <c r="H403" s="39">
        <v>2.0</v>
      </c>
      <c r="I403" s="39" t="s">
        <v>756</v>
      </c>
      <c r="K403" s="39" t="s">
        <v>744</v>
      </c>
      <c r="L403" s="39" t="s">
        <v>755</v>
      </c>
      <c r="M403" s="39" t="s">
        <v>756</v>
      </c>
      <c r="N403" s="39" t="s">
        <v>755</v>
      </c>
      <c r="O403" s="39" t="s">
        <v>756</v>
      </c>
      <c r="P403" s="39" t="s">
        <v>755</v>
      </c>
      <c r="Q403" s="39" t="s">
        <v>756</v>
      </c>
      <c r="S403" s="39" t="s">
        <v>751</v>
      </c>
      <c r="T403" s="39" t="s">
        <v>750</v>
      </c>
      <c r="U403" s="39" t="s">
        <v>750</v>
      </c>
      <c r="V403" s="39" t="s">
        <v>750</v>
      </c>
      <c r="W403" s="39" t="s">
        <v>750</v>
      </c>
      <c r="X403" s="39" t="s">
        <v>750</v>
      </c>
    </row>
    <row r="404">
      <c r="A404" s="39" t="s">
        <v>739</v>
      </c>
      <c r="B404" s="39">
        <v>11981.0</v>
      </c>
      <c r="C404" s="39" t="s">
        <v>1620</v>
      </c>
      <c r="D404" s="39">
        <v>6.0</v>
      </c>
      <c r="F404" s="39">
        <v>17559.0</v>
      </c>
      <c r="G404" s="39" t="s">
        <v>1621</v>
      </c>
      <c r="H404" s="39">
        <v>1.0</v>
      </c>
      <c r="I404" s="39" t="s">
        <v>742</v>
      </c>
      <c r="J404" s="39" t="s">
        <v>743</v>
      </c>
      <c r="K404" s="39" t="s">
        <v>744</v>
      </c>
      <c r="L404" s="39" t="s">
        <v>1622</v>
      </c>
      <c r="M404" s="39" t="s">
        <v>746</v>
      </c>
      <c r="N404" s="39" t="s">
        <v>755</v>
      </c>
      <c r="O404" s="39" t="s">
        <v>756</v>
      </c>
      <c r="P404" s="39" t="s">
        <v>755</v>
      </c>
      <c r="Q404" s="39" t="s">
        <v>756</v>
      </c>
      <c r="R404" s="39" t="s">
        <v>1623</v>
      </c>
      <c r="S404" s="39" t="s">
        <v>750</v>
      </c>
      <c r="T404" s="39" t="s">
        <v>751</v>
      </c>
      <c r="U404" s="39" t="s">
        <v>751</v>
      </c>
      <c r="V404" s="39" t="s">
        <v>750</v>
      </c>
      <c r="W404" s="39" t="s">
        <v>751</v>
      </c>
      <c r="X404" s="39" t="s">
        <v>751</v>
      </c>
    </row>
    <row r="405">
      <c r="A405" s="39" t="s">
        <v>739</v>
      </c>
      <c r="B405" s="39">
        <v>11981.0</v>
      </c>
      <c r="C405" s="39" t="s">
        <v>1620</v>
      </c>
      <c r="D405" s="39">
        <v>6.0</v>
      </c>
      <c r="F405" s="39">
        <v>17560.0</v>
      </c>
      <c r="G405" s="39" t="s">
        <v>1624</v>
      </c>
      <c r="H405" s="39">
        <v>2.0</v>
      </c>
      <c r="I405" s="39" t="s">
        <v>775</v>
      </c>
      <c r="J405" s="39" t="s">
        <v>768</v>
      </c>
      <c r="K405" s="39" t="s">
        <v>744</v>
      </c>
      <c r="L405" s="39" t="s">
        <v>1625</v>
      </c>
      <c r="M405" s="39" t="s">
        <v>746</v>
      </c>
      <c r="N405" s="39" t="s">
        <v>1626</v>
      </c>
      <c r="O405" s="39" t="s">
        <v>748</v>
      </c>
      <c r="P405" s="39" t="s">
        <v>755</v>
      </c>
      <c r="Q405" s="39" t="s">
        <v>756</v>
      </c>
      <c r="S405" s="39" t="s">
        <v>750</v>
      </c>
      <c r="T405" s="39" t="s">
        <v>750</v>
      </c>
      <c r="U405" s="39" t="s">
        <v>750</v>
      </c>
      <c r="V405" s="39" t="s">
        <v>751</v>
      </c>
      <c r="W405" s="39" t="s">
        <v>751</v>
      </c>
      <c r="X405" s="39" t="s">
        <v>751</v>
      </c>
    </row>
    <row r="406">
      <c r="A406" s="39" t="s">
        <v>739</v>
      </c>
      <c r="B406" s="39">
        <v>11981.0</v>
      </c>
      <c r="C406" s="39" t="s">
        <v>1620</v>
      </c>
      <c r="D406" s="39">
        <v>6.0</v>
      </c>
      <c r="F406" s="39">
        <v>17561.0</v>
      </c>
      <c r="G406" s="39" t="s">
        <v>1627</v>
      </c>
      <c r="H406" s="39">
        <v>3.0</v>
      </c>
      <c r="I406" s="39" t="s">
        <v>775</v>
      </c>
      <c r="J406" s="39" t="s">
        <v>771</v>
      </c>
      <c r="K406" s="39" t="s">
        <v>744</v>
      </c>
      <c r="L406" s="39" t="s">
        <v>1626</v>
      </c>
      <c r="M406" s="39" t="s">
        <v>746</v>
      </c>
      <c r="N406" s="39" t="s">
        <v>755</v>
      </c>
      <c r="O406" s="39" t="s">
        <v>756</v>
      </c>
      <c r="P406" s="39" t="s">
        <v>755</v>
      </c>
      <c r="Q406" s="39" t="s">
        <v>756</v>
      </c>
      <c r="S406" s="39" t="s">
        <v>750</v>
      </c>
      <c r="T406" s="39" t="s">
        <v>750</v>
      </c>
      <c r="U406" s="39" t="s">
        <v>750</v>
      </c>
      <c r="V406" s="39" t="s">
        <v>750</v>
      </c>
      <c r="W406" s="39" t="s">
        <v>751</v>
      </c>
      <c r="X406" s="39" t="s">
        <v>751</v>
      </c>
    </row>
    <row r="407">
      <c r="A407" s="39" t="s">
        <v>739</v>
      </c>
      <c r="B407" s="39">
        <v>11729.0</v>
      </c>
      <c r="C407" s="39" t="s">
        <v>646</v>
      </c>
      <c r="D407" s="39">
        <v>8.0</v>
      </c>
      <c r="F407" s="39">
        <v>11629.0</v>
      </c>
      <c r="G407" s="39" t="s">
        <v>1628</v>
      </c>
      <c r="H407" s="39">
        <v>1.0</v>
      </c>
      <c r="I407" s="39" t="s">
        <v>753</v>
      </c>
      <c r="J407" s="39" t="s">
        <v>754</v>
      </c>
      <c r="K407" s="39" t="s">
        <v>744</v>
      </c>
      <c r="L407" s="39" t="s">
        <v>1629</v>
      </c>
      <c r="M407" s="39" t="s">
        <v>748</v>
      </c>
      <c r="N407" s="39" t="s">
        <v>755</v>
      </c>
      <c r="O407" s="39" t="s">
        <v>756</v>
      </c>
      <c r="P407" s="39" t="s">
        <v>755</v>
      </c>
      <c r="Q407" s="39" t="s">
        <v>756</v>
      </c>
      <c r="R407" s="39" t="s">
        <v>1630</v>
      </c>
      <c r="S407" s="39" t="s">
        <v>750</v>
      </c>
      <c r="T407" s="39" t="s">
        <v>751</v>
      </c>
      <c r="U407" s="39" t="s">
        <v>751</v>
      </c>
      <c r="V407" s="39" t="s">
        <v>751</v>
      </c>
      <c r="W407" s="39" t="s">
        <v>750</v>
      </c>
      <c r="X407" s="39" t="s">
        <v>751</v>
      </c>
    </row>
    <row r="408">
      <c r="A408" s="39" t="s">
        <v>739</v>
      </c>
      <c r="B408" s="39">
        <v>11729.0</v>
      </c>
      <c r="C408" s="39" t="s">
        <v>646</v>
      </c>
      <c r="D408" s="39">
        <v>8.0</v>
      </c>
      <c r="F408" s="39">
        <v>11630.0</v>
      </c>
      <c r="G408" s="39" t="s">
        <v>1631</v>
      </c>
      <c r="H408" s="39">
        <v>2.0</v>
      </c>
      <c r="I408" s="39" t="s">
        <v>788</v>
      </c>
      <c r="J408" s="39" t="s">
        <v>768</v>
      </c>
      <c r="K408" s="39" t="s">
        <v>744</v>
      </c>
      <c r="L408" s="39" t="s">
        <v>1632</v>
      </c>
      <c r="M408" s="39" t="s">
        <v>746</v>
      </c>
      <c r="N408" s="39" t="s">
        <v>755</v>
      </c>
      <c r="O408" s="39" t="s">
        <v>756</v>
      </c>
      <c r="P408" s="39" t="s">
        <v>755</v>
      </c>
      <c r="Q408" s="39" t="s">
        <v>756</v>
      </c>
      <c r="R408" s="39" t="s">
        <v>1630</v>
      </c>
      <c r="S408" s="39" t="s">
        <v>750</v>
      </c>
      <c r="T408" s="39" t="s">
        <v>750</v>
      </c>
      <c r="U408" s="39" t="s">
        <v>750</v>
      </c>
      <c r="V408" s="39" t="s">
        <v>750</v>
      </c>
      <c r="W408" s="39" t="s">
        <v>751</v>
      </c>
      <c r="X408" s="39" t="s">
        <v>751</v>
      </c>
    </row>
    <row r="409">
      <c r="A409" s="39" t="s">
        <v>739</v>
      </c>
      <c r="B409" s="39">
        <v>11729.0</v>
      </c>
      <c r="C409" s="39" t="s">
        <v>646</v>
      </c>
      <c r="D409" s="39">
        <v>8.0</v>
      </c>
      <c r="F409" s="39">
        <v>11631.0</v>
      </c>
      <c r="G409" s="39" t="s">
        <v>1633</v>
      </c>
      <c r="H409" s="39">
        <v>3.0</v>
      </c>
      <c r="I409" s="39" t="s">
        <v>758</v>
      </c>
      <c r="J409" s="39" t="s">
        <v>771</v>
      </c>
      <c r="K409" s="39" t="s">
        <v>744</v>
      </c>
      <c r="L409" s="39" t="s">
        <v>1634</v>
      </c>
      <c r="M409" s="39" t="s">
        <v>746</v>
      </c>
      <c r="N409" s="39" t="s">
        <v>755</v>
      </c>
      <c r="O409" s="39" t="s">
        <v>756</v>
      </c>
      <c r="P409" s="39" t="s">
        <v>755</v>
      </c>
      <c r="Q409" s="39" t="s">
        <v>756</v>
      </c>
      <c r="R409" s="39" t="s">
        <v>1630</v>
      </c>
      <c r="S409" s="39" t="s">
        <v>750</v>
      </c>
      <c r="T409" s="39" t="s">
        <v>750</v>
      </c>
      <c r="U409" s="39" t="s">
        <v>750</v>
      </c>
      <c r="V409" s="39" t="s">
        <v>750</v>
      </c>
      <c r="W409" s="39" t="s">
        <v>751</v>
      </c>
      <c r="X409" s="39" t="s">
        <v>751</v>
      </c>
    </row>
    <row r="410">
      <c r="A410" s="39" t="s">
        <v>739</v>
      </c>
      <c r="B410" s="39">
        <v>11729.0</v>
      </c>
      <c r="C410" s="39" t="s">
        <v>646</v>
      </c>
      <c r="D410" s="39">
        <v>8.0</v>
      </c>
      <c r="F410" s="39">
        <v>13765.0</v>
      </c>
      <c r="G410" s="39" t="s">
        <v>1628</v>
      </c>
      <c r="H410" s="39">
        <v>4.0</v>
      </c>
      <c r="I410" s="39" t="s">
        <v>758</v>
      </c>
      <c r="J410" s="39" t="s">
        <v>803</v>
      </c>
      <c r="K410" s="39" t="s">
        <v>744</v>
      </c>
      <c r="L410" s="39" t="s">
        <v>1629</v>
      </c>
      <c r="M410" s="39" t="s">
        <v>805</v>
      </c>
      <c r="N410" s="39" t="s">
        <v>755</v>
      </c>
      <c r="O410" s="39" t="s">
        <v>756</v>
      </c>
      <c r="P410" s="39" t="s">
        <v>755</v>
      </c>
      <c r="Q410" s="39" t="s">
        <v>756</v>
      </c>
      <c r="R410" s="39" t="s">
        <v>1630</v>
      </c>
      <c r="S410" s="39" t="s">
        <v>750</v>
      </c>
      <c r="T410" s="39" t="s">
        <v>750</v>
      </c>
      <c r="U410" s="39" t="s">
        <v>750</v>
      </c>
      <c r="V410" s="39" t="s">
        <v>750</v>
      </c>
      <c r="W410" s="39" t="s">
        <v>750</v>
      </c>
      <c r="X410" s="39" t="s">
        <v>750</v>
      </c>
    </row>
    <row r="411">
      <c r="A411" s="39" t="s">
        <v>739</v>
      </c>
      <c r="B411" s="39">
        <v>12032.0</v>
      </c>
      <c r="C411" s="39" t="s">
        <v>1635</v>
      </c>
      <c r="D411" s="39">
        <v>8.0</v>
      </c>
      <c r="F411" s="39">
        <v>17787.0</v>
      </c>
      <c r="G411" s="39" t="s">
        <v>1636</v>
      </c>
      <c r="H411" s="39">
        <v>1.0</v>
      </c>
      <c r="I411" s="39" t="s">
        <v>775</v>
      </c>
      <c r="J411" s="39" t="s">
        <v>768</v>
      </c>
      <c r="K411" s="39" t="s">
        <v>744</v>
      </c>
      <c r="L411" s="39" t="s">
        <v>1637</v>
      </c>
      <c r="M411" s="39" t="s">
        <v>746</v>
      </c>
      <c r="N411" s="39" t="s">
        <v>1638</v>
      </c>
      <c r="O411" s="39" t="s">
        <v>746</v>
      </c>
      <c r="P411" s="39" t="s">
        <v>755</v>
      </c>
      <c r="Q411" s="39" t="s">
        <v>756</v>
      </c>
      <c r="R411" s="39" t="s">
        <v>1639</v>
      </c>
      <c r="S411" s="39" t="s">
        <v>750</v>
      </c>
      <c r="T411" s="39" t="s">
        <v>750</v>
      </c>
      <c r="U411" s="39" t="s">
        <v>751</v>
      </c>
      <c r="V411" s="39" t="s">
        <v>750</v>
      </c>
      <c r="W411" s="39" t="s">
        <v>751</v>
      </c>
      <c r="X411" s="39" t="s">
        <v>751</v>
      </c>
    </row>
    <row r="412">
      <c r="A412" s="39" t="s">
        <v>739</v>
      </c>
      <c r="B412" s="39">
        <v>11065.0</v>
      </c>
      <c r="C412" s="39" t="s">
        <v>1640</v>
      </c>
      <c r="D412" s="39">
        <v>8.0</v>
      </c>
      <c r="F412" s="39">
        <v>7788.0</v>
      </c>
      <c r="G412" s="39" t="s">
        <v>1641</v>
      </c>
      <c r="H412" s="39">
        <v>1.0</v>
      </c>
      <c r="I412" s="39" t="s">
        <v>742</v>
      </c>
      <c r="J412" s="39" t="s">
        <v>743</v>
      </c>
      <c r="K412" s="39" t="s">
        <v>744</v>
      </c>
      <c r="L412" s="39" t="s">
        <v>1642</v>
      </c>
      <c r="M412" s="39" t="s">
        <v>748</v>
      </c>
      <c r="N412" s="39" t="s">
        <v>1643</v>
      </c>
      <c r="O412" s="39" t="s">
        <v>807</v>
      </c>
      <c r="P412" s="39" t="s">
        <v>755</v>
      </c>
      <c r="Q412" s="39" t="s">
        <v>756</v>
      </c>
      <c r="R412" s="39" t="s">
        <v>1644</v>
      </c>
      <c r="S412" s="39" t="s">
        <v>751</v>
      </c>
      <c r="T412" s="39" t="s">
        <v>751</v>
      </c>
      <c r="U412" s="39" t="s">
        <v>751</v>
      </c>
      <c r="V412" s="39" t="s">
        <v>751</v>
      </c>
      <c r="W412" s="39" t="s">
        <v>751</v>
      </c>
      <c r="X412" s="39" t="s">
        <v>751</v>
      </c>
    </row>
    <row r="413">
      <c r="A413" s="39" t="s">
        <v>739</v>
      </c>
      <c r="B413" s="39">
        <v>11065.0</v>
      </c>
      <c r="C413" s="39" t="s">
        <v>1640</v>
      </c>
      <c r="D413" s="39">
        <v>8.0</v>
      </c>
      <c r="F413" s="39">
        <v>7787.0</v>
      </c>
      <c r="G413" s="39" t="s">
        <v>1645</v>
      </c>
      <c r="H413" s="39">
        <v>2.0</v>
      </c>
      <c r="I413" s="39" t="s">
        <v>753</v>
      </c>
      <c r="J413" s="39" t="s">
        <v>754</v>
      </c>
      <c r="K413" s="39" t="s">
        <v>744</v>
      </c>
      <c r="L413" s="39" t="s">
        <v>1646</v>
      </c>
      <c r="M413" s="39" t="s">
        <v>746</v>
      </c>
      <c r="N413" s="39" t="s">
        <v>1642</v>
      </c>
      <c r="O413" s="39" t="s">
        <v>746</v>
      </c>
      <c r="P413" s="39">
        <v>3.142837096E9</v>
      </c>
      <c r="Q413" s="39" t="s">
        <v>748</v>
      </c>
      <c r="R413" s="39" t="s">
        <v>1644</v>
      </c>
      <c r="S413" s="39" t="s">
        <v>750</v>
      </c>
      <c r="T413" s="39" t="s">
        <v>751</v>
      </c>
      <c r="U413" s="39" t="s">
        <v>751</v>
      </c>
      <c r="V413" s="39" t="s">
        <v>750</v>
      </c>
      <c r="W413" s="39" t="s">
        <v>751</v>
      </c>
      <c r="X413" s="39" t="s">
        <v>751</v>
      </c>
    </row>
    <row r="414">
      <c r="A414" s="39" t="s">
        <v>739</v>
      </c>
      <c r="B414" s="39">
        <v>11065.0</v>
      </c>
      <c r="C414" s="39" t="s">
        <v>1640</v>
      </c>
      <c r="D414" s="39">
        <v>8.0</v>
      </c>
      <c r="F414" s="39">
        <v>11647.0</v>
      </c>
      <c r="G414" s="39" t="s">
        <v>1647</v>
      </c>
      <c r="H414" s="39">
        <v>3.0</v>
      </c>
      <c r="I414" s="39" t="s">
        <v>742</v>
      </c>
      <c r="J414" s="39" t="s">
        <v>768</v>
      </c>
      <c r="K414" s="39" t="s">
        <v>744</v>
      </c>
      <c r="L414" s="39" t="s">
        <v>1648</v>
      </c>
      <c r="M414" s="39" t="s">
        <v>746</v>
      </c>
      <c r="N414" s="39" t="s">
        <v>755</v>
      </c>
      <c r="O414" s="39" t="s">
        <v>756</v>
      </c>
      <c r="P414" s="39" t="s">
        <v>755</v>
      </c>
      <c r="Q414" s="39" t="s">
        <v>756</v>
      </c>
      <c r="R414" s="39" t="s">
        <v>1649</v>
      </c>
      <c r="S414" s="39" t="s">
        <v>750</v>
      </c>
      <c r="T414" s="39" t="s">
        <v>750</v>
      </c>
      <c r="U414" s="39" t="s">
        <v>750</v>
      </c>
      <c r="V414" s="39" t="s">
        <v>750</v>
      </c>
      <c r="W414" s="39" t="s">
        <v>751</v>
      </c>
      <c r="X414" s="39" t="s">
        <v>751</v>
      </c>
    </row>
    <row r="415">
      <c r="A415" s="39" t="s">
        <v>739</v>
      </c>
      <c r="B415" s="39">
        <v>11065.0</v>
      </c>
      <c r="C415" s="39" t="s">
        <v>1640</v>
      </c>
      <c r="D415" s="39">
        <v>8.0</v>
      </c>
      <c r="F415" s="39">
        <v>11648.0</v>
      </c>
      <c r="G415" s="39" t="s">
        <v>1650</v>
      </c>
      <c r="H415" s="39">
        <v>4.0</v>
      </c>
      <c r="I415" s="39" t="s">
        <v>758</v>
      </c>
      <c r="J415" s="39" t="s">
        <v>771</v>
      </c>
      <c r="K415" s="39" t="s">
        <v>744</v>
      </c>
      <c r="L415" s="39" t="s">
        <v>1651</v>
      </c>
      <c r="M415" s="39" t="s">
        <v>746</v>
      </c>
      <c r="N415" s="39" t="s">
        <v>755</v>
      </c>
      <c r="O415" s="39" t="s">
        <v>756</v>
      </c>
      <c r="P415" s="39" t="s">
        <v>755</v>
      </c>
      <c r="Q415" s="39" t="s">
        <v>756</v>
      </c>
      <c r="R415" s="39" t="s">
        <v>1652</v>
      </c>
      <c r="S415" s="39" t="s">
        <v>750</v>
      </c>
      <c r="T415" s="39" t="s">
        <v>750</v>
      </c>
      <c r="U415" s="39" t="s">
        <v>750</v>
      </c>
      <c r="V415" s="39" t="s">
        <v>750</v>
      </c>
      <c r="W415" s="39" t="s">
        <v>751</v>
      </c>
      <c r="X415" s="39" t="s">
        <v>751</v>
      </c>
    </row>
    <row r="416">
      <c r="A416" s="39" t="s">
        <v>739</v>
      </c>
      <c r="B416" s="39">
        <v>11948.0</v>
      </c>
      <c r="C416" s="39" t="s">
        <v>1653</v>
      </c>
      <c r="D416" s="39">
        <v>6.0</v>
      </c>
      <c r="F416" s="39">
        <v>17353.0</v>
      </c>
      <c r="G416" s="39" t="s">
        <v>1654</v>
      </c>
      <c r="H416" s="39">
        <v>1.0</v>
      </c>
      <c r="I416" s="39" t="s">
        <v>742</v>
      </c>
      <c r="J416" s="39" t="s">
        <v>743</v>
      </c>
      <c r="K416" s="39" t="s">
        <v>744</v>
      </c>
      <c r="L416" s="39" t="s">
        <v>1655</v>
      </c>
      <c r="M416" s="39" t="s">
        <v>746</v>
      </c>
      <c r="N416" s="39" t="s">
        <v>755</v>
      </c>
      <c r="O416" s="39" t="s">
        <v>756</v>
      </c>
      <c r="P416" s="39" t="s">
        <v>755</v>
      </c>
      <c r="Q416" s="39" t="s">
        <v>756</v>
      </c>
      <c r="R416" s="39" t="s">
        <v>1656</v>
      </c>
      <c r="S416" s="39" t="s">
        <v>750</v>
      </c>
      <c r="T416" s="39" t="s">
        <v>751</v>
      </c>
      <c r="U416" s="39" t="s">
        <v>751</v>
      </c>
      <c r="V416" s="39" t="s">
        <v>750</v>
      </c>
      <c r="W416" s="39" t="s">
        <v>751</v>
      </c>
      <c r="X416" s="39" t="s">
        <v>751</v>
      </c>
    </row>
    <row r="417">
      <c r="A417" s="39" t="s">
        <v>739</v>
      </c>
      <c r="B417" s="39">
        <v>11948.0</v>
      </c>
      <c r="C417" s="39" t="s">
        <v>1653</v>
      </c>
      <c r="D417" s="39">
        <v>6.0</v>
      </c>
      <c r="F417" s="39">
        <v>17354.0</v>
      </c>
      <c r="G417" s="39" t="s">
        <v>1657</v>
      </c>
      <c r="H417" s="39">
        <v>2.0</v>
      </c>
      <c r="I417" s="39" t="s">
        <v>753</v>
      </c>
      <c r="J417" s="39" t="s">
        <v>754</v>
      </c>
      <c r="K417" s="39" t="s">
        <v>744</v>
      </c>
      <c r="L417" s="39" t="s">
        <v>1658</v>
      </c>
      <c r="M417" s="39" t="s">
        <v>746</v>
      </c>
      <c r="N417" s="39" t="s">
        <v>755</v>
      </c>
      <c r="O417" s="39" t="s">
        <v>756</v>
      </c>
      <c r="P417" s="39" t="s">
        <v>755</v>
      </c>
      <c r="Q417" s="39" t="s">
        <v>756</v>
      </c>
      <c r="S417" s="39" t="s">
        <v>750</v>
      </c>
      <c r="T417" s="39" t="s">
        <v>750</v>
      </c>
      <c r="U417" s="39" t="s">
        <v>750</v>
      </c>
      <c r="V417" s="39" t="s">
        <v>750</v>
      </c>
      <c r="W417" s="39" t="s">
        <v>751</v>
      </c>
      <c r="X417" s="39" t="s">
        <v>751</v>
      </c>
    </row>
    <row r="418">
      <c r="A418" s="39" t="s">
        <v>739</v>
      </c>
      <c r="B418" s="39">
        <v>11948.0</v>
      </c>
      <c r="C418" s="39" t="s">
        <v>1653</v>
      </c>
      <c r="D418" s="39">
        <v>6.0</v>
      </c>
      <c r="F418" s="39">
        <v>17355.0</v>
      </c>
      <c r="G418" s="39" t="s">
        <v>1659</v>
      </c>
      <c r="H418" s="39">
        <v>3.0</v>
      </c>
      <c r="I418" s="39" t="s">
        <v>791</v>
      </c>
      <c r="J418" s="39" t="s">
        <v>768</v>
      </c>
      <c r="K418" s="39" t="s">
        <v>744</v>
      </c>
      <c r="L418" s="39" t="s">
        <v>1660</v>
      </c>
      <c r="M418" s="39" t="s">
        <v>746</v>
      </c>
      <c r="N418" s="39" t="s">
        <v>755</v>
      </c>
      <c r="O418" s="39" t="s">
        <v>756</v>
      </c>
      <c r="P418" s="39" t="s">
        <v>755</v>
      </c>
      <c r="Q418" s="39" t="s">
        <v>756</v>
      </c>
      <c r="S418" s="39" t="s">
        <v>750</v>
      </c>
      <c r="T418" s="39" t="s">
        <v>750</v>
      </c>
      <c r="U418" s="39" t="s">
        <v>750</v>
      </c>
      <c r="V418" s="39" t="s">
        <v>750</v>
      </c>
      <c r="W418" s="39" t="s">
        <v>751</v>
      </c>
      <c r="X418" s="39" t="s">
        <v>751</v>
      </c>
    </row>
    <row r="419">
      <c r="A419" s="39" t="s">
        <v>739</v>
      </c>
      <c r="B419" s="39">
        <v>12108.0</v>
      </c>
      <c r="C419" s="39" t="s">
        <v>1661</v>
      </c>
      <c r="D419" s="39">
        <v>7.0</v>
      </c>
      <c r="F419" s="39">
        <v>18360.0</v>
      </c>
      <c r="G419" s="39" t="s">
        <v>1662</v>
      </c>
      <c r="H419" s="39">
        <v>1.0</v>
      </c>
      <c r="I419" s="39" t="s">
        <v>742</v>
      </c>
      <c r="J419" s="39" t="s">
        <v>743</v>
      </c>
      <c r="K419" s="39" t="s">
        <v>744</v>
      </c>
      <c r="L419" s="39" t="s">
        <v>1663</v>
      </c>
      <c r="M419" s="39" t="s">
        <v>746</v>
      </c>
      <c r="N419" s="39" t="s">
        <v>755</v>
      </c>
      <c r="O419" s="39" t="s">
        <v>756</v>
      </c>
      <c r="P419" s="39" t="s">
        <v>755</v>
      </c>
      <c r="Q419" s="39" t="s">
        <v>756</v>
      </c>
      <c r="R419" s="39" t="s">
        <v>1664</v>
      </c>
      <c r="S419" s="39" t="s">
        <v>750</v>
      </c>
      <c r="T419" s="39" t="s">
        <v>751</v>
      </c>
      <c r="U419" s="39" t="s">
        <v>751</v>
      </c>
      <c r="V419" s="39" t="s">
        <v>750</v>
      </c>
      <c r="W419" s="39" t="s">
        <v>751</v>
      </c>
      <c r="X419" s="39" t="s">
        <v>751</v>
      </c>
    </row>
    <row r="420">
      <c r="A420" s="39" t="s">
        <v>739</v>
      </c>
      <c r="B420" s="39">
        <v>12108.0</v>
      </c>
      <c r="C420" s="39" t="s">
        <v>1661</v>
      </c>
      <c r="D420" s="39">
        <v>7.0</v>
      </c>
      <c r="F420" s="39">
        <v>18361.0</v>
      </c>
      <c r="G420" s="39" t="s">
        <v>1665</v>
      </c>
      <c r="H420" s="39">
        <v>2.0</v>
      </c>
      <c r="I420" s="39" t="s">
        <v>854</v>
      </c>
      <c r="J420" s="39" t="s">
        <v>768</v>
      </c>
      <c r="K420" s="39" t="s">
        <v>744</v>
      </c>
      <c r="L420" s="39" t="s">
        <v>1666</v>
      </c>
      <c r="M420" s="39" t="s">
        <v>746</v>
      </c>
      <c r="N420" s="39" t="s">
        <v>755</v>
      </c>
      <c r="O420" s="39" t="s">
        <v>756</v>
      </c>
      <c r="P420" s="39" t="s">
        <v>755</v>
      </c>
      <c r="Q420" s="39" t="s">
        <v>756</v>
      </c>
      <c r="S420" s="39" t="s">
        <v>750</v>
      </c>
      <c r="T420" s="39" t="s">
        <v>750</v>
      </c>
      <c r="U420" s="39" t="s">
        <v>751</v>
      </c>
      <c r="V420" s="39" t="s">
        <v>750</v>
      </c>
      <c r="W420" s="39" t="s">
        <v>751</v>
      </c>
      <c r="X420" s="39" t="s">
        <v>751</v>
      </c>
    </row>
    <row r="421">
      <c r="A421" s="39" t="s">
        <v>739</v>
      </c>
      <c r="B421" s="39">
        <v>11176.0</v>
      </c>
      <c r="C421" s="39" t="s">
        <v>1667</v>
      </c>
      <c r="D421" s="39">
        <v>8.0</v>
      </c>
      <c r="F421" s="39">
        <v>8611.0</v>
      </c>
      <c r="G421" s="39" t="s">
        <v>1668</v>
      </c>
      <c r="H421" s="39">
        <v>1.0</v>
      </c>
      <c r="I421" s="39" t="s">
        <v>742</v>
      </c>
      <c r="J421" s="39" t="s">
        <v>743</v>
      </c>
      <c r="K421" s="39" t="s">
        <v>744</v>
      </c>
      <c r="L421" s="39" t="s">
        <v>1669</v>
      </c>
      <c r="M421" s="39" t="s">
        <v>746</v>
      </c>
      <c r="N421" s="39" t="s">
        <v>1670</v>
      </c>
      <c r="O421" s="39" t="s">
        <v>807</v>
      </c>
      <c r="P421" s="39" t="s">
        <v>755</v>
      </c>
      <c r="Q421" s="39" t="s">
        <v>756</v>
      </c>
      <c r="R421" s="39" t="s">
        <v>1671</v>
      </c>
      <c r="S421" s="39" t="s">
        <v>750</v>
      </c>
      <c r="T421" s="39" t="s">
        <v>751</v>
      </c>
      <c r="U421" s="39" t="s">
        <v>751</v>
      </c>
      <c r="V421" s="39" t="s">
        <v>751</v>
      </c>
      <c r="W421" s="39" t="s">
        <v>751</v>
      </c>
      <c r="X421" s="39" t="s">
        <v>751</v>
      </c>
    </row>
    <row r="422">
      <c r="A422" s="39" t="s">
        <v>739</v>
      </c>
      <c r="B422" s="39">
        <v>11176.0</v>
      </c>
      <c r="C422" s="39" t="s">
        <v>1667</v>
      </c>
      <c r="D422" s="39">
        <v>8.0</v>
      </c>
      <c r="F422" s="39">
        <v>13553.0</v>
      </c>
      <c r="G422" s="39" t="s">
        <v>889</v>
      </c>
      <c r="H422" s="39">
        <v>2.0</v>
      </c>
      <c r="I422" s="39" t="s">
        <v>756</v>
      </c>
      <c r="K422" s="39" t="s">
        <v>744</v>
      </c>
      <c r="L422" s="39" t="s">
        <v>755</v>
      </c>
      <c r="M422" s="39" t="s">
        <v>756</v>
      </c>
      <c r="N422" s="39" t="s">
        <v>755</v>
      </c>
      <c r="O422" s="39" t="s">
        <v>756</v>
      </c>
      <c r="P422" s="39" t="s">
        <v>755</v>
      </c>
      <c r="Q422" s="39" t="s">
        <v>756</v>
      </c>
      <c r="R422" s="39" t="s">
        <v>1672</v>
      </c>
      <c r="S422" s="39" t="s">
        <v>750</v>
      </c>
      <c r="T422" s="39" t="s">
        <v>750</v>
      </c>
      <c r="U422" s="39" t="s">
        <v>750</v>
      </c>
      <c r="V422" s="39" t="s">
        <v>750</v>
      </c>
      <c r="W422" s="39" t="s">
        <v>750</v>
      </c>
      <c r="X422" s="39" t="s">
        <v>750</v>
      </c>
    </row>
    <row r="423">
      <c r="A423" s="39" t="s">
        <v>739</v>
      </c>
      <c r="B423" s="39">
        <v>11473.0</v>
      </c>
      <c r="C423" s="39" t="s">
        <v>658</v>
      </c>
      <c r="D423" s="39">
        <v>8.0</v>
      </c>
      <c r="F423" s="39">
        <v>9152.0</v>
      </c>
      <c r="G423" s="39" t="s">
        <v>1673</v>
      </c>
      <c r="H423" s="39">
        <v>1.0</v>
      </c>
      <c r="I423" s="39" t="s">
        <v>742</v>
      </c>
      <c r="J423" s="39" t="s">
        <v>743</v>
      </c>
      <c r="K423" s="39" t="s">
        <v>744</v>
      </c>
      <c r="L423" s="39" t="s">
        <v>1674</v>
      </c>
      <c r="M423" s="39" t="s">
        <v>746</v>
      </c>
      <c r="N423" s="39" t="s">
        <v>1675</v>
      </c>
      <c r="O423" s="39" t="s">
        <v>748</v>
      </c>
      <c r="P423" s="39" t="s">
        <v>755</v>
      </c>
      <c r="Q423" s="39" t="s">
        <v>756</v>
      </c>
      <c r="R423" s="39" t="s">
        <v>1676</v>
      </c>
      <c r="S423" s="39" t="s">
        <v>751</v>
      </c>
      <c r="T423" s="39" t="s">
        <v>751</v>
      </c>
      <c r="U423" s="39" t="s">
        <v>751</v>
      </c>
      <c r="V423" s="39" t="s">
        <v>751</v>
      </c>
      <c r="W423" s="39" t="s">
        <v>750</v>
      </c>
      <c r="X423" s="39" t="s">
        <v>751</v>
      </c>
    </row>
    <row r="424">
      <c r="A424" s="39" t="s">
        <v>739</v>
      </c>
      <c r="B424" s="39">
        <v>11473.0</v>
      </c>
      <c r="C424" s="39" t="s">
        <v>658</v>
      </c>
      <c r="D424" s="39">
        <v>8.0</v>
      </c>
      <c r="F424" s="39">
        <v>17865.0</v>
      </c>
      <c r="G424" s="39" t="s">
        <v>1677</v>
      </c>
      <c r="H424" s="39">
        <v>2.0</v>
      </c>
      <c r="I424" s="39" t="s">
        <v>791</v>
      </c>
      <c r="J424" s="39" t="s">
        <v>768</v>
      </c>
      <c r="K424" s="39" t="s">
        <v>744</v>
      </c>
      <c r="L424" s="39" t="s">
        <v>1678</v>
      </c>
      <c r="M424" s="39" t="s">
        <v>746</v>
      </c>
      <c r="N424" s="39" t="s">
        <v>755</v>
      </c>
      <c r="O424" s="39" t="s">
        <v>756</v>
      </c>
      <c r="P424" s="39" t="s">
        <v>755</v>
      </c>
      <c r="Q424" s="39" t="s">
        <v>756</v>
      </c>
      <c r="S424" s="39" t="s">
        <v>750</v>
      </c>
      <c r="T424" s="39" t="s">
        <v>750</v>
      </c>
      <c r="U424" s="39" t="s">
        <v>751</v>
      </c>
      <c r="V424" s="39" t="s">
        <v>750</v>
      </c>
      <c r="W424" s="39" t="s">
        <v>751</v>
      </c>
      <c r="X424" s="39" t="s">
        <v>751</v>
      </c>
    </row>
    <row r="425">
      <c r="A425" s="39" t="s">
        <v>739</v>
      </c>
      <c r="B425" s="39">
        <v>11473.0</v>
      </c>
      <c r="C425" s="39" t="s">
        <v>658</v>
      </c>
      <c r="D425" s="39">
        <v>8.0</v>
      </c>
      <c r="F425" s="39">
        <v>17866.0</v>
      </c>
      <c r="G425" s="39" t="s">
        <v>1679</v>
      </c>
      <c r="H425" s="39">
        <v>3.0</v>
      </c>
      <c r="I425" s="39" t="s">
        <v>775</v>
      </c>
      <c r="J425" s="39" t="s">
        <v>771</v>
      </c>
      <c r="K425" s="39" t="s">
        <v>744</v>
      </c>
      <c r="L425" s="39" t="s">
        <v>1680</v>
      </c>
      <c r="M425" s="39" t="s">
        <v>746</v>
      </c>
      <c r="N425" s="39" t="s">
        <v>755</v>
      </c>
      <c r="O425" s="39" t="s">
        <v>756</v>
      </c>
      <c r="P425" s="39" t="s">
        <v>755</v>
      </c>
      <c r="Q425" s="39" t="s">
        <v>756</v>
      </c>
      <c r="S425" s="39" t="s">
        <v>750</v>
      </c>
      <c r="T425" s="39" t="s">
        <v>750</v>
      </c>
      <c r="U425" s="39" t="s">
        <v>750</v>
      </c>
      <c r="V425" s="39" t="s">
        <v>750</v>
      </c>
      <c r="W425" s="39" t="s">
        <v>751</v>
      </c>
      <c r="X425" s="39" t="s">
        <v>751</v>
      </c>
    </row>
    <row r="426">
      <c r="A426" s="39" t="s">
        <v>739</v>
      </c>
      <c r="B426" s="39">
        <v>11473.0</v>
      </c>
      <c r="C426" s="39" t="s">
        <v>658</v>
      </c>
      <c r="D426" s="39">
        <v>8.0</v>
      </c>
      <c r="F426" s="39">
        <v>9153.0</v>
      </c>
      <c r="G426" s="39" t="s">
        <v>1681</v>
      </c>
      <c r="H426" s="39">
        <v>4.0</v>
      </c>
      <c r="I426" s="39" t="s">
        <v>788</v>
      </c>
      <c r="K426" s="39" t="s">
        <v>744</v>
      </c>
      <c r="L426" s="39">
        <v>3.14393633E9</v>
      </c>
      <c r="M426" s="39" t="s">
        <v>746</v>
      </c>
      <c r="N426" s="39" t="s">
        <v>755</v>
      </c>
      <c r="O426" s="39" t="s">
        <v>756</v>
      </c>
      <c r="P426" s="39" t="s">
        <v>755</v>
      </c>
      <c r="Q426" s="39" t="s">
        <v>756</v>
      </c>
      <c r="S426" s="39" t="s">
        <v>750</v>
      </c>
      <c r="T426" s="39" t="s">
        <v>750</v>
      </c>
      <c r="U426" s="39" t="s">
        <v>750</v>
      </c>
      <c r="V426" s="39" t="s">
        <v>750</v>
      </c>
      <c r="W426" s="39" t="s">
        <v>750</v>
      </c>
      <c r="X426" s="39" t="s">
        <v>750</v>
      </c>
    </row>
    <row r="427">
      <c r="A427" s="39" t="s">
        <v>739</v>
      </c>
      <c r="B427" s="39">
        <v>11473.0</v>
      </c>
      <c r="C427" s="39" t="s">
        <v>658</v>
      </c>
      <c r="D427" s="39">
        <v>8.0</v>
      </c>
      <c r="F427" s="39">
        <v>13355.0</v>
      </c>
      <c r="G427" s="39" t="s">
        <v>889</v>
      </c>
      <c r="H427" s="39">
        <v>5.0</v>
      </c>
      <c r="I427" s="39" t="s">
        <v>756</v>
      </c>
      <c r="K427" s="39" t="s">
        <v>744</v>
      </c>
      <c r="L427" s="39" t="s">
        <v>755</v>
      </c>
      <c r="M427" s="39" t="s">
        <v>756</v>
      </c>
      <c r="N427" s="39" t="s">
        <v>755</v>
      </c>
      <c r="O427" s="39" t="s">
        <v>756</v>
      </c>
      <c r="P427" s="39" t="s">
        <v>755</v>
      </c>
      <c r="Q427" s="39" t="s">
        <v>756</v>
      </c>
      <c r="R427" s="39" t="s">
        <v>1676</v>
      </c>
      <c r="S427" s="39" t="s">
        <v>750</v>
      </c>
      <c r="T427" s="39" t="s">
        <v>750</v>
      </c>
      <c r="U427" s="39" t="s">
        <v>750</v>
      </c>
      <c r="V427" s="39" t="s">
        <v>750</v>
      </c>
      <c r="W427" s="39" t="s">
        <v>750</v>
      </c>
      <c r="X427" s="39" t="s">
        <v>750</v>
      </c>
    </row>
    <row r="428">
      <c r="A428" s="39" t="s">
        <v>739</v>
      </c>
      <c r="B428" s="39">
        <v>11946.0</v>
      </c>
      <c r="C428" s="39" t="s">
        <v>1682</v>
      </c>
      <c r="D428" s="39">
        <v>8.0</v>
      </c>
      <c r="F428" s="39">
        <v>17316.0</v>
      </c>
      <c r="G428" s="39" t="s">
        <v>1683</v>
      </c>
      <c r="H428" s="39">
        <v>1.0</v>
      </c>
      <c r="I428" s="39" t="s">
        <v>742</v>
      </c>
      <c r="J428" s="39" t="s">
        <v>743</v>
      </c>
      <c r="K428" s="39" t="s">
        <v>744</v>
      </c>
      <c r="L428" s="39" t="s">
        <v>1684</v>
      </c>
      <c r="M428" s="39" t="s">
        <v>746</v>
      </c>
      <c r="N428" s="39" t="s">
        <v>1685</v>
      </c>
      <c r="O428" s="39" t="s">
        <v>807</v>
      </c>
      <c r="P428" s="39" t="s">
        <v>755</v>
      </c>
      <c r="Q428" s="39" t="s">
        <v>756</v>
      </c>
      <c r="R428" s="39" t="s">
        <v>1686</v>
      </c>
      <c r="S428" s="39" t="s">
        <v>750</v>
      </c>
      <c r="T428" s="39" t="s">
        <v>751</v>
      </c>
      <c r="U428" s="39" t="s">
        <v>751</v>
      </c>
      <c r="V428" s="39" t="s">
        <v>750</v>
      </c>
      <c r="W428" s="39" t="s">
        <v>751</v>
      </c>
      <c r="X428" s="39" t="s">
        <v>751</v>
      </c>
    </row>
    <row r="429">
      <c r="A429" s="39" t="s">
        <v>739</v>
      </c>
      <c r="B429" s="39">
        <v>11946.0</v>
      </c>
      <c r="C429" s="39" t="s">
        <v>1682</v>
      </c>
      <c r="D429" s="39">
        <v>8.0</v>
      </c>
      <c r="F429" s="39">
        <v>17317.0</v>
      </c>
      <c r="G429" s="39" t="s">
        <v>1687</v>
      </c>
      <c r="H429" s="39">
        <v>2.0</v>
      </c>
      <c r="I429" s="39" t="s">
        <v>753</v>
      </c>
      <c r="J429" s="39" t="s">
        <v>754</v>
      </c>
      <c r="K429" s="39" t="s">
        <v>744</v>
      </c>
      <c r="L429" s="39" t="s">
        <v>1688</v>
      </c>
      <c r="M429" s="39" t="s">
        <v>746</v>
      </c>
      <c r="N429" s="39" t="s">
        <v>755</v>
      </c>
      <c r="O429" s="39" t="s">
        <v>756</v>
      </c>
      <c r="P429" s="39" t="s">
        <v>755</v>
      </c>
      <c r="Q429" s="39" t="s">
        <v>756</v>
      </c>
      <c r="R429" s="39" t="s">
        <v>1689</v>
      </c>
      <c r="S429" s="39" t="s">
        <v>750</v>
      </c>
      <c r="T429" s="39" t="s">
        <v>751</v>
      </c>
      <c r="U429" s="39" t="s">
        <v>751</v>
      </c>
      <c r="V429" s="39" t="s">
        <v>750</v>
      </c>
      <c r="W429" s="39" t="s">
        <v>751</v>
      </c>
      <c r="X429" s="39" t="s">
        <v>751</v>
      </c>
    </row>
    <row r="430">
      <c r="A430" s="39" t="s">
        <v>739</v>
      </c>
      <c r="B430" s="39">
        <v>12075.0</v>
      </c>
      <c r="C430" s="39" t="s">
        <v>1690</v>
      </c>
      <c r="D430" s="39">
        <v>6.0</v>
      </c>
      <c r="F430" s="39">
        <v>1100.0</v>
      </c>
      <c r="G430" s="39" t="s">
        <v>1691</v>
      </c>
      <c r="H430" s="39">
        <v>1.0</v>
      </c>
      <c r="I430" s="39" t="s">
        <v>742</v>
      </c>
      <c r="J430" s="39" t="s">
        <v>743</v>
      </c>
      <c r="K430" s="39" t="s">
        <v>744</v>
      </c>
      <c r="L430" s="39" t="s">
        <v>1692</v>
      </c>
      <c r="M430" s="39" t="s">
        <v>746</v>
      </c>
      <c r="N430" s="39">
        <v>3.143265387E9</v>
      </c>
      <c r="O430" s="39" t="s">
        <v>756</v>
      </c>
      <c r="P430" s="39" t="s">
        <v>755</v>
      </c>
      <c r="Q430" s="39" t="s">
        <v>756</v>
      </c>
      <c r="R430" s="39" t="s">
        <v>1693</v>
      </c>
      <c r="S430" s="39" t="s">
        <v>750</v>
      </c>
      <c r="T430" s="39" t="s">
        <v>751</v>
      </c>
      <c r="U430" s="39" t="s">
        <v>751</v>
      </c>
      <c r="V430" s="39" t="s">
        <v>750</v>
      </c>
      <c r="W430" s="39" t="s">
        <v>751</v>
      </c>
      <c r="X430" s="39" t="s">
        <v>751</v>
      </c>
    </row>
    <row r="431">
      <c r="A431" s="39" t="s">
        <v>739</v>
      </c>
      <c r="B431" s="39">
        <v>12075.0</v>
      </c>
      <c r="C431" s="39" t="s">
        <v>1690</v>
      </c>
      <c r="D431" s="39">
        <v>6.0</v>
      </c>
      <c r="F431" s="39">
        <v>18003.0</v>
      </c>
      <c r="G431" s="39" t="s">
        <v>1694</v>
      </c>
      <c r="H431" s="39">
        <v>2.0</v>
      </c>
      <c r="I431" s="39" t="s">
        <v>775</v>
      </c>
      <c r="J431" s="39" t="s">
        <v>768</v>
      </c>
      <c r="K431" s="39" t="s">
        <v>744</v>
      </c>
      <c r="L431" s="39" t="s">
        <v>1695</v>
      </c>
      <c r="M431" s="39" t="s">
        <v>746</v>
      </c>
      <c r="N431" s="39" t="s">
        <v>755</v>
      </c>
      <c r="O431" s="39" t="s">
        <v>756</v>
      </c>
      <c r="P431" s="39" t="s">
        <v>755</v>
      </c>
      <c r="Q431" s="39" t="s">
        <v>756</v>
      </c>
      <c r="S431" s="39" t="s">
        <v>750</v>
      </c>
      <c r="T431" s="39" t="s">
        <v>750</v>
      </c>
      <c r="U431" s="39" t="s">
        <v>751</v>
      </c>
      <c r="V431" s="39" t="s">
        <v>750</v>
      </c>
      <c r="W431" s="39" t="s">
        <v>751</v>
      </c>
      <c r="X431" s="39" t="s">
        <v>751</v>
      </c>
    </row>
    <row r="432">
      <c r="A432" s="39" t="s">
        <v>739</v>
      </c>
      <c r="B432" s="39">
        <v>11937.0</v>
      </c>
      <c r="C432" s="39" t="s">
        <v>1696</v>
      </c>
      <c r="D432" s="39">
        <v>5.0</v>
      </c>
      <c r="F432" s="39">
        <v>17185.0</v>
      </c>
      <c r="G432" s="39" t="s">
        <v>1146</v>
      </c>
      <c r="H432" s="39">
        <v>1.0</v>
      </c>
      <c r="I432" s="39" t="s">
        <v>742</v>
      </c>
      <c r="J432" s="39" t="s">
        <v>743</v>
      </c>
      <c r="K432" s="39" t="s">
        <v>744</v>
      </c>
      <c r="L432" s="39" t="s">
        <v>1147</v>
      </c>
      <c r="M432" s="39" t="s">
        <v>746</v>
      </c>
      <c r="N432" s="39" t="s">
        <v>1148</v>
      </c>
      <c r="O432" s="39" t="s">
        <v>746</v>
      </c>
      <c r="P432" s="39" t="s">
        <v>755</v>
      </c>
      <c r="Q432" s="39" t="s">
        <v>756</v>
      </c>
      <c r="R432" s="39" t="s">
        <v>1149</v>
      </c>
      <c r="S432" s="39" t="s">
        <v>750</v>
      </c>
      <c r="T432" s="39" t="s">
        <v>751</v>
      </c>
      <c r="U432" s="39" t="s">
        <v>751</v>
      </c>
      <c r="V432" s="39" t="s">
        <v>750</v>
      </c>
      <c r="W432" s="39" t="s">
        <v>751</v>
      </c>
      <c r="X432" s="39" t="s">
        <v>751</v>
      </c>
    </row>
    <row r="433">
      <c r="A433" s="39" t="s">
        <v>739</v>
      </c>
      <c r="B433" s="39">
        <v>11029.0</v>
      </c>
      <c r="C433" s="39" t="s">
        <v>664</v>
      </c>
      <c r="D433" s="39">
        <v>8.0</v>
      </c>
      <c r="F433" s="39">
        <v>8608.0</v>
      </c>
      <c r="G433" s="39" t="s">
        <v>1697</v>
      </c>
      <c r="H433" s="39">
        <v>1.0</v>
      </c>
      <c r="I433" s="39" t="s">
        <v>742</v>
      </c>
      <c r="J433" s="39" t="s">
        <v>743</v>
      </c>
      <c r="K433" s="39" t="s">
        <v>744</v>
      </c>
      <c r="L433" s="39" t="s">
        <v>1698</v>
      </c>
      <c r="M433" s="39" t="s">
        <v>746</v>
      </c>
      <c r="N433" s="39" t="s">
        <v>755</v>
      </c>
      <c r="O433" s="39" t="s">
        <v>756</v>
      </c>
      <c r="P433" s="39" t="s">
        <v>755</v>
      </c>
      <c r="Q433" s="39" t="s">
        <v>756</v>
      </c>
      <c r="R433" s="39" t="s">
        <v>1699</v>
      </c>
      <c r="S433" s="39" t="s">
        <v>751</v>
      </c>
      <c r="T433" s="39" t="s">
        <v>751</v>
      </c>
      <c r="U433" s="39" t="s">
        <v>751</v>
      </c>
      <c r="V433" s="39" t="s">
        <v>751</v>
      </c>
      <c r="W433" s="39" t="s">
        <v>751</v>
      </c>
      <c r="X433" s="39" t="s">
        <v>751</v>
      </c>
    </row>
    <row r="434">
      <c r="A434" s="39" t="s">
        <v>739</v>
      </c>
      <c r="B434" s="39">
        <v>11029.0</v>
      </c>
      <c r="C434" s="39" t="s">
        <v>664</v>
      </c>
      <c r="D434" s="39">
        <v>8.0</v>
      </c>
      <c r="F434" s="39">
        <v>17456.0</v>
      </c>
      <c r="G434" s="39" t="s">
        <v>1700</v>
      </c>
      <c r="H434" s="39">
        <v>2.0</v>
      </c>
      <c r="I434" s="39" t="s">
        <v>788</v>
      </c>
      <c r="J434" s="39" t="s">
        <v>768</v>
      </c>
      <c r="K434" s="39" t="s">
        <v>744</v>
      </c>
      <c r="L434" s="39" t="s">
        <v>1701</v>
      </c>
      <c r="M434" s="39" t="s">
        <v>746</v>
      </c>
      <c r="N434" s="39" t="s">
        <v>755</v>
      </c>
      <c r="O434" s="39" t="s">
        <v>756</v>
      </c>
      <c r="P434" s="39" t="s">
        <v>755</v>
      </c>
      <c r="Q434" s="39" t="s">
        <v>756</v>
      </c>
      <c r="S434" s="39" t="s">
        <v>750</v>
      </c>
      <c r="T434" s="39" t="s">
        <v>750</v>
      </c>
      <c r="U434" s="39" t="s">
        <v>751</v>
      </c>
      <c r="V434" s="39" t="s">
        <v>750</v>
      </c>
      <c r="W434" s="39" t="s">
        <v>751</v>
      </c>
      <c r="X434" s="39" t="s">
        <v>751</v>
      </c>
    </row>
    <row r="435">
      <c r="A435" s="39" t="s">
        <v>739</v>
      </c>
      <c r="B435" s="39">
        <v>11029.0</v>
      </c>
      <c r="C435" s="39" t="s">
        <v>664</v>
      </c>
      <c r="D435" s="39">
        <v>8.0</v>
      </c>
      <c r="F435" s="39">
        <v>13416.0</v>
      </c>
      <c r="G435" s="39" t="s">
        <v>889</v>
      </c>
      <c r="H435" s="39">
        <v>3.0</v>
      </c>
      <c r="I435" s="39" t="s">
        <v>756</v>
      </c>
      <c r="K435" s="39" t="s">
        <v>744</v>
      </c>
      <c r="L435" s="39" t="s">
        <v>755</v>
      </c>
      <c r="M435" s="39" t="s">
        <v>756</v>
      </c>
      <c r="N435" s="39" t="s">
        <v>755</v>
      </c>
      <c r="O435" s="39" t="s">
        <v>756</v>
      </c>
      <c r="P435" s="39" t="s">
        <v>755</v>
      </c>
      <c r="Q435" s="39" t="s">
        <v>756</v>
      </c>
      <c r="R435" s="39" t="s">
        <v>1699</v>
      </c>
      <c r="S435" s="39" t="s">
        <v>750</v>
      </c>
      <c r="T435" s="39" t="s">
        <v>750</v>
      </c>
      <c r="U435" s="39" t="s">
        <v>750</v>
      </c>
      <c r="V435" s="39" t="s">
        <v>750</v>
      </c>
      <c r="W435" s="39" t="s">
        <v>750</v>
      </c>
      <c r="X435" s="39" t="s">
        <v>750</v>
      </c>
    </row>
    <row r="436">
      <c r="A436" s="39" t="s">
        <v>739</v>
      </c>
      <c r="B436" s="39">
        <v>11968.0</v>
      </c>
      <c r="C436" s="39" t="s">
        <v>1702</v>
      </c>
      <c r="D436" s="39">
        <v>5.0</v>
      </c>
      <c r="F436" s="39">
        <v>17485.0</v>
      </c>
      <c r="G436" s="39" t="s">
        <v>1703</v>
      </c>
      <c r="H436" s="39">
        <v>1.0</v>
      </c>
      <c r="I436" s="39" t="s">
        <v>742</v>
      </c>
      <c r="J436" s="39" t="s">
        <v>743</v>
      </c>
      <c r="K436" s="39" t="s">
        <v>744</v>
      </c>
      <c r="L436" s="39" t="s">
        <v>1704</v>
      </c>
      <c r="M436" s="39" t="s">
        <v>746</v>
      </c>
      <c r="N436" s="39" t="s">
        <v>1705</v>
      </c>
      <c r="O436" s="39" t="s">
        <v>746</v>
      </c>
      <c r="P436" s="39" t="s">
        <v>1706</v>
      </c>
      <c r="Q436" s="39" t="s">
        <v>746</v>
      </c>
      <c r="R436" s="39" t="s">
        <v>1707</v>
      </c>
      <c r="S436" s="39" t="s">
        <v>750</v>
      </c>
      <c r="T436" s="39" t="s">
        <v>751</v>
      </c>
      <c r="U436" s="39" t="s">
        <v>751</v>
      </c>
      <c r="V436" s="39" t="s">
        <v>750</v>
      </c>
      <c r="W436" s="39" t="s">
        <v>751</v>
      </c>
      <c r="X436" s="39" t="s">
        <v>751</v>
      </c>
    </row>
    <row r="437">
      <c r="A437" s="39" t="s">
        <v>739</v>
      </c>
      <c r="B437" s="39">
        <v>11968.0</v>
      </c>
      <c r="C437" s="39" t="s">
        <v>1702</v>
      </c>
      <c r="D437" s="39">
        <v>5.0</v>
      </c>
      <c r="F437" s="39">
        <v>17486.0</v>
      </c>
      <c r="G437" s="39" t="s">
        <v>1708</v>
      </c>
      <c r="H437" s="39">
        <v>2.0</v>
      </c>
      <c r="I437" s="39" t="s">
        <v>753</v>
      </c>
      <c r="J437" s="39" t="s">
        <v>754</v>
      </c>
      <c r="K437" s="39" t="s">
        <v>744</v>
      </c>
      <c r="L437" s="39" t="s">
        <v>1705</v>
      </c>
      <c r="M437" s="39" t="s">
        <v>746</v>
      </c>
      <c r="N437" s="39" t="s">
        <v>755</v>
      </c>
      <c r="O437" s="39" t="s">
        <v>756</v>
      </c>
      <c r="P437" s="39" t="s">
        <v>755</v>
      </c>
      <c r="Q437" s="39" t="s">
        <v>756</v>
      </c>
      <c r="S437" s="39" t="s">
        <v>750</v>
      </c>
      <c r="T437" s="39" t="s">
        <v>751</v>
      </c>
      <c r="U437" s="39" t="s">
        <v>751</v>
      </c>
      <c r="V437" s="39" t="s">
        <v>750</v>
      </c>
      <c r="W437" s="39" t="s">
        <v>751</v>
      </c>
      <c r="X437" s="39" t="s">
        <v>751</v>
      </c>
    </row>
    <row r="438">
      <c r="A438" s="39" t="s">
        <v>739</v>
      </c>
      <c r="B438" s="39">
        <v>11922.0</v>
      </c>
      <c r="C438" s="39" t="s">
        <v>1709</v>
      </c>
      <c r="D438" s="39">
        <v>7.0</v>
      </c>
      <c r="F438" s="39">
        <v>17105.0</v>
      </c>
      <c r="G438" s="39" t="s">
        <v>818</v>
      </c>
      <c r="H438" s="39">
        <v>1.0</v>
      </c>
      <c r="I438" s="39" t="s">
        <v>742</v>
      </c>
      <c r="J438" s="39" t="s">
        <v>743</v>
      </c>
      <c r="K438" s="39" t="s">
        <v>744</v>
      </c>
      <c r="L438" s="39" t="s">
        <v>819</v>
      </c>
      <c r="M438" s="39" t="s">
        <v>746</v>
      </c>
      <c r="N438" s="39" t="s">
        <v>755</v>
      </c>
      <c r="O438" s="39" t="s">
        <v>756</v>
      </c>
      <c r="P438" s="39" t="s">
        <v>755</v>
      </c>
      <c r="Q438" s="39" t="s">
        <v>756</v>
      </c>
      <c r="R438" s="39" t="s">
        <v>820</v>
      </c>
      <c r="S438" s="39" t="s">
        <v>750</v>
      </c>
      <c r="T438" s="39" t="s">
        <v>751</v>
      </c>
      <c r="U438" s="39" t="s">
        <v>751</v>
      </c>
      <c r="V438" s="39" t="s">
        <v>750</v>
      </c>
      <c r="W438" s="39" t="s">
        <v>751</v>
      </c>
      <c r="X438" s="39" t="s">
        <v>751</v>
      </c>
    </row>
    <row r="439">
      <c r="A439" s="39" t="s">
        <v>739</v>
      </c>
      <c r="B439" s="39">
        <v>11922.0</v>
      </c>
      <c r="C439" s="39" t="s">
        <v>1709</v>
      </c>
      <c r="D439" s="39">
        <v>7.0</v>
      </c>
      <c r="F439" s="39">
        <v>17106.0</v>
      </c>
      <c r="G439" s="39" t="s">
        <v>821</v>
      </c>
      <c r="H439" s="39">
        <v>2.0</v>
      </c>
      <c r="I439" s="39" t="s">
        <v>791</v>
      </c>
      <c r="J439" s="39" t="s">
        <v>768</v>
      </c>
      <c r="K439" s="39" t="s">
        <v>744</v>
      </c>
      <c r="L439" s="39" t="s">
        <v>822</v>
      </c>
      <c r="M439" s="39" t="s">
        <v>746</v>
      </c>
      <c r="N439" s="39" t="s">
        <v>755</v>
      </c>
      <c r="O439" s="39" t="s">
        <v>756</v>
      </c>
      <c r="P439" s="39" t="s">
        <v>755</v>
      </c>
      <c r="Q439" s="39" t="s">
        <v>756</v>
      </c>
      <c r="S439" s="39" t="s">
        <v>750</v>
      </c>
      <c r="T439" s="39" t="s">
        <v>750</v>
      </c>
      <c r="U439" s="39" t="s">
        <v>750</v>
      </c>
      <c r="V439" s="39" t="s">
        <v>750</v>
      </c>
      <c r="W439" s="39" t="s">
        <v>751</v>
      </c>
      <c r="X439" s="39" t="s">
        <v>751</v>
      </c>
    </row>
    <row r="440">
      <c r="A440" s="39" t="s">
        <v>739</v>
      </c>
      <c r="B440" s="39">
        <v>11923.0</v>
      </c>
      <c r="C440" s="39" t="s">
        <v>1710</v>
      </c>
      <c r="D440" s="39">
        <v>5.0</v>
      </c>
      <c r="F440" s="39">
        <v>17105.0</v>
      </c>
      <c r="G440" s="39" t="s">
        <v>818</v>
      </c>
      <c r="H440" s="39">
        <v>1.0</v>
      </c>
      <c r="I440" s="39" t="s">
        <v>742</v>
      </c>
      <c r="J440" s="39" t="s">
        <v>743</v>
      </c>
      <c r="K440" s="39" t="s">
        <v>744</v>
      </c>
      <c r="L440" s="39" t="s">
        <v>819</v>
      </c>
      <c r="M440" s="39" t="s">
        <v>746</v>
      </c>
      <c r="N440" s="39" t="s">
        <v>755</v>
      </c>
      <c r="O440" s="39" t="s">
        <v>756</v>
      </c>
      <c r="P440" s="39" t="s">
        <v>755</v>
      </c>
      <c r="Q440" s="39" t="s">
        <v>756</v>
      </c>
      <c r="R440" s="39" t="s">
        <v>820</v>
      </c>
      <c r="S440" s="39" t="s">
        <v>750</v>
      </c>
      <c r="T440" s="39" t="s">
        <v>751</v>
      </c>
      <c r="U440" s="39" t="s">
        <v>751</v>
      </c>
      <c r="V440" s="39" t="s">
        <v>750</v>
      </c>
      <c r="W440" s="39" t="s">
        <v>751</v>
      </c>
      <c r="X440" s="39" t="s">
        <v>751</v>
      </c>
    </row>
    <row r="441">
      <c r="A441" s="39" t="s">
        <v>739</v>
      </c>
      <c r="B441" s="39">
        <v>11923.0</v>
      </c>
      <c r="C441" s="39" t="s">
        <v>1710</v>
      </c>
      <c r="D441" s="39">
        <v>5.0</v>
      </c>
      <c r="F441" s="39">
        <v>17106.0</v>
      </c>
      <c r="G441" s="39" t="s">
        <v>821</v>
      </c>
      <c r="H441" s="39">
        <v>2.0</v>
      </c>
      <c r="I441" s="39" t="s">
        <v>791</v>
      </c>
      <c r="J441" s="39" t="s">
        <v>768</v>
      </c>
      <c r="K441" s="39" t="s">
        <v>744</v>
      </c>
      <c r="L441" s="39" t="s">
        <v>822</v>
      </c>
      <c r="M441" s="39" t="s">
        <v>746</v>
      </c>
      <c r="N441" s="39" t="s">
        <v>755</v>
      </c>
      <c r="O441" s="39" t="s">
        <v>756</v>
      </c>
      <c r="P441" s="39" t="s">
        <v>755</v>
      </c>
      <c r="Q441" s="39" t="s">
        <v>756</v>
      </c>
      <c r="S441" s="39" t="s">
        <v>750</v>
      </c>
      <c r="T441" s="39" t="s">
        <v>750</v>
      </c>
      <c r="U441" s="39" t="s">
        <v>750</v>
      </c>
      <c r="V441" s="39" t="s">
        <v>750</v>
      </c>
      <c r="W441" s="39" t="s">
        <v>751</v>
      </c>
      <c r="X441" s="39" t="s">
        <v>751</v>
      </c>
    </row>
    <row r="442">
      <c r="A442" s="39" t="s">
        <v>739</v>
      </c>
      <c r="B442" s="39">
        <v>11723.0</v>
      </c>
      <c r="C442" s="39" t="s">
        <v>1711</v>
      </c>
      <c r="D442" s="39">
        <v>7.0</v>
      </c>
      <c r="F442" s="39">
        <v>11613.0</v>
      </c>
      <c r="G442" s="39" t="s">
        <v>1712</v>
      </c>
      <c r="H442" s="39">
        <v>1.0</v>
      </c>
      <c r="I442" s="39" t="s">
        <v>742</v>
      </c>
      <c r="J442" s="39" t="s">
        <v>743</v>
      </c>
      <c r="K442" s="39" t="s">
        <v>744</v>
      </c>
      <c r="L442" s="39" t="s">
        <v>1713</v>
      </c>
      <c r="M442" s="39" t="s">
        <v>748</v>
      </c>
      <c r="N442" s="39" t="s">
        <v>1714</v>
      </c>
      <c r="O442" s="39" t="s">
        <v>748</v>
      </c>
      <c r="P442" s="39" t="s">
        <v>755</v>
      </c>
      <c r="Q442" s="39" t="s">
        <v>756</v>
      </c>
      <c r="R442" s="39" t="s">
        <v>1715</v>
      </c>
      <c r="S442" s="39" t="s">
        <v>750</v>
      </c>
      <c r="T442" s="39" t="s">
        <v>751</v>
      </c>
      <c r="U442" s="39" t="s">
        <v>751</v>
      </c>
      <c r="V442" s="39" t="s">
        <v>751</v>
      </c>
      <c r="W442" s="39" t="s">
        <v>751</v>
      </c>
      <c r="X442" s="39" t="s">
        <v>751</v>
      </c>
    </row>
    <row r="443">
      <c r="A443" s="39" t="s">
        <v>739</v>
      </c>
      <c r="B443" s="39">
        <v>11723.0</v>
      </c>
      <c r="C443" s="39" t="s">
        <v>1711</v>
      </c>
      <c r="D443" s="39">
        <v>7.0</v>
      </c>
      <c r="F443" s="39">
        <v>11614.0</v>
      </c>
      <c r="G443" s="39" t="s">
        <v>1716</v>
      </c>
      <c r="H443" s="39">
        <v>2.0</v>
      </c>
      <c r="I443" s="39" t="s">
        <v>760</v>
      </c>
      <c r="J443" s="39" t="s">
        <v>768</v>
      </c>
      <c r="K443" s="39" t="s">
        <v>744</v>
      </c>
      <c r="L443" s="39" t="s">
        <v>1717</v>
      </c>
      <c r="M443" s="39" t="s">
        <v>746</v>
      </c>
      <c r="N443" s="39" t="s">
        <v>755</v>
      </c>
      <c r="O443" s="39" t="s">
        <v>756</v>
      </c>
      <c r="P443" s="39" t="s">
        <v>755</v>
      </c>
      <c r="Q443" s="39" t="s">
        <v>756</v>
      </c>
      <c r="R443" s="39" t="s">
        <v>1718</v>
      </c>
      <c r="S443" s="39" t="s">
        <v>750</v>
      </c>
      <c r="T443" s="39" t="s">
        <v>750</v>
      </c>
      <c r="U443" s="39" t="s">
        <v>750</v>
      </c>
      <c r="V443" s="39" t="s">
        <v>750</v>
      </c>
      <c r="W443" s="39" t="s">
        <v>751</v>
      </c>
      <c r="X443" s="39" t="s">
        <v>751</v>
      </c>
    </row>
    <row r="444">
      <c r="A444" s="39" t="s">
        <v>739</v>
      </c>
      <c r="B444" s="39">
        <v>11723.0</v>
      </c>
      <c r="C444" s="39" t="s">
        <v>1711</v>
      </c>
      <c r="D444" s="39">
        <v>7.0</v>
      </c>
      <c r="F444" s="39">
        <v>11615.0</v>
      </c>
      <c r="G444" s="39" t="s">
        <v>1719</v>
      </c>
      <c r="H444" s="39">
        <v>3.0</v>
      </c>
      <c r="I444" s="39" t="s">
        <v>788</v>
      </c>
      <c r="J444" s="39" t="s">
        <v>771</v>
      </c>
      <c r="K444" s="39" t="s">
        <v>744</v>
      </c>
      <c r="L444" s="39" t="s">
        <v>1720</v>
      </c>
      <c r="M444" s="39" t="s">
        <v>746</v>
      </c>
      <c r="N444" s="39" t="s">
        <v>755</v>
      </c>
      <c r="O444" s="39" t="s">
        <v>756</v>
      </c>
      <c r="P444" s="39" t="s">
        <v>755</v>
      </c>
      <c r="Q444" s="39" t="s">
        <v>756</v>
      </c>
      <c r="S444" s="39" t="s">
        <v>750</v>
      </c>
      <c r="T444" s="39" t="s">
        <v>750</v>
      </c>
      <c r="U444" s="39" t="s">
        <v>750</v>
      </c>
      <c r="V444" s="39" t="s">
        <v>750</v>
      </c>
      <c r="W444" s="39" t="s">
        <v>751</v>
      </c>
      <c r="X444" s="39" t="s">
        <v>751</v>
      </c>
    </row>
    <row r="445">
      <c r="A445" s="39" t="s">
        <v>739</v>
      </c>
      <c r="B445" s="39">
        <v>11723.0</v>
      </c>
      <c r="C445" s="39" t="s">
        <v>1711</v>
      </c>
      <c r="D445" s="39">
        <v>7.0</v>
      </c>
      <c r="F445" s="39">
        <v>11616.0</v>
      </c>
      <c r="G445" s="39" t="s">
        <v>1721</v>
      </c>
      <c r="H445" s="39">
        <v>4.0</v>
      </c>
      <c r="I445" s="39" t="s">
        <v>758</v>
      </c>
      <c r="J445" s="39" t="s">
        <v>958</v>
      </c>
      <c r="K445" s="39" t="s">
        <v>744</v>
      </c>
      <c r="L445" s="39" t="s">
        <v>1714</v>
      </c>
      <c r="M445" s="39" t="s">
        <v>746</v>
      </c>
      <c r="N445" s="39" t="s">
        <v>755</v>
      </c>
      <c r="O445" s="39" t="s">
        <v>756</v>
      </c>
      <c r="P445" s="39" t="s">
        <v>755</v>
      </c>
      <c r="Q445" s="39" t="s">
        <v>756</v>
      </c>
      <c r="S445" s="39" t="s">
        <v>750</v>
      </c>
      <c r="T445" s="39" t="s">
        <v>750</v>
      </c>
      <c r="U445" s="39" t="s">
        <v>750</v>
      </c>
      <c r="V445" s="39" t="s">
        <v>750</v>
      </c>
      <c r="W445" s="39" t="s">
        <v>751</v>
      </c>
      <c r="X445" s="39" t="s">
        <v>751</v>
      </c>
    </row>
    <row r="446">
      <c r="A446" s="39" t="s">
        <v>739</v>
      </c>
      <c r="B446" s="39">
        <v>11723.0</v>
      </c>
      <c r="C446" s="39" t="s">
        <v>1711</v>
      </c>
      <c r="D446" s="39">
        <v>7.0</v>
      </c>
      <c r="F446" s="39">
        <v>13759.0</v>
      </c>
      <c r="G446" s="39" t="s">
        <v>1712</v>
      </c>
      <c r="H446" s="39">
        <v>5.0</v>
      </c>
      <c r="I446" s="39" t="s">
        <v>742</v>
      </c>
      <c r="J446" s="39" t="s">
        <v>803</v>
      </c>
      <c r="K446" s="39" t="s">
        <v>744</v>
      </c>
      <c r="L446" s="39" t="s">
        <v>1713</v>
      </c>
      <c r="M446" s="39" t="s">
        <v>805</v>
      </c>
      <c r="N446" s="39" t="s">
        <v>755</v>
      </c>
      <c r="O446" s="39" t="s">
        <v>756</v>
      </c>
      <c r="P446" s="39" t="s">
        <v>755</v>
      </c>
      <c r="Q446" s="39" t="s">
        <v>756</v>
      </c>
      <c r="R446" s="39" t="s">
        <v>1715</v>
      </c>
      <c r="S446" s="39" t="s">
        <v>750</v>
      </c>
      <c r="T446" s="39" t="s">
        <v>751</v>
      </c>
      <c r="U446" s="39" t="s">
        <v>751</v>
      </c>
      <c r="V446" s="39" t="s">
        <v>750</v>
      </c>
      <c r="W446" s="39" t="s">
        <v>751</v>
      </c>
      <c r="X446" s="39" t="s">
        <v>751</v>
      </c>
    </row>
    <row r="447">
      <c r="A447" s="39" t="s">
        <v>739</v>
      </c>
      <c r="B447" s="39">
        <v>11919.0</v>
      </c>
      <c r="C447" s="39" t="s">
        <v>1722</v>
      </c>
      <c r="D447" s="39">
        <v>7.0</v>
      </c>
      <c r="F447" s="39">
        <v>17142.0</v>
      </c>
      <c r="G447" s="39" t="s">
        <v>1723</v>
      </c>
      <c r="H447" s="39">
        <v>1.0</v>
      </c>
      <c r="I447" s="39" t="s">
        <v>775</v>
      </c>
      <c r="J447" s="39" t="s">
        <v>803</v>
      </c>
      <c r="K447" s="39" t="s">
        <v>744</v>
      </c>
      <c r="L447" s="39" t="s">
        <v>1724</v>
      </c>
      <c r="M447" s="39" t="s">
        <v>746</v>
      </c>
      <c r="N447" s="39" t="s">
        <v>755</v>
      </c>
      <c r="O447" s="39" t="s">
        <v>756</v>
      </c>
      <c r="P447" s="39" t="s">
        <v>755</v>
      </c>
      <c r="Q447" s="39" t="s">
        <v>756</v>
      </c>
      <c r="R447" s="39" t="s">
        <v>1725</v>
      </c>
      <c r="S447" s="39" t="s">
        <v>750</v>
      </c>
      <c r="T447" s="39" t="s">
        <v>751</v>
      </c>
      <c r="U447" s="39" t="s">
        <v>751</v>
      </c>
      <c r="V447" s="39" t="s">
        <v>750</v>
      </c>
      <c r="W447" s="39" t="s">
        <v>751</v>
      </c>
      <c r="X447" s="39" t="s">
        <v>751</v>
      </c>
    </row>
    <row r="448">
      <c r="A448" s="39" t="s">
        <v>739</v>
      </c>
      <c r="B448" s="39">
        <v>11919.0</v>
      </c>
      <c r="C448" s="39" t="s">
        <v>1722</v>
      </c>
      <c r="D448" s="39">
        <v>7.0</v>
      </c>
      <c r="F448" s="39">
        <v>17143.0</v>
      </c>
      <c r="G448" s="39" t="s">
        <v>1726</v>
      </c>
      <c r="H448" s="39">
        <v>2.0</v>
      </c>
      <c r="I448" s="39" t="s">
        <v>760</v>
      </c>
      <c r="J448" s="39" t="s">
        <v>768</v>
      </c>
      <c r="K448" s="39" t="s">
        <v>744</v>
      </c>
      <c r="L448" s="39" t="s">
        <v>1727</v>
      </c>
      <c r="M448" s="39" t="s">
        <v>746</v>
      </c>
      <c r="N448" s="39" t="s">
        <v>755</v>
      </c>
      <c r="O448" s="39" t="s">
        <v>756</v>
      </c>
      <c r="P448" s="39" t="s">
        <v>755</v>
      </c>
      <c r="Q448" s="39" t="s">
        <v>756</v>
      </c>
      <c r="S448" s="39" t="s">
        <v>750</v>
      </c>
      <c r="T448" s="39" t="s">
        <v>750</v>
      </c>
      <c r="U448" s="39" t="s">
        <v>751</v>
      </c>
      <c r="V448" s="39" t="s">
        <v>750</v>
      </c>
      <c r="W448" s="39" t="s">
        <v>751</v>
      </c>
      <c r="X448" s="39" t="s">
        <v>751</v>
      </c>
    </row>
    <row r="449">
      <c r="A449" s="39" t="s">
        <v>739</v>
      </c>
      <c r="B449" s="39">
        <v>11744.0</v>
      </c>
      <c r="C449" s="39" t="s">
        <v>1728</v>
      </c>
      <c r="D449" s="39">
        <v>7.0</v>
      </c>
      <c r="F449" s="39">
        <v>11758.0</v>
      </c>
      <c r="G449" s="39" t="s">
        <v>1729</v>
      </c>
      <c r="H449" s="39">
        <v>1.0</v>
      </c>
      <c r="I449" s="39" t="s">
        <v>742</v>
      </c>
      <c r="J449" s="39" t="s">
        <v>743</v>
      </c>
      <c r="K449" s="39" t="s">
        <v>744</v>
      </c>
      <c r="L449" s="39" t="s">
        <v>1730</v>
      </c>
      <c r="M449" s="39" t="s">
        <v>748</v>
      </c>
      <c r="N449" s="39" t="s">
        <v>755</v>
      </c>
      <c r="O449" s="39" t="s">
        <v>756</v>
      </c>
      <c r="P449" s="39" t="s">
        <v>755</v>
      </c>
      <c r="Q449" s="39" t="s">
        <v>756</v>
      </c>
      <c r="S449" s="39" t="s">
        <v>750</v>
      </c>
      <c r="T449" s="39" t="s">
        <v>750</v>
      </c>
      <c r="U449" s="39" t="s">
        <v>751</v>
      </c>
      <c r="V449" s="39" t="s">
        <v>750</v>
      </c>
      <c r="W449" s="39" t="s">
        <v>750</v>
      </c>
      <c r="X449" s="39" t="s">
        <v>751</v>
      </c>
    </row>
    <row r="450">
      <c r="A450" s="39" t="s">
        <v>739</v>
      </c>
      <c r="B450" s="39">
        <v>11744.0</v>
      </c>
      <c r="C450" s="39" t="s">
        <v>1728</v>
      </c>
      <c r="D450" s="39">
        <v>7.0</v>
      </c>
      <c r="F450" s="39">
        <v>11757.0</v>
      </c>
      <c r="G450" s="39" t="s">
        <v>1731</v>
      </c>
      <c r="H450" s="39">
        <v>2.0</v>
      </c>
      <c r="I450" s="39" t="s">
        <v>791</v>
      </c>
      <c r="J450" s="39" t="s">
        <v>803</v>
      </c>
      <c r="K450" s="39" t="s">
        <v>744</v>
      </c>
      <c r="L450" s="39" t="s">
        <v>1732</v>
      </c>
      <c r="M450" s="39" t="s">
        <v>748</v>
      </c>
      <c r="N450" s="39" t="s">
        <v>755</v>
      </c>
      <c r="O450" s="39" t="s">
        <v>756</v>
      </c>
      <c r="P450" s="39" t="s">
        <v>755</v>
      </c>
      <c r="Q450" s="39" t="s">
        <v>756</v>
      </c>
      <c r="R450" s="39" t="s">
        <v>1733</v>
      </c>
      <c r="S450" s="39" t="s">
        <v>750</v>
      </c>
      <c r="T450" s="39" t="s">
        <v>751</v>
      </c>
      <c r="U450" s="39" t="s">
        <v>751</v>
      </c>
      <c r="V450" s="39" t="s">
        <v>750</v>
      </c>
      <c r="W450" s="39" t="s">
        <v>750</v>
      </c>
      <c r="X450" s="39" t="s">
        <v>751</v>
      </c>
    </row>
    <row r="451">
      <c r="A451" s="39" t="s">
        <v>739</v>
      </c>
      <c r="B451" s="39">
        <v>11744.0</v>
      </c>
      <c r="C451" s="39" t="s">
        <v>1728</v>
      </c>
      <c r="D451" s="39">
        <v>7.0</v>
      </c>
      <c r="F451" s="39">
        <v>11759.0</v>
      </c>
      <c r="G451" s="39" t="s">
        <v>1734</v>
      </c>
      <c r="H451" s="39">
        <v>3.0</v>
      </c>
      <c r="I451" s="39" t="s">
        <v>753</v>
      </c>
      <c r="K451" s="39" t="s">
        <v>744</v>
      </c>
      <c r="L451" s="39">
        <v>3.149394449E9</v>
      </c>
      <c r="M451" s="39" t="s">
        <v>746</v>
      </c>
      <c r="N451" s="39" t="s">
        <v>755</v>
      </c>
      <c r="O451" s="39" t="s">
        <v>756</v>
      </c>
      <c r="P451" s="39" t="s">
        <v>755</v>
      </c>
      <c r="Q451" s="39" t="s">
        <v>756</v>
      </c>
      <c r="R451" s="39" t="s">
        <v>1733</v>
      </c>
      <c r="S451" s="39" t="s">
        <v>750</v>
      </c>
      <c r="T451" s="39" t="s">
        <v>750</v>
      </c>
      <c r="U451" s="39" t="s">
        <v>750</v>
      </c>
      <c r="V451" s="39" t="s">
        <v>750</v>
      </c>
      <c r="W451" s="39" t="s">
        <v>751</v>
      </c>
      <c r="X451" s="39" t="s">
        <v>751</v>
      </c>
    </row>
    <row r="452">
      <c r="A452" s="39" t="s">
        <v>739</v>
      </c>
      <c r="B452" s="39">
        <v>11744.0</v>
      </c>
      <c r="C452" s="39" t="s">
        <v>1728</v>
      </c>
      <c r="D452" s="39">
        <v>7.0</v>
      </c>
      <c r="F452" s="39">
        <v>11760.0</v>
      </c>
      <c r="G452" s="39" t="s">
        <v>1735</v>
      </c>
      <c r="H452" s="39">
        <v>4.0</v>
      </c>
      <c r="I452" s="39" t="s">
        <v>791</v>
      </c>
      <c r="K452" s="39" t="s">
        <v>744</v>
      </c>
      <c r="L452" s="39">
        <v>3.145003128E9</v>
      </c>
      <c r="M452" s="39" t="s">
        <v>746</v>
      </c>
      <c r="N452" s="39" t="s">
        <v>755</v>
      </c>
      <c r="O452" s="39" t="s">
        <v>756</v>
      </c>
      <c r="P452" s="39" t="s">
        <v>755</v>
      </c>
      <c r="Q452" s="39" t="s">
        <v>756</v>
      </c>
      <c r="S452" s="39" t="s">
        <v>750</v>
      </c>
      <c r="T452" s="39" t="s">
        <v>750</v>
      </c>
      <c r="U452" s="39" t="s">
        <v>750</v>
      </c>
      <c r="V452" s="39" t="s">
        <v>750</v>
      </c>
      <c r="W452" s="39" t="s">
        <v>751</v>
      </c>
      <c r="X452" s="39" t="s">
        <v>751</v>
      </c>
    </row>
    <row r="453">
      <c r="A453" s="39" t="s">
        <v>739</v>
      </c>
      <c r="B453" s="39">
        <v>11744.0</v>
      </c>
      <c r="C453" s="39" t="s">
        <v>1728</v>
      </c>
      <c r="D453" s="39">
        <v>7.0</v>
      </c>
      <c r="F453" s="39">
        <v>11761.0</v>
      </c>
      <c r="G453" s="39" t="s">
        <v>1736</v>
      </c>
      <c r="H453" s="39">
        <v>5.0</v>
      </c>
      <c r="I453" s="39" t="s">
        <v>788</v>
      </c>
      <c r="K453" s="39" t="s">
        <v>744</v>
      </c>
      <c r="L453" s="39">
        <v>3.146012357E9</v>
      </c>
      <c r="M453" s="39" t="s">
        <v>746</v>
      </c>
      <c r="N453" s="39" t="s">
        <v>755</v>
      </c>
      <c r="O453" s="39" t="s">
        <v>756</v>
      </c>
      <c r="P453" s="39" t="s">
        <v>755</v>
      </c>
      <c r="Q453" s="39" t="s">
        <v>756</v>
      </c>
      <c r="S453" s="39" t="s">
        <v>750</v>
      </c>
      <c r="T453" s="39" t="s">
        <v>750</v>
      </c>
      <c r="U453" s="39" t="s">
        <v>750</v>
      </c>
      <c r="V453" s="39" t="s">
        <v>750</v>
      </c>
      <c r="W453" s="39" t="s">
        <v>751</v>
      </c>
      <c r="X453" s="39" t="s">
        <v>751</v>
      </c>
    </row>
    <row r="454">
      <c r="A454" s="39" t="s">
        <v>739</v>
      </c>
      <c r="B454" s="39">
        <v>11745.0</v>
      </c>
      <c r="C454" s="39" t="s">
        <v>1737</v>
      </c>
      <c r="D454" s="39">
        <v>7.0</v>
      </c>
      <c r="F454" s="39">
        <v>11758.0</v>
      </c>
      <c r="G454" s="39" t="s">
        <v>1729</v>
      </c>
      <c r="H454" s="39">
        <v>1.0</v>
      </c>
      <c r="I454" s="39" t="s">
        <v>742</v>
      </c>
      <c r="J454" s="39" t="s">
        <v>743</v>
      </c>
      <c r="K454" s="39" t="s">
        <v>744</v>
      </c>
      <c r="L454" s="39" t="s">
        <v>1730</v>
      </c>
      <c r="M454" s="39" t="s">
        <v>748</v>
      </c>
      <c r="N454" s="39" t="s">
        <v>755</v>
      </c>
      <c r="O454" s="39" t="s">
        <v>756</v>
      </c>
      <c r="P454" s="39" t="s">
        <v>755</v>
      </c>
      <c r="Q454" s="39" t="s">
        <v>756</v>
      </c>
      <c r="S454" s="39" t="s">
        <v>750</v>
      </c>
      <c r="T454" s="39" t="s">
        <v>751</v>
      </c>
      <c r="U454" s="39" t="s">
        <v>750</v>
      </c>
      <c r="V454" s="39" t="s">
        <v>750</v>
      </c>
      <c r="W454" s="39" t="s">
        <v>750</v>
      </c>
      <c r="X454" s="39" t="s">
        <v>751</v>
      </c>
    </row>
    <row r="455">
      <c r="A455" s="39" t="s">
        <v>739</v>
      </c>
      <c r="B455" s="39">
        <v>11745.0</v>
      </c>
      <c r="C455" s="39" t="s">
        <v>1737</v>
      </c>
      <c r="D455" s="39">
        <v>7.0</v>
      </c>
      <c r="F455" s="39">
        <v>11757.0</v>
      </c>
      <c r="G455" s="39" t="s">
        <v>1731</v>
      </c>
      <c r="H455" s="39">
        <v>2.0</v>
      </c>
      <c r="I455" s="39" t="s">
        <v>791</v>
      </c>
      <c r="K455" s="39" t="s">
        <v>744</v>
      </c>
      <c r="L455" s="39" t="s">
        <v>1732</v>
      </c>
      <c r="M455" s="39" t="s">
        <v>748</v>
      </c>
      <c r="N455" s="39" t="s">
        <v>755</v>
      </c>
      <c r="O455" s="39" t="s">
        <v>756</v>
      </c>
      <c r="P455" s="39" t="s">
        <v>755</v>
      </c>
      <c r="Q455" s="39" t="s">
        <v>756</v>
      </c>
      <c r="R455" s="39" t="s">
        <v>1733</v>
      </c>
      <c r="S455" s="39" t="s">
        <v>750</v>
      </c>
      <c r="T455" s="39" t="s">
        <v>750</v>
      </c>
      <c r="U455" s="39" t="s">
        <v>751</v>
      </c>
      <c r="V455" s="39" t="s">
        <v>750</v>
      </c>
      <c r="W455" s="39" t="s">
        <v>750</v>
      </c>
      <c r="X455" s="39" t="s">
        <v>751</v>
      </c>
    </row>
    <row r="456">
      <c r="A456" s="39" t="s">
        <v>739</v>
      </c>
      <c r="B456" s="39">
        <v>11745.0</v>
      </c>
      <c r="C456" s="39" t="s">
        <v>1737</v>
      </c>
      <c r="D456" s="39">
        <v>7.0</v>
      </c>
      <c r="F456" s="39">
        <v>11761.0</v>
      </c>
      <c r="G456" s="39" t="s">
        <v>1736</v>
      </c>
      <c r="H456" s="39">
        <v>3.0</v>
      </c>
      <c r="I456" s="39" t="s">
        <v>788</v>
      </c>
      <c r="K456" s="39" t="s">
        <v>744</v>
      </c>
      <c r="L456" s="39">
        <v>3.146012357E9</v>
      </c>
      <c r="M456" s="39" t="s">
        <v>746</v>
      </c>
      <c r="N456" s="39" t="s">
        <v>755</v>
      </c>
      <c r="O456" s="39" t="s">
        <v>756</v>
      </c>
      <c r="P456" s="39" t="s">
        <v>755</v>
      </c>
      <c r="Q456" s="39" t="s">
        <v>756</v>
      </c>
      <c r="S456" s="39" t="s">
        <v>750</v>
      </c>
      <c r="T456" s="39" t="s">
        <v>750</v>
      </c>
      <c r="U456" s="39" t="s">
        <v>750</v>
      </c>
      <c r="V456" s="39" t="s">
        <v>750</v>
      </c>
      <c r="W456" s="39" t="s">
        <v>751</v>
      </c>
      <c r="X456" s="39" t="s">
        <v>751</v>
      </c>
    </row>
    <row r="457">
      <c r="A457" s="39" t="s">
        <v>739</v>
      </c>
      <c r="B457" s="39">
        <v>11745.0</v>
      </c>
      <c r="C457" s="39" t="s">
        <v>1737</v>
      </c>
      <c r="D457" s="39">
        <v>7.0</v>
      </c>
      <c r="F457" s="39">
        <v>11759.0</v>
      </c>
      <c r="G457" s="39" t="s">
        <v>1734</v>
      </c>
      <c r="H457" s="39">
        <v>4.0</v>
      </c>
      <c r="I457" s="39" t="s">
        <v>753</v>
      </c>
      <c r="K457" s="39" t="s">
        <v>744</v>
      </c>
      <c r="L457" s="39">
        <v>3.149394449E9</v>
      </c>
      <c r="M457" s="39" t="s">
        <v>746</v>
      </c>
      <c r="N457" s="39" t="s">
        <v>755</v>
      </c>
      <c r="O457" s="39" t="s">
        <v>756</v>
      </c>
      <c r="P457" s="39" t="s">
        <v>755</v>
      </c>
      <c r="Q457" s="39" t="s">
        <v>756</v>
      </c>
      <c r="R457" s="39" t="s">
        <v>1733</v>
      </c>
      <c r="S457" s="39" t="s">
        <v>750</v>
      </c>
      <c r="T457" s="39" t="s">
        <v>750</v>
      </c>
      <c r="U457" s="39" t="s">
        <v>750</v>
      </c>
      <c r="V457" s="39" t="s">
        <v>750</v>
      </c>
      <c r="W457" s="39" t="s">
        <v>751</v>
      </c>
      <c r="X457" s="39" t="s">
        <v>751</v>
      </c>
    </row>
    <row r="458">
      <c r="A458" s="39" t="s">
        <v>739</v>
      </c>
      <c r="B458" s="39">
        <v>11745.0</v>
      </c>
      <c r="C458" s="39" t="s">
        <v>1737</v>
      </c>
      <c r="D458" s="39">
        <v>7.0</v>
      </c>
      <c r="F458" s="39">
        <v>11760.0</v>
      </c>
      <c r="G458" s="39" t="s">
        <v>1735</v>
      </c>
      <c r="H458" s="39">
        <v>5.0</v>
      </c>
      <c r="I458" s="39" t="s">
        <v>791</v>
      </c>
      <c r="K458" s="39" t="s">
        <v>744</v>
      </c>
      <c r="L458" s="39">
        <v>3.145003128E9</v>
      </c>
      <c r="M458" s="39" t="s">
        <v>746</v>
      </c>
      <c r="N458" s="39" t="s">
        <v>755</v>
      </c>
      <c r="O458" s="39" t="s">
        <v>756</v>
      </c>
      <c r="P458" s="39" t="s">
        <v>755</v>
      </c>
      <c r="Q458" s="39" t="s">
        <v>756</v>
      </c>
      <c r="S458" s="39" t="s">
        <v>750</v>
      </c>
      <c r="T458" s="39" t="s">
        <v>750</v>
      </c>
      <c r="U458" s="39" t="s">
        <v>750</v>
      </c>
      <c r="V458" s="39" t="s">
        <v>750</v>
      </c>
      <c r="W458" s="39" t="s">
        <v>751</v>
      </c>
      <c r="X458" s="39" t="s">
        <v>751</v>
      </c>
    </row>
    <row r="459">
      <c r="A459" s="39" t="s">
        <v>739</v>
      </c>
      <c r="B459" s="39">
        <v>11033.0</v>
      </c>
      <c r="C459" s="39" t="s">
        <v>1738</v>
      </c>
      <c r="D459" s="39">
        <v>8.0</v>
      </c>
      <c r="F459" s="39">
        <v>7818.0</v>
      </c>
      <c r="G459" s="39" t="s">
        <v>1739</v>
      </c>
      <c r="H459" s="39">
        <v>1.0</v>
      </c>
      <c r="I459" s="39" t="s">
        <v>788</v>
      </c>
      <c r="J459" s="39" t="s">
        <v>803</v>
      </c>
      <c r="K459" s="39" t="s">
        <v>744</v>
      </c>
      <c r="L459" s="39" t="s">
        <v>1740</v>
      </c>
      <c r="M459" s="39" t="s">
        <v>746</v>
      </c>
      <c r="N459" s="39" t="s">
        <v>755</v>
      </c>
      <c r="O459" s="39" t="s">
        <v>756</v>
      </c>
      <c r="P459" s="39" t="s">
        <v>755</v>
      </c>
      <c r="Q459" s="39" t="s">
        <v>756</v>
      </c>
      <c r="R459" s="39" t="s">
        <v>1741</v>
      </c>
      <c r="S459" s="39" t="s">
        <v>750</v>
      </c>
      <c r="T459" s="39" t="s">
        <v>751</v>
      </c>
      <c r="U459" s="39" t="s">
        <v>751</v>
      </c>
      <c r="V459" s="39" t="s">
        <v>751</v>
      </c>
      <c r="W459" s="39" t="s">
        <v>751</v>
      </c>
      <c r="X459" s="39" t="s">
        <v>751</v>
      </c>
    </row>
    <row r="460">
      <c r="A460" s="39" t="s">
        <v>739</v>
      </c>
      <c r="B460" s="39">
        <v>11033.0</v>
      </c>
      <c r="C460" s="39" t="s">
        <v>1738</v>
      </c>
      <c r="D460" s="39">
        <v>8.0</v>
      </c>
      <c r="F460" s="39">
        <v>7819.0</v>
      </c>
      <c r="G460" s="39" t="s">
        <v>1742</v>
      </c>
      <c r="H460" s="39">
        <v>2.0</v>
      </c>
      <c r="I460" s="39" t="s">
        <v>753</v>
      </c>
      <c r="J460" s="39" t="s">
        <v>754</v>
      </c>
      <c r="K460" s="39" t="s">
        <v>744</v>
      </c>
      <c r="L460" s="39" t="s">
        <v>1743</v>
      </c>
      <c r="M460" s="39" t="s">
        <v>746</v>
      </c>
      <c r="N460" s="39" t="s">
        <v>755</v>
      </c>
      <c r="O460" s="39" t="s">
        <v>756</v>
      </c>
      <c r="P460" s="39" t="s">
        <v>755</v>
      </c>
      <c r="Q460" s="39" t="s">
        <v>756</v>
      </c>
      <c r="R460" s="39" t="s">
        <v>1320</v>
      </c>
      <c r="S460" s="39" t="s">
        <v>750</v>
      </c>
      <c r="T460" s="39" t="s">
        <v>751</v>
      </c>
      <c r="U460" s="39" t="s">
        <v>750</v>
      </c>
      <c r="V460" s="39" t="s">
        <v>750</v>
      </c>
      <c r="W460" s="39" t="s">
        <v>751</v>
      </c>
      <c r="X460" s="39" t="s">
        <v>751</v>
      </c>
    </row>
    <row r="461">
      <c r="A461" s="39" t="s">
        <v>739</v>
      </c>
      <c r="B461" s="39">
        <v>11902.0</v>
      </c>
      <c r="C461" s="39" t="s">
        <v>1744</v>
      </c>
      <c r="D461" s="39">
        <v>6.0</v>
      </c>
      <c r="F461" s="39">
        <v>17124.0</v>
      </c>
      <c r="G461" s="39" t="s">
        <v>1745</v>
      </c>
      <c r="H461" s="39">
        <v>1.0</v>
      </c>
      <c r="I461" s="39" t="s">
        <v>742</v>
      </c>
      <c r="J461" s="39" t="s">
        <v>743</v>
      </c>
      <c r="K461" s="39" t="s">
        <v>744</v>
      </c>
      <c r="L461" s="39" t="s">
        <v>1746</v>
      </c>
      <c r="M461" s="39" t="s">
        <v>746</v>
      </c>
      <c r="N461" s="39" t="s">
        <v>755</v>
      </c>
      <c r="O461" s="39" t="s">
        <v>756</v>
      </c>
      <c r="P461" s="39" t="s">
        <v>755</v>
      </c>
      <c r="Q461" s="39" t="s">
        <v>756</v>
      </c>
      <c r="R461" s="39" t="s">
        <v>1747</v>
      </c>
      <c r="S461" s="39" t="s">
        <v>750</v>
      </c>
      <c r="T461" s="39" t="s">
        <v>751</v>
      </c>
      <c r="U461" s="39" t="s">
        <v>751</v>
      </c>
      <c r="V461" s="39" t="s">
        <v>750</v>
      </c>
      <c r="W461" s="39" t="s">
        <v>751</v>
      </c>
      <c r="X461" s="39" t="s">
        <v>751</v>
      </c>
    </row>
    <row r="462">
      <c r="A462" s="39" t="s">
        <v>739</v>
      </c>
      <c r="B462" s="39">
        <v>11902.0</v>
      </c>
      <c r="C462" s="39" t="s">
        <v>1744</v>
      </c>
      <c r="D462" s="39">
        <v>6.0</v>
      </c>
      <c r="F462" s="39">
        <v>17125.0</v>
      </c>
      <c r="G462" s="39" t="s">
        <v>1748</v>
      </c>
      <c r="H462" s="39">
        <v>2.0</v>
      </c>
      <c r="I462" s="39" t="s">
        <v>753</v>
      </c>
      <c r="J462" s="39" t="s">
        <v>754</v>
      </c>
      <c r="K462" s="39" t="s">
        <v>744</v>
      </c>
      <c r="L462" s="39" t="s">
        <v>1749</v>
      </c>
      <c r="M462" s="39" t="s">
        <v>746</v>
      </c>
      <c r="N462" s="39" t="s">
        <v>755</v>
      </c>
      <c r="O462" s="39" t="s">
        <v>756</v>
      </c>
      <c r="P462" s="39" t="s">
        <v>755</v>
      </c>
      <c r="Q462" s="39" t="s">
        <v>756</v>
      </c>
      <c r="R462" s="39" t="s">
        <v>1750</v>
      </c>
      <c r="S462" s="39" t="s">
        <v>750</v>
      </c>
      <c r="T462" s="39" t="s">
        <v>751</v>
      </c>
      <c r="U462" s="39" t="s">
        <v>751</v>
      </c>
      <c r="V462" s="39" t="s">
        <v>750</v>
      </c>
      <c r="W462" s="39" t="s">
        <v>751</v>
      </c>
      <c r="X462" s="39" t="s">
        <v>751</v>
      </c>
    </row>
    <row r="463">
      <c r="A463" s="39" t="s">
        <v>739</v>
      </c>
      <c r="B463" s="39">
        <v>11344.0</v>
      </c>
      <c r="C463" s="39" t="s">
        <v>1751</v>
      </c>
      <c r="D463" s="39">
        <v>8.0</v>
      </c>
      <c r="F463" s="39">
        <v>8061.0</v>
      </c>
      <c r="G463" s="39" t="s">
        <v>1752</v>
      </c>
      <c r="H463" s="39">
        <v>1.0</v>
      </c>
      <c r="I463" s="39" t="s">
        <v>742</v>
      </c>
      <c r="K463" s="39" t="s">
        <v>744</v>
      </c>
      <c r="L463" s="39" t="s">
        <v>1753</v>
      </c>
      <c r="M463" s="39" t="s">
        <v>746</v>
      </c>
      <c r="N463" s="39" t="s">
        <v>755</v>
      </c>
      <c r="O463" s="39" t="s">
        <v>756</v>
      </c>
      <c r="P463" s="39" t="s">
        <v>755</v>
      </c>
      <c r="Q463" s="39" t="s">
        <v>756</v>
      </c>
      <c r="R463" s="39" t="s">
        <v>1754</v>
      </c>
      <c r="S463" s="39" t="s">
        <v>750</v>
      </c>
      <c r="T463" s="39" t="s">
        <v>751</v>
      </c>
      <c r="U463" s="39" t="s">
        <v>750</v>
      </c>
      <c r="V463" s="39" t="s">
        <v>750</v>
      </c>
      <c r="W463" s="39" t="s">
        <v>750</v>
      </c>
      <c r="X463" s="39" t="s">
        <v>750</v>
      </c>
    </row>
    <row r="464">
      <c r="A464" s="39" t="s">
        <v>739</v>
      </c>
      <c r="B464" s="39">
        <v>11265.0</v>
      </c>
      <c r="C464" s="39" t="s">
        <v>1755</v>
      </c>
      <c r="D464" s="39">
        <v>7.0</v>
      </c>
      <c r="F464" s="39">
        <v>7953.0</v>
      </c>
      <c r="G464" s="39" t="s">
        <v>1756</v>
      </c>
      <c r="H464" s="39">
        <v>1.0</v>
      </c>
      <c r="I464" s="39" t="s">
        <v>742</v>
      </c>
      <c r="J464" s="39" t="s">
        <v>743</v>
      </c>
      <c r="K464" s="39" t="s">
        <v>744</v>
      </c>
      <c r="L464" s="39" t="s">
        <v>1757</v>
      </c>
      <c r="M464" s="39" t="s">
        <v>746</v>
      </c>
      <c r="N464" s="39" t="s">
        <v>755</v>
      </c>
      <c r="O464" s="39" t="s">
        <v>756</v>
      </c>
      <c r="P464" s="39" t="s">
        <v>755</v>
      </c>
      <c r="Q464" s="39" t="s">
        <v>756</v>
      </c>
      <c r="R464" s="39" t="s">
        <v>1758</v>
      </c>
      <c r="S464" s="39" t="s">
        <v>750</v>
      </c>
      <c r="T464" s="39" t="s">
        <v>751</v>
      </c>
      <c r="U464" s="39" t="s">
        <v>751</v>
      </c>
      <c r="V464" s="39" t="s">
        <v>751</v>
      </c>
      <c r="W464" s="39" t="s">
        <v>751</v>
      </c>
      <c r="X464" s="39" t="s">
        <v>751</v>
      </c>
    </row>
    <row r="465">
      <c r="A465" s="39" t="s">
        <v>739</v>
      </c>
      <c r="B465" s="39">
        <v>11265.0</v>
      </c>
      <c r="C465" s="39" t="s">
        <v>1755</v>
      </c>
      <c r="D465" s="39">
        <v>7.0</v>
      </c>
      <c r="F465" s="39">
        <v>7954.0</v>
      </c>
      <c r="G465" s="39" t="s">
        <v>1759</v>
      </c>
      <c r="H465" s="39">
        <v>2.0</v>
      </c>
      <c r="I465" s="39" t="s">
        <v>775</v>
      </c>
      <c r="J465" s="39" t="s">
        <v>768</v>
      </c>
      <c r="K465" s="39" t="s">
        <v>744</v>
      </c>
      <c r="L465" s="39" t="s">
        <v>1760</v>
      </c>
      <c r="M465" s="39" t="s">
        <v>746</v>
      </c>
      <c r="N465" s="39" t="s">
        <v>755</v>
      </c>
      <c r="O465" s="39" t="s">
        <v>756</v>
      </c>
      <c r="P465" s="39" t="s">
        <v>755</v>
      </c>
      <c r="Q465" s="39" t="s">
        <v>756</v>
      </c>
      <c r="R465" s="39" t="s">
        <v>1761</v>
      </c>
      <c r="S465" s="39" t="s">
        <v>750</v>
      </c>
      <c r="T465" s="39" t="s">
        <v>750</v>
      </c>
      <c r="U465" s="39" t="s">
        <v>751</v>
      </c>
      <c r="V465" s="39" t="s">
        <v>750</v>
      </c>
      <c r="W465" s="39" t="s">
        <v>751</v>
      </c>
      <c r="X465" s="39" t="s">
        <v>751</v>
      </c>
    </row>
    <row r="466">
      <c r="A466" s="39" t="s">
        <v>739</v>
      </c>
      <c r="B466" s="39">
        <v>11941.0</v>
      </c>
      <c r="C466" s="39" t="s">
        <v>1762</v>
      </c>
      <c r="D466" s="39">
        <v>5.0</v>
      </c>
      <c r="F466" s="39">
        <v>17194.0</v>
      </c>
      <c r="G466" s="39" t="s">
        <v>1763</v>
      </c>
      <c r="H466" s="39">
        <v>1.0</v>
      </c>
      <c r="I466" s="39" t="s">
        <v>742</v>
      </c>
      <c r="J466" s="39" t="s">
        <v>743</v>
      </c>
      <c r="K466" s="39" t="s">
        <v>744</v>
      </c>
      <c r="L466" s="39" t="s">
        <v>1764</v>
      </c>
      <c r="M466" s="39" t="s">
        <v>746</v>
      </c>
      <c r="N466" s="39" t="s">
        <v>755</v>
      </c>
      <c r="O466" s="39" t="s">
        <v>756</v>
      </c>
      <c r="P466" s="39" t="s">
        <v>755</v>
      </c>
      <c r="Q466" s="39" t="s">
        <v>756</v>
      </c>
      <c r="R466" s="39" t="s">
        <v>1765</v>
      </c>
      <c r="S466" s="39" t="s">
        <v>750</v>
      </c>
      <c r="T466" s="39" t="s">
        <v>751</v>
      </c>
      <c r="U466" s="39" t="s">
        <v>751</v>
      </c>
      <c r="V466" s="39" t="s">
        <v>750</v>
      </c>
      <c r="W466" s="39" t="s">
        <v>751</v>
      </c>
      <c r="X466" s="39" t="s">
        <v>751</v>
      </c>
    </row>
    <row r="467">
      <c r="A467" s="39" t="s">
        <v>739</v>
      </c>
      <c r="B467" s="39">
        <v>11941.0</v>
      </c>
      <c r="C467" s="39" t="s">
        <v>1762</v>
      </c>
      <c r="D467" s="39">
        <v>5.0</v>
      </c>
      <c r="F467" s="39">
        <v>11489.0</v>
      </c>
      <c r="G467" s="39" t="s">
        <v>781</v>
      </c>
      <c r="H467" s="39">
        <v>2.0</v>
      </c>
      <c r="I467" s="39" t="s">
        <v>791</v>
      </c>
      <c r="J467" s="39" t="s">
        <v>768</v>
      </c>
      <c r="K467" s="39" t="s">
        <v>744</v>
      </c>
      <c r="L467" s="39" t="s">
        <v>782</v>
      </c>
      <c r="M467" s="39" t="s">
        <v>748</v>
      </c>
      <c r="N467" s="39" t="s">
        <v>782</v>
      </c>
      <c r="O467" s="39" t="s">
        <v>746</v>
      </c>
      <c r="P467" s="39" t="s">
        <v>755</v>
      </c>
      <c r="Q467" s="39" t="s">
        <v>756</v>
      </c>
      <c r="R467" s="39" t="s">
        <v>783</v>
      </c>
      <c r="S467" s="39" t="s">
        <v>750</v>
      </c>
      <c r="T467" s="39" t="s">
        <v>750</v>
      </c>
      <c r="U467" s="39" t="s">
        <v>750</v>
      </c>
      <c r="V467" s="39" t="s">
        <v>750</v>
      </c>
      <c r="W467" s="39" t="s">
        <v>751</v>
      </c>
      <c r="X467" s="39" t="s">
        <v>751</v>
      </c>
    </row>
    <row r="468">
      <c r="A468" s="39" t="s">
        <v>739</v>
      </c>
      <c r="B468" s="39">
        <v>11502.0</v>
      </c>
      <c r="C468" s="39" t="s">
        <v>1766</v>
      </c>
      <c r="D468" s="39">
        <v>8.0</v>
      </c>
      <c r="F468" s="39">
        <v>10202.0</v>
      </c>
      <c r="G468" s="39" t="s">
        <v>1767</v>
      </c>
      <c r="H468" s="39">
        <v>1.0</v>
      </c>
      <c r="I468" s="39" t="s">
        <v>742</v>
      </c>
      <c r="J468" s="39" t="s">
        <v>743</v>
      </c>
      <c r="K468" s="39" t="s">
        <v>744</v>
      </c>
      <c r="L468" s="39" t="s">
        <v>1768</v>
      </c>
      <c r="M468" s="39" t="s">
        <v>746</v>
      </c>
      <c r="N468" s="39" t="s">
        <v>1769</v>
      </c>
      <c r="O468" s="39" t="s">
        <v>748</v>
      </c>
      <c r="P468" s="39" t="s">
        <v>755</v>
      </c>
      <c r="Q468" s="39" t="s">
        <v>756</v>
      </c>
      <c r="R468" s="39" t="s">
        <v>1770</v>
      </c>
      <c r="S468" s="39" t="s">
        <v>751</v>
      </c>
      <c r="T468" s="39" t="s">
        <v>751</v>
      </c>
      <c r="U468" s="39" t="s">
        <v>751</v>
      </c>
      <c r="V468" s="39" t="s">
        <v>751</v>
      </c>
      <c r="W468" s="39" t="s">
        <v>751</v>
      </c>
      <c r="X468" s="39" t="s">
        <v>751</v>
      </c>
    </row>
    <row r="469">
      <c r="A469" s="39" t="s">
        <v>739</v>
      </c>
      <c r="B469" s="39">
        <v>11502.0</v>
      </c>
      <c r="C469" s="39" t="s">
        <v>1766</v>
      </c>
      <c r="D469" s="39">
        <v>8.0</v>
      </c>
      <c r="F469" s="39">
        <v>10203.0</v>
      </c>
      <c r="G469" s="39" t="s">
        <v>1771</v>
      </c>
      <c r="H469" s="39">
        <v>2.0</v>
      </c>
      <c r="I469" s="39" t="s">
        <v>758</v>
      </c>
      <c r="J469" s="39" t="s">
        <v>768</v>
      </c>
      <c r="K469" s="39" t="s">
        <v>744</v>
      </c>
      <c r="L469" s="39" t="s">
        <v>1769</v>
      </c>
      <c r="M469" s="39" t="s">
        <v>748</v>
      </c>
      <c r="N469" s="39" t="s">
        <v>755</v>
      </c>
      <c r="O469" s="39" t="s">
        <v>756</v>
      </c>
      <c r="P469" s="39" t="s">
        <v>755</v>
      </c>
      <c r="Q469" s="39" t="s">
        <v>756</v>
      </c>
      <c r="S469" s="39" t="s">
        <v>750</v>
      </c>
      <c r="T469" s="39" t="s">
        <v>750</v>
      </c>
      <c r="U469" s="39" t="s">
        <v>750</v>
      </c>
      <c r="V469" s="39" t="s">
        <v>750</v>
      </c>
      <c r="W469" s="39" t="s">
        <v>751</v>
      </c>
      <c r="X469" s="39" t="s">
        <v>751</v>
      </c>
    </row>
    <row r="470">
      <c r="A470" s="39" t="s">
        <v>739</v>
      </c>
      <c r="B470" s="39">
        <v>11502.0</v>
      </c>
      <c r="C470" s="39" t="s">
        <v>1766</v>
      </c>
      <c r="D470" s="39">
        <v>8.0</v>
      </c>
      <c r="F470" s="39">
        <v>10204.0</v>
      </c>
      <c r="G470" s="39" t="s">
        <v>1772</v>
      </c>
      <c r="H470" s="39">
        <v>3.0</v>
      </c>
      <c r="I470" s="39" t="s">
        <v>767</v>
      </c>
      <c r="J470" s="39" t="s">
        <v>771</v>
      </c>
      <c r="K470" s="39" t="s">
        <v>744</v>
      </c>
      <c r="L470" s="39" t="s">
        <v>1773</v>
      </c>
      <c r="M470" s="39" t="s">
        <v>746</v>
      </c>
      <c r="N470" s="39" t="s">
        <v>755</v>
      </c>
      <c r="O470" s="39" t="s">
        <v>756</v>
      </c>
      <c r="P470" s="39" t="s">
        <v>755</v>
      </c>
      <c r="Q470" s="39" t="s">
        <v>756</v>
      </c>
      <c r="S470" s="39" t="s">
        <v>750</v>
      </c>
      <c r="T470" s="39" t="s">
        <v>750</v>
      </c>
      <c r="U470" s="39" t="s">
        <v>750</v>
      </c>
      <c r="V470" s="39" t="s">
        <v>750</v>
      </c>
      <c r="W470" s="39" t="s">
        <v>751</v>
      </c>
      <c r="X470" s="39" t="s">
        <v>751</v>
      </c>
    </row>
    <row r="471">
      <c r="A471" s="39" t="s">
        <v>739</v>
      </c>
      <c r="B471" s="39">
        <v>12035.0</v>
      </c>
      <c r="C471" s="39" t="s">
        <v>676</v>
      </c>
      <c r="D471" s="39">
        <v>8.0</v>
      </c>
      <c r="F471" s="39">
        <v>13695.0</v>
      </c>
      <c r="G471" s="39" t="s">
        <v>1326</v>
      </c>
      <c r="H471" s="39">
        <v>1.0</v>
      </c>
      <c r="I471" s="39" t="s">
        <v>788</v>
      </c>
      <c r="J471" s="39" t="s">
        <v>803</v>
      </c>
      <c r="K471" s="39" t="s">
        <v>744</v>
      </c>
      <c r="L471" s="39" t="s">
        <v>1327</v>
      </c>
      <c r="M471" s="39" t="s">
        <v>746</v>
      </c>
      <c r="N471" s="39">
        <v>3.142558966E9</v>
      </c>
      <c r="O471" s="39" t="s">
        <v>805</v>
      </c>
      <c r="P471" s="39" t="s">
        <v>755</v>
      </c>
      <c r="Q471" s="39" t="s">
        <v>756</v>
      </c>
      <c r="R471" s="39" t="s">
        <v>1328</v>
      </c>
      <c r="S471" s="39" t="s">
        <v>750</v>
      </c>
      <c r="T471" s="39" t="s">
        <v>751</v>
      </c>
      <c r="U471" s="39" t="s">
        <v>751</v>
      </c>
      <c r="V471" s="39" t="s">
        <v>750</v>
      </c>
      <c r="W471" s="39" t="s">
        <v>751</v>
      </c>
      <c r="X471" s="39" t="s">
        <v>751</v>
      </c>
    </row>
    <row r="472">
      <c r="A472" s="39" t="s">
        <v>739</v>
      </c>
      <c r="B472" s="39">
        <v>12096.0</v>
      </c>
      <c r="C472" s="39" t="s">
        <v>1774</v>
      </c>
      <c r="D472" s="39">
        <v>7.0</v>
      </c>
      <c r="F472" s="39">
        <v>18802.0</v>
      </c>
      <c r="G472" s="39" t="s">
        <v>1775</v>
      </c>
      <c r="H472" s="39">
        <v>1.0</v>
      </c>
      <c r="I472" s="39" t="s">
        <v>756</v>
      </c>
      <c r="K472" s="39" t="s">
        <v>744</v>
      </c>
      <c r="L472" s="39" t="s">
        <v>1776</v>
      </c>
      <c r="M472" s="39" t="s">
        <v>746</v>
      </c>
      <c r="N472" s="39" t="s">
        <v>755</v>
      </c>
      <c r="O472" s="39" t="s">
        <v>756</v>
      </c>
      <c r="P472" s="39" t="s">
        <v>755</v>
      </c>
      <c r="Q472" s="39" t="s">
        <v>756</v>
      </c>
      <c r="R472" s="39" t="s">
        <v>1777</v>
      </c>
      <c r="S472" s="39" t="s">
        <v>750</v>
      </c>
      <c r="T472" s="39" t="s">
        <v>750</v>
      </c>
      <c r="U472" s="39" t="s">
        <v>750</v>
      </c>
      <c r="V472" s="39" t="s">
        <v>750</v>
      </c>
      <c r="W472" s="39" t="s">
        <v>750</v>
      </c>
      <c r="X472" s="39" t="s">
        <v>750</v>
      </c>
    </row>
    <row r="473">
      <c r="A473" s="39" t="s">
        <v>739</v>
      </c>
      <c r="B473" s="39">
        <v>12096.0</v>
      </c>
      <c r="C473" s="39" t="s">
        <v>1774</v>
      </c>
      <c r="D473" s="39">
        <v>7.0</v>
      </c>
      <c r="F473" s="39">
        <v>18803.0</v>
      </c>
      <c r="G473" s="39" t="s">
        <v>1778</v>
      </c>
      <c r="H473" s="39">
        <v>2.0</v>
      </c>
      <c r="I473" s="39" t="s">
        <v>756</v>
      </c>
      <c r="K473" s="39" t="s">
        <v>744</v>
      </c>
      <c r="L473" s="39" t="s">
        <v>1779</v>
      </c>
      <c r="M473" s="39" t="s">
        <v>756</v>
      </c>
      <c r="N473" s="39" t="s">
        <v>755</v>
      </c>
      <c r="O473" s="39" t="s">
        <v>756</v>
      </c>
      <c r="P473" s="39" t="s">
        <v>755</v>
      </c>
      <c r="Q473" s="39" t="s">
        <v>756</v>
      </c>
      <c r="S473" s="39" t="s">
        <v>750</v>
      </c>
      <c r="T473" s="39" t="s">
        <v>750</v>
      </c>
      <c r="U473" s="39" t="s">
        <v>750</v>
      </c>
      <c r="V473" s="39" t="s">
        <v>750</v>
      </c>
      <c r="W473" s="39" t="s">
        <v>750</v>
      </c>
      <c r="X473" s="39" t="s">
        <v>750</v>
      </c>
    </row>
    <row r="474">
      <c r="A474" s="39" t="s">
        <v>739</v>
      </c>
      <c r="B474" s="39">
        <v>10922.0</v>
      </c>
      <c r="C474" s="39" t="s">
        <v>679</v>
      </c>
      <c r="D474" s="39">
        <v>8.0</v>
      </c>
      <c r="F474" s="39">
        <v>6606.0</v>
      </c>
      <c r="G474" s="39" t="s">
        <v>1780</v>
      </c>
      <c r="H474" s="39">
        <v>1.0</v>
      </c>
      <c r="I474" s="39" t="s">
        <v>742</v>
      </c>
      <c r="J474" s="39" t="s">
        <v>743</v>
      </c>
      <c r="K474" s="39" t="s">
        <v>744</v>
      </c>
      <c r="L474" s="39" t="s">
        <v>1781</v>
      </c>
      <c r="M474" s="39" t="s">
        <v>746</v>
      </c>
      <c r="N474" s="39" t="s">
        <v>755</v>
      </c>
      <c r="O474" s="39" t="s">
        <v>756</v>
      </c>
      <c r="P474" s="39" t="s">
        <v>755</v>
      </c>
      <c r="Q474" s="39" t="s">
        <v>756</v>
      </c>
      <c r="R474" s="39" t="s">
        <v>1782</v>
      </c>
      <c r="S474" s="39" t="s">
        <v>750</v>
      </c>
      <c r="T474" s="39" t="s">
        <v>751</v>
      </c>
      <c r="U474" s="39" t="s">
        <v>750</v>
      </c>
      <c r="V474" s="39" t="s">
        <v>750</v>
      </c>
      <c r="W474" s="39" t="s">
        <v>751</v>
      </c>
      <c r="X474" s="39" t="s">
        <v>750</v>
      </c>
    </row>
    <row r="475">
      <c r="A475" s="39" t="s">
        <v>739</v>
      </c>
      <c r="B475" s="39">
        <v>10922.0</v>
      </c>
      <c r="C475" s="39" t="s">
        <v>679</v>
      </c>
      <c r="D475" s="39">
        <v>8.0</v>
      </c>
      <c r="F475" s="39">
        <v>6607.0</v>
      </c>
      <c r="G475" s="39" t="s">
        <v>1783</v>
      </c>
      <c r="H475" s="39">
        <v>2.0</v>
      </c>
      <c r="I475" s="39" t="s">
        <v>791</v>
      </c>
      <c r="J475" s="39" t="s">
        <v>803</v>
      </c>
      <c r="K475" s="39" t="s">
        <v>744</v>
      </c>
      <c r="L475" s="39" t="s">
        <v>1784</v>
      </c>
      <c r="M475" s="39" t="s">
        <v>746</v>
      </c>
      <c r="N475" s="39" t="s">
        <v>755</v>
      </c>
      <c r="O475" s="39" t="s">
        <v>756</v>
      </c>
      <c r="P475" s="39" t="s">
        <v>755</v>
      </c>
      <c r="Q475" s="39" t="s">
        <v>756</v>
      </c>
      <c r="S475" s="39" t="s">
        <v>750</v>
      </c>
      <c r="T475" s="39" t="s">
        <v>751</v>
      </c>
      <c r="U475" s="39" t="s">
        <v>751</v>
      </c>
      <c r="V475" s="39" t="s">
        <v>751</v>
      </c>
      <c r="W475" s="39" t="s">
        <v>751</v>
      </c>
      <c r="X475" s="39" t="s">
        <v>751</v>
      </c>
    </row>
    <row r="476">
      <c r="A476" s="39" t="s">
        <v>739</v>
      </c>
      <c r="B476" s="39">
        <v>10922.0</v>
      </c>
      <c r="C476" s="39" t="s">
        <v>679</v>
      </c>
      <c r="D476" s="39">
        <v>8.0</v>
      </c>
      <c r="F476" s="39">
        <v>17490.0</v>
      </c>
      <c r="G476" s="39" t="s">
        <v>1785</v>
      </c>
      <c r="H476" s="39">
        <v>3.0</v>
      </c>
      <c r="I476" s="39" t="s">
        <v>775</v>
      </c>
      <c r="J476" s="39" t="s">
        <v>768</v>
      </c>
      <c r="K476" s="39" t="s">
        <v>744</v>
      </c>
      <c r="L476" s="39" t="s">
        <v>1786</v>
      </c>
      <c r="M476" s="39" t="s">
        <v>746</v>
      </c>
      <c r="N476" s="39" t="s">
        <v>755</v>
      </c>
      <c r="O476" s="39" t="s">
        <v>756</v>
      </c>
      <c r="P476" s="39" t="s">
        <v>755</v>
      </c>
      <c r="Q476" s="39" t="s">
        <v>756</v>
      </c>
      <c r="S476" s="39" t="s">
        <v>750</v>
      </c>
      <c r="T476" s="39" t="s">
        <v>750</v>
      </c>
      <c r="U476" s="39" t="s">
        <v>750</v>
      </c>
      <c r="V476" s="39" t="s">
        <v>750</v>
      </c>
      <c r="W476" s="39" t="s">
        <v>751</v>
      </c>
      <c r="X476" s="39" t="s">
        <v>751</v>
      </c>
    </row>
    <row r="477">
      <c r="A477" s="39" t="s">
        <v>739</v>
      </c>
      <c r="B477" s="39">
        <v>11872.0</v>
      </c>
      <c r="C477" s="39" t="s">
        <v>1787</v>
      </c>
      <c r="D477" s="39">
        <v>6.0</v>
      </c>
      <c r="F477" s="39">
        <v>16973.0</v>
      </c>
      <c r="G477" s="39" t="s">
        <v>1297</v>
      </c>
      <c r="H477" s="39">
        <v>1.0</v>
      </c>
      <c r="I477" s="39" t="s">
        <v>742</v>
      </c>
      <c r="J477" s="39" t="s">
        <v>743</v>
      </c>
      <c r="K477" s="39" t="s">
        <v>744</v>
      </c>
      <c r="L477" s="39" t="s">
        <v>1298</v>
      </c>
      <c r="M477" s="39" t="s">
        <v>746</v>
      </c>
      <c r="N477" s="39" t="s">
        <v>755</v>
      </c>
      <c r="O477" s="39" t="s">
        <v>756</v>
      </c>
      <c r="P477" s="39" t="s">
        <v>755</v>
      </c>
      <c r="Q477" s="39" t="s">
        <v>756</v>
      </c>
      <c r="R477" s="39" t="s">
        <v>1299</v>
      </c>
      <c r="S477" s="39" t="s">
        <v>750</v>
      </c>
      <c r="T477" s="39" t="s">
        <v>751</v>
      </c>
      <c r="U477" s="39" t="s">
        <v>751</v>
      </c>
      <c r="V477" s="39" t="s">
        <v>750</v>
      </c>
      <c r="W477" s="39" t="s">
        <v>751</v>
      </c>
      <c r="X477" s="39" t="s">
        <v>750</v>
      </c>
    </row>
    <row r="478">
      <c r="A478" s="39" t="s">
        <v>739</v>
      </c>
      <c r="B478" s="39">
        <v>11872.0</v>
      </c>
      <c r="C478" s="39" t="s">
        <v>1787</v>
      </c>
      <c r="D478" s="39">
        <v>6.0</v>
      </c>
      <c r="F478" s="39">
        <v>16974.0</v>
      </c>
      <c r="G478" s="39" t="s">
        <v>1788</v>
      </c>
      <c r="H478" s="39">
        <v>2.0</v>
      </c>
      <c r="I478" s="39" t="s">
        <v>854</v>
      </c>
      <c r="J478" s="39" t="s">
        <v>768</v>
      </c>
      <c r="K478" s="39" t="s">
        <v>744</v>
      </c>
      <c r="L478" s="39" t="s">
        <v>1789</v>
      </c>
      <c r="M478" s="39" t="s">
        <v>746</v>
      </c>
      <c r="N478" s="39" t="s">
        <v>755</v>
      </c>
      <c r="O478" s="39" t="s">
        <v>756</v>
      </c>
      <c r="P478" s="39" t="s">
        <v>755</v>
      </c>
      <c r="Q478" s="39" t="s">
        <v>756</v>
      </c>
      <c r="S478" s="39" t="s">
        <v>750</v>
      </c>
      <c r="T478" s="39" t="s">
        <v>750</v>
      </c>
      <c r="U478" s="39" t="s">
        <v>750</v>
      </c>
      <c r="V478" s="39" t="s">
        <v>750</v>
      </c>
      <c r="W478" s="39" t="s">
        <v>751</v>
      </c>
      <c r="X478" s="39" t="s">
        <v>750</v>
      </c>
    </row>
    <row r="479">
      <c r="A479" s="39" t="s">
        <v>739</v>
      </c>
      <c r="B479" s="39">
        <v>11721.0</v>
      </c>
      <c r="C479" s="39" t="s">
        <v>1790</v>
      </c>
      <c r="D479" s="39">
        <v>6.0</v>
      </c>
      <c r="F479" s="39">
        <v>11604.0</v>
      </c>
      <c r="G479" s="39" t="s">
        <v>1791</v>
      </c>
      <c r="H479" s="39">
        <v>1.0</v>
      </c>
      <c r="I479" s="39" t="s">
        <v>753</v>
      </c>
      <c r="J479" s="39" t="s">
        <v>754</v>
      </c>
      <c r="K479" s="39" t="s">
        <v>744</v>
      </c>
      <c r="L479" s="39" t="s">
        <v>1792</v>
      </c>
      <c r="M479" s="39" t="s">
        <v>746</v>
      </c>
      <c r="N479" s="39">
        <v>6.78704386E9</v>
      </c>
      <c r="O479" s="39" t="s">
        <v>748</v>
      </c>
      <c r="P479" s="39" t="s">
        <v>755</v>
      </c>
      <c r="Q479" s="39" t="s">
        <v>756</v>
      </c>
      <c r="R479" s="39" t="s">
        <v>1793</v>
      </c>
      <c r="S479" s="39" t="s">
        <v>750</v>
      </c>
      <c r="T479" s="39" t="s">
        <v>751</v>
      </c>
      <c r="U479" s="39" t="s">
        <v>751</v>
      </c>
      <c r="V479" s="39" t="s">
        <v>751</v>
      </c>
      <c r="W479" s="39" t="s">
        <v>751</v>
      </c>
      <c r="X479" s="39" t="s">
        <v>751</v>
      </c>
    </row>
    <row r="480">
      <c r="A480" s="39" t="s">
        <v>739</v>
      </c>
      <c r="B480" s="39">
        <v>11721.0</v>
      </c>
      <c r="C480" s="39" t="s">
        <v>1790</v>
      </c>
      <c r="D480" s="39">
        <v>6.0</v>
      </c>
      <c r="F480" s="39">
        <v>11603.0</v>
      </c>
      <c r="G480" s="39" t="s">
        <v>1794</v>
      </c>
      <c r="H480" s="39">
        <v>2.0</v>
      </c>
      <c r="I480" s="39" t="s">
        <v>742</v>
      </c>
      <c r="J480" s="39" t="s">
        <v>743</v>
      </c>
      <c r="K480" s="39" t="s">
        <v>744</v>
      </c>
      <c r="L480" s="39" t="s">
        <v>1795</v>
      </c>
      <c r="M480" s="39" t="s">
        <v>746</v>
      </c>
      <c r="N480" s="39">
        <v>3.144750115E9</v>
      </c>
      <c r="O480" s="39" t="s">
        <v>748</v>
      </c>
      <c r="P480" s="39" t="s">
        <v>755</v>
      </c>
      <c r="Q480" s="39" t="s">
        <v>756</v>
      </c>
      <c r="R480" s="39" t="s">
        <v>1796</v>
      </c>
      <c r="S480" s="39" t="s">
        <v>750</v>
      </c>
      <c r="T480" s="39" t="s">
        <v>751</v>
      </c>
      <c r="U480" s="39" t="s">
        <v>751</v>
      </c>
      <c r="V480" s="39" t="s">
        <v>751</v>
      </c>
      <c r="W480" s="39" t="s">
        <v>751</v>
      </c>
      <c r="X480" s="39" t="s">
        <v>751</v>
      </c>
    </row>
    <row r="481">
      <c r="A481" s="39" t="s">
        <v>739</v>
      </c>
      <c r="B481" s="39">
        <v>11721.0</v>
      </c>
      <c r="C481" s="39" t="s">
        <v>1790</v>
      </c>
      <c r="D481" s="39">
        <v>6.0</v>
      </c>
      <c r="F481" s="39">
        <v>11607.0</v>
      </c>
      <c r="G481" s="39" t="s">
        <v>1797</v>
      </c>
      <c r="H481" s="39">
        <v>3.0</v>
      </c>
      <c r="I481" s="39" t="s">
        <v>758</v>
      </c>
      <c r="J481" s="39" t="s">
        <v>768</v>
      </c>
      <c r="K481" s="39" t="s">
        <v>744</v>
      </c>
      <c r="L481" s="39" t="s">
        <v>1798</v>
      </c>
      <c r="M481" s="39" t="s">
        <v>746</v>
      </c>
      <c r="N481" s="39" t="s">
        <v>755</v>
      </c>
      <c r="O481" s="39" t="s">
        <v>756</v>
      </c>
      <c r="P481" s="39" t="s">
        <v>755</v>
      </c>
      <c r="Q481" s="39" t="s">
        <v>756</v>
      </c>
      <c r="R481" s="39" t="s">
        <v>1799</v>
      </c>
      <c r="S481" s="39" t="s">
        <v>750</v>
      </c>
      <c r="T481" s="39" t="s">
        <v>750</v>
      </c>
      <c r="U481" s="39" t="s">
        <v>751</v>
      </c>
      <c r="V481" s="39" t="s">
        <v>750</v>
      </c>
      <c r="W481" s="39" t="s">
        <v>751</v>
      </c>
      <c r="X481" s="39" t="s">
        <v>751</v>
      </c>
    </row>
    <row r="482">
      <c r="A482" s="39" t="s">
        <v>739</v>
      </c>
      <c r="B482" s="39">
        <v>11721.0</v>
      </c>
      <c r="C482" s="39" t="s">
        <v>1790</v>
      </c>
      <c r="D482" s="39">
        <v>6.0</v>
      </c>
      <c r="F482" s="39">
        <v>11605.0</v>
      </c>
      <c r="G482" s="39" t="s">
        <v>1800</v>
      </c>
      <c r="H482" s="39">
        <v>4.0</v>
      </c>
      <c r="I482" s="39" t="s">
        <v>791</v>
      </c>
      <c r="J482" s="39" t="s">
        <v>771</v>
      </c>
      <c r="K482" s="39" t="s">
        <v>744</v>
      </c>
      <c r="L482" s="39" t="s">
        <v>1801</v>
      </c>
      <c r="M482" s="39" t="s">
        <v>746</v>
      </c>
      <c r="N482" s="39" t="s">
        <v>755</v>
      </c>
      <c r="O482" s="39" t="s">
        <v>756</v>
      </c>
      <c r="P482" s="39" t="s">
        <v>755</v>
      </c>
      <c r="Q482" s="39" t="s">
        <v>756</v>
      </c>
      <c r="R482" s="39" t="s">
        <v>1802</v>
      </c>
      <c r="S482" s="39" t="s">
        <v>750</v>
      </c>
      <c r="T482" s="39" t="s">
        <v>750</v>
      </c>
      <c r="U482" s="39" t="s">
        <v>750</v>
      </c>
      <c r="V482" s="39" t="s">
        <v>750</v>
      </c>
      <c r="W482" s="39" t="s">
        <v>751</v>
      </c>
      <c r="X482" s="39" t="s">
        <v>751</v>
      </c>
    </row>
    <row r="483">
      <c r="A483" s="39" t="s">
        <v>739</v>
      </c>
      <c r="B483" s="39">
        <v>11721.0</v>
      </c>
      <c r="C483" s="39" t="s">
        <v>1790</v>
      </c>
      <c r="D483" s="39">
        <v>6.0</v>
      </c>
      <c r="F483" s="39">
        <v>11606.0</v>
      </c>
      <c r="G483" s="39" t="s">
        <v>1803</v>
      </c>
      <c r="H483" s="39">
        <v>5.0</v>
      </c>
      <c r="I483" s="39" t="s">
        <v>775</v>
      </c>
      <c r="J483" s="39" t="s">
        <v>958</v>
      </c>
      <c r="K483" s="39" t="s">
        <v>744</v>
      </c>
      <c r="L483" s="39" t="s">
        <v>1804</v>
      </c>
      <c r="M483" s="39" t="s">
        <v>746</v>
      </c>
      <c r="N483" s="39" t="s">
        <v>755</v>
      </c>
      <c r="O483" s="39" t="s">
        <v>756</v>
      </c>
      <c r="P483" s="39" t="s">
        <v>755</v>
      </c>
      <c r="Q483" s="39" t="s">
        <v>756</v>
      </c>
      <c r="R483" s="39" t="s">
        <v>1805</v>
      </c>
      <c r="S483" s="39" t="s">
        <v>750</v>
      </c>
      <c r="T483" s="39" t="s">
        <v>750</v>
      </c>
      <c r="U483" s="39" t="s">
        <v>750</v>
      </c>
      <c r="V483" s="39" t="s">
        <v>750</v>
      </c>
      <c r="W483" s="39" t="s">
        <v>751</v>
      </c>
      <c r="X483" s="39" t="s">
        <v>751</v>
      </c>
    </row>
    <row r="484">
      <c r="A484" s="39" t="s">
        <v>739</v>
      </c>
      <c r="B484" s="39">
        <v>11027.0</v>
      </c>
      <c r="C484" s="39" t="s">
        <v>1806</v>
      </c>
      <c r="D484" s="39">
        <v>7.0</v>
      </c>
      <c r="F484" s="39">
        <v>7859.0</v>
      </c>
      <c r="G484" s="39" t="s">
        <v>1807</v>
      </c>
      <c r="H484" s="39">
        <v>1.0</v>
      </c>
      <c r="I484" s="39" t="s">
        <v>742</v>
      </c>
      <c r="J484" s="39" t="s">
        <v>743</v>
      </c>
      <c r="K484" s="39" t="s">
        <v>744</v>
      </c>
      <c r="L484" s="39" t="s">
        <v>1808</v>
      </c>
      <c r="M484" s="39" t="s">
        <v>746</v>
      </c>
      <c r="N484" s="39" t="s">
        <v>755</v>
      </c>
      <c r="O484" s="39" t="s">
        <v>756</v>
      </c>
      <c r="P484" s="39" t="s">
        <v>755</v>
      </c>
      <c r="Q484" s="39" t="s">
        <v>756</v>
      </c>
      <c r="R484" s="39" t="s">
        <v>1809</v>
      </c>
      <c r="S484" s="39" t="s">
        <v>750</v>
      </c>
      <c r="T484" s="39" t="s">
        <v>751</v>
      </c>
      <c r="U484" s="39" t="s">
        <v>751</v>
      </c>
      <c r="V484" s="39" t="s">
        <v>751</v>
      </c>
      <c r="W484" s="39" t="s">
        <v>751</v>
      </c>
      <c r="X484" s="39" t="s">
        <v>751</v>
      </c>
    </row>
    <row r="485">
      <c r="A485" s="39" t="s">
        <v>739</v>
      </c>
      <c r="B485" s="39">
        <v>11027.0</v>
      </c>
      <c r="C485" s="39" t="s">
        <v>1806</v>
      </c>
      <c r="D485" s="39">
        <v>7.0</v>
      </c>
      <c r="F485" s="39">
        <v>7860.0</v>
      </c>
      <c r="G485" s="39" t="s">
        <v>1810</v>
      </c>
      <c r="H485" s="39">
        <v>2.0</v>
      </c>
      <c r="I485" s="39" t="s">
        <v>753</v>
      </c>
      <c r="J485" s="39" t="s">
        <v>754</v>
      </c>
      <c r="K485" s="39" t="s">
        <v>744</v>
      </c>
      <c r="L485" s="39" t="s">
        <v>1811</v>
      </c>
      <c r="M485" s="39" t="s">
        <v>746</v>
      </c>
      <c r="N485" s="39" t="s">
        <v>755</v>
      </c>
      <c r="O485" s="39" t="s">
        <v>756</v>
      </c>
      <c r="P485" s="39" t="s">
        <v>755</v>
      </c>
      <c r="Q485" s="39" t="s">
        <v>756</v>
      </c>
      <c r="R485" s="39" t="s">
        <v>1812</v>
      </c>
      <c r="S485" s="39" t="s">
        <v>750</v>
      </c>
      <c r="T485" s="39" t="s">
        <v>750</v>
      </c>
      <c r="U485" s="39" t="s">
        <v>750</v>
      </c>
      <c r="V485" s="39" t="s">
        <v>750</v>
      </c>
      <c r="W485" s="39" t="s">
        <v>751</v>
      </c>
      <c r="X485" s="39" t="s">
        <v>751</v>
      </c>
    </row>
    <row r="486">
      <c r="A486" s="39" t="s">
        <v>739</v>
      </c>
      <c r="B486" s="39">
        <v>11027.0</v>
      </c>
      <c r="C486" s="39" t="s">
        <v>1806</v>
      </c>
      <c r="D486" s="39">
        <v>7.0</v>
      </c>
      <c r="F486" s="39">
        <v>14551.0</v>
      </c>
      <c r="G486" s="39" t="s">
        <v>1807</v>
      </c>
      <c r="H486" s="39">
        <v>3.0</v>
      </c>
      <c r="I486" s="39" t="s">
        <v>756</v>
      </c>
      <c r="K486" s="39" t="s">
        <v>744</v>
      </c>
      <c r="L486" s="39" t="s">
        <v>755</v>
      </c>
      <c r="M486" s="39" t="s">
        <v>756</v>
      </c>
      <c r="N486" s="39" t="s">
        <v>755</v>
      </c>
      <c r="O486" s="39" t="s">
        <v>756</v>
      </c>
      <c r="P486" s="39" t="s">
        <v>755</v>
      </c>
      <c r="Q486" s="39" t="s">
        <v>756</v>
      </c>
      <c r="S486" s="39" t="s">
        <v>751</v>
      </c>
      <c r="T486" s="39" t="s">
        <v>750</v>
      </c>
      <c r="U486" s="39" t="s">
        <v>750</v>
      </c>
      <c r="V486" s="39" t="s">
        <v>750</v>
      </c>
      <c r="W486" s="39" t="s">
        <v>750</v>
      </c>
      <c r="X486" s="39" t="s">
        <v>750</v>
      </c>
    </row>
    <row r="487">
      <c r="A487" s="39" t="s">
        <v>739</v>
      </c>
      <c r="B487" s="39">
        <v>11282.0</v>
      </c>
      <c r="C487" s="39" t="s">
        <v>682</v>
      </c>
      <c r="D487" s="39">
        <v>8.0</v>
      </c>
      <c r="F487" s="39">
        <v>7958.0</v>
      </c>
      <c r="G487" s="39" t="s">
        <v>1813</v>
      </c>
      <c r="H487" s="39">
        <v>1.0</v>
      </c>
      <c r="I487" s="39" t="s">
        <v>742</v>
      </c>
      <c r="J487" s="39" t="s">
        <v>743</v>
      </c>
      <c r="K487" s="39" t="s">
        <v>744</v>
      </c>
      <c r="L487" s="39" t="s">
        <v>1814</v>
      </c>
      <c r="M487" s="39" t="s">
        <v>746</v>
      </c>
      <c r="N487" s="39" t="s">
        <v>755</v>
      </c>
      <c r="O487" s="39" t="s">
        <v>756</v>
      </c>
      <c r="P487" s="39" t="s">
        <v>755</v>
      </c>
      <c r="Q487" s="39" t="s">
        <v>756</v>
      </c>
      <c r="R487" s="39" t="s">
        <v>1815</v>
      </c>
      <c r="S487" s="39" t="s">
        <v>750</v>
      </c>
      <c r="T487" s="39" t="s">
        <v>751</v>
      </c>
      <c r="U487" s="39" t="s">
        <v>751</v>
      </c>
      <c r="V487" s="39" t="s">
        <v>751</v>
      </c>
      <c r="W487" s="39" t="s">
        <v>751</v>
      </c>
      <c r="X487" s="39" t="s">
        <v>751</v>
      </c>
    </row>
    <row r="488">
      <c r="A488" s="39" t="s">
        <v>739</v>
      </c>
      <c r="B488" s="39">
        <v>11282.0</v>
      </c>
      <c r="C488" s="39" t="s">
        <v>682</v>
      </c>
      <c r="D488" s="39">
        <v>8.0</v>
      </c>
      <c r="F488" s="39">
        <v>17467.0</v>
      </c>
      <c r="G488" s="39" t="s">
        <v>1816</v>
      </c>
      <c r="H488" s="39">
        <v>2.0</v>
      </c>
      <c r="I488" s="39" t="s">
        <v>775</v>
      </c>
      <c r="J488" s="39" t="s">
        <v>768</v>
      </c>
      <c r="K488" s="39" t="s">
        <v>744</v>
      </c>
      <c r="L488" s="39" t="s">
        <v>1817</v>
      </c>
      <c r="M488" s="39" t="s">
        <v>746</v>
      </c>
      <c r="N488" s="39" t="s">
        <v>755</v>
      </c>
      <c r="O488" s="39" t="s">
        <v>756</v>
      </c>
      <c r="P488" s="39" t="s">
        <v>755</v>
      </c>
      <c r="Q488" s="39" t="s">
        <v>756</v>
      </c>
      <c r="S488" s="39" t="s">
        <v>750</v>
      </c>
      <c r="T488" s="39" t="s">
        <v>750</v>
      </c>
      <c r="U488" s="39" t="s">
        <v>750</v>
      </c>
      <c r="V488" s="39" t="s">
        <v>750</v>
      </c>
      <c r="W488" s="39" t="s">
        <v>751</v>
      </c>
      <c r="X488" s="39" t="s">
        <v>751</v>
      </c>
    </row>
    <row r="489">
      <c r="A489" s="39" t="s">
        <v>739</v>
      </c>
      <c r="B489" s="39">
        <v>12064.0</v>
      </c>
      <c r="C489" s="39" t="s">
        <v>1818</v>
      </c>
      <c r="D489" s="39">
        <v>6.0</v>
      </c>
      <c r="F489" s="39">
        <v>17933.0</v>
      </c>
      <c r="G489" s="39" t="s">
        <v>1819</v>
      </c>
      <c r="H489" s="39">
        <v>1.0</v>
      </c>
      <c r="I489" s="39" t="s">
        <v>753</v>
      </c>
      <c r="J489" s="39" t="s">
        <v>754</v>
      </c>
      <c r="K489" s="39" t="s">
        <v>744</v>
      </c>
      <c r="L489" s="39" t="s">
        <v>1820</v>
      </c>
      <c r="M489" s="39" t="s">
        <v>746</v>
      </c>
      <c r="N489" s="39" t="s">
        <v>1821</v>
      </c>
      <c r="O489" s="39" t="s">
        <v>746</v>
      </c>
      <c r="P489" s="39" t="s">
        <v>755</v>
      </c>
      <c r="Q489" s="39" t="s">
        <v>756</v>
      </c>
      <c r="R489" s="39" t="s">
        <v>1822</v>
      </c>
      <c r="S489" s="39" t="s">
        <v>750</v>
      </c>
      <c r="T489" s="39" t="s">
        <v>751</v>
      </c>
      <c r="U489" s="39" t="s">
        <v>751</v>
      </c>
      <c r="V489" s="39" t="s">
        <v>750</v>
      </c>
      <c r="W489" s="39" t="s">
        <v>751</v>
      </c>
      <c r="X489" s="39" t="s">
        <v>751</v>
      </c>
    </row>
    <row r="490">
      <c r="A490" s="39" t="s">
        <v>739</v>
      </c>
      <c r="B490" s="39">
        <v>12065.0</v>
      </c>
      <c r="C490" s="39" t="s">
        <v>1823</v>
      </c>
      <c r="D490" s="39">
        <v>6.0</v>
      </c>
      <c r="F490" s="39">
        <v>17933.0</v>
      </c>
      <c r="G490" s="39" t="s">
        <v>1819</v>
      </c>
      <c r="H490" s="39">
        <v>1.0</v>
      </c>
      <c r="I490" s="39" t="s">
        <v>753</v>
      </c>
      <c r="J490" s="39" t="s">
        <v>754</v>
      </c>
      <c r="K490" s="39" t="s">
        <v>744</v>
      </c>
      <c r="L490" s="39" t="s">
        <v>1820</v>
      </c>
      <c r="M490" s="39" t="s">
        <v>746</v>
      </c>
      <c r="N490" s="39" t="s">
        <v>1821</v>
      </c>
      <c r="O490" s="39" t="s">
        <v>746</v>
      </c>
      <c r="P490" s="39" t="s">
        <v>755</v>
      </c>
      <c r="Q490" s="39" t="s">
        <v>756</v>
      </c>
      <c r="R490" s="39" t="s">
        <v>1822</v>
      </c>
      <c r="S490" s="39" t="s">
        <v>750</v>
      </c>
      <c r="T490" s="39" t="s">
        <v>751</v>
      </c>
      <c r="U490" s="39" t="s">
        <v>751</v>
      </c>
      <c r="V490" s="39" t="s">
        <v>750</v>
      </c>
      <c r="W490" s="39" t="s">
        <v>751</v>
      </c>
      <c r="X490" s="39" t="s">
        <v>751</v>
      </c>
    </row>
    <row r="491">
      <c r="A491" s="39" t="s">
        <v>739</v>
      </c>
      <c r="B491" s="39">
        <v>11611.0</v>
      </c>
      <c r="C491" s="39" t="s">
        <v>1824</v>
      </c>
      <c r="D491" s="39">
        <v>8.0</v>
      </c>
      <c r="F491" s="39">
        <v>11337.0</v>
      </c>
      <c r="G491" s="39" t="s">
        <v>1825</v>
      </c>
      <c r="H491" s="39">
        <v>1.0</v>
      </c>
      <c r="I491" s="39" t="s">
        <v>742</v>
      </c>
      <c r="J491" s="39" t="s">
        <v>743</v>
      </c>
      <c r="K491" s="39" t="s">
        <v>744</v>
      </c>
      <c r="L491" s="39" t="s">
        <v>1826</v>
      </c>
      <c r="M491" s="39" t="s">
        <v>746</v>
      </c>
      <c r="N491" s="39">
        <v>3.14496993E9</v>
      </c>
      <c r="O491" s="39" t="s">
        <v>748</v>
      </c>
      <c r="P491" s="39" t="s">
        <v>755</v>
      </c>
      <c r="Q491" s="39" t="s">
        <v>756</v>
      </c>
      <c r="R491" s="39" t="s">
        <v>1827</v>
      </c>
      <c r="S491" s="39" t="s">
        <v>751</v>
      </c>
      <c r="T491" s="39" t="s">
        <v>751</v>
      </c>
      <c r="U491" s="39" t="s">
        <v>751</v>
      </c>
      <c r="V491" s="39" t="s">
        <v>751</v>
      </c>
      <c r="W491" s="39" t="s">
        <v>751</v>
      </c>
      <c r="X491" s="39" t="s">
        <v>751</v>
      </c>
    </row>
    <row r="492">
      <c r="A492" s="39" t="s">
        <v>739</v>
      </c>
      <c r="B492" s="39">
        <v>11611.0</v>
      </c>
      <c r="C492" s="39" t="s">
        <v>1824</v>
      </c>
      <c r="D492" s="39">
        <v>8.0</v>
      </c>
      <c r="F492" s="39">
        <v>17212.0</v>
      </c>
      <c r="G492" s="39" t="s">
        <v>1828</v>
      </c>
      <c r="H492" s="39">
        <v>2.0</v>
      </c>
      <c r="I492" s="39" t="s">
        <v>753</v>
      </c>
      <c r="J492" s="39" t="s">
        <v>754</v>
      </c>
      <c r="K492" s="39" t="s">
        <v>744</v>
      </c>
      <c r="L492" s="39" t="s">
        <v>1829</v>
      </c>
      <c r="M492" s="39" t="s">
        <v>746</v>
      </c>
      <c r="N492" s="39" t="s">
        <v>755</v>
      </c>
      <c r="O492" s="39" t="s">
        <v>756</v>
      </c>
      <c r="P492" s="39" t="s">
        <v>755</v>
      </c>
      <c r="Q492" s="39" t="s">
        <v>756</v>
      </c>
      <c r="R492" s="39" t="s">
        <v>1830</v>
      </c>
      <c r="S492" s="39" t="s">
        <v>750</v>
      </c>
      <c r="T492" s="39" t="s">
        <v>751</v>
      </c>
      <c r="U492" s="39" t="s">
        <v>751</v>
      </c>
      <c r="V492" s="39" t="s">
        <v>750</v>
      </c>
      <c r="W492" s="39" t="s">
        <v>751</v>
      </c>
      <c r="X492" s="39" t="s">
        <v>751</v>
      </c>
    </row>
    <row r="493">
      <c r="A493" s="39" t="s">
        <v>739</v>
      </c>
      <c r="B493" s="39">
        <v>11611.0</v>
      </c>
      <c r="C493" s="39" t="s">
        <v>1824</v>
      </c>
      <c r="D493" s="39">
        <v>8.0</v>
      </c>
      <c r="F493" s="39">
        <v>17213.0</v>
      </c>
      <c r="G493" s="39" t="s">
        <v>1831</v>
      </c>
      <c r="H493" s="39">
        <v>3.0</v>
      </c>
      <c r="I493" s="39" t="s">
        <v>753</v>
      </c>
      <c r="J493" s="39" t="s">
        <v>803</v>
      </c>
      <c r="K493" s="39" t="s">
        <v>744</v>
      </c>
      <c r="L493" s="39" t="s">
        <v>1832</v>
      </c>
      <c r="M493" s="39" t="s">
        <v>746</v>
      </c>
      <c r="N493" s="39" t="s">
        <v>755</v>
      </c>
      <c r="O493" s="39" t="s">
        <v>756</v>
      </c>
      <c r="P493" s="39" t="s">
        <v>755</v>
      </c>
      <c r="Q493" s="39" t="s">
        <v>756</v>
      </c>
      <c r="R493" s="39" t="s">
        <v>1833</v>
      </c>
      <c r="S493" s="39" t="s">
        <v>750</v>
      </c>
      <c r="T493" s="39" t="s">
        <v>751</v>
      </c>
      <c r="U493" s="39" t="s">
        <v>750</v>
      </c>
      <c r="V493" s="39" t="s">
        <v>750</v>
      </c>
      <c r="W493" s="39" t="s">
        <v>751</v>
      </c>
      <c r="X493" s="39" t="s">
        <v>751</v>
      </c>
    </row>
    <row r="494">
      <c r="A494" s="39" t="s">
        <v>739</v>
      </c>
      <c r="B494" s="39">
        <v>11611.0</v>
      </c>
      <c r="C494" s="39" t="s">
        <v>1824</v>
      </c>
      <c r="D494" s="39">
        <v>8.0</v>
      </c>
      <c r="F494" s="39">
        <v>17214.0</v>
      </c>
      <c r="G494" s="39" t="s">
        <v>1834</v>
      </c>
      <c r="H494" s="39">
        <v>4.0</v>
      </c>
      <c r="I494" s="39" t="s">
        <v>775</v>
      </c>
      <c r="J494" s="39" t="s">
        <v>768</v>
      </c>
      <c r="K494" s="39" t="s">
        <v>744</v>
      </c>
      <c r="L494" s="39" t="s">
        <v>1835</v>
      </c>
      <c r="M494" s="39" t="s">
        <v>746</v>
      </c>
      <c r="N494" s="39" t="s">
        <v>755</v>
      </c>
      <c r="O494" s="39" t="s">
        <v>756</v>
      </c>
      <c r="P494" s="39" t="s">
        <v>755</v>
      </c>
      <c r="Q494" s="39" t="s">
        <v>756</v>
      </c>
      <c r="S494" s="39" t="s">
        <v>750</v>
      </c>
      <c r="T494" s="39" t="s">
        <v>750</v>
      </c>
      <c r="U494" s="39" t="s">
        <v>750</v>
      </c>
      <c r="V494" s="39" t="s">
        <v>750</v>
      </c>
      <c r="W494" s="39" t="s">
        <v>751</v>
      </c>
      <c r="X494" s="39" t="s">
        <v>751</v>
      </c>
    </row>
    <row r="495">
      <c r="A495" s="39" t="s">
        <v>739</v>
      </c>
      <c r="B495" s="39">
        <v>11611.0</v>
      </c>
      <c r="C495" s="39" t="s">
        <v>1824</v>
      </c>
      <c r="D495" s="39">
        <v>8.0</v>
      </c>
      <c r="F495" s="39">
        <v>17215.0</v>
      </c>
      <c r="G495" s="39" t="s">
        <v>1836</v>
      </c>
      <c r="H495" s="39">
        <v>5.0</v>
      </c>
      <c r="I495" s="39" t="s">
        <v>775</v>
      </c>
      <c r="J495" s="39" t="s">
        <v>771</v>
      </c>
      <c r="K495" s="39" t="s">
        <v>744</v>
      </c>
      <c r="L495" s="39" t="s">
        <v>1837</v>
      </c>
      <c r="M495" s="39" t="s">
        <v>746</v>
      </c>
      <c r="N495" s="39" t="s">
        <v>755</v>
      </c>
      <c r="O495" s="39" t="s">
        <v>756</v>
      </c>
      <c r="P495" s="39" t="s">
        <v>755</v>
      </c>
      <c r="Q495" s="39" t="s">
        <v>756</v>
      </c>
      <c r="S495" s="39" t="s">
        <v>750</v>
      </c>
      <c r="T495" s="39" t="s">
        <v>750</v>
      </c>
      <c r="U495" s="39" t="s">
        <v>750</v>
      </c>
      <c r="V495" s="39" t="s">
        <v>750</v>
      </c>
      <c r="W495" s="39" t="s">
        <v>751</v>
      </c>
      <c r="X495" s="39" t="s">
        <v>751</v>
      </c>
    </row>
    <row r="496">
      <c r="A496" s="39" t="s">
        <v>739</v>
      </c>
      <c r="B496" s="39">
        <v>11955.0</v>
      </c>
      <c r="C496" s="39" t="s">
        <v>1838</v>
      </c>
      <c r="D496" s="39">
        <v>8.0</v>
      </c>
      <c r="F496" s="39">
        <v>17366.0</v>
      </c>
      <c r="G496" s="39" t="s">
        <v>1839</v>
      </c>
      <c r="H496" s="39">
        <v>1.0</v>
      </c>
      <c r="I496" s="39" t="s">
        <v>742</v>
      </c>
      <c r="J496" s="39" t="s">
        <v>743</v>
      </c>
      <c r="K496" s="39" t="s">
        <v>744</v>
      </c>
      <c r="L496" s="39" t="s">
        <v>1840</v>
      </c>
      <c r="M496" s="39" t="s">
        <v>746</v>
      </c>
      <c r="N496" s="39" t="s">
        <v>755</v>
      </c>
      <c r="O496" s="39" t="s">
        <v>756</v>
      </c>
      <c r="P496" s="39" t="s">
        <v>755</v>
      </c>
      <c r="Q496" s="39" t="s">
        <v>756</v>
      </c>
      <c r="R496" s="39" t="s">
        <v>1841</v>
      </c>
      <c r="S496" s="39" t="s">
        <v>750</v>
      </c>
      <c r="T496" s="39" t="s">
        <v>751</v>
      </c>
      <c r="U496" s="39" t="s">
        <v>751</v>
      </c>
      <c r="V496" s="39" t="s">
        <v>750</v>
      </c>
      <c r="W496" s="39" t="s">
        <v>751</v>
      </c>
      <c r="X496" s="39" t="s">
        <v>751</v>
      </c>
    </row>
    <row r="497">
      <c r="A497" s="39" t="s">
        <v>739</v>
      </c>
      <c r="B497" s="39">
        <v>11955.0</v>
      </c>
      <c r="C497" s="39" t="s">
        <v>1838</v>
      </c>
      <c r="D497" s="39">
        <v>8.0</v>
      </c>
      <c r="F497" s="39">
        <v>17367.0</v>
      </c>
      <c r="G497" s="39" t="s">
        <v>1842</v>
      </c>
      <c r="H497" s="39">
        <v>2.0</v>
      </c>
      <c r="I497" s="39" t="s">
        <v>753</v>
      </c>
      <c r="J497" s="39" t="s">
        <v>754</v>
      </c>
      <c r="K497" s="39" t="s">
        <v>744</v>
      </c>
      <c r="L497" s="39" t="s">
        <v>1843</v>
      </c>
      <c r="M497" s="39" t="s">
        <v>746</v>
      </c>
      <c r="N497" s="39" t="s">
        <v>755</v>
      </c>
      <c r="O497" s="39" t="s">
        <v>756</v>
      </c>
      <c r="P497" s="39" t="s">
        <v>755</v>
      </c>
      <c r="Q497" s="39" t="s">
        <v>756</v>
      </c>
      <c r="S497" s="39" t="s">
        <v>750</v>
      </c>
      <c r="T497" s="39" t="s">
        <v>751</v>
      </c>
      <c r="U497" s="39" t="s">
        <v>751</v>
      </c>
      <c r="V497" s="39" t="s">
        <v>750</v>
      </c>
      <c r="W497" s="39" t="s">
        <v>751</v>
      </c>
      <c r="X497" s="39" t="s">
        <v>751</v>
      </c>
    </row>
    <row r="498">
      <c r="A498" s="39" t="s">
        <v>739</v>
      </c>
      <c r="B498" s="39">
        <v>11956.0</v>
      </c>
      <c r="C498" s="39" t="s">
        <v>1844</v>
      </c>
      <c r="D498" s="39">
        <v>6.0</v>
      </c>
      <c r="F498" s="39">
        <v>17366.0</v>
      </c>
      <c r="G498" s="39" t="s">
        <v>1839</v>
      </c>
      <c r="H498" s="39">
        <v>1.0</v>
      </c>
      <c r="I498" s="39" t="s">
        <v>742</v>
      </c>
      <c r="J498" s="39" t="s">
        <v>743</v>
      </c>
      <c r="K498" s="39" t="s">
        <v>744</v>
      </c>
      <c r="L498" s="39" t="s">
        <v>1840</v>
      </c>
      <c r="M498" s="39" t="s">
        <v>746</v>
      </c>
      <c r="N498" s="39" t="s">
        <v>755</v>
      </c>
      <c r="O498" s="39" t="s">
        <v>756</v>
      </c>
      <c r="P498" s="39" t="s">
        <v>755</v>
      </c>
      <c r="Q498" s="39" t="s">
        <v>756</v>
      </c>
      <c r="R498" s="39" t="s">
        <v>1841</v>
      </c>
      <c r="S498" s="39" t="s">
        <v>750</v>
      </c>
      <c r="T498" s="39" t="s">
        <v>751</v>
      </c>
      <c r="U498" s="39" t="s">
        <v>751</v>
      </c>
      <c r="V498" s="39" t="s">
        <v>750</v>
      </c>
      <c r="W498" s="39" t="s">
        <v>751</v>
      </c>
      <c r="X498" s="39" t="s">
        <v>751</v>
      </c>
    </row>
    <row r="499">
      <c r="A499" s="39" t="s">
        <v>739</v>
      </c>
      <c r="B499" s="39">
        <v>11956.0</v>
      </c>
      <c r="C499" s="39" t="s">
        <v>1844</v>
      </c>
      <c r="D499" s="39">
        <v>6.0</v>
      </c>
      <c r="F499" s="39">
        <v>17367.0</v>
      </c>
      <c r="G499" s="39" t="s">
        <v>1842</v>
      </c>
      <c r="H499" s="39">
        <v>2.0</v>
      </c>
      <c r="I499" s="39" t="s">
        <v>753</v>
      </c>
      <c r="J499" s="39" t="s">
        <v>754</v>
      </c>
      <c r="K499" s="39" t="s">
        <v>744</v>
      </c>
      <c r="L499" s="39" t="s">
        <v>1843</v>
      </c>
      <c r="M499" s="39" t="s">
        <v>746</v>
      </c>
      <c r="N499" s="39" t="s">
        <v>755</v>
      </c>
      <c r="O499" s="39" t="s">
        <v>756</v>
      </c>
      <c r="P499" s="39" t="s">
        <v>755</v>
      </c>
      <c r="Q499" s="39" t="s">
        <v>756</v>
      </c>
      <c r="S499" s="39" t="s">
        <v>750</v>
      </c>
      <c r="T499" s="39" t="s">
        <v>751</v>
      </c>
      <c r="U499" s="39" t="s">
        <v>751</v>
      </c>
      <c r="V499" s="39" t="s">
        <v>750</v>
      </c>
      <c r="W499" s="39" t="s">
        <v>751</v>
      </c>
      <c r="X499" s="39" t="s">
        <v>751</v>
      </c>
    </row>
    <row r="500">
      <c r="A500" s="39" t="s">
        <v>739</v>
      </c>
      <c r="B500" s="39">
        <v>12058.0</v>
      </c>
      <c r="C500" s="39" t="s">
        <v>1845</v>
      </c>
      <c r="D500" s="39">
        <v>6.0</v>
      </c>
      <c r="F500" s="39">
        <v>17911.0</v>
      </c>
      <c r="G500" s="39" t="s">
        <v>1846</v>
      </c>
      <c r="H500" s="39">
        <v>1.0</v>
      </c>
      <c r="I500" s="39" t="s">
        <v>742</v>
      </c>
      <c r="J500" s="39" t="s">
        <v>743</v>
      </c>
      <c r="K500" s="39" t="s">
        <v>744</v>
      </c>
      <c r="L500" s="39" t="s">
        <v>1847</v>
      </c>
      <c r="M500" s="39" t="s">
        <v>746</v>
      </c>
      <c r="N500" s="39" t="s">
        <v>1848</v>
      </c>
      <c r="O500" s="39" t="s">
        <v>807</v>
      </c>
      <c r="P500" s="39" t="s">
        <v>755</v>
      </c>
      <c r="Q500" s="39" t="s">
        <v>756</v>
      </c>
      <c r="R500" s="39" t="s">
        <v>1849</v>
      </c>
      <c r="S500" s="39" t="s">
        <v>750</v>
      </c>
      <c r="T500" s="39" t="s">
        <v>751</v>
      </c>
      <c r="U500" s="39" t="s">
        <v>750</v>
      </c>
      <c r="V500" s="39" t="s">
        <v>750</v>
      </c>
      <c r="W500" s="39" t="s">
        <v>751</v>
      </c>
      <c r="X500" s="39" t="s">
        <v>751</v>
      </c>
    </row>
    <row r="501">
      <c r="A501" s="39" t="s">
        <v>739</v>
      </c>
      <c r="B501" s="39">
        <v>12058.0</v>
      </c>
      <c r="C501" s="39" t="s">
        <v>1845</v>
      </c>
      <c r="D501" s="39">
        <v>6.0</v>
      </c>
      <c r="F501" s="39">
        <v>17912.0</v>
      </c>
      <c r="G501" s="39" t="s">
        <v>1850</v>
      </c>
      <c r="H501" s="39">
        <v>2.0</v>
      </c>
      <c r="I501" s="39" t="s">
        <v>753</v>
      </c>
      <c r="J501" s="39" t="s">
        <v>754</v>
      </c>
      <c r="K501" s="39" t="s">
        <v>744</v>
      </c>
      <c r="L501" s="39" t="s">
        <v>755</v>
      </c>
      <c r="M501" s="39" t="s">
        <v>756</v>
      </c>
      <c r="N501" s="39">
        <v>3.143908845E9</v>
      </c>
      <c r="O501" s="39" t="s">
        <v>746</v>
      </c>
      <c r="P501" s="39" t="s">
        <v>755</v>
      </c>
      <c r="Q501" s="39" t="s">
        <v>756</v>
      </c>
      <c r="S501" s="39" t="s">
        <v>750</v>
      </c>
      <c r="T501" s="39" t="s">
        <v>751</v>
      </c>
      <c r="U501" s="39" t="s">
        <v>751</v>
      </c>
      <c r="V501" s="39" t="s">
        <v>750</v>
      </c>
      <c r="W501" s="39" t="s">
        <v>751</v>
      </c>
      <c r="X501" s="39" t="s">
        <v>751</v>
      </c>
    </row>
    <row r="502">
      <c r="A502" s="39" t="s">
        <v>739</v>
      </c>
      <c r="B502" s="39">
        <v>12003.0</v>
      </c>
      <c r="C502" s="39" t="s">
        <v>1851</v>
      </c>
      <c r="D502" s="39">
        <v>7.0</v>
      </c>
      <c r="F502" s="39">
        <v>17715.0</v>
      </c>
      <c r="G502" s="39" t="s">
        <v>1852</v>
      </c>
      <c r="H502" s="39">
        <v>1.0</v>
      </c>
      <c r="I502" s="39" t="s">
        <v>742</v>
      </c>
      <c r="J502" s="39" t="s">
        <v>743</v>
      </c>
      <c r="K502" s="39" t="s">
        <v>744</v>
      </c>
      <c r="L502" s="39" t="s">
        <v>1853</v>
      </c>
      <c r="M502" s="39" t="s">
        <v>746</v>
      </c>
      <c r="N502" s="39" t="s">
        <v>755</v>
      </c>
      <c r="O502" s="39" t="s">
        <v>756</v>
      </c>
      <c r="P502" s="39" t="s">
        <v>755</v>
      </c>
      <c r="Q502" s="39" t="s">
        <v>756</v>
      </c>
      <c r="R502" s="39" t="s">
        <v>1854</v>
      </c>
      <c r="S502" s="39" t="s">
        <v>750</v>
      </c>
      <c r="T502" s="39" t="s">
        <v>751</v>
      </c>
      <c r="U502" s="39" t="s">
        <v>751</v>
      </c>
      <c r="V502" s="39" t="s">
        <v>750</v>
      </c>
      <c r="W502" s="39" t="s">
        <v>751</v>
      </c>
      <c r="X502" s="39" t="s">
        <v>751</v>
      </c>
    </row>
    <row r="503">
      <c r="A503" s="39" t="s">
        <v>739</v>
      </c>
      <c r="B503" s="39">
        <v>12003.0</v>
      </c>
      <c r="C503" s="39" t="s">
        <v>1851</v>
      </c>
      <c r="D503" s="39">
        <v>7.0</v>
      </c>
      <c r="F503" s="39">
        <v>17716.0</v>
      </c>
      <c r="G503" s="39" t="s">
        <v>1855</v>
      </c>
      <c r="H503" s="39">
        <v>2.0</v>
      </c>
      <c r="I503" s="39" t="s">
        <v>753</v>
      </c>
      <c r="J503" s="39" t="s">
        <v>754</v>
      </c>
      <c r="K503" s="39" t="s">
        <v>744</v>
      </c>
      <c r="L503" s="39" t="s">
        <v>1856</v>
      </c>
      <c r="M503" s="39" t="s">
        <v>746</v>
      </c>
      <c r="N503" s="39" t="s">
        <v>755</v>
      </c>
      <c r="O503" s="39" t="s">
        <v>756</v>
      </c>
      <c r="P503" s="39" t="s">
        <v>755</v>
      </c>
      <c r="Q503" s="39" t="s">
        <v>756</v>
      </c>
      <c r="R503" s="39" t="s">
        <v>1857</v>
      </c>
      <c r="S503" s="39" t="s">
        <v>750</v>
      </c>
      <c r="T503" s="39" t="s">
        <v>751</v>
      </c>
      <c r="U503" s="39" t="s">
        <v>751</v>
      </c>
      <c r="V503" s="39" t="s">
        <v>750</v>
      </c>
      <c r="W503" s="39" t="s">
        <v>751</v>
      </c>
      <c r="X503" s="39" t="s">
        <v>751</v>
      </c>
    </row>
    <row r="504">
      <c r="A504" s="39" t="s">
        <v>739</v>
      </c>
      <c r="B504" s="39">
        <v>12002.0</v>
      </c>
      <c r="C504" s="39" t="s">
        <v>1858</v>
      </c>
      <c r="D504" s="39">
        <v>5.0</v>
      </c>
      <c r="F504" s="39">
        <v>17715.0</v>
      </c>
      <c r="G504" s="39" t="s">
        <v>1852</v>
      </c>
      <c r="H504" s="39">
        <v>1.0</v>
      </c>
      <c r="I504" s="39" t="s">
        <v>742</v>
      </c>
      <c r="J504" s="39" t="s">
        <v>743</v>
      </c>
      <c r="K504" s="39" t="s">
        <v>744</v>
      </c>
      <c r="L504" s="39" t="s">
        <v>1853</v>
      </c>
      <c r="M504" s="39" t="s">
        <v>746</v>
      </c>
      <c r="N504" s="39" t="s">
        <v>755</v>
      </c>
      <c r="O504" s="39" t="s">
        <v>756</v>
      </c>
      <c r="P504" s="39" t="s">
        <v>755</v>
      </c>
      <c r="Q504" s="39" t="s">
        <v>756</v>
      </c>
      <c r="R504" s="39" t="s">
        <v>1854</v>
      </c>
      <c r="S504" s="39" t="s">
        <v>750</v>
      </c>
      <c r="T504" s="39" t="s">
        <v>751</v>
      </c>
      <c r="U504" s="39" t="s">
        <v>751</v>
      </c>
      <c r="V504" s="39" t="s">
        <v>750</v>
      </c>
      <c r="W504" s="39" t="s">
        <v>751</v>
      </c>
      <c r="X504" s="39" t="s">
        <v>751</v>
      </c>
    </row>
    <row r="505">
      <c r="A505" s="39" t="s">
        <v>739</v>
      </c>
      <c r="B505" s="39">
        <v>12002.0</v>
      </c>
      <c r="C505" s="39" t="s">
        <v>1858</v>
      </c>
      <c r="D505" s="39">
        <v>5.0</v>
      </c>
      <c r="F505" s="39">
        <v>17716.0</v>
      </c>
      <c r="G505" s="39" t="s">
        <v>1855</v>
      </c>
      <c r="H505" s="39">
        <v>2.0</v>
      </c>
      <c r="I505" s="39" t="s">
        <v>753</v>
      </c>
      <c r="J505" s="39" t="s">
        <v>754</v>
      </c>
      <c r="K505" s="39" t="s">
        <v>744</v>
      </c>
      <c r="L505" s="39" t="s">
        <v>1856</v>
      </c>
      <c r="M505" s="39" t="s">
        <v>746</v>
      </c>
      <c r="N505" s="39" t="s">
        <v>755</v>
      </c>
      <c r="O505" s="39" t="s">
        <v>756</v>
      </c>
      <c r="P505" s="39" t="s">
        <v>755</v>
      </c>
      <c r="Q505" s="39" t="s">
        <v>756</v>
      </c>
      <c r="R505" s="39" t="s">
        <v>1857</v>
      </c>
      <c r="S505" s="39" t="s">
        <v>750</v>
      </c>
      <c r="T505" s="39" t="s">
        <v>751</v>
      </c>
      <c r="U505" s="39" t="s">
        <v>751</v>
      </c>
      <c r="V505" s="39" t="s">
        <v>750</v>
      </c>
      <c r="W505" s="39" t="s">
        <v>751</v>
      </c>
      <c r="X505" s="39" t="s">
        <v>751</v>
      </c>
    </row>
    <row r="506">
      <c r="A506" s="39" t="s">
        <v>739</v>
      </c>
      <c r="B506" s="39">
        <v>11846.0</v>
      </c>
      <c r="C506" s="39" t="s">
        <v>691</v>
      </c>
      <c r="D506" s="39">
        <v>8.0</v>
      </c>
      <c r="F506" s="39">
        <v>16552.0</v>
      </c>
      <c r="G506" s="39" t="s">
        <v>1859</v>
      </c>
      <c r="H506" s="39">
        <v>1.0</v>
      </c>
      <c r="I506" s="39" t="s">
        <v>753</v>
      </c>
      <c r="J506" s="39" t="s">
        <v>754</v>
      </c>
      <c r="K506" s="39" t="s">
        <v>744</v>
      </c>
      <c r="L506" s="39" t="s">
        <v>1860</v>
      </c>
      <c r="M506" s="39" t="s">
        <v>746</v>
      </c>
      <c r="N506" s="39" t="s">
        <v>755</v>
      </c>
      <c r="O506" s="39" t="s">
        <v>756</v>
      </c>
      <c r="P506" s="39" t="s">
        <v>755</v>
      </c>
      <c r="Q506" s="39" t="s">
        <v>756</v>
      </c>
      <c r="S506" s="39" t="s">
        <v>750</v>
      </c>
      <c r="T506" s="39" t="s">
        <v>751</v>
      </c>
      <c r="U506" s="39" t="s">
        <v>751</v>
      </c>
      <c r="V506" s="39" t="s">
        <v>751</v>
      </c>
      <c r="W506" s="39" t="s">
        <v>751</v>
      </c>
      <c r="X506" s="39" t="s">
        <v>751</v>
      </c>
    </row>
    <row r="507">
      <c r="A507" s="39" t="s">
        <v>739</v>
      </c>
      <c r="B507" s="39">
        <v>11846.0</v>
      </c>
      <c r="C507" s="39" t="s">
        <v>691</v>
      </c>
      <c r="D507" s="39">
        <v>8.0</v>
      </c>
      <c r="F507" s="39">
        <v>14004.0</v>
      </c>
      <c r="G507" s="39" t="s">
        <v>1861</v>
      </c>
      <c r="H507" s="39">
        <v>2.0</v>
      </c>
      <c r="I507" s="39" t="s">
        <v>742</v>
      </c>
      <c r="J507" s="39" t="s">
        <v>743</v>
      </c>
      <c r="K507" s="39" t="s">
        <v>744</v>
      </c>
      <c r="L507" s="39" t="s">
        <v>1862</v>
      </c>
      <c r="M507" s="39" t="s">
        <v>748</v>
      </c>
      <c r="N507" s="39" t="s">
        <v>755</v>
      </c>
      <c r="O507" s="39" t="s">
        <v>756</v>
      </c>
      <c r="P507" s="39" t="s">
        <v>755</v>
      </c>
      <c r="Q507" s="39" t="s">
        <v>756</v>
      </c>
      <c r="R507" s="39" t="s">
        <v>1863</v>
      </c>
      <c r="S507" s="39" t="s">
        <v>750</v>
      </c>
      <c r="T507" s="39" t="s">
        <v>751</v>
      </c>
      <c r="U507" s="39" t="s">
        <v>751</v>
      </c>
      <c r="V507" s="39" t="s">
        <v>751</v>
      </c>
      <c r="W507" s="39" t="s">
        <v>751</v>
      </c>
      <c r="X507" s="39" t="s">
        <v>751</v>
      </c>
    </row>
    <row r="508">
      <c r="A508" s="39" t="s">
        <v>739</v>
      </c>
      <c r="B508" s="39">
        <v>12054.0</v>
      </c>
      <c r="C508" s="39" t="s">
        <v>1864</v>
      </c>
      <c r="D508" s="39">
        <v>5.0</v>
      </c>
      <c r="F508" s="39">
        <v>17911.0</v>
      </c>
      <c r="G508" s="39" t="s">
        <v>1846</v>
      </c>
      <c r="H508" s="39">
        <v>1.0</v>
      </c>
      <c r="I508" s="39" t="s">
        <v>742</v>
      </c>
      <c r="J508" s="39" t="s">
        <v>743</v>
      </c>
      <c r="K508" s="39" t="s">
        <v>744</v>
      </c>
      <c r="L508" s="39" t="s">
        <v>1847</v>
      </c>
      <c r="M508" s="39" t="s">
        <v>746</v>
      </c>
      <c r="N508" s="39" t="s">
        <v>1848</v>
      </c>
      <c r="O508" s="39" t="s">
        <v>807</v>
      </c>
      <c r="P508" s="39" t="s">
        <v>755</v>
      </c>
      <c r="Q508" s="39" t="s">
        <v>756</v>
      </c>
      <c r="R508" s="39" t="s">
        <v>1849</v>
      </c>
      <c r="S508" s="39" t="s">
        <v>750</v>
      </c>
      <c r="T508" s="39" t="s">
        <v>751</v>
      </c>
      <c r="U508" s="39" t="s">
        <v>750</v>
      </c>
      <c r="V508" s="39" t="s">
        <v>750</v>
      </c>
      <c r="W508" s="39" t="s">
        <v>751</v>
      </c>
      <c r="X508" s="39" t="s">
        <v>751</v>
      </c>
    </row>
    <row r="509">
      <c r="A509" s="39" t="s">
        <v>739</v>
      </c>
      <c r="B509" s="39">
        <v>12054.0</v>
      </c>
      <c r="C509" s="39" t="s">
        <v>1864</v>
      </c>
      <c r="D509" s="39">
        <v>5.0</v>
      </c>
      <c r="F509" s="39">
        <v>17912.0</v>
      </c>
      <c r="G509" s="39" t="s">
        <v>1850</v>
      </c>
      <c r="H509" s="39">
        <v>2.0</v>
      </c>
      <c r="I509" s="39" t="s">
        <v>753</v>
      </c>
      <c r="J509" s="39" t="s">
        <v>754</v>
      </c>
      <c r="K509" s="39" t="s">
        <v>744</v>
      </c>
      <c r="L509" s="39" t="s">
        <v>755</v>
      </c>
      <c r="M509" s="39" t="s">
        <v>756</v>
      </c>
      <c r="N509" s="39">
        <v>3.143908845E9</v>
      </c>
      <c r="O509" s="39" t="s">
        <v>746</v>
      </c>
      <c r="P509" s="39" t="s">
        <v>755</v>
      </c>
      <c r="Q509" s="39" t="s">
        <v>756</v>
      </c>
      <c r="S509" s="39" t="s">
        <v>750</v>
      </c>
      <c r="T509" s="39" t="s">
        <v>751</v>
      </c>
      <c r="U509" s="39" t="s">
        <v>751</v>
      </c>
      <c r="V509" s="39" t="s">
        <v>750</v>
      </c>
      <c r="W509" s="39" t="s">
        <v>751</v>
      </c>
      <c r="X509" s="39" t="s">
        <v>751</v>
      </c>
    </row>
    <row r="510">
      <c r="A510" s="39" t="s">
        <v>739</v>
      </c>
      <c r="B510" s="39">
        <v>12027.0</v>
      </c>
      <c r="C510" s="39" t="s">
        <v>1865</v>
      </c>
      <c r="D510" s="39">
        <v>7.0</v>
      </c>
      <c r="F510" s="39">
        <v>17776.0</v>
      </c>
      <c r="G510" s="39" t="s">
        <v>1866</v>
      </c>
      <c r="H510" s="39">
        <v>1.0</v>
      </c>
      <c r="I510" s="39" t="s">
        <v>742</v>
      </c>
      <c r="J510" s="39" t="s">
        <v>743</v>
      </c>
      <c r="K510" s="39" t="s">
        <v>744</v>
      </c>
      <c r="L510" s="39" t="s">
        <v>1867</v>
      </c>
      <c r="M510" s="39" t="s">
        <v>746</v>
      </c>
      <c r="N510" s="39" t="s">
        <v>1868</v>
      </c>
      <c r="O510" s="39" t="s">
        <v>807</v>
      </c>
      <c r="P510" s="39" t="s">
        <v>755</v>
      </c>
      <c r="Q510" s="39" t="s">
        <v>756</v>
      </c>
      <c r="R510" s="39" t="s">
        <v>1869</v>
      </c>
      <c r="S510" s="39" t="s">
        <v>750</v>
      </c>
      <c r="T510" s="39" t="s">
        <v>751</v>
      </c>
      <c r="U510" s="39" t="s">
        <v>751</v>
      </c>
      <c r="V510" s="39" t="s">
        <v>751</v>
      </c>
      <c r="W510" s="39" t="s">
        <v>751</v>
      </c>
      <c r="X510" s="39" t="s">
        <v>751</v>
      </c>
    </row>
    <row r="511">
      <c r="A511" s="39" t="s">
        <v>739</v>
      </c>
      <c r="B511" s="39">
        <v>12027.0</v>
      </c>
      <c r="C511" s="39" t="s">
        <v>1865</v>
      </c>
      <c r="D511" s="39">
        <v>7.0</v>
      </c>
      <c r="F511" s="39">
        <v>17777.0</v>
      </c>
      <c r="G511" s="39" t="s">
        <v>1870</v>
      </c>
      <c r="H511" s="39">
        <v>2.0</v>
      </c>
      <c r="I511" s="39" t="s">
        <v>760</v>
      </c>
      <c r="J511" s="39" t="s">
        <v>803</v>
      </c>
      <c r="K511" s="39" t="s">
        <v>744</v>
      </c>
      <c r="L511" s="39" t="s">
        <v>1871</v>
      </c>
      <c r="M511" s="39" t="s">
        <v>746</v>
      </c>
      <c r="N511" s="39" t="s">
        <v>755</v>
      </c>
      <c r="O511" s="39" t="s">
        <v>756</v>
      </c>
      <c r="P511" s="39" t="s">
        <v>755</v>
      </c>
      <c r="Q511" s="39" t="s">
        <v>756</v>
      </c>
      <c r="S511" s="39" t="s">
        <v>750</v>
      </c>
      <c r="T511" s="39" t="s">
        <v>751</v>
      </c>
      <c r="U511" s="39" t="s">
        <v>751</v>
      </c>
      <c r="V511" s="39" t="s">
        <v>750</v>
      </c>
      <c r="W511" s="39" t="s">
        <v>751</v>
      </c>
      <c r="X511" s="39" t="s">
        <v>751</v>
      </c>
    </row>
    <row r="512">
      <c r="A512" s="39" t="s">
        <v>739</v>
      </c>
      <c r="B512" s="39">
        <v>12027.0</v>
      </c>
      <c r="C512" s="39" t="s">
        <v>1865</v>
      </c>
      <c r="D512" s="39">
        <v>7.0</v>
      </c>
      <c r="F512" s="39">
        <v>17778.0</v>
      </c>
      <c r="G512" s="39" t="s">
        <v>1872</v>
      </c>
      <c r="H512" s="39">
        <v>3.0</v>
      </c>
      <c r="I512" s="39" t="s">
        <v>788</v>
      </c>
      <c r="J512" s="39" t="s">
        <v>768</v>
      </c>
      <c r="K512" s="39" t="s">
        <v>744</v>
      </c>
      <c r="L512" s="39" t="s">
        <v>1873</v>
      </c>
      <c r="M512" s="39" t="s">
        <v>746</v>
      </c>
      <c r="N512" s="39" t="s">
        <v>755</v>
      </c>
      <c r="O512" s="39" t="s">
        <v>756</v>
      </c>
      <c r="P512" s="39" t="s">
        <v>755</v>
      </c>
      <c r="Q512" s="39" t="s">
        <v>756</v>
      </c>
      <c r="R512" s="39" t="s">
        <v>1874</v>
      </c>
      <c r="S512" s="39" t="s">
        <v>750</v>
      </c>
      <c r="T512" s="39" t="s">
        <v>750</v>
      </c>
      <c r="U512" s="39" t="s">
        <v>750</v>
      </c>
      <c r="V512" s="39" t="s">
        <v>750</v>
      </c>
      <c r="W512" s="39" t="s">
        <v>751</v>
      </c>
      <c r="X512" s="39" t="s">
        <v>751</v>
      </c>
    </row>
    <row r="513">
      <c r="A513" s="39" t="s">
        <v>739</v>
      </c>
      <c r="B513" s="39">
        <v>12027.0</v>
      </c>
      <c r="C513" s="39" t="s">
        <v>1865</v>
      </c>
      <c r="D513" s="39">
        <v>7.0</v>
      </c>
      <c r="F513" s="39">
        <v>17779.0</v>
      </c>
      <c r="G513" s="39" t="s">
        <v>1875</v>
      </c>
      <c r="H513" s="39">
        <v>4.0</v>
      </c>
      <c r="I513" s="39" t="s">
        <v>791</v>
      </c>
      <c r="J513" s="39" t="s">
        <v>771</v>
      </c>
      <c r="K513" s="39" t="s">
        <v>744</v>
      </c>
      <c r="L513" s="39" t="s">
        <v>1876</v>
      </c>
      <c r="M513" s="39" t="s">
        <v>746</v>
      </c>
      <c r="N513" s="39" t="s">
        <v>755</v>
      </c>
      <c r="O513" s="39" t="s">
        <v>756</v>
      </c>
      <c r="P513" s="39" t="s">
        <v>755</v>
      </c>
      <c r="Q513" s="39" t="s">
        <v>756</v>
      </c>
      <c r="S513" s="39" t="s">
        <v>750</v>
      </c>
      <c r="T513" s="39" t="s">
        <v>750</v>
      </c>
      <c r="U513" s="39" t="s">
        <v>751</v>
      </c>
      <c r="V513" s="39" t="s">
        <v>750</v>
      </c>
      <c r="W513" s="39" t="s">
        <v>751</v>
      </c>
      <c r="X513" s="39" t="s">
        <v>751</v>
      </c>
    </row>
    <row r="514">
      <c r="A514" s="39" t="s">
        <v>739</v>
      </c>
      <c r="B514" s="39">
        <v>12010.0</v>
      </c>
      <c r="C514" s="39" t="s">
        <v>1877</v>
      </c>
      <c r="D514" s="39">
        <v>6.0</v>
      </c>
      <c r="F514" s="39">
        <v>17740.0</v>
      </c>
      <c r="G514" s="39" t="s">
        <v>1878</v>
      </c>
      <c r="H514" s="39">
        <v>1.0</v>
      </c>
      <c r="I514" s="39" t="s">
        <v>742</v>
      </c>
      <c r="J514" s="39" t="s">
        <v>743</v>
      </c>
      <c r="K514" s="39" t="s">
        <v>744</v>
      </c>
      <c r="L514" s="39" t="s">
        <v>1879</v>
      </c>
      <c r="M514" s="39" t="s">
        <v>746</v>
      </c>
      <c r="N514" s="39" t="s">
        <v>755</v>
      </c>
      <c r="O514" s="39" t="s">
        <v>756</v>
      </c>
      <c r="P514" s="39" t="s">
        <v>755</v>
      </c>
      <c r="Q514" s="39" t="s">
        <v>756</v>
      </c>
      <c r="R514" s="39" t="s">
        <v>1880</v>
      </c>
      <c r="S514" s="39" t="s">
        <v>750</v>
      </c>
      <c r="T514" s="39" t="s">
        <v>751</v>
      </c>
      <c r="U514" s="39" t="s">
        <v>751</v>
      </c>
      <c r="V514" s="39" t="s">
        <v>751</v>
      </c>
      <c r="W514" s="39" t="s">
        <v>751</v>
      </c>
      <c r="X514" s="39" t="s">
        <v>751</v>
      </c>
    </row>
    <row r="515">
      <c r="A515" s="39" t="s">
        <v>739</v>
      </c>
      <c r="B515" s="39">
        <v>12057.0</v>
      </c>
      <c r="C515" s="39" t="s">
        <v>1881</v>
      </c>
      <c r="D515" s="39">
        <v>6.0</v>
      </c>
      <c r="F515" s="39">
        <v>5615.0</v>
      </c>
      <c r="G515" s="39" t="s">
        <v>961</v>
      </c>
      <c r="H515" s="39">
        <v>1.0</v>
      </c>
      <c r="I515" s="39" t="s">
        <v>788</v>
      </c>
      <c r="J515" s="39" t="s">
        <v>803</v>
      </c>
      <c r="K515" s="39" t="s">
        <v>744</v>
      </c>
      <c r="L515" s="39" t="s">
        <v>962</v>
      </c>
      <c r="M515" s="39" t="s">
        <v>746</v>
      </c>
      <c r="N515" s="39" t="s">
        <v>755</v>
      </c>
      <c r="O515" s="39" t="s">
        <v>756</v>
      </c>
      <c r="P515" s="39" t="s">
        <v>755</v>
      </c>
      <c r="Q515" s="39" t="s">
        <v>756</v>
      </c>
      <c r="R515" s="39" t="s">
        <v>963</v>
      </c>
      <c r="S515" s="39" t="s">
        <v>750</v>
      </c>
      <c r="T515" s="39" t="s">
        <v>751</v>
      </c>
      <c r="U515" s="39" t="s">
        <v>751</v>
      </c>
      <c r="V515" s="39" t="s">
        <v>750</v>
      </c>
      <c r="W515" s="39" t="s">
        <v>751</v>
      </c>
      <c r="X515" s="39" t="s">
        <v>751</v>
      </c>
    </row>
    <row r="516">
      <c r="A516" s="39" t="s">
        <v>739</v>
      </c>
      <c r="B516" s="39">
        <v>11720.0</v>
      </c>
      <c r="C516" s="39" t="s">
        <v>1882</v>
      </c>
      <c r="D516" s="39">
        <v>7.0</v>
      </c>
      <c r="F516" s="39">
        <v>11600.0</v>
      </c>
      <c r="G516" s="39" t="s">
        <v>1883</v>
      </c>
      <c r="H516" s="39">
        <v>1.0</v>
      </c>
      <c r="I516" s="39" t="s">
        <v>742</v>
      </c>
      <c r="J516" s="39" t="s">
        <v>743</v>
      </c>
      <c r="K516" s="39" t="s">
        <v>744</v>
      </c>
      <c r="L516" s="39" t="s">
        <v>1884</v>
      </c>
      <c r="M516" s="39" t="s">
        <v>748</v>
      </c>
      <c r="N516" s="39" t="s">
        <v>755</v>
      </c>
      <c r="O516" s="39" t="s">
        <v>756</v>
      </c>
      <c r="P516" s="39" t="s">
        <v>755</v>
      </c>
      <c r="Q516" s="39" t="s">
        <v>756</v>
      </c>
      <c r="R516" s="39" t="s">
        <v>1885</v>
      </c>
      <c r="S516" s="39" t="s">
        <v>750</v>
      </c>
      <c r="T516" s="39" t="s">
        <v>751</v>
      </c>
      <c r="U516" s="39" t="s">
        <v>751</v>
      </c>
      <c r="V516" s="39" t="s">
        <v>751</v>
      </c>
      <c r="W516" s="39" t="s">
        <v>751</v>
      </c>
      <c r="X516" s="39" t="s">
        <v>751</v>
      </c>
    </row>
    <row r="517">
      <c r="A517" s="39" t="s">
        <v>739</v>
      </c>
      <c r="B517" s="39">
        <v>11720.0</v>
      </c>
      <c r="C517" s="39" t="s">
        <v>1882</v>
      </c>
      <c r="D517" s="39">
        <v>7.0</v>
      </c>
      <c r="F517" s="39">
        <v>11601.0</v>
      </c>
      <c r="G517" s="39" t="s">
        <v>1886</v>
      </c>
      <c r="H517" s="39">
        <v>2.0</v>
      </c>
      <c r="I517" s="39" t="s">
        <v>758</v>
      </c>
      <c r="J517" s="39" t="s">
        <v>768</v>
      </c>
      <c r="K517" s="39" t="s">
        <v>744</v>
      </c>
      <c r="L517" s="39" t="s">
        <v>1887</v>
      </c>
      <c r="M517" s="39" t="s">
        <v>746</v>
      </c>
      <c r="N517" s="39" t="s">
        <v>755</v>
      </c>
      <c r="O517" s="39" t="s">
        <v>756</v>
      </c>
      <c r="P517" s="39" t="s">
        <v>755</v>
      </c>
      <c r="Q517" s="39" t="s">
        <v>756</v>
      </c>
      <c r="R517" s="39" t="s">
        <v>1885</v>
      </c>
      <c r="S517" s="39" t="s">
        <v>750</v>
      </c>
      <c r="T517" s="39" t="s">
        <v>750</v>
      </c>
      <c r="U517" s="39" t="s">
        <v>750</v>
      </c>
      <c r="V517" s="39" t="s">
        <v>750</v>
      </c>
      <c r="W517" s="39" t="s">
        <v>751</v>
      </c>
      <c r="X517" s="39" t="s">
        <v>750</v>
      </c>
    </row>
    <row r="518">
      <c r="A518" s="39" t="s">
        <v>739</v>
      </c>
      <c r="B518" s="39">
        <v>11720.0</v>
      </c>
      <c r="C518" s="39" t="s">
        <v>1882</v>
      </c>
      <c r="D518" s="39">
        <v>7.0</v>
      </c>
      <c r="F518" s="39">
        <v>14570.0</v>
      </c>
      <c r="G518" s="39" t="s">
        <v>1883</v>
      </c>
      <c r="H518" s="39">
        <v>3.0</v>
      </c>
      <c r="I518" s="39" t="s">
        <v>756</v>
      </c>
      <c r="K518" s="39" t="s">
        <v>744</v>
      </c>
      <c r="L518" s="39" t="s">
        <v>755</v>
      </c>
      <c r="M518" s="39" t="s">
        <v>756</v>
      </c>
      <c r="N518" s="39" t="s">
        <v>755</v>
      </c>
      <c r="O518" s="39" t="s">
        <v>756</v>
      </c>
      <c r="P518" s="39" t="s">
        <v>755</v>
      </c>
      <c r="Q518" s="39" t="s">
        <v>756</v>
      </c>
      <c r="S518" s="39" t="s">
        <v>751</v>
      </c>
      <c r="T518" s="39" t="s">
        <v>750</v>
      </c>
      <c r="U518" s="39" t="s">
        <v>750</v>
      </c>
      <c r="V518" s="39" t="s">
        <v>750</v>
      </c>
      <c r="W518" s="39" t="s">
        <v>750</v>
      </c>
      <c r="X518" s="39" t="s">
        <v>750</v>
      </c>
    </row>
    <row r="519">
      <c r="A519" s="39" t="s">
        <v>739</v>
      </c>
      <c r="B519" s="39">
        <v>11368.0</v>
      </c>
      <c r="C519" s="39" t="s">
        <v>1888</v>
      </c>
      <c r="D519" s="39">
        <v>7.0</v>
      </c>
      <c r="F519" s="39">
        <v>8155.0</v>
      </c>
      <c r="G519" s="39" t="s">
        <v>1889</v>
      </c>
      <c r="H519" s="39">
        <v>1.0</v>
      </c>
      <c r="I519" s="39" t="s">
        <v>742</v>
      </c>
      <c r="J519" s="39" t="s">
        <v>743</v>
      </c>
      <c r="K519" s="39" t="s">
        <v>744</v>
      </c>
      <c r="L519" s="39">
        <v>5.572361348E9</v>
      </c>
      <c r="M519" s="39" t="s">
        <v>746</v>
      </c>
      <c r="N519" s="39" t="s">
        <v>755</v>
      </c>
      <c r="O519" s="39" t="s">
        <v>756</v>
      </c>
      <c r="P519" s="39" t="s">
        <v>755</v>
      </c>
      <c r="Q519" s="39" t="s">
        <v>756</v>
      </c>
      <c r="R519" s="39" t="s">
        <v>1890</v>
      </c>
      <c r="S519" s="39" t="s">
        <v>750</v>
      </c>
      <c r="T519" s="39" t="s">
        <v>751</v>
      </c>
      <c r="U519" s="39" t="s">
        <v>751</v>
      </c>
      <c r="V519" s="39" t="s">
        <v>751</v>
      </c>
      <c r="W519" s="39" t="s">
        <v>750</v>
      </c>
      <c r="X519" s="39" t="s">
        <v>751</v>
      </c>
    </row>
    <row r="520">
      <c r="A520" s="39" t="s">
        <v>739</v>
      </c>
      <c r="B520" s="39">
        <v>11368.0</v>
      </c>
      <c r="C520" s="39" t="s">
        <v>1888</v>
      </c>
      <c r="D520" s="39">
        <v>7.0</v>
      </c>
      <c r="F520" s="39">
        <v>8156.0</v>
      </c>
      <c r="G520" s="39" t="s">
        <v>1891</v>
      </c>
      <c r="H520" s="39">
        <v>2.0</v>
      </c>
      <c r="I520" s="39" t="s">
        <v>753</v>
      </c>
      <c r="J520" s="39" t="s">
        <v>754</v>
      </c>
      <c r="K520" s="39" t="s">
        <v>744</v>
      </c>
      <c r="L520" s="39" t="s">
        <v>1892</v>
      </c>
      <c r="M520" s="39" t="s">
        <v>746</v>
      </c>
      <c r="N520" s="39" t="s">
        <v>755</v>
      </c>
      <c r="O520" s="39" t="s">
        <v>756</v>
      </c>
      <c r="P520" s="39" t="s">
        <v>755</v>
      </c>
      <c r="Q520" s="39" t="s">
        <v>756</v>
      </c>
      <c r="S520" s="39" t="s">
        <v>750</v>
      </c>
      <c r="T520" s="39" t="s">
        <v>750</v>
      </c>
      <c r="U520" s="39" t="s">
        <v>750</v>
      </c>
      <c r="V520" s="39" t="s">
        <v>750</v>
      </c>
      <c r="W520" s="39" t="s">
        <v>751</v>
      </c>
      <c r="X520" s="39" t="s">
        <v>751</v>
      </c>
    </row>
    <row r="521">
      <c r="A521" s="39" t="s">
        <v>739</v>
      </c>
      <c r="B521" s="39">
        <v>11368.0</v>
      </c>
      <c r="C521" s="39" t="s">
        <v>1888</v>
      </c>
      <c r="D521" s="39">
        <v>7.0</v>
      </c>
      <c r="F521" s="39">
        <v>18602.0</v>
      </c>
      <c r="G521" s="39" t="s">
        <v>1893</v>
      </c>
      <c r="H521" s="39">
        <v>3.0</v>
      </c>
      <c r="I521" s="39" t="s">
        <v>756</v>
      </c>
      <c r="K521" s="39" t="s">
        <v>744</v>
      </c>
      <c r="L521" s="39">
        <v>3.128829253E9</v>
      </c>
      <c r="M521" s="39" t="s">
        <v>756</v>
      </c>
      <c r="N521" s="39" t="s">
        <v>755</v>
      </c>
      <c r="O521" s="39" t="s">
        <v>756</v>
      </c>
      <c r="P521" s="39" t="s">
        <v>755</v>
      </c>
      <c r="Q521" s="39" t="s">
        <v>756</v>
      </c>
      <c r="S521" s="39" t="s">
        <v>750</v>
      </c>
      <c r="T521" s="39" t="s">
        <v>750</v>
      </c>
      <c r="U521" s="39" t="s">
        <v>750</v>
      </c>
      <c r="V521" s="39" t="s">
        <v>750</v>
      </c>
      <c r="W521" s="39" t="s">
        <v>750</v>
      </c>
      <c r="X521" s="39" t="s">
        <v>750</v>
      </c>
    </row>
    <row r="522">
      <c r="A522" s="39" t="s">
        <v>739</v>
      </c>
      <c r="B522" s="39">
        <v>19529.0</v>
      </c>
      <c r="C522" s="39" t="s">
        <v>694</v>
      </c>
      <c r="D522" s="39">
        <v>8.0</v>
      </c>
      <c r="F522" s="39">
        <v>418.0</v>
      </c>
      <c r="G522" s="39" t="s">
        <v>1894</v>
      </c>
      <c r="H522" s="39">
        <v>1.0</v>
      </c>
      <c r="I522" s="39" t="s">
        <v>742</v>
      </c>
      <c r="J522" s="39" t="s">
        <v>743</v>
      </c>
      <c r="K522" s="39" t="s">
        <v>744</v>
      </c>
      <c r="L522" s="39" t="s">
        <v>1895</v>
      </c>
      <c r="M522" s="39" t="s">
        <v>746</v>
      </c>
      <c r="N522" s="39">
        <v>3.146688842E9</v>
      </c>
      <c r="O522" s="39" t="s">
        <v>756</v>
      </c>
      <c r="P522" s="39" t="s">
        <v>755</v>
      </c>
      <c r="Q522" s="39" t="s">
        <v>756</v>
      </c>
      <c r="R522" s="39" t="s">
        <v>1896</v>
      </c>
      <c r="S522" s="39" t="s">
        <v>750</v>
      </c>
      <c r="T522" s="39" t="s">
        <v>751</v>
      </c>
      <c r="U522" s="39" t="s">
        <v>751</v>
      </c>
      <c r="V522" s="39" t="s">
        <v>750</v>
      </c>
      <c r="W522" s="39" t="s">
        <v>751</v>
      </c>
      <c r="X522" s="39" t="s">
        <v>751</v>
      </c>
    </row>
    <row r="523">
      <c r="A523" s="39" t="s">
        <v>739</v>
      </c>
      <c r="B523" s="39">
        <v>19529.0</v>
      </c>
      <c r="C523" s="39" t="s">
        <v>694</v>
      </c>
      <c r="D523" s="39">
        <v>8.0</v>
      </c>
      <c r="F523" s="39">
        <v>512.0</v>
      </c>
      <c r="G523" s="39" t="s">
        <v>1897</v>
      </c>
      <c r="H523" s="39">
        <v>2.0</v>
      </c>
      <c r="I523" s="39" t="s">
        <v>791</v>
      </c>
      <c r="J523" s="39" t="s">
        <v>768</v>
      </c>
      <c r="K523" s="39" t="s">
        <v>744</v>
      </c>
      <c r="L523" s="39" t="s">
        <v>1898</v>
      </c>
      <c r="M523" s="39" t="s">
        <v>746</v>
      </c>
      <c r="N523" s="39">
        <v>3.142821763E9</v>
      </c>
      <c r="O523" s="39" t="s">
        <v>756</v>
      </c>
      <c r="P523" s="39" t="s">
        <v>755</v>
      </c>
      <c r="Q523" s="39" t="s">
        <v>756</v>
      </c>
      <c r="R523" s="39" t="s">
        <v>1899</v>
      </c>
      <c r="S523" s="39" t="s">
        <v>750</v>
      </c>
      <c r="T523" s="39" t="s">
        <v>750</v>
      </c>
      <c r="U523" s="39" t="s">
        <v>750</v>
      </c>
      <c r="V523" s="39" t="s">
        <v>750</v>
      </c>
      <c r="W523" s="39" t="s">
        <v>751</v>
      </c>
      <c r="X523" s="39" t="s">
        <v>751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0" width="13.88"/>
  </cols>
  <sheetData>
    <row r="1" ht="29.25" customHeight="1">
      <c r="A1" s="84" t="s">
        <v>1900</v>
      </c>
    </row>
    <row r="2" ht="29.25" customHeight="1">
      <c r="A2" s="84" t="s">
        <v>1901</v>
      </c>
      <c r="F2" s="84" t="s">
        <v>1902</v>
      </c>
    </row>
    <row r="3" ht="29.25" customHeight="1">
      <c r="A3" s="85" t="s">
        <v>1903</v>
      </c>
      <c r="B3" s="85" t="s">
        <v>1904</v>
      </c>
      <c r="C3" s="85" t="s">
        <v>1905</v>
      </c>
      <c r="D3" s="85" t="s">
        <v>1906</v>
      </c>
      <c r="E3" s="85" t="s">
        <v>1907</v>
      </c>
      <c r="F3" s="85" t="s">
        <v>1903</v>
      </c>
      <c r="G3" s="85" t="s">
        <v>1904</v>
      </c>
      <c r="H3" s="85" t="s">
        <v>1905</v>
      </c>
      <c r="I3" s="85" t="s">
        <v>1906</v>
      </c>
      <c r="J3" s="85" t="s">
        <v>1907</v>
      </c>
    </row>
    <row r="4" ht="29.25" customHeight="1">
      <c r="A4" s="86" t="s">
        <v>1908</v>
      </c>
      <c r="B4" s="66" t="s">
        <v>401</v>
      </c>
      <c r="C4" s="87" t="s">
        <v>1909</v>
      </c>
      <c r="D4" s="88" t="s">
        <v>1910</v>
      </c>
      <c r="E4" s="89" t="s">
        <v>1911</v>
      </c>
      <c r="F4" s="86" t="s">
        <v>1912</v>
      </c>
      <c r="G4" s="66" t="s">
        <v>419</v>
      </c>
      <c r="H4" s="84" t="s">
        <v>1913</v>
      </c>
      <c r="I4" s="84" t="s">
        <v>1914</v>
      </c>
      <c r="J4" s="90" t="s">
        <v>1915</v>
      </c>
    </row>
    <row r="5" ht="29.25" customHeight="1">
      <c r="B5" s="51" t="s">
        <v>402</v>
      </c>
      <c r="C5" s="84" t="s">
        <v>1916</v>
      </c>
      <c r="D5" s="91" t="s">
        <v>1917</v>
      </c>
      <c r="E5" s="86" t="s">
        <v>1918</v>
      </c>
      <c r="G5" s="51" t="s">
        <v>420</v>
      </c>
      <c r="H5" s="84" t="s">
        <v>1919</v>
      </c>
      <c r="I5" s="84" t="s">
        <v>1920</v>
      </c>
      <c r="J5" s="90" t="s">
        <v>1921</v>
      </c>
    </row>
    <row r="6" ht="29.25" customHeight="1">
      <c r="B6" s="51" t="s">
        <v>403</v>
      </c>
      <c r="C6" s="84" t="s">
        <v>1922</v>
      </c>
      <c r="D6" s="91" t="s">
        <v>1923</v>
      </c>
      <c r="E6" s="86" t="s">
        <v>1924</v>
      </c>
      <c r="G6" s="51" t="s">
        <v>403</v>
      </c>
      <c r="H6" s="84" t="s">
        <v>1922</v>
      </c>
      <c r="I6" s="84" t="s">
        <v>1925</v>
      </c>
      <c r="J6" s="90" t="s">
        <v>1924</v>
      </c>
    </row>
    <row r="7" ht="29.25" customHeight="1">
      <c r="B7" s="51" t="s">
        <v>404</v>
      </c>
      <c r="C7" s="84" t="s">
        <v>1926</v>
      </c>
      <c r="D7" s="91" t="s">
        <v>1927</v>
      </c>
      <c r="E7" s="86" t="s">
        <v>1928</v>
      </c>
      <c r="G7" s="51" t="s">
        <v>404</v>
      </c>
      <c r="H7" s="84" t="s">
        <v>1926</v>
      </c>
      <c r="I7" s="84" t="s">
        <v>1929</v>
      </c>
      <c r="J7" s="90" t="s">
        <v>1928</v>
      </c>
    </row>
    <row r="8" ht="29.25" customHeight="1">
      <c r="B8" s="51" t="s">
        <v>405</v>
      </c>
      <c r="C8" s="84" t="s">
        <v>1930</v>
      </c>
      <c r="D8" s="39" t="s">
        <v>1917</v>
      </c>
      <c r="E8" s="92" t="s">
        <v>1931</v>
      </c>
      <c r="G8" s="51" t="s">
        <v>421</v>
      </c>
      <c r="H8" s="84" t="s">
        <v>1932</v>
      </c>
      <c r="I8" s="84" t="s">
        <v>1933</v>
      </c>
      <c r="J8" s="90" t="s">
        <v>1934</v>
      </c>
    </row>
    <row r="9" ht="29.25" customHeight="1">
      <c r="A9" s="86" t="s">
        <v>1935</v>
      </c>
      <c r="B9" s="51" t="s">
        <v>406</v>
      </c>
      <c r="C9" s="84" t="s">
        <v>1936</v>
      </c>
      <c r="D9" s="91" t="s">
        <v>1937</v>
      </c>
      <c r="E9" s="86" t="s">
        <v>1938</v>
      </c>
      <c r="F9" s="86" t="s">
        <v>1939</v>
      </c>
      <c r="G9" s="51" t="s">
        <v>422</v>
      </c>
      <c r="H9" s="84" t="s">
        <v>1940</v>
      </c>
      <c r="I9" s="84" t="s">
        <v>1941</v>
      </c>
      <c r="J9" s="90" t="s">
        <v>1942</v>
      </c>
    </row>
    <row r="10" ht="29.25" customHeight="1">
      <c r="B10" s="51" t="s">
        <v>407</v>
      </c>
      <c r="C10" s="84" t="s">
        <v>1943</v>
      </c>
      <c r="D10" s="91" t="s">
        <v>1944</v>
      </c>
      <c r="E10" s="86" t="s">
        <v>1945</v>
      </c>
      <c r="G10" s="51" t="s">
        <v>423</v>
      </c>
      <c r="H10" s="84" t="s">
        <v>1946</v>
      </c>
      <c r="I10" s="84" t="s">
        <v>1947</v>
      </c>
      <c r="J10" s="90" t="s">
        <v>1948</v>
      </c>
    </row>
    <row r="11" ht="29.25" customHeight="1">
      <c r="B11" s="51" t="s">
        <v>408</v>
      </c>
      <c r="C11" s="84" t="s">
        <v>1949</v>
      </c>
      <c r="D11" s="91" t="s">
        <v>1950</v>
      </c>
      <c r="E11" s="86" t="s">
        <v>1951</v>
      </c>
      <c r="G11" s="51" t="s">
        <v>424</v>
      </c>
      <c r="H11" s="84" t="s">
        <v>1952</v>
      </c>
      <c r="I11" s="84" t="s">
        <v>1953</v>
      </c>
      <c r="J11" s="90" t="s">
        <v>1954</v>
      </c>
    </row>
    <row r="12" ht="29.25" customHeight="1">
      <c r="B12" s="51" t="s">
        <v>409</v>
      </c>
      <c r="C12" s="84" t="s">
        <v>1955</v>
      </c>
      <c r="D12" s="91" t="s">
        <v>1917</v>
      </c>
      <c r="E12" s="86" t="s">
        <v>1956</v>
      </c>
      <c r="G12" s="51" t="s">
        <v>425</v>
      </c>
      <c r="H12" s="84" t="s">
        <v>1957</v>
      </c>
      <c r="I12" s="84" t="s">
        <v>1958</v>
      </c>
      <c r="J12" s="90" t="s">
        <v>1959</v>
      </c>
    </row>
    <row r="13" ht="29.25" customHeight="1">
      <c r="B13" s="51" t="s">
        <v>410</v>
      </c>
      <c r="C13" s="84" t="s">
        <v>1960</v>
      </c>
      <c r="D13" s="91" t="s">
        <v>1917</v>
      </c>
      <c r="E13" s="86" t="s">
        <v>1931</v>
      </c>
      <c r="G13" s="51" t="s">
        <v>426</v>
      </c>
      <c r="H13" s="84" t="s">
        <v>1961</v>
      </c>
      <c r="I13" s="84" t="s">
        <v>1962</v>
      </c>
      <c r="J13" s="90" t="s">
        <v>1963</v>
      </c>
    </row>
    <row r="14" ht="29.25" customHeight="1">
      <c r="A14" s="86" t="s">
        <v>1964</v>
      </c>
      <c r="B14" s="51" t="s">
        <v>411</v>
      </c>
      <c r="C14" s="84" t="s">
        <v>1965</v>
      </c>
      <c r="D14" s="87" t="s">
        <v>1966</v>
      </c>
      <c r="E14" s="89" t="s">
        <v>1967</v>
      </c>
      <c r="F14" s="86" t="s">
        <v>1968</v>
      </c>
      <c r="G14" s="66" t="s">
        <v>427</v>
      </c>
      <c r="H14" s="87" t="s">
        <v>1969</v>
      </c>
      <c r="I14" s="84" t="s">
        <v>1970</v>
      </c>
      <c r="J14" s="86" t="s">
        <v>1971</v>
      </c>
    </row>
    <row r="15" ht="29.25" customHeight="1">
      <c r="B15" s="51" t="s">
        <v>412</v>
      </c>
      <c r="C15" s="84" t="s">
        <v>1972</v>
      </c>
      <c r="D15" s="84" t="s">
        <v>1973</v>
      </c>
      <c r="E15" s="86" t="s">
        <v>1974</v>
      </c>
      <c r="G15" s="51" t="s">
        <v>428</v>
      </c>
      <c r="H15" s="84" t="s">
        <v>1975</v>
      </c>
      <c r="I15" s="84" t="s">
        <v>1976</v>
      </c>
      <c r="J15" s="86" t="s">
        <v>1977</v>
      </c>
    </row>
    <row r="16" ht="29.25" customHeight="1">
      <c r="B16" s="51" t="s">
        <v>413</v>
      </c>
      <c r="C16" s="84" t="s">
        <v>1978</v>
      </c>
      <c r="D16" s="84" t="s">
        <v>1979</v>
      </c>
      <c r="E16" s="86" t="s">
        <v>1980</v>
      </c>
      <c r="G16" s="51" t="s">
        <v>429</v>
      </c>
      <c r="H16" s="84" t="s">
        <v>1981</v>
      </c>
      <c r="I16" s="84" t="s">
        <v>1982</v>
      </c>
      <c r="J16" s="86" t="s">
        <v>1983</v>
      </c>
    </row>
    <row r="17" ht="29.25" customHeight="1">
      <c r="B17" s="51" t="s">
        <v>414</v>
      </c>
      <c r="C17" s="84" t="s">
        <v>1984</v>
      </c>
      <c r="D17" s="84" t="s">
        <v>1985</v>
      </c>
      <c r="E17" s="86" t="s">
        <v>1986</v>
      </c>
      <c r="G17" s="51" t="s">
        <v>430</v>
      </c>
      <c r="H17" s="84" t="s">
        <v>1987</v>
      </c>
      <c r="I17" s="84" t="s">
        <v>1988</v>
      </c>
      <c r="J17" s="86" t="s">
        <v>1989</v>
      </c>
    </row>
    <row r="18" ht="29.25" customHeight="1">
      <c r="B18" s="51" t="s">
        <v>415</v>
      </c>
      <c r="C18" s="84" t="s">
        <v>1990</v>
      </c>
      <c r="D18" s="84" t="s">
        <v>1991</v>
      </c>
      <c r="E18" s="86" t="s">
        <v>1992</v>
      </c>
      <c r="G18" s="51" t="s">
        <v>431</v>
      </c>
      <c r="H18" s="84" t="s">
        <v>1993</v>
      </c>
      <c r="I18" s="84" t="s">
        <v>1994</v>
      </c>
      <c r="J18" s="90" t="s">
        <v>1995</v>
      </c>
    </row>
    <row r="19" ht="29.25" customHeight="1">
      <c r="A19" s="90" t="s">
        <v>1996</v>
      </c>
      <c r="B19" s="51" t="s">
        <v>359</v>
      </c>
      <c r="C19" s="84" t="s">
        <v>1997</v>
      </c>
      <c r="D19" s="84" t="s">
        <v>1998</v>
      </c>
      <c r="E19" s="86" t="s">
        <v>1999</v>
      </c>
      <c r="F19" s="90" t="s">
        <v>2000</v>
      </c>
      <c r="G19" s="51" t="s">
        <v>432</v>
      </c>
      <c r="H19" s="84" t="s">
        <v>2001</v>
      </c>
      <c r="I19" s="84" t="s">
        <v>2002</v>
      </c>
      <c r="J19" s="86" t="s">
        <v>2003</v>
      </c>
    </row>
    <row r="20" ht="29.25" customHeight="1">
      <c r="B20" s="51" t="s">
        <v>361</v>
      </c>
      <c r="C20" s="84" t="s">
        <v>2004</v>
      </c>
      <c r="D20" s="84" t="s">
        <v>2005</v>
      </c>
      <c r="E20" s="86" t="s">
        <v>2006</v>
      </c>
      <c r="G20" s="51" t="s">
        <v>433</v>
      </c>
      <c r="H20" s="84" t="s">
        <v>2007</v>
      </c>
      <c r="I20" s="84" t="s">
        <v>2008</v>
      </c>
      <c r="J20" s="86" t="s">
        <v>2009</v>
      </c>
    </row>
    <row r="21" ht="29.25" customHeight="1">
      <c r="B21" s="51" t="s">
        <v>363</v>
      </c>
      <c r="C21" s="84" t="s">
        <v>2010</v>
      </c>
      <c r="D21" s="84" t="s">
        <v>2011</v>
      </c>
      <c r="E21" s="86" t="s">
        <v>2012</v>
      </c>
      <c r="G21" s="51" t="s">
        <v>434</v>
      </c>
      <c r="H21" s="84" t="s">
        <v>2013</v>
      </c>
      <c r="I21" s="84" t="s">
        <v>2014</v>
      </c>
      <c r="J21" s="86" t="s">
        <v>2015</v>
      </c>
    </row>
    <row r="22" ht="29.25" customHeight="1">
      <c r="B22" s="51" t="s">
        <v>365</v>
      </c>
      <c r="C22" s="84" t="s">
        <v>2016</v>
      </c>
      <c r="D22" s="84" t="s">
        <v>2017</v>
      </c>
      <c r="E22" s="86" t="s">
        <v>2018</v>
      </c>
      <c r="G22" s="51" t="s">
        <v>435</v>
      </c>
      <c r="H22" s="84" t="s">
        <v>2019</v>
      </c>
      <c r="I22" s="84" t="s">
        <v>2020</v>
      </c>
      <c r="J22" s="86" t="s">
        <v>2021</v>
      </c>
    </row>
    <row r="23" ht="29.25" customHeight="1">
      <c r="B23" s="51" t="s">
        <v>367</v>
      </c>
      <c r="C23" s="84" t="s">
        <v>2022</v>
      </c>
      <c r="D23" s="84" t="s">
        <v>2023</v>
      </c>
      <c r="E23" s="86" t="s">
        <v>2024</v>
      </c>
      <c r="G23" s="51" t="s">
        <v>436</v>
      </c>
      <c r="H23" s="84" t="s">
        <v>2025</v>
      </c>
      <c r="I23" s="84" t="s">
        <v>2026</v>
      </c>
      <c r="J23" s="86" t="s">
        <v>2027</v>
      </c>
    </row>
    <row r="24" ht="29.25" customHeight="1">
      <c r="A24" s="93"/>
      <c r="B24" s="85" t="s">
        <v>2028</v>
      </c>
      <c r="C24" s="84" t="s">
        <v>2029</v>
      </c>
      <c r="D24" s="93"/>
      <c r="E24" s="93"/>
      <c r="F24" s="93"/>
      <c r="G24" s="85" t="s">
        <v>2028</v>
      </c>
      <c r="H24" s="84" t="s">
        <v>2030</v>
      </c>
      <c r="I24" s="93"/>
      <c r="J24" s="93"/>
    </row>
    <row r="25" ht="29.25" customHeight="1">
      <c r="A25" s="90" t="s">
        <v>2031</v>
      </c>
      <c r="B25" s="51" t="s">
        <v>371</v>
      </c>
      <c r="C25" s="84"/>
      <c r="D25" s="93"/>
      <c r="E25" s="86" t="s">
        <v>2032</v>
      </c>
      <c r="F25" s="90" t="s">
        <v>2033</v>
      </c>
      <c r="G25" s="51" t="s">
        <v>437</v>
      </c>
      <c r="H25" s="84"/>
      <c r="I25" s="93"/>
      <c r="J25" s="86" t="s">
        <v>2034</v>
      </c>
    </row>
    <row r="26" ht="29.25" customHeight="1">
      <c r="B26" s="51" t="s">
        <v>373</v>
      </c>
      <c r="C26" s="84"/>
      <c r="D26" s="93"/>
      <c r="E26" s="86" t="s">
        <v>2035</v>
      </c>
      <c r="G26" s="51" t="s">
        <v>438</v>
      </c>
      <c r="H26" s="84"/>
      <c r="I26" s="93"/>
      <c r="J26" s="94" t="s">
        <v>2036</v>
      </c>
    </row>
    <row r="27" ht="29.25" customHeight="1">
      <c r="B27" s="51" t="s">
        <v>375</v>
      </c>
      <c r="C27" s="84"/>
      <c r="D27" s="93"/>
      <c r="E27" s="86" t="s">
        <v>2037</v>
      </c>
      <c r="G27" s="51" t="s">
        <v>439</v>
      </c>
      <c r="H27" s="84"/>
      <c r="I27" s="93"/>
      <c r="J27" s="86" t="s">
        <v>2038</v>
      </c>
    </row>
    <row r="28" ht="29.25" customHeight="1">
      <c r="B28" s="51" t="s">
        <v>377</v>
      </c>
      <c r="C28" s="84"/>
      <c r="D28" s="93"/>
      <c r="E28" s="86" t="s">
        <v>2039</v>
      </c>
      <c r="G28" s="51" t="s">
        <v>440</v>
      </c>
      <c r="H28" s="84"/>
      <c r="I28" s="93"/>
      <c r="J28" s="86" t="s">
        <v>2040</v>
      </c>
    </row>
    <row r="29" ht="29.25" customHeight="1">
      <c r="B29" s="51" t="s">
        <v>379</v>
      </c>
      <c r="C29" s="84"/>
      <c r="D29" s="93"/>
      <c r="E29" s="86" t="s">
        <v>2041</v>
      </c>
      <c r="G29" s="51" t="s">
        <v>441</v>
      </c>
      <c r="H29" s="84"/>
      <c r="I29" s="93"/>
      <c r="J29" s="86" t="s">
        <v>2042</v>
      </c>
    </row>
    <row r="30" ht="29.25" customHeight="1">
      <c r="A30" s="93"/>
      <c r="B30" s="95"/>
      <c r="C30" s="93"/>
      <c r="D30" s="93"/>
      <c r="E30" s="93"/>
      <c r="F30" s="93"/>
      <c r="G30" s="95"/>
      <c r="H30" s="93"/>
      <c r="I30" s="93"/>
      <c r="J30" s="93"/>
    </row>
    <row r="31" ht="29.25" customHeight="1">
      <c r="A31" s="93"/>
      <c r="B31" s="95"/>
      <c r="C31" s="93"/>
      <c r="D31" s="93"/>
      <c r="E31" s="93"/>
      <c r="F31" s="93"/>
      <c r="G31" s="95"/>
      <c r="H31" s="93"/>
      <c r="I31" s="93"/>
      <c r="J31" s="93"/>
    </row>
    <row r="32" ht="29.25" customHeight="1">
      <c r="A32" s="93"/>
      <c r="B32" s="95"/>
      <c r="C32" s="93"/>
      <c r="D32" s="93"/>
      <c r="E32" s="93"/>
      <c r="F32" s="93"/>
      <c r="G32" s="95"/>
      <c r="H32" s="93"/>
      <c r="I32" s="93"/>
      <c r="J32" s="93"/>
    </row>
    <row r="33" ht="29.25" customHeight="1">
      <c r="A33" s="93"/>
      <c r="B33" s="95"/>
      <c r="C33" s="93"/>
      <c r="D33" s="93"/>
      <c r="E33" s="93"/>
      <c r="F33" s="93"/>
      <c r="G33" s="95"/>
      <c r="H33" s="93"/>
      <c r="I33" s="93"/>
      <c r="J33" s="93"/>
    </row>
    <row r="34" ht="29.25" customHeight="1">
      <c r="A34" s="93"/>
      <c r="B34" s="95"/>
      <c r="C34" s="93"/>
      <c r="D34" s="93"/>
      <c r="E34" s="93"/>
      <c r="F34" s="93"/>
      <c r="G34" s="95"/>
      <c r="H34" s="93"/>
      <c r="I34" s="93"/>
      <c r="J34" s="93"/>
    </row>
    <row r="35" ht="29.25" customHeight="1">
      <c r="A35" s="93"/>
      <c r="B35" s="95"/>
      <c r="C35" s="93"/>
      <c r="D35" s="93"/>
      <c r="E35" s="93"/>
      <c r="F35" s="93"/>
      <c r="G35" s="95"/>
      <c r="H35" s="93"/>
      <c r="I35" s="93"/>
      <c r="J35" s="93"/>
    </row>
    <row r="36" ht="29.25" customHeight="1">
      <c r="A36" s="93"/>
      <c r="B36" s="95"/>
      <c r="C36" s="93"/>
      <c r="D36" s="93"/>
      <c r="E36" s="93"/>
      <c r="F36" s="93"/>
      <c r="G36" s="95"/>
      <c r="H36" s="93"/>
      <c r="I36" s="93"/>
      <c r="J36" s="93"/>
    </row>
    <row r="37" ht="29.25" customHeight="1">
      <c r="A37" s="93"/>
      <c r="B37" s="95"/>
      <c r="C37" s="93"/>
      <c r="D37" s="93"/>
      <c r="E37" s="93"/>
      <c r="F37" s="93"/>
      <c r="G37" s="95"/>
      <c r="H37" s="93"/>
      <c r="I37" s="93"/>
      <c r="J37" s="93"/>
    </row>
    <row r="38" ht="29.25" customHeight="1">
      <c r="A38" s="93"/>
      <c r="B38" s="95"/>
      <c r="C38" s="93"/>
      <c r="D38" s="93"/>
      <c r="E38" s="93"/>
      <c r="F38" s="93"/>
      <c r="G38" s="95"/>
      <c r="H38" s="93"/>
      <c r="I38" s="93"/>
      <c r="J38" s="93"/>
    </row>
    <row r="39" ht="29.25" customHeight="1">
      <c r="A39" s="93"/>
      <c r="B39" s="95"/>
      <c r="C39" s="93"/>
      <c r="D39" s="93"/>
      <c r="E39" s="93"/>
      <c r="F39" s="93"/>
      <c r="G39" s="95"/>
      <c r="H39" s="93"/>
      <c r="I39" s="93"/>
      <c r="J39" s="93"/>
    </row>
    <row r="40" ht="29.25" customHeight="1">
      <c r="A40" s="93"/>
      <c r="B40" s="95"/>
      <c r="C40" s="93"/>
      <c r="D40" s="93"/>
      <c r="E40" s="93"/>
      <c r="F40" s="93"/>
      <c r="G40" s="95"/>
      <c r="H40" s="93"/>
      <c r="I40" s="93"/>
      <c r="J40" s="93"/>
    </row>
    <row r="41" ht="29.25" customHeight="1">
      <c r="A41" s="93"/>
      <c r="B41" s="95"/>
      <c r="C41" s="93"/>
      <c r="D41" s="93"/>
      <c r="E41" s="93"/>
      <c r="F41" s="93"/>
      <c r="G41" s="95"/>
      <c r="H41" s="93"/>
      <c r="I41" s="93"/>
      <c r="J41" s="93"/>
    </row>
    <row r="42" ht="29.25" customHeight="1">
      <c r="A42" s="93"/>
      <c r="B42" s="95"/>
      <c r="C42" s="93"/>
      <c r="D42" s="93"/>
      <c r="E42" s="93"/>
      <c r="F42" s="93"/>
      <c r="G42" s="95"/>
      <c r="H42" s="93"/>
      <c r="I42" s="93"/>
      <c r="J42" s="93"/>
    </row>
    <row r="43" ht="29.25" customHeight="1">
      <c r="A43" s="93"/>
      <c r="B43" s="95"/>
      <c r="C43" s="93"/>
      <c r="D43" s="93"/>
      <c r="E43" s="93"/>
      <c r="F43" s="93"/>
      <c r="G43" s="95"/>
      <c r="H43" s="93"/>
      <c r="I43" s="93"/>
      <c r="J43" s="93"/>
    </row>
    <row r="44" ht="29.25" customHeight="1">
      <c r="A44" s="93"/>
      <c r="B44" s="95"/>
      <c r="C44" s="93"/>
      <c r="D44" s="93"/>
      <c r="E44" s="93"/>
      <c r="F44" s="93"/>
      <c r="G44" s="95"/>
      <c r="H44" s="93"/>
      <c r="I44" s="93"/>
      <c r="J44" s="93"/>
    </row>
    <row r="45" ht="29.25" customHeight="1">
      <c r="A45" s="93"/>
      <c r="B45" s="95"/>
      <c r="C45" s="93"/>
      <c r="D45" s="93"/>
      <c r="E45" s="93"/>
      <c r="F45" s="93"/>
      <c r="G45" s="95"/>
      <c r="H45" s="93"/>
      <c r="I45" s="93"/>
      <c r="J45" s="93"/>
    </row>
    <row r="46" ht="29.25" customHeight="1">
      <c r="A46" s="93"/>
      <c r="B46" s="95"/>
      <c r="C46" s="93"/>
      <c r="D46" s="93"/>
      <c r="E46" s="93"/>
      <c r="F46" s="93"/>
      <c r="G46" s="95"/>
      <c r="H46" s="93"/>
      <c r="I46" s="93"/>
      <c r="J46" s="93"/>
    </row>
    <row r="47" ht="29.25" customHeight="1">
      <c r="A47" s="93"/>
      <c r="B47" s="95"/>
      <c r="C47" s="93"/>
      <c r="D47" s="93"/>
      <c r="E47" s="93"/>
      <c r="F47" s="93"/>
      <c r="G47" s="95"/>
      <c r="H47" s="93"/>
      <c r="I47" s="93"/>
      <c r="J47" s="93"/>
    </row>
    <row r="48" ht="29.25" customHeight="1">
      <c r="A48" s="93"/>
      <c r="B48" s="95"/>
      <c r="C48" s="93"/>
      <c r="D48" s="93"/>
      <c r="E48" s="93"/>
      <c r="F48" s="93"/>
      <c r="G48" s="95"/>
      <c r="H48" s="93"/>
      <c r="I48" s="93"/>
      <c r="J48" s="93"/>
    </row>
    <row r="49" ht="29.25" customHeight="1">
      <c r="A49" s="93"/>
      <c r="B49" s="95"/>
      <c r="C49" s="93"/>
      <c r="D49" s="93"/>
      <c r="E49" s="93"/>
      <c r="F49" s="93"/>
      <c r="G49" s="95"/>
      <c r="H49" s="93"/>
      <c r="I49" s="93"/>
      <c r="J49" s="93"/>
    </row>
    <row r="50" ht="29.25" customHeight="1">
      <c r="A50" s="93"/>
      <c r="B50" s="95"/>
      <c r="C50" s="93"/>
      <c r="D50" s="93"/>
      <c r="E50" s="93"/>
      <c r="F50" s="93"/>
      <c r="G50" s="95"/>
      <c r="H50" s="93"/>
      <c r="I50" s="93"/>
      <c r="J50" s="93"/>
    </row>
    <row r="51" ht="29.25" customHeight="1">
      <c r="A51" s="93"/>
      <c r="B51" s="95"/>
      <c r="C51" s="93"/>
      <c r="D51" s="93"/>
      <c r="E51" s="93"/>
      <c r="F51" s="93"/>
      <c r="G51" s="95"/>
      <c r="H51" s="93"/>
      <c r="I51" s="93"/>
      <c r="J51" s="93"/>
    </row>
    <row r="52" ht="29.25" customHeight="1">
      <c r="A52" s="93"/>
      <c r="B52" s="95"/>
      <c r="C52" s="93"/>
      <c r="D52" s="93"/>
      <c r="E52" s="93"/>
      <c r="F52" s="93"/>
      <c r="G52" s="95"/>
      <c r="H52" s="93"/>
      <c r="I52" s="93"/>
      <c r="J52" s="93"/>
    </row>
    <row r="53" ht="29.25" customHeight="1">
      <c r="A53" s="93"/>
      <c r="B53" s="95"/>
      <c r="C53" s="93"/>
      <c r="D53" s="93"/>
      <c r="E53" s="93"/>
      <c r="F53" s="93"/>
      <c r="G53" s="95"/>
      <c r="H53" s="93"/>
      <c r="I53" s="93"/>
      <c r="J53" s="93"/>
    </row>
    <row r="54" ht="29.25" customHeight="1">
      <c r="A54" s="93"/>
      <c r="B54" s="95"/>
      <c r="C54" s="93"/>
      <c r="D54" s="93"/>
      <c r="E54" s="93"/>
      <c r="F54" s="93"/>
      <c r="G54" s="95"/>
      <c r="H54" s="93"/>
      <c r="I54" s="93"/>
      <c r="J54" s="93"/>
    </row>
    <row r="55" ht="29.25" customHeight="1">
      <c r="A55" s="93"/>
      <c r="B55" s="95"/>
      <c r="C55" s="93"/>
      <c r="D55" s="93"/>
      <c r="E55" s="93"/>
      <c r="F55" s="93"/>
      <c r="G55" s="95"/>
      <c r="H55" s="93"/>
      <c r="I55" s="93"/>
      <c r="J55" s="93"/>
    </row>
    <row r="56" ht="29.25" customHeight="1">
      <c r="A56" s="93"/>
      <c r="B56" s="95"/>
      <c r="C56" s="93"/>
      <c r="D56" s="93"/>
      <c r="E56" s="93"/>
      <c r="F56" s="93"/>
      <c r="G56" s="95"/>
      <c r="H56" s="93"/>
      <c r="I56" s="93"/>
      <c r="J56" s="93"/>
    </row>
    <row r="57" ht="29.25" customHeight="1">
      <c r="A57" s="93"/>
      <c r="B57" s="95"/>
      <c r="C57" s="93"/>
      <c r="D57" s="93"/>
      <c r="E57" s="93"/>
      <c r="F57" s="93"/>
      <c r="G57" s="95"/>
      <c r="H57" s="93"/>
      <c r="I57" s="93"/>
      <c r="J57" s="93"/>
    </row>
    <row r="58" ht="29.25" customHeight="1">
      <c r="A58" s="93"/>
      <c r="B58" s="95"/>
      <c r="C58" s="93"/>
      <c r="D58" s="93"/>
      <c r="E58" s="93"/>
      <c r="F58" s="93"/>
      <c r="G58" s="95"/>
      <c r="H58" s="93"/>
      <c r="I58" s="93"/>
      <c r="J58" s="93"/>
    </row>
    <row r="59" ht="29.25" customHeight="1">
      <c r="A59" s="93"/>
      <c r="B59" s="95"/>
      <c r="C59" s="93"/>
      <c r="D59" s="93"/>
      <c r="E59" s="93"/>
      <c r="F59" s="93"/>
      <c r="G59" s="95"/>
      <c r="H59" s="93"/>
      <c r="I59" s="93"/>
      <c r="J59" s="93"/>
    </row>
    <row r="60" ht="29.25" customHeight="1">
      <c r="A60" s="93"/>
      <c r="B60" s="95"/>
      <c r="C60" s="93"/>
      <c r="D60" s="93"/>
      <c r="E60" s="93"/>
      <c r="F60" s="93"/>
      <c r="G60" s="95"/>
      <c r="H60" s="93"/>
      <c r="I60" s="93"/>
      <c r="J60" s="93"/>
    </row>
    <row r="61" ht="29.25" customHeight="1">
      <c r="A61" s="93"/>
      <c r="B61" s="95"/>
      <c r="C61" s="93"/>
      <c r="D61" s="93"/>
      <c r="E61" s="93"/>
      <c r="F61" s="93"/>
      <c r="G61" s="95"/>
      <c r="H61" s="93"/>
      <c r="I61" s="93"/>
      <c r="J61" s="93"/>
    </row>
    <row r="62" ht="29.25" customHeight="1">
      <c r="A62" s="93"/>
      <c r="B62" s="95"/>
      <c r="C62" s="93"/>
      <c r="D62" s="93"/>
      <c r="E62" s="93"/>
      <c r="F62" s="93"/>
      <c r="G62" s="95"/>
      <c r="H62" s="93"/>
      <c r="I62" s="93"/>
      <c r="J62" s="93"/>
    </row>
    <row r="63" ht="29.25" customHeight="1">
      <c r="A63" s="93"/>
      <c r="B63" s="95"/>
      <c r="C63" s="93"/>
      <c r="D63" s="93"/>
      <c r="E63" s="93"/>
      <c r="F63" s="93"/>
      <c r="G63" s="95"/>
      <c r="H63" s="93"/>
      <c r="I63" s="93"/>
      <c r="J63" s="93"/>
    </row>
    <row r="64" ht="29.25" customHeight="1">
      <c r="A64" s="93"/>
      <c r="B64" s="95"/>
      <c r="C64" s="93"/>
      <c r="D64" s="93"/>
      <c r="E64" s="93"/>
      <c r="F64" s="93"/>
      <c r="G64" s="95"/>
      <c r="H64" s="93"/>
      <c r="I64" s="93"/>
      <c r="J64" s="93"/>
    </row>
    <row r="65" ht="29.25" customHeight="1">
      <c r="A65" s="93"/>
      <c r="B65" s="95"/>
      <c r="C65" s="93"/>
      <c r="D65" s="93"/>
      <c r="E65" s="93"/>
      <c r="F65" s="93"/>
      <c r="G65" s="95"/>
      <c r="H65" s="93"/>
      <c r="I65" s="93"/>
      <c r="J65" s="93"/>
    </row>
    <row r="66" ht="29.25" customHeight="1">
      <c r="A66" s="93"/>
      <c r="B66" s="95"/>
      <c r="C66" s="93"/>
      <c r="D66" s="93"/>
      <c r="E66" s="93"/>
      <c r="F66" s="93"/>
      <c r="G66" s="95"/>
      <c r="H66" s="93"/>
      <c r="I66" s="93"/>
      <c r="J66" s="93"/>
    </row>
    <row r="67" ht="29.25" customHeight="1">
      <c r="A67" s="93"/>
      <c r="B67" s="95"/>
      <c r="C67" s="93"/>
      <c r="D67" s="93"/>
      <c r="E67" s="93"/>
      <c r="F67" s="93"/>
      <c r="G67" s="95"/>
      <c r="H67" s="93"/>
      <c r="I67" s="93"/>
      <c r="J67" s="93"/>
    </row>
    <row r="68" ht="29.25" customHeight="1">
      <c r="A68" s="93"/>
      <c r="B68" s="95"/>
      <c r="C68" s="93"/>
      <c r="D68" s="93"/>
      <c r="E68" s="93"/>
      <c r="F68" s="93"/>
      <c r="G68" s="95"/>
      <c r="H68" s="93"/>
      <c r="I68" s="93"/>
      <c r="J68" s="93"/>
    </row>
    <row r="69" ht="29.25" customHeight="1">
      <c r="A69" s="93"/>
      <c r="B69" s="95"/>
      <c r="C69" s="93"/>
      <c r="D69" s="93"/>
      <c r="E69" s="93"/>
      <c r="F69" s="93"/>
      <c r="G69" s="95"/>
      <c r="H69" s="93"/>
      <c r="I69" s="93"/>
      <c r="J69" s="93"/>
    </row>
    <row r="70" ht="29.25" customHeight="1">
      <c r="A70" s="93"/>
      <c r="B70" s="95"/>
      <c r="C70" s="93"/>
      <c r="D70" s="93"/>
      <c r="E70" s="93"/>
      <c r="F70" s="93"/>
      <c r="G70" s="95"/>
      <c r="H70" s="93"/>
      <c r="I70" s="93"/>
      <c r="J70" s="93"/>
    </row>
    <row r="71" ht="29.25" customHeight="1">
      <c r="A71" s="93"/>
      <c r="B71" s="95"/>
      <c r="C71" s="93"/>
      <c r="D71" s="93"/>
      <c r="E71" s="93"/>
      <c r="F71" s="93"/>
      <c r="G71" s="95"/>
      <c r="H71" s="93"/>
      <c r="I71" s="93"/>
      <c r="J71" s="93"/>
    </row>
    <row r="72" ht="29.25" customHeight="1">
      <c r="A72" s="93"/>
      <c r="B72" s="95"/>
      <c r="C72" s="93"/>
      <c r="D72" s="93"/>
      <c r="E72" s="93"/>
      <c r="F72" s="93"/>
      <c r="G72" s="95"/>
      <c r="H72" s="93"/>
      <c r="I72" s="93"/>
      <c r="J72" s="93"/>
    </row>
    <row r="73" ht="29.25" customHeight="1">
      <c r="A73" s="93"/>
      <c r="B73" s="95"/>
      <c r="C73" s="93"/>
      <c r="D73" s="93"/>
      <c r="E73" s="93"/>
      <c r="F73" s="93"/>
      <c r="G73" s="95"/>
      <c r="H73" s="93"/>
      <c r="I73" s="93"/>
      <c r="J73" s="93"/>
    </row>
    <row r="74" ht="29.25" customHeight="1">
      <c r="A74" s="93"/>
      <c r="B74" s="95"/>
      <c r="C74" s="93"/>
      <c r="D74" s="93"/>
      <c r="E74" s="93"/>
      <c r="F74" s="93"/>
      <c r="G74" s="95"/>
      <c r="H74" s="93"/>
      <c r="I74" s="93"/>
      <c r="J74" s="93"/>
    </row>
    <row r="75" ht="29.25" customHeight="1">
      <c r="A75" s="93"/>
      <c r="B75" s="95"/>
      <c r="C75" s="93"/>
      <c r="D75" s="93"/>
      <c r="E75" s="93"/>
      <c r="F75" s="93"/>
      <c r="G75" s="95"/>
      <c r="H75" s="93"/>
      <c r="I75" s="93"/>
      <c r="J75" s="93"/>
    </row>
    <row r="76" ht="29.25" customHeight="1">
      <c r="A76" s="93"/>
      <c r="B76" s="95"/>
      <c r="C76" s="93"/>
      <c r="D76" s="93"/>
      <c r="E76" s="93"/>
      <c r="F76" s="93"/>
      <c r="G76" s="95"/>
      <c r="H76" s="93"/>
      <c r="I76" s="93"/>
      <c r="J76" s="93"/>
    </row>
    <row r="77" ht="29.25" customHeight="1">
      <c r="A77" s="93"/>
      <c r="B77" s="95"/>
      <c r="C77" s="93"/>
      <c r="D77" s="93"/>
      <c r="E77" s="93"/>
      <c r="F77" s="93"/>
      <c r="G77" s="95"/>
      <c r="H77" s="93"/>
      <c r="I77" s="93"/>
      <c r="J77" s="93"/>
    </row>
    <row r="78" ht="29.25" customHeight="1">
      <c r="A78" s="93"/>
      <c r="B78" s="95"/>
      <c r="C78" s="93"/>
      <c r="D78" s="93"/>
      <c r="E78" s="93"/>
      <c r="F78" s="93"/>
      <c r="G78" s="95"/>
      <c r="H78" s="93"/>
      <c r="I78" s="93"/>
      <c r="J78" s="93"/>
    </row>
    <row r="79" ht="29.25" customHeight="1">
      <c r="A79" s="93"/>
      <c r="B79" s="95"/>
      <c r="C79" s="93"/>
      <c r="D79" s="93"/>
      <c r="E79" s="93"/>
      <c r="F79" s="93"/>
      <c r="G79" s="95"/>
      <c r="H79" s="93"/>
      <c r="I79" s="93"/>
      <c r="J79" s="93"/>
    </row>
    <row r="80" ht="29.25" customHeight="1">
      <c r="A80" s="93"/>
      <c r="B80" s="95"/>
      <c r="C80" s="93"/>
      <c r="D80" s="93"/>
      <c r="E80" s="93"/>
      <c r="F80" s="93"/>
      <c r="G80" s="95"/>
      <c r="H80" s="93"/>
      <c r="I80" s="93"/>
      <c r="J80" s="93"/>
    </row>
    <row r="81" ht="29.25" customHeight="1">
      <c r="A81" s="93"/>
      <c r="B81" s="95"/>
      <c r="C81" s="93"/>
      <c r="D81" s="93"/>
      <c r="E81" s="93"/>
      <c r="F81" s="93"/>
      <c r="G81" s="95"/>
      <c r="H81" s="93"/>
      <c r="I81" s="93"/>
      <c r="J81" s="93"/>
    </row>
    <row r="82" ht="29.25" customHeight="1">
      <c r="A82" s="93"/>
      <c r="B82" s="95"/>
      <c r="C82" s="93"/>
      <c r="D82" s="93"/>
      <c r="E82" s="93"/>
      <c r="F82" s="93"/>
      <c r="G82" s="95"/>
      <c r="H82" s="93"/>
      <c r="I82" s="93"/>
      <c r="J82" s="93"/>
    </row>
    <row r="83" ht="29.25" customHeight="1">
      <c r="A83" s="93"/>
      <c r="B83" s="95"/>
      <c r="C83" s="93"/>
      <c r="D83" s="93"/>
      <c r="E83" s="93"/>
      <c r="F83" s="93"/>
      <c r="G83" s="95"/>
      <c r="H83" s="93"/>
      <c r="I83" s="93"/>
      <c r="J83" s="93"/>
    </row>
    <row r="84" ht="29.25" customHeight="1">
      <c r="A84" s="93"/>
      <c r="B84" s="95"/>
      <c r="C84" s="93"/>
      <c r="D84" s="93"/>
      <c r="E84" s="93"/>
      <c r="F84" s="93"/>
      <c r="G84" s="95"/>
      <c r="H84" s="93"/>
      <c r="I84" s="93"/>
      <c r="J84" s="93"/>
    </row>
    <row r="85" ht="29.25" customHeight="1">
      <c r="A85" s="93"/>
      <c r="B85" s="95"/>
      <c r="C85" s="93"/>
      <c r="D85" s="93"/>
      <c r="E85" s="93"/>
      <c r="F85" s="93"/>
      <c r="G85" s="95"/>
      <c r="H85" s="93"/>
      <c r="I85" s="93"/>
      <c r="J85" s="93"/>
    </row>
    <row r="86" ht="29.25" customHeight="1">
      <c r="A86" s="93"/>
      <c r="B86" s="95"/>
      <c r="C86" s="93"/>
      <c r="D86" s="93"/>
      <c r="E86" s="93"/>
      <c r="F86" s="93"/>
      <c r="G86" s="95"/>
      <c r="H86" s="93"/>
      <c r="I86" s="93"/>
      <c r="J86" s="93"/>
    </row>
    <row r="87" ht="29.25" customHeight="1">
      <c r="A87" s="93"/>
      <c r="B87" s="95"/>
      <c r="C87" s="93"/>
      <c r="D87" s="93"/>
      <c r="E87" s="93"/>
      <c r="F87" s="93"/>
      <c r="G87" s="95"/>
      <c r="H87" s="93"/>
      <c r="I87" s="93"/>
      <c r="J87" s="93"/>
    </row>
    <row r="88" ht="29.25" customHeight="1">
      <c r="A88" s="93"/>
      <c r="B88" s="95"/>
      <c r="C88" s="93"/>
      <c r="D88" s="93"/>
      <c r="E88" s="93"/>
      <c r="F88" s="93"/>
      <c r="G88" s="95"/>
      <c r="H88" s="93"/>
      <c r="I88" s="93"/>
      <c r="J88" s="93"/>
    </row>
    <row r="89" ht="29.25" customHeight="1">
      <c r="A89" s="93"/>
      <c r="B89" s="95"/>
      <c r="C89" s="93"/>
      <c r="D89" s="93"/>
      <c r="E89" s="93"/>
      <c r="F89" s="93"/>
      <c r="G89" s="95"/>
      <c r="H89" s="93"/>
      <c r="I89" s="93"/>
      <c r="J89" s="93"/>
    </row>
    <row r="90" ht="29.25" customHeight="1">
      <c r="A90" s="93"/>
      <c r="B90" s="95"/>
      <c r="C90" s="93"/>
      <c r="D90" s="93"/>
      <c r="E90" s="93"/>
      <c r="F90" s="93"/>
      <c r="G90" s="95"/>
      <c r="H90" s="93"/>
      <c r="I90" s="93"/>
      <c r="J90" s="93"/>
    </row>
    <row r="91" ht="29.25" customHeight="1">
      <c r="A91" s="93"/>
      <c r="B91" s="95"/>
      <c r="C91" s="93"/>
      <c r="D91" s="93"/>
      <c r="E91" s="93"/>
      <c r="F91" s="93"/>
      <c r="G91" s="95"/>
      <c r="H91" s="93"/>
      <c r="I91" s="93"/>
      <c r="J91" s="93"/>
    </row>
    <row r="92" ht="29.25" customHeight="1">
      <c r="A92" s="93"/>
      <c r="B92" s="95"/>
      <c r="C92" s="93"/>
      <c r="D92" s="93"/>
      <c r="E92" s="93"/>
      <c r="F92" s="93"/>
      <c r="G92" s="95"/>
      <c r="H92" s="93"/>
      <c r="I92" s="93"/>
      <c r="J92" s="93"/>
    </row>
    <row r="93" ht="29.25" customHeight="1">
      <c r="A93" s="93"/>
      <c r="B93" s="95"/>
      <c r="C93" s="93"/>
      <c r="D93" s="93"/>
      <c r="E93" s="93"/>
      <c r="F93" s="93"/>
      <c r="G93" s="95"/>
      <c r="H93" s="93"/>
      <c r="I93" s="93"/>
      <c r="J93" s="93"/>
    </row>
    <row r="94" ht="29.25" customHeight="1">
      <c r="A94" s="93"/>
      <c r="B94" s="95"/>
      <c r="C94" s="93"/>
      <c r="D94" s="93"/>
      <c r="E94" s="93"/>
      <c r="F94" s="93"/>
      <c r="G94" s="95"/>
      <c r="H94" s="93"/>
      <c r="I94" s="93"/>
      <c r="J94" s="93"/>
    </row>
    <row r="95" ht="29.25" customHeight="1">
      <c r="A95" s="93"/>
      <c r="B95" s="95"/>
      <c r="C95" s="93"/>
      <c r="D95" s="93"/>
      <c r="E95" s="93"/>
      <c r="F95" s="93"/>
      <c r="G95" s="95"/>
      <c r="H95" s="93"/>
      <c r="I95" s="93"/>
      <c r="J95" s="93"/>
    </row>
    <row r="96" ht="29.25" customHeight="1">
      <c r="A96" s="93"/>
      <c r="B96" s="95"/>
      <c r="C96" s="93"/>
      <c r="D96" s="93"/>
      <c r="E96" s="93"/>
      <c r="F96" s="93"/>
      <c r="G96" s="95"/>
      <c r="H96" s="93"/>
      <c r="I96" s="93"/>
      <c r="J96" s="93"/>
    </row>
    <row r="97" ht="29.25" customHeight="1">
      <c r="A97" s="93"/>
      <c r="B97" s="95"/>
      <c r="C97" s="93"/>
      <c r="D97" s="93"/>
      <c r="E97" s="93"/>
      <c r="F97" s="93"/>
      <c r="G97" s="95"/>
      <c r="H97" s="93"/>
      <c r="I97" s="93"/>
      <c r="J97" s="93"/>
    </row>
    <row r="98" ht="29.25" customHeight="1">
      <c r="A98" s="93"/>
      <c r="B98" s="95"/>
      <c r="C98" s="93"/>
      <c r="D98" s="93"/>
      <c r="E98" s="93"/>
      <c r="F98" s="93"/>
      <c r="G98" s="95"/>
      <c r="H98" s="93"/>
      <c r="I98" s="93"/>
      <c r="J98" s="93"/>
    </row>
    <row r="99" ht="29.25" customHeight="1">
      <c r="A99" s="93"/>
      <c r="B99" s="95"/>
      <c r="C99" s="93"/>
      <c r="D99" s="93"/>
      <c r="E99" s="93"/>
      <c r="F99" s="93"/>
      <c r="G99" s="95"/>
      <c r="H99" s="93"/>
      <c r="I99" s="93"/>
      <c r="J99" s="93"/>
    </row>
    <row r="100" ht="29.25" customHeight="1">
      <c r="A100" s="93"/>
      <c r="B100" s="95"/>
      <c r="C100" s="93"/>
      <c r="D100" s="93"/>
      <c r="E100" s="93"/>
      <c r="F100" s="93"/>
      <c r="G100" s="95"/>
      <c r="H100" s="93"/>
      <c r="I100" s="93"/>
      <c r="J100" s="93"/>
    </row>
    <row r="101" ht="29.25" customHeight="1">
      <c r="A101" s="93"/>
      <c r="B101" s="95"/>
      <c r="C101" s="93"/>
      <c r="D101" s="93"/>
      <c r="E101" s="93"/>
      <c r="F101" s="93"/>
      <c r="G101" s="95"/>
      <c r="H101" s="93"/>
      <c r="I101" s="93"/>
      <c r="J101" s="93"/>
    </row>
    <row r="102" ht="29.25" customHeight="1">
      <c r="A102" s="93"/>
      <c r="B102" s="95"/>
      <c r="C102" s="93"/>
      <c r="D102" s="93"/>
      <c r="E102" s="93"/>
      <c r="F102" s="93"/>
      <c r="G102" s="95"/>
      <c r="H102" s="93"/>
      <c r="I102" s="93"/>
      <c r="J102" s="93"/>
    </row>
    <row r="103" ht="29.25" customHeight="1">
      <c r="A103" s="93"/>
      <c r="B103" s="95"/>
      <c r="C103" s="93"/>
      <c r="D103" s="93"/>
      <c r="E103" s="93"/>
      <c r="F103" s="93"/>
      <c r="G103" s="95"/>
      <c r="H103" s="93"/>
      <c r="I103" s="93"/>
      <c r="J103" s="93"/>
    </row>
    <row r="104" ht="29.25" customHeight="1">
      <c r="A104" s="93"/>
      <c r="B104" s="95"/>
      <c r="C104" s="93"/>
      <c r="D104" s="93"/>
      <c r="E104" s="93"/>
      <c r="F104" s="93"/>
      <c r="G104" s="95"/>
      <c r="H104" s="93"/>
      <c r="I104" s="93"/>
      <c r="J104" s="93"/>
    </row>
    <row r="105" ht="29.25" customHeight="1">
      <c r="A105" s="93"/>
      <c r="B105" s="95"/>
      <c r="C105" s="93"/>
      <c r="D105" s="93"/>
      <c r="E105" s="93"/>
      <c r="F105" s="93"/>
      <c r="G105" s="95"/>
      <c r="H105" s="93"/>
      <c r="I105" s="93"/>
      <c r="J105" s="93"/>
    </row>
    <row r="106" ht="29.25" customHeight="1">
      <c r="A106" s="93"/>
      <c r="B106" s="95"/>
      <c r="C106" s="93"/>
      <c r="D106" s="93"/>
      <c r="E106" s="93"/>
      <c r="F106" s="93"/>
      <c r="G106" s="95"/>
      <c r="H106" s="93"/>
      <c r="I106" s="93"/>
      <c r="J106" s="93"/>
    </row>
    <row r="107" ht="29.25" customHeight="1">
      <c r="A107" s="93"/>
      <c r="B107" s="95"/>
      <c r="C107" s="93"/>
      <c r="D107" s="93"/>
      <c r="E107" s="93"/>
      <c r="F107" s="93"/>
      <c r="G107" s="95"/>
      <c r="H107" s="93"/>
      <c r="I107" s="93"/>
      <c r="J107" s="93"/>
    </row>
    <row r="108" ht="29.25" customHeight="1">
      <c r="A108" s="93"/>
      <c r="B108" s="95"/>
      <c r="C108" s="93"/>
      <c r="D108" s="93"/>
      <c r="E108" s="93"/>
      <c r="F108" s="93"/>
      <c r="G108" s="95"/>
      <c r="H108" s="93"/>
      <c r="I108" s="93"/>
      <c r="J108" s="93"/>
    </row>
    <row r="109" ht="29.25" customHeight="1">
      <c r="A109" s="93"/>
      <c r="B109" s="95"/>
      <c r="C109" s="93"/>
      <c r="D109" s="93"/>
      <c r="E109" s="93"/>
      <c r="F109" s="93"/>
      <c r="G109" s="95"/>
      <c r="H109" s="93"/>
      <c r="I109" s="93"/>
      <c r="J109" s="93"/>
    </row>
    <row r="110" ht="29.25" customHeight="1">
      <c r="A110" s="93"/>
      <c r="B110" s="95"/>
      <c r="C110" s="93"/>
      <c r="D110" s="93"/>
      <c r="E110" s="93"/>
      <c r="F110" s="93"/>
      <c r="G110" s="95"/>
      <c r="H110" s="93"/>
      <c r="I110" s="93"/>
      <c r="J110" s="93"/>
    </row>
    <row r="111" ht="29.25" customHeight="1">
      <c r="A111" s="93"/>
      <c r="B111" s="95"/>
      <c r="C111" s="93"/>
      <c r="D111" s="93"/>
      <c r="E111" s="93"/>
      <c r="F111" s="93"/>
      <c r="G111" s="95"/>
      <c r="H111" s="93"/>
      <c r="I111" s="93"/>
      <c r="J111" s="93"/>
    </row>
    <row r="112" ht="29.25" customHeight="1">
      <c r="A112" s="93"/>
      <c r="B112" s="95"/>
      <c r="C112" s="93"/>
      <c r="D112" s="93"/>
      <c r="E112" s="93"/>
      <c r="F112" s="93"/>
      <c r="G112" s="95"/>
      <c r="H112" s="93"/>
      <c r="I112" s="93"/>
      <c r="J112" s="93"/>
    </row>
    <row r="113" ht="29.25" customHeight="1">
      <c r="A113" s="93"/>
      <c r="B113" s="95"/>
      <c r="C113" s="93"/>
      <c r="D113" s="93"/>
      <c r="E113" s="93"/>
      <c r="F113" s="93"/>
      <c r="G113" s="95"/>
      <c r="H113" s="93"/>
      <c r="I113" s="93"/>
      <c r="J113" s="93"/>
    </row>
    <row r="114" ht="29.25" customHeight="1">
      <c r="A114" s="93"/>
      <c r="B114" s="95"/>
      <c r="C114" s="93"/>
      <c r="D114" s="93"/>
      <c r="E114" s="93"/>
      <c r="F114" s="93"/>
      <c r="G114" s="95"/>
      <c r="H114" s="93"/>
      <c r="I114" s="93"/>
      <c r="J114" s="93"/>
    </row>
    <row r="115" ht="29.25" customHeight="1">
      <c r="A115" s="93"/>
      <c r="B115" s="95"/>
      <c r="C115" s="93"/>
      <c r="D115" s="93"/>
      <c r="E115" s="93"/>
      <c r="F115" s="93"/>
      <c r="G115" s="95"/>
      <c r="H115" s="93"/>
      <c r="I115" s="93"/>
      <c r="J115" s="93"/>
    </row>
    <row r="116" ht="29.25" customHeight="1">
      <c r="A116" s="93"/>
      <c r="B116" s="95"/>
      <c r="C116" s="93"/>
      <c r="D116" s="93"/>
      <c r="E116" s="93"/>
      <c r="F116" s="93"/>
      <c r="G116" s="95"/>
      <c r="H116" s="93"/>
      <c r="I116" s="93"/>
      <c r="J116" s="93"/>
    </row>
    <row r="117" ht="29.25" customHeight="1">
      <c r="A117" s="93"/>
      <c r="B117" s="95"/>
      <c r="C117" s="93"/>
      <c r="D117" s="93"/>
      <c r="E117" s="93"/>
      <c r="F117" s="93"/>
      <c r="G117" s="95"/>
      <c r="H117" s="93"/>
      <c r="I117" s="93"/>
      <c r="J117" s="93"/>
    </row>
    <row r="118" ht="29.25" customHeight="1">
      <c r="A118" s="93"/>
      <c r="B118" s="95"/>
      <c r="C118" s="93"/>
      <c r="D118" s="93"/>
      <c r="E118" s="93"/>
      <c r="F118" s="93"/>
      <c r="G118" s="95"/>
      <c r="H118" s="93"/>
      <c r="I118" s="93"/>
      <c r="J118" s="93"/>
    </row>
    <row r="119" ht="29.25" customHeight="1">
      <c r="A119" s="93"/>
      <c r="B119" s="95"/>
      <c r="C119" s="93"/>
      <c r="D119" s="93"/>
      <c r="E119" s="93"/>
      <c r="F119" s="93"/>
      <c r="G119" s="95"/>
      <c r="H119" s="93"/>
      <c r="I119" s="93"/>
      <c r="J119" s="93"/>
    </row>
    <row r="120" ht="29.25" customHeight="1">
      <c r="A120" s="93"/>
      <c r="B120" s="95"/>
      <c r="C120" s="93"/>
      <c r="D120" s="93"/>
      <c r="E120" s="93"/>
      <c r="F120" s="93"/>
      <c r="G120" s="95"/>
      <c r="H120" s="93"/>
      <c r="I120" s="93"/>
      <c r="J120" s="93"/>
    </row>
    <row r="121" ht="29.25" customHeight="1">
      <c r="A121" s="93"/>
      <c r="B121" s="95"/>
      <c r="C121" s="93"/>
      <c r="D121" s="93"/>
      <c r="E121" s="93"/>
      <c r="F121" s="93"/>
      <c r="G121" s="95"/>
      <c r="H121" s="93"/>
      <c r="I121" s="93"/>
      <c r="J121" s="93"/>
    </row>
    <row r="122" ht="29.25" customHeight="1">
      <c r="A122" s="93"/>
      <c r="B122" s="95"/>
      <c r="C122" s="93"/>
      <c r="D122" s="93"/>
      <c r="E122" s="93"/>
      <c r="F122" s="93"/>
      <c r="G122" s="95"/>
      <c r="H122" s="93"/>
      <c r="I122" s="93"/>
      <c r="J122" s="93"/>
    </row>
    <row r="123" ht="29.25" customHeight="1">
      <c r="A123" s="93"/>
      <c r="B123" s="95"/>
      <c r="C123" s="93"/>
      <c r="D123" s="93"/>
      <c r="E123" s="93"/>
      <c r="F123" s="93"/>
      <c r="G123" s="95"/>
      <c r="H123" s="93"/>
      <c r="I123" s="93"/>
      <c r="J123" s="93"/>
    </row>
    <row r="124" ht="29.25" customHeight="1">
      <c r="A124" s="93"/>
      <c r="B124" s="95"/>
      <c r="C124" s="93"/>
      <c r="D124" s="93"/>
      <c r="E124" s="93"/>
      <c r="F124" s="93"/>
      <c r="G124" s="95"/>
      <c r="H124" s="93"/>
      <c r="I124" s="93"/>
      <c r="J124" s="93"/>
    </row>
    <row r="125" ht="29.25" customHeight="1">
      <c r="A125" s="93"/>
      <c r="B125" s="95"/>
      <c r="C125" s="93"/>
      <c r="D125" s="93"/>
      <c r="E125" s="93"/>
      <c r="F125" s="93"/>
      <c r="G125" s="95"/>
      <c r="H125" s="93"/>
      <c r="I125" s="93"/>
      <c r="J125" s="93"/>
    </row>
    <row r="126" ht="29.25" customHeight="1">
      <c r="A126" s="93"/>
      <c r="B126" s="95"/>
      <c r="C126" s="93"/>
      <c r="D126" s="93"/>
      <c r="E126" s="93"/>
      <c r="F126" s="93"/>
      <c r="G126" s="95"/>
      <c r="H126" s="93"/>
      <c r="I126" s="93"/>
      <c r="J126" s="93"/>
    </row>
    <row r="127" ht="29.25" customHeight="1">
      <c r="A127" s="93"/>
      <c r="B127" s="95"/>
      <c r="C127" s="93"/>
      <c r="D127" s="93"/>
      <c r="E127" s="93"/>
      <c r="F127" s="93"/>
      <c r="G127" s="95"/>
      <c r="H127" s="93"/>
      <c r="I127" s="93"/>
      <c r="J127" s="93"/>
    </row>
    <row r="128" ht="29.25" customHeight="1">
      <c r="A128" s="93"/>
      <c r="B128" s="95"/>
      <c r="C128" s="93"/>
      <c r="D128" s="93"/>
      <c r="E128" s="93"/>
      <c r="F128" s="93"/>
      <c r="G128" s="95"/>
      <c r="H128" s="93"/>
      <c r="I128" s="93"/>
      <c r="J128" s="93"/>
    </row>
    <row r="129" ht="29.25" customHeight="1">
      <c r="A129" s="93"/>
      <c r="B129" s="95"/>
      <c r="C129" s="93"/>
      <c r="D129" s="93"/>
      <c r="E129" s="93"/>
      <c r="F129" s="93"/>
      <c r="G129" s="95"/>
      <c r="H129" s="93"/>
      <c r="I129" s="93"/>
      <c r="J129" s="93"/>
    </row>
    <row r="130" ht="29.25" customHeight="1">
      <c r="A130" s="93"/>
      <c r="B130" s="95"/>
      <c r="C130" s="93"/>
      <c r="D130" s="93"/>
      <c r="E130" s="93"/>
      <c r="F130" s="93"/>
      <c r="G130" s="95"/>
      <c r="H130" s="93"/>
      <c r="I130" s="93"/>
      <c r="J130" s="93"/>
    </row>
    <row r="131" ht="29.25" customHeight="1">
      <c r="A131" s="93"/>
      <c r="B131" s="95"/>
      <c r="C131" s="93"/>
      <c r="D131" s="93"/>
      <c r="E131" s="93"/>
      <c r="F131" s="93"/>
      <c r="G131" s="95"/>
      <c r="H131" s="93"/>
      <c r="I131" s="93"/>
      <c r="J131" s="93"/>
    </row>
    <row r="132" ht="29.25" customHeight="1">
      <c r="A132" s="93"/>
      <c r="B132" s="95"/>
      <c r="C132" s="93"/>
      <c r="D132" s="93"/>
      <c r="E132" s="93"/>
      <c r="F132" s="93"/>
      <c r="G132" s="95"/>
      <c r="H132" s="93"/>
      <c r="I132" s="93"/>
      <c r="J132" s="93"/>
    </row>
    <row r="133" ht="29.25" customHeight="1">
      <c r="A133" s="93"/>
      <c r="B133" s="95"/>
      <c r="C133" s="93"/>
      <c r="D133" s="93"/>
      <c r="E133" s="93"/>
      <c r="F133" s="93"/>
      <c r="G133" s="95"/>
      <c r="H133" s="93"/>
      <c r="I133" s="93"/>
      <c r="J133" s="93"/>
    </row>
    <row r="134" ht="29.25" customHeight="1">
      <c r="A134" s="93"/>
      <c r="B134" s="95"/>
      <c r="C134" s="93"/>
      <c r="D134" s="93"/>
      <c r="E134" s="93"/>
      <c r="F134" s="93"/>
      <c r="G134" s="95"/>
      <c r="H134" s="93"/>
      <c r="I134" s="93"/>
      <c r="J134" s="93"/>
    </row>
    <row r="135" ht="29.25" customHeight="1">
      <c r="A135" s="93"/>
      <c r="B135" s="95"/>
      <c r="C135" s="93"/>
      <c r="D135" s="93"/>
      <c r="E135" s="93"/>
      <c r="F135" s="93"/>
      <c r="G135" s="95"/>
      <c r="H135" s="93"/>
      <c r="I135" s="93"/>
      <c r="J135" s="93"/>
    </row>
    <row r="136" ht="29.25" customHeight="1">
      <c r="A136" s="93"/>
      <c r="B136" s="95"/>
      <c r="C136" s="93"/>
      <c r="D136" s="93"/>
      <c r="E136" s="93"/>
      <c r="F136" s="93"/>
      <c r="G136" s="95"/>
      <c r="H136" s="93"/>
      <c r="I136" s="93"/>
      <c r="J136" s="93"/>
    </row>
    <row r="137" ht="29.25" customHeight="1">
      <c r="A137" s="93"/>
      <c r="B137" s="95"/>
      <c r="C137" s="93"/>
      <c r="D137" s="93"/>
      <c r="E137" s="93"/>
      <c r="F137" s="93"/>
      <c r="G137" s="95"/>
      <c r="H137" s="93"/>
      <c r="I137" s="93"/>
      <c r="J137" s="93"/>
    </row>
    <row r="138" ht="29.25" customHeight="1">
      <c r="A138" s="93"/>
      <c r="B138" s="95"/>
      <c r="C138" s="93"/>
      <c r="D138" s="93"/>
      <c r="E138" s="93"/>
      <c r="F138" s="93"/>
      <c r="G138" s="95"/>
      <c r="H138" s="93"/>
      <c r="I138" s="93"/>
      <c r="J138" s="93"/>
    </row>
    <row r="139" ht="29.25" customHeight="1">
      <c r="A139" s="93"/>
      <c r="B139" s="95"/>
      <c r="C139" s="93"/>
      <c r="D139" s="93"/>
      <c r="E139" s="93"/>
      <c r="F139" s="93"/>
      <c r="G139" s="95"/>
      <c r="H139" s="93"/>
      <c r="I139" s="93"/>
      <c r="J139" s="93"/>
    </row>
    <row r="140" ht="29.25" customHeight="1">
      <c r="A140" s="93"/>
      <c r="B140" s="95"/>
      <c r="C140" s="93"/>
      <c r="D140" s="93"/>
      <c r="E140" s="93"/>
      <c r="F140" s="93"/>
      <c r="G140" s="95"/>
      <c r="H140" s="93"/>
      <c r="I140" s="93"/>
      <c r="J140" s="93"/>
    </row>
    <row r="141" ht="29.25" customHeight="1">
      <c r="A141" s="93"/>
      <c r="B141" s="95"/>
      <c r="C141" s="93"/>
      <c r="D141" s="93"/>
      <c r="E141" s="93"/>
      <c r="F141" s="93"/>
      <c r="G141" s="95"/>
      <c r="H141" s="93"/>
      <c r="I141" s="93"/>
      <c r="J141" s="93"/>
    </row>
    <row r="142" ht="29.25" customHeight="1">
      <c r="A142" s="93"/>
      <c r="B142" s="95"/>
      <c r="C142" s="93"/>
      <c r="D142" s="93"/>
      <c r="E142" s="93"/>
      <c r="F142" s="93"/>
      <c r="G142" s="95"/>
      <c r="H142" s="93"/>
      <c r="I142" s="93"/>
      <c r="J142" s="93"/>
    </row>
    <row r="143" ht="29.25" customHeight="1">
      <c r="A143" s="93"/>
      <c r="B143" s="95"/>
      <c r="C143" s="93"/>
      <c r="D143" s="93"/>
      <c r="E143" s="93"/>
      <c r="F143" s="93"/>
      <c r="G143" s="95"/>
      <c r="H143" s="93"/>
      <c r="I143" s="93"/>
      <c r="J143" s="93"/>
    </row>
    <row r="144" ht="29.25" customHeight="1">
      <c r="A144" s="93"/>
      <c r="B144" s="95"/>
      <c r="C144" s="93"/>
      <c r="D144" s="93"/>
      <c r="E144" s="93"/>
      <c r="F144" s="93"/>
      <c r="G144" s="95"/>
      <c r="H144" s="93"/>
      <c r="I144" s="93"/>
      <c r="J144" s="93"/>
    </row>
    <row r="145" ht="29.25" customHeight="1">
      <c r="A145" s="93"/>
      <c r="B145" s="95"/>
      <c r="C145" s="93"/>
      <c r="D145" s="93"/>
      <c r="E145" s="93"/>
      <c r="F145" s="93"/>
      <c r="G145" s="95"/>
      <c r="H145" s="93"/>
      <c r="I145" s="93"/>
      <c r="J145" s="93"/>
    </row>
    <row r="146" ht="29.25" customHeight="1">
      <c r="A146" s="93"/>
      <c r="B146" s="95"/>
      <c r="C146" s="93"/>
      <c r="D146" s="93"/>
      <c r="E146" s="93"/>
      <c r="F146" s="93"/>
      <c r="G146" s="95"/>
      <c r="H146" s="93"/>
      <c r="I146" s="93"/>
      <c r="J146" s="93"/>
    </row>
    <row r="147" ht="29.25" customHeight="1">
      <c r="A147" s="93"/>
      <c r="B147" s="95"/>
      <c r="C147" s="93"/>
      <c r="D147" s="93"/>
      <c r="E147" s="93"/>
      <c r="F147" s="93"/>
      <c r="G147" s="95"/>
      <c r="H147" s="93"/>
      <c r="I147" s="93"/>
      <c r="J147" s="93"/>
    </row>
    <row r="148" ht="29.25" customHeight="1">
      <c r="A148" s="93"/>
      <c r="B148" s="95"/>
      <c r="C148" s="93"/>
      <c r="D148" s="93"/>
      <c r="E148" s="93"/>
      <c r="F148" s="93"/>
      <c r="G148" s="95"/>
      <c r="H148" s="93"/>
      <c r="I148" s="93"/>
      <c r="J148" s="93"/>
    </row>
    <row r="149" ht="29.25" customHeight="1">
      <c r="A149" s="93"/>
      <c r="B149" s="95"/>
      <c r="C149" s="93"/>
      <c r="D149" s="93"/>
      <c r="E149" s="93"/>
      <c r="F149" s="93"/>
      <c r="G149" s="95"/>
      <c r="H149" s="93"/>
      <c r="I149" s="93"/>
      <c r="J149" s="93"/>
    </row>
    <row r="150" ht="29.25" customHeight="1">
      <c r="A150" s="93"/>
      <c r="B150" s="95"/>
      <c r="C150" s="93"/>
      <c r="D150" s="93"/>
      <c r="E150" s="93"/>
      <c r="F150" s="93"/>
      <c r="G150" s="95"/>
      <c r="H150" s="93"/>
      <c r="I150" s="93"/>
      <c r="J150" s="93"/>
    </row>
    <row r="151" ht="29.25" customHeight="1">
      <c r="A151" s="93"/>
      <c r="B151" s="95"/>
      <c r="C151" s="93"/>
      <c r="D151" s="93"/>
      <c r="E151" s="93"/>
      <c r="F151" s="93"/>
      <c r="G151" s="95"/>
      <c r="H151" s="93"/>
      <c r="I151" s="93"/>
      <c r="J151" s="93"/>
    </row>
    <row r="152" ht="29.25" customHeight="1">
      <c r="A152" s="93"/>
      <c r="B152" s="95"/>
      <c r="C152" s="93"/>
      <c r="D152" s="93"/>
      <c r="E152" s="93"/>
      <c r="F152" s="93"/>
      <c r="G152" s="95"/>
      <c r="H152" s="93"/>
      <c r="I152" s="93"/>
      <c r="J152" s="93"/>
    </row>
    <row r="153" ht="29.25" customHeight="1">
      <c r="A153" s="93"/>
      <c r="B153" s="95"/>
      <c r="C153" s="93"/>
      <c r="D153" s="93"/>
      <c r="E153" s="93"/>
      <c r="F153" s="93"/>
      <c r="G153" s="95"/>
      <c r="H153" s="93"/>
      <c r="I153" s="93"/>
      <c r="J153" s="93"/>
    </row>
    <row r="154" ht="29.25" customHeight="1">
      <c r="A154" s="93"/>
      <c r="B154" s="95"/>
      <c r="C154" s="93"/>
      <c r="D154" s="93"/>
      <c r="E154" s="93"/>
      <c r="F154" s="93"/>
      <c r="G154" s="95"/>
      <c r="H154" s="93"/>
      <c r="I154" s="93"/>
      <c r="J154" s="93"/>
    </row>
    <row r="155" ht="29.25" customHeight="1">
      <c r="A155" s="93"/>
      <c r="B155" s="95"/>
      <c r="C155" s="93"/>
      <c r="D155" s="93"/>
      <c r="E155" s="93"/>
      <c r="F155" s="93"/>
      <c r="G155" s="95"/>
      <c r="H155" s="93"/>
      <c r="I155" s="93"/>
      <c r="J155" s="93"/>
    </row>
    <row r="156" ht="29.25" customHeight="1">
      <c r="A156" s="93"/>
      <c r="B156" s="95"/>
      <c r="C156" s="93"/>
      <c r="D156" s="93"/>
      <c r="E156" s="93"/>
      <c r="F156" s="93"/>
      <c r="G156" s="95"/>
      <c r="H156" s="93"/>
      <c r="I156" s="93"/>
      <c r="J156" s="93"/>
    </row>
    <row r="157" ht="29.25" customHeight="1">
      <c r="A157" s="93"/>
      <c r="B157" s="95"/>
      <c r="C157" s="93"/>
      <c r="D157" s="93"/>
      <c r="E157" s="93"/>
      <c r="F157" s="93"/>
      <c r="G157" s="95"/>
      <c r="H157" s="93"/>
      <c r="I157" s="93"/>
      <c r="J157" s="93"/>
    </row>
    <row r="158" ht="29.25" customHeight="1">
      <c r="A158" s="93"/>
      <c r="B158" s="95"/>
      <c r="C158" s="93"/>
      <c r="D158" s="93"/>
      <c r="E158" s="93"/>
      <c r="F158" s="93"/>
      <c r="G158" s="95"/>
      <c r="H158" s="93"/>
      <c r="I158" s="93"/>
      <c r="J158" s="93"/>
    </row>
    <row r="159" ht="29.25" customHeight="1">
      <c r="A159" s="93"/>
      <c r="B159" s="95"/>
      <c r="C159" s="93"/>
      <c r="D159" s="93"/>
      <c r="E159" s="93"/>
      <c r="F159" s="93"/>
      <c r="G159" s="95"/>
      <c r="H159" s="93"/>
      <c r="I159" s="93"/>
      <c r="J159" s="93"/>
    </row>
    <row r="160" ht="29.25" customHeight="1">
      <c r="A160" s="93"/>
      <c r="B160" s="95"/>
      <c r="C160" s="93"/>
      <c r="D160" s="93"/>
      <c r="E160" s="93"/>
      <c r="F160" s="93"/>
      <c r="G160" s="95"/>
      <c r="H160" s="93"/>
      <c r="I160" s="93"/>
      <c r="J160" s="93"/>
    </row>
    <row r="161" ht="29.25" customHeight="1">
      <c r="A161" s="93"/>
      <c r="B161" s="95"/>
      <c r="C161" s="93"/>
      <c r="D161" s="93"/>
      <c r="E161" s="93"/>
      <c r="F161" s="93"/>
      <c r="G161" s="95"/>
      <c r="H161" s="93"/>
      <c r="I161" s="93"/>
      <c r="J161" s="93"/>
    </row>
    <row r="162" ht="29.25" customHeight="1">
      <c r="A162" s="93"/>
      <c r="B162" s="95"/>
      <c r="C162" s="93"/>
      <c r="D162" s="93"/>
      <c r="E162" s="93"/>
      <c r="F162" s="93"/>
      <c r="G162" s="95"/>
      <c r="H162" s="93"/>
      <c r="I162" s="93"/>
      <c r="J162" s="93"/>
    </row>
    <row r="163" ht="29.25" customHeight="1">
      <c r="A163" s="93"/>
      <c r="B163" s="95"/>
      <c r="C163" s="93"/>
      <c r="D163" s="93"/>
      <c r="E163" s="93"/>
      <c r="F163" s="93"/>
      <c r="G163" s="95"/>
      <c r="H163" s="93"/>
      <c r="I163" s="93"/>
      <c r="J163" s="93"/>
    </row>
    <row r="164" ht="29.25" customHeight="1">
      <c r="A164" s="93"/>
      <c r="B164" s="95"/>
      <c r="C164" s="93"/>
      <c r="D164" s="93"/>
      <c r="E164" s="93"/>
      <c r="F164" s="93"/>
      <c r="G164" s="95"/>
      <c r="H164" s="93"/>
      <c r="I164" s="93"/>
      <c r="J164" s="93"/>
    </row>
    <row r="165" ht="29.25" customHeight="1">
      <c r="A165" s="93"/>
      <c r="B165" s="95"/>
      <c r="C165" s="93"/>
      <c r="D165" s="93"/>
      <c r="E165" s="93"/>
      <c r="F165" s="93"/>
      <c r="G165" s="95"/>
      <c r="H165" s="93"/>
      <c r="I165" s="93"/>
      <c r="J165" s="93"/>
    </row>
    <row r="166" ht="29.25" customHeight="1">
      <c r="A166" s="93"/>
      <c r="B166" s="95"/>
      <c r="C166" s="93"/>
      <c r="D166" s="93"/>
      <c r="E166" s="93"/>
      <c r="F166" s="93"/>
      <c r="G166" s="95"/>
      <c r="H166" s="93"/>
      <c r="I166" s="93"/>
      <c r="J166" s="93"/>
    </row>
    <row r="167" ht="29.25" customHeight="1">
      <c r="A167" s="93"/>
      <c r="B167" s="95"/>
      <c r="C167" s="93"/>
      <c r="D167" s="93"/>
      <c r="E167" s="93"/>
      <c r="F167" s="93"/>
      <c r="G167" s="95"/>
      <c r="H167" s="93"/>
      <c r="I167" s="93"/>
      <c r="J167" s="93"/>
    </row>
    <row r="168" ht="29.25" customHeight="1">
      <c r="A168" s="93"/>
      <c r="B168" s="95"/>
      <c r="C168" s="93"/>
      <c r="D168" s="93"/>
      <c r="E168" s="93"/>
      <c r="F168" s="93"/>
      <c r="G168" s="95"/>
      <c r="H168" s="93"/>
      <c r="I168" s="93"/>
      <c r="J168" s="93"/>
    </row>
    <row r="169" ht="29.25" customHeight="1">
      <c r="A169" s="93"/>
      <c r="B169" s="95"/>
      <c r="C169" s="93"/>
      <c r="D169" s="93"/>
      <c r="E169" s="93"/>
      <c r="F169" s="93"/>
      <c r="G169" s="95"/>
      <c r="H169" s="93"/>
      <c r="I169" s="93"/>
      <c r="J169" s="93"/>
    </row>
    <row r="170" ht="29.25" customHeight="1">
      <c r="A170" s="93"/>
      <c r="B170" s="95"/>
      <c r="C170" s="93"/>
      <c r="D170" s="93"/>
      <c r="E170" s="93"/>
      <c r="F170" s="93"/>
      <c r="G170" s="95"/>
      <c r="H170" s="93"/>
      <c r="I170" s="93"/>
      <c r="J170" s="93"/>
    </row>
    <row r="171" ht="29.25" customHeight="1">
      <c r="A171" s="93"/>
      <c r="B171" s="95"/>
      <c r="C171" s="93"/>
      <c r="D171" s="93"/>
      <c r="E171" s="93"/>
      <c r="F171" s="93"/>
      <c r="G171" s="95"/>
      <c r="H171" s="93"/>
      <c r="I171" s="93"/>
      <c r="J171" s="93"/>
    </row>
    <row r="172" ht="29.25" customHeight="1">
      <c r="A172" s="93"/>
      <c r="B172" s="95"/>
      <c r="C172" s="93"/>
      <c r="D172" s="93"/>
      <c r="E172" s="93"/>
      <c r="F172" s="93"/>
      <c r="G172" s="95"/>
      <c r="H172" s="93"/>
      <c r="I172" s="93"/>
      <c r="J172" s="93"/>
    </row>
    <row r="173" ht="29.25" customHeight="1">
      <c r="A173" s="93"/>
      <c r="B173" s="95"/>
      <c r="C173" s="93"/>
      <c r="D173" s="93"/>
      <c r="E173" s="93"/>
      <c r="F173" s="93"/>
      <c r="G173" s="95"/>
      <c r="H173" s="93"/>
      <c r="I173" s="93"/>
      <c r="J173" s="93"/>
    </row>
    <row r="174" ht="29.25" customHeight="1">
      <c r="A174" s="93"/>
      <c r="B174" s="95"/>
      <c r="C174" s="93"/>
      <c r="D174" s="93"/>
      <c r="E174" s="93"/>
      <c r="F174" s="93"/>
      <c r="G174" s="95"/>
      <c r="H174" s="93"/>
      <c r="I174" s="93"/>
      <c r="J174" s="93"/>
    </row>
    <row r="175" ht="29.25" customHeight="1">
      <c r="A175" s="93"/>
      <c r="B175" s="95"/>
      <c r="C175" s="93"/>
      <c r="D175" s="93"/>
      <c r="E175" s="93"/>
      <c r="F175" s="93"/>
      <c r="G175" s="95"/>
      <c r="H175" s="93"/>
      <c r="I175" s="93"/>
      <c r="J175" s="93"/>
    </row>
    <row r="176" ht="29.25" customHeight="1">
      <c r="A176" s="93"/>
      <c r="B176" s="95"/>
      <c r="C176" s="93"/>
      <c r="D176" s="93"/>
      <c r="E176" s="93"/>
      <c r="F176" s="93"/>
      <c r="G176" s="95"/>
      <c r="H176" s="93"/>
      <c r="I176" s="93"/>
      <c r="J176" s="93"/>
    </row>
    <row r="177" ht="29.25" customHeight="1">
      <c r="A177" s="93"/>
      <c r="B177" s="95"/>
      <c r="C177" s="93"/>
      <c r="D177" s="93"/>
      <c r="E177" s="93"/>
      <c r="F177" s="93"/>
      <c r="G177" s="95"/>
      <c r="H177" s="93"/>
      <c r="I177" s="93"/>
      <c r="J177" s="93"/>
    </row>
    <row r="178" ht="29.25" customHeight="1">
      <c r="A178" s="93"/>
      <c r="B178" s="95"/>
      <c r="C178" s="93"/>
      <c r="D178" s="93"/>
      <c r="E178" s="93"/>
      <c r="F178" s="93"/>
      <c r="G178" s="95"/>
      <c r="H178" s="93"/>
      <c r="I178" s="93"/>
      <c r="J178" s="93"/>
    </row>
    <row r="179" ht="29.25" customHeight="1">
      <c r="A179" s="93"/>
      <c r="B179" s="95"/>
      <c r="C179" s="93"/>
      <c r="D179" s="93"/>
      <c r="E179" s="93"/>
      <c r="F179" s="93"/>
      <c r="G179" s="95"/>
      <c r="H179" s="93"/>
      <c r="I179" s="93"/>
      <c r="J179" s="93"/>
    </row>
    <row r="180" ht="29.25" customHeight="1">
      <c r="A180" s="93"/>
      <c r="B180" s="95"/>
      <c r="C180" s="93"/>
      <c r="D180" s="93"/>
      <c r="E180" s="93"/>
      <c r="F180" s="93"/>
      <c r="G180" s="95"/>
      <c r="H180" s="93"/>
      <c r="I180" s="93"/>
      <c r="J180" s="93"/>
    </row>
    <row r="181" ht="29.25" customHeight="1">
      <c r="A181" s="93"/>
      <c r="B181" s="95"/>
      <c r="C181" s="93"/>
      <c r="D181" s="93"/>
      <c r="E181" s="93"/>
      <c r="F181" s="93"/>
      <c r="G181" s="95"/>
      <c r="H181" s="93"/>
      <c r="I181" s="93"/>
      <c r="J181" s="93"/>
    </row>
    <row r="182" ht="29.25" customHeight="1">
      <c r="A182" s="93"/>
      <c r="B182" s="95"/>
      <c r="C182" s="93"/>
      <c r="D182" s="93"/>
      <c r="E182" s="93"/>
      <c r="F182" s="93"/>
      <c r="G182" s="95"/>
      <c r="H182" s="93"/>
      <c r="I182" s="93"/>
      <c r="J182" s="93"/>
    </row>
    <row r="183" ht="29.25" customHeight="1">
      <c r="A183" s="93"/>
      <c r="B183" s="95"/>
      <c r="C183" s="93"/>
      <c r="D183" s="93"/>
      <c r="E183" s="93"/>
      <c r="F183" s="93"/>
      <c r="G183" s="95"/>
      <c r="H183" s="93"/>
      <c r="I183" s="93"/>
      <c r="J183" s="93"/>
    </row>
    <row r="184" ht="29.25" customHeight="1">
      <c r="A184" s="93"/>
      <c r="B184" s="95"/>
      <c r="C184" s="93"/>
      <c r="D184" s="93"/>
      <c r="E184" s="93"/>
      <c r="F184" s="93"/>
      <c r="G184" s="95"/>
      <c r="H184" s="93"/>
      <c r="I184" s="93"/>
      <c r="J184" s="93"/>
    </row>
    <row r="185" ht="29.25" customHeight="1">
      <c r="A185" s="93"/>
      <c r="B185" s="95"/>
      <c r="C185" s="93"/>
      <c r="D185" s="93"/>
      <c r="E185" s="93"/>
      <c r="F185" s="93"/>
      <c r="G185" s="95"/>
      <c r="H185" s="93"/>
      <c r="I185" s="93"/>
      <c r="J185" s="93"/>
    </row>
    <row r="186" ht="29.25" customHeight="1">
      <c r="A186" s="93"/>
      <c r="B186" s="95"/>
      <c r="C186" s="93"/>
      <c r="D186" s="93"/>
      <c r="E186" s="93"/>
      <c r="F186" s="93"/>
      <c r="G186" s="95"/>
      <c r="H186" s="93"/>
      <c r="I186" s="93"/>
      <c r="J186" s="93"/>
    </row>
    <row r="187" ht="29.25" customHeight="1">
      <c r="A187" s="93"/>
      <c r="B187" s="95"/>
      <c r="C187" s="93"/>
      <c r="D187" s="93"/>
      <c r="E187" s="93"/>
      <c r="F187" s="93"/>
      <c r="G187" s="95"/>
      <c r="H187" s="93"/>
      <c r="I187" s="93"/>
      <c r="J187" s="93"/>
    </row>
    <row r="188" ht="29.25" customHeight="1">
      <c r="A188" s="93"/>
      <c r="B188" s="95"/>
      <c r="C188" s="93"/>
      <c r="D188" s="93"/>
      <c r="E188" s="93"/>
      <c r="F188" s="93"/>
      <c r="G188" s="95"/>
      <c r="H188" s="93"/>
      <c r="I188" s="93"/>
      <c r="J188" s="93"/>
    </row>
    <row r="189" ht="29.25" customHeight="1">
      <c r="A189" s="93"/>
      <c r="B189" s="95"/>
      <c r="C189" s="93"/>
      <c r="D189" s="93"/>
      <c r="E189" s="93"/>
      <c r="F189" s="93"/>
      <c r="G189" s="95"/>
      <c r="H189" s="93"/>
      <c r="I189" s="93"/>
      <c r="J189" s="93"/>
    </row>
    <row r="190" ht="29.25" customHeight="1">
      <c r="A190" s="93"/>
      <c r="B190" s="95"/>
      <c r="C190" s="93"/>
      <c r="D190" s="93"/>
      <c r="E190" s="93"/>
      <c r="F190" s="93"/>
      <c r="G190" s="95"/>
      <c r="H190" s="93"/>
      <c r="I190" s="93"/>
      <c r="J190" s="93"/>
    </row>
    <row r="191" ht="29.25" customHeight="1">
      <c r="A191" s="93"/>
      <c r="B191" s="95"/>
      <c r="C191" s="93"/>
      <c r="D191" s="93"/>
      <c r="E191" s="93"/>
      <c r="F191" s="93"/>
      <c r="G191" s="95"/>
      <c r="H191" s="93"/>
      <c r="I191" s="93"/>
      <c r="J191" s="93"/>
    </row>
    <row r="192" ht="29.25" customHeight="1">
      <c r="A192" s="93"/>
      <c r="B192" s="95"/>
      <c r="C192" s="93"/>
      <c r="D192" s="93"/>
      <c r="E192" s="93"/>
      <c r="F192" s="93"/>
      <c r="G192" s="95"/>
      <c r="H192" s="93"/>
      <c r="I192" s="93"/>
      <c r="J192" s="93"/>
    </row>
    <row r="193" ht="29.25" customHeight="1">
      <c r="A193" s="93"/>
      <c r="B193" s="95"/>
      <c r="C193" s="93"/>
      <c r="D193" s="93"/>
      <c r="E193" s="93"/>
      <c r="F193" s="93"/>
      <c r="G193" s="95"/>
      <c r="H193" s="93"/>
      <c r="I193" s="93"/>
      <c r="J193" s="93"/>
    </row>
    <row r="194" ht="29.25" customHeight="1">
      <c r="A194" s="93"/>
      <c r="B194" s="95"/>
      <c r="C194" s="93"/>
      <c r="D194" s="93"/>
      <c r="E194" s="93"/>
      <c r="F194" s="93"/>
      <c r="G194" s="95"/>
      <c r="H194" s="93"/>
      <c r="I194" s="93"/>
      <c r="J194" s="93"/>
    </row>
    <row r="195" ht="29.25" customHeight="1">
      <c r="A195" s="93"/>
      <c r="B195" s="95"/>
      <c r="C195" s="93"/>
      <c r="D195" s="93"/>
      <c r="E195" s="93"/>
      <c r="F195" s="93"/>
      <c r="G195" s="95"/>
      <c r="H195" s="93"/>
      <c r="I195" s="93"/>
      <c r="J195" s="93"/>
    </row>
    <row r="196" ht="29.25" customHeight="1">
      <c r="A196" s="93"/>
      <c r="B196" s="95"/>
      <c r="C196" s="93"/>
      <c r="D196" s="93"/>
      <c r="E196" s="93"/>
      <c r="F196" s="93"/>
      <c r="G196" s="95"/>
      <c r="H196" s="93"/>
      <c r="I196" s="93"/>
      <c r="J196" s="93"/>
    </row>
    <row r="197" ht="29.25" customHeight="1">
      <c r="A197" s="93"/>
      <c r="B197" s="95"/>
      <c r="C197" s="93"/>
      <c r="D197" s="93"/>
      <c r="E197" s="93"/>
      <c r="F197" s="93"/>
      <c r="G197" s="95"/>
      <c r="H197" s="93"/>
      <c r="I197" s="93"/>
      <c r="J197" s="93"/>
    </row>
    <row r="198" ht="29.25" customHeight="1">
      <c r="A198" s="93"/>
      <c r="B198" s="95"/>
      <c r="C198" s="93"/>
      <c r="D198" s="93"/>
      <c r="E198" s="93"/>
      <c r="F198" s="93"/>
      <c r="G198" s="95"/>
      <c r="H198" s="93"/>
      <c r="I198" s="93"/>
      <c r="J198" s="93"/>
    </row>
    <row r="199" ht="29.25" customHeight="1">
      <c r="A199" s="93"/>
      <c r="B199" s="95"/>
      <c r="C199" s="93"/>
      <c r="D199" s="93"/>
      <c r="E199" s="93"/>
      <c r="F199" s="93"/>
      <c r="G199" s="95"/>
      <c r="H199" s="93"/>
      <c r="I199" s="93"/>
      <c r="J199" s="93"/>
    </row>
    <row r="200" ht="29.25" customHeight="1">
      <c r="A200" s="93"/>
      <c r="B200" s="95"/>
      <c r="C200" s="93"/>
      <c r="D200" s="93"/>
      <c r="E200" s="93"/>
      <c r="F200" s="93"/>
      <c r="G200" s="95"/>
      <c r="H200" s="93"/>
      <c r="I200" s="93"/>
      <c r="J200" s="93"/>
    </row>
    <row r="201" ht="29.25" customHeight="1">
      <c r="A201" s="93"/>
      <c r="B201" s="95"/>
      <c r="C201" s="93"/>
      <c r="D201" s="93"/>
      <c r="E201" s="93"/>
      <c r="F201" s="93"/>
      <c r="G201" s="95"/>
      <c r="H201" s="93"/>
      <c r="I201" s="93"/>
      <c r="J201" s="93"/>
    </row>
    <row r="202" ht="29.25" customHeight="1">
      <c r="A202" s="93"/>
      <c r="B202" s="95"/>
      <c r="C202" s="93"/>
      <c r="D202" s="93"/>
      <c r="E202" s="93"/>
      <c r="F202" s="93"/>
      <c r="G202" s="95"/>
      <c r="H202" s="93"/>
      <c r="I202" s="93"/>
      <c r="J202" s="93"/>
    </row>
    <row r="203" ht="29.25" customHeight="1">
      <c r="A203" s="93"/>
      <c r="B203" s="95"/>
      <c r="C203" s="93"/>
      <c r="D203" s="93"/>
      <c r="E203" s="93"/>
      <c r="F203" s="93"/>
      <c r="G203" s="95"/>
      <c r="H203" s="93"/>
      <c r="I203" s="93"/>
      <c r="J203" s="93"/>
    </row>
    <row r="204" ht="29.25" customHeight="1">
      <c r="A204" s="93"/>
      <c r="B204" s="95"/>
      <c r="C204" s="93"/>
      <c r="D204" s="93"/>
      <c r="E204" s="93"/>
      <c r="F204" s="93"/>
      <c r="G204" s="95"/>
      <c r="H204" s="93"/>
      <c r="I204" s="93"/>
      <c r="J204" s="93"/>
    </row>
    <row r="205" ht="29.25" customHeight="1">
      <c r="A205" s="93"/>
      <c r="B205" s="95"/>
      <c r="C205" s="93"/>
      <c r="D205" s="93"/>
      <c r="E205" s="93"/>
      <c r="F205" s="93"/>
      <c r="G205" s="95"/>
      <c r="H205" s="93"/>
      <c r="I205" s="93"/>
      <c r="J205" s="93"/>
    </row>
    <row r="206" ht="29.25" customHeight="1">
      <c r="A206" s="93"/>
      <c r="B206" s="95"/>
      <c r="C206" s="93"/>
      <c r="D206" s="93"/>
      <c r="E206" s="93"/>
      <c r="F206" s="93"/>
      <c r="G206" s="95"/>
      <c r="H206" s="93"/>
      <c r="I206" s="93"/>
      <c r="J206" s="93"/>
    </row>
    <row r="207" ht="29.25" customHeight="1">
      <c r="A207" s="93"/>
      <c r="B207" s="95"/>
      <c r="C207" s="93"/>
      <c r="D207" s="93"/>
      <c r="E207" s="93"/>
      <c r="F207" s="93"/>
      <c r="G207" s="95"/>
      <c r="H207" s="93"/>
      <c r="I207" s="93"/>
      <c r="J207" s="93"/>
    </row>
    <row r="208" ht="29.25" customHeight="1">
      <c r="A208" s="93"/>
      <c r="B208" s="95"/>
      <c r="C208" s="93"/>
      <c r="D208" s="93"/>
      <c r="E208" s="93"/>
      <c r="F208" s="93"/>
      <c r="G208" s="95"/>
      <c r="H208" s="93"/>
      <c r="I208" s="93"/>
      <c r="J208" s="93"/>
    </row>
    <row r="209" ht="29.25" customHeight="1">
      <c r="A209" s="93"/>
      <c r="B209" s="95"/>
      <c r="C209" s="93"/>
      <c r="D209" s="93"/>
      <c r="E209" s="93"/>
      <c r="F209" s="93"/>
      <c r="G209" s="95"/>
      <c r="H209" s="93"/>
      <c r="I209" s="93"/>
      <c r="J209" s="93"/>
    </row>
    <row r="210" ht="29.25" customHeight="1">
      <c r="A210" s="93"/>
      <c r="B210" s="95"/>
      <c r="C210" s="93"/>
      <c r="D210" s="93"/>
      <c r="E210" s="93"/>
      <c r="F210" s="93"/>
      <c r="G210" s="95"/>
      <c r="H210" s="93"/>
      <c r="I210" s="93"/>
      <c r="J210" s="93"/>
    </row>
    <row r="211" ht="29.25" customHeight="1">
      <c r="A211" s="93"/>
      <c r="B211" s="95"/>
      <c r="C211" s="93"/>
      <c r="D211" s="93"/>
      <c r="E211" s="93"/>
      <c r="F211" s="93"/>
      <c r="G211" s="95"/>
      <c r="H211" s="93"/>
      <c r="I211" s="93"/>
      <c r="J211" s="93"/>
    </row>
    <row r="212" ht="29.25" customHeight="1">
      <c r="A212" s="93"/>
      <c r="B212" s="95"/>
      <c r="C212" s="93"/>
      <c r="D212" s="93"/>
      <c r="E212" s="93"/>
      <c r="F212" s="93"/>
      <c r="G212" s="95"/>
      <c r="H212" s="93"/>
      <c r="I212" s="93"/>
      <c r="J212" s="93"/>
    </row>
    <row r="213" ht="29.25" customHeight="1">
      <c r="A213" s="93"/>
      <c r="B213" s="95"/>
      <c r="C213" s="93"/>
      <c r="D213" s="93"/>
      <c r="E213" s="93"/>
      <c r="F213" s="93"/>
      <c r="G213" s="95"/>
      <c r="H213" s="93"/>
      <c r="I213" s="93"/>
      <c r="J213" s="93"/>
    </row>
    <row r="214" ht="29.25" customHeight="1">
      <c r="A214" s="93"/>
      <c r="B214" s="95"/>
      <c r="C214" s="93"/>
      <c r="D214" s="93"/>
      <c r="E214" s="93"/>
      <c r="F214" s="93"/>
      <c r="G214" s="95"/>
      <c r="H214" s="93"/>
      <c r="I214" s="93"/>
      <c r="J214" s="93"/>
    </row>
    <row r="215" ht="29.25" customHeight="1">
      <c r="A215" s="93"/>
      <c r="B215" s="95"/>
      <c r="C215" s="93"/>
      <c r="D215" s="93"/>
      <c r="E215" s="93"/>
      <c r="F215" s="93"/>
      <c r="G215" s="95"/>
      <c r="H215" s="93"/>
      <c r="I215" s="93"/>
      <c r="J215" s="93"/>
    </row>
    <row r="216" ht="29.25" customHeight="1">
      <c r="A216" s="93"/>
      <c r="B216" s="95"/>
      <c r="C216" s="93"/>
      <c r="D216" s="93"/>
      <c r="E216" s="93"/>
      <c r="F216" s="93"/>
      <c r="G216" s="95"/>
      <c r="H216" s="93"/>
      <c r="I216" s="93"/>
      <c r="J216" s="93"/>
    </row>
    <row r="217" ht="29.25" customHeight="1">
      <c r="A217" s="93"/>
      <c r="B217" s="95"/>
      <c r="C217" s="93"/>
      <c r="D217" s="93"/>
      <c r="E217" s="93"/>
      <c r="F217" s="93"/>
      <c r="G217" s="95"/>
      <c r="H217" s="93"/>
      <c r="I217" s="93"/>
      <c r="J217" s="93"/>
    </row>
    <row r="218" ht="29.25" customHeight="1">
      <c r="A218" s="93"/>
      <c r="B218" s="95"/>
      <c r="C218" s="93"/>
      <c r="D218" s="93"/>
      <c r="E218" s="93"/>
      <c r="F218" s="93"/>
      <c r="G218" s="95"/>
      <c r="H218" s="93"/>
      <c r="I218" s="93"/>
      <c r="J218" s="93"/>
    </row>
    <row r="219" ht="29.25" customHeight="1">
      <c r="A219" s="93"/>
      <c r="B219" s="95"/>
      <c r="C219" s="93"/>
      <c r="D219" s="93"/>
      <c r="E219" s="93"/>
      <c r="F219" s="93"/>
      <c r="G219" s="95"/>
      <c r="H219" s="93"/>
      <c r="I219" s="93"/>
      <c r="J219" s="93"/>
    </row>
    <row r="220" ht="29.25" customHeight="1">
      <c r="A220" s="93"/>
      <c r="B220" s="95"/>
      <c r="C220" s="93"/>
      <c r="D220" s="93"/>
      <c r="E220" s="93"/>
      <c r="F220" s="93"/>
      <c r="G220" s="95"/>
      <c r="H220" s="93"/>
      <c r="I220" s="93"/>
      <c r="J220" s="93"/>
    </row>
    <row r="221" ht="29.25" customHeight="1">
      <c r="A221" s="93"/>
      <c r="B221" s="95"/>
      <c r="C221" s="93"/>
      <c r="D221" s="93"/>
      <c r="E221" s="93"/>
      <c r="F221" s="93"/>
      <c r="G221" s="95"/>
      <c r="H221" s="93"/>
      <c r="I221" s="93"/>
      <c r="J221" s="93"/>
    </row>
    <row r="222" ht="29.25" customHeight="1">
      <c r="A222" s="93"/>
      <c r="B222" s="95"/>
      <c r="C222" s="93"/>
      <c r="D222" s="93"/>
      <c r="E222" s="93"/>
      <c r="F222" s="93"/>
      <c r="G222" s="95"/>
      <c r="H222" s="93"/>
      <c r="I222" s="93"/>
      <c r="J222" s="93"/>
    </row>
    <row r="223" ht="29.25" customHeight="1">
      <c r="A223" s="93"/>
      <c r="B223" s="95"/>
      <c r="C223" s="93"/>
      <c r="D223" s="93"/>
      <c r="E223" s="93"/>
      <c r="F223" s="93"/>
      <c r="G223" s="95"/>
      <c r="H223" s="93"/>
      <c r="I223" s="93"/>
      <c r="J223" s="93"/>
    </row>
    <row r="224" ht="29.25" customHeight="1">
      <c r="A224" s="93"/>
      <c r="B224" s="95"/>
      <c r="C224" s="93"/>
      <c r="D224" s="93"/>
      <c r="E224" s="93"/>
      <c r="F224" s="93"/>
      <c r="G224" s="95"/>
      <c r="H224" s="93"/>
      <c r="I224" s="93"/>
      <c r="J224" s="93"/>
    </row>
    <row r="225" ht="29.25" customHeight="1">
      <c r="A225" s="93"/>
      <c r="B225" s="95"/>
      <c r="C225" s="93"/>
      <c r="D225" s="93"/>
      <c r="E225" s="93"/>
      <c r="F225" s="93"/>
      <c r="G225" s="95"/>
      <c r="H225" s="93"/>
      <c r="I225" s="93"/>
      <c r="J225" s="93"/>
    </row>
    <row r="226" ht="29.25" customHeight="1">
      <c r="A226" s="93"/>
      <c r="B226" s="95"/>
      <c r="C226" s="93"/>
      <c r="D226" s="93"/>
      <c r="E226" s="93"/>
      <c r="F226" s="93"/>
      <c r="G226" s="95"/>
      <c r="H226" s="93"/>
      <c r="I226" s="93"/>
      <c r="J226" s="93"/>
    </row>
    <row r="227" ht="29.25" customHeight="1">
      <c r="A227" s="93"/>
      <c r="B227" s="95"/>
      <c r="C227" s="93"/>
      <c r="D227" s="93"/>
      <c r="E227" s="93"/>
      <c r="F227" s="93"/>
      <c r="G227" s="95"/>
      <c r="H227" s="93"/>
      <c r="I227" s="93"/>
      <c r="J227" s="93"/>
    </row>
    <row r="228" ht="29.25" customHeight="1">
      <c r="A228" s="93"/>
      <c r="B228" s="95"/>
      <c r="C228" s="93"/>
      <c r="D228" s="93"/>
      <c r="E228" s="93"/>
      <c r="F228" s="93"/>
      <c r="G228" s="95"/>
      <c r="H228" s="93"/>
      <c r="I228" s="93"/>
      <c r="J228" s="93"/>
    </row>
    <row r="229" ht="29.25" customHeight="1">
      <c r="A229" s="93"/>
      <c r="B229" s="95"/>
      <c r="C229" s="93"/>
      <c r="D229" s="93"/>
      <c r="E229" s="93"/>
      <c r="F229" s="93"/>
      <c r="G229" s="95"/>
      <c r="H229" s="93"/>
      <c r="I229" s="93"/>
      <c r="J229" s="93"/>
    </row>
    <row r="230" ht="29.25" customHeight="1">
      <c r="A230" s="93"/>
      <c r="B230" s="95"/>
      <c r="C230" s="93"/>
      <c r="D230" s="93"/>
      <c r="E230" s="93"/>
      <c r="F230" s="93"/>
      <c r="G230" s="95"/>
      <c r="H230" s="93"/>
      <c r="I230" s="93"/>
      <c r="J230" s="93"/>
    </row>
    <row r="231" ht="29.25" customHeight="1">
      <c r="A231" s="93"/>
      <c r="B231" s="95"/>
      <c r="C231" s="93"/>
      <c r="D231" s="93"/>
      <c r="E231" s="93"/>
      <c r="F231" s="93"/>
      <c r="G231" s="95"/>
      <c r="H231" s="93"/>
      <c r="I231" s="93"/>
      <c r="J231" s="93"/>
    </row>
    <row r="232" ht="29.25" customHeight="1">
      <c r="A232" s="93"/>
      <c r="B232" s="95"/>
      <c r="C232" s="93"/>
      <c r="D232" s="93"/>
      <c r="E232" s="93"/>
      <c r="F232" s="93"/>
      <c r="G232" s="95"/>
      <c r="H232" s="93"/>
      <c r="I232" s="93"/>
      <c r="J232" s="93"/>
    </row>
    <row r="233" ht="29.25" customHeight="1">
      <c r="A233" s="93"/>
      <c r="B233" s="95"/>
      <c r="C233" s="93"/>
      <c r="D233" s="93"/>
      <c r="E233" s="93"/>
      <c r="F233" s="93"/>
      <c r="G233" s="95"/>
      <c r="H233" s="93"/>
      <c r="I233" s="93"/>
      <c r="J233" s="93"/>
    </row>
    <row r="234" ht="29.25" customHeight="1">
      <c r="A234" s="93"/>
      <c r="B234" s="95"/>
      <c r="C234" s="93"/>
      <c r="D234" s="93"/>
      <c r="E234" s="93"/>
      <c r="F234" s="93"/>
      <c r="G234" s="95"/>
      <c r="H234" s="93"/>
      <c r="I234" s="93"/>
      <c r="J234" s="93"/>
    </row>
    <row r="235" ht="29.25" customHeight="1">
      <c r="A235" s="93"/>
      <c r="B235" s="95"/>
      <c r="C235" s="93"/>
      <c r="D235" s="93"/>
      <c r="E235" s="93"/>
      <c r="F235" s="93"/>
      <c r="G235" s="95"/>
      <c r="H235" s="93"/>
      <c r="I235" s="93"/>
      <c r="J235" s="93"/>
    </row>
    <row r="236" ht="29.25" customHeight="1">
      <c r="A236" s="93"/>
      <c r="B236" s="95"/>
      <c r="C236" s="93"/>
      <c r="D236" s="93"/>
      <c r="E236" s="93"/>
      <c r="F236" s="93"/>
      <c r="G236" s="95"/>
      <c r="H236" s="93"/>
      <c r="I236" s="93"/>
      <c r="J236" s="93"/>
    </row>
    <row r="237" ht="29.25" customHeight="1">
      <c r="A237" s="93"/>
      <c r="B237" s="95"/>
      <c r="C237" s="93"/>
      <c r="D237" s="93"/>
      <c r="E237" s="93"/>
      <c r="F237" s="93"/>
      <c r="G237" s="95"/>
      <c r="H237" s="93"/>
      <c r="I237" s="93"/>
      <c r="J237" s="93"/>
    </row>
    <row r="238" ht="29.25" customHeight="1">
      <c r="A238" s="93"/>
      <c r="B238" s="95"/>
      <c r="C238" s="93"/>
      <c r="D238" s="93"/>
      <c r="E238" s="93"/>
      <c r="F238" s="93"/>
      <c r="G238" s="95"/>
      <c r="H238" s="93"/>
      <c r="I238" s="93"/>
      <c r="J238" s="93"/>
    </row>
    <row r="239" ht="29.25" customHeight="1">
      <c r="A239" s="93"/>
      <c r="B239" s="95"/>
      <c r="C239" s="93"/>
      <c r="D239" s="93"/>
      <c r="E239" s="93"/>
      <c r="F239" s="93"/>
      <c r="G239" s="95"/>
      <c r="H239" s="93"/>
      <c r="I239" s="93"/>
      <c r="J239" s="93"/>
    </row>
    <row r="240" ht="29.25" customHeight="1">
      <c r="A240" s="93"/>
      <c r="B240" s="95"/>
      <c r="C240" s="93"/>
      <c r="D240" s="93"/>
      <c r="E240" s="93"/>
      <c r="F240" s="93"/>
      <c r="G240" s="95"/>
      <c r="H240" s="93"/>
      <c r="I240" s="93"/>
      <c r="J240" s="93"/>
    </row>
    <row r="241" ht="29.25" customHeight="1">
      <c r="A241" s="93"/>
      <c r="B241" s="95"/>
      <c r="C241" s="93"/>
      <c r="D241" s="93"/>
      <c r="E241" s="93"/>
      <c r="F241" s="93"/>
      <c r="G241" s="95"/>
      <c r="H241" s="93"/>
      <c r="I241" s="93"/>
      <c r="J241" s="93"/>
    </row>
    <row r="242" ht="29.25" customHeight="1">
      <c r="A242" s="93"/>
      <c r="B242" s="95"/>
      <c r="C242" s="93"/>
      <c r="D242" s="93"/>
      <c r="E242" s="93"/>
      <c r="F242" s="93"/>
      <c r="G242" s="95"/>
      <c r="H242" s="93"/>
      <c r="I242" s="93"/>
      <c r="J242" s="93"/>
    </row>
    <row r="243" ht="29.25" customHeight="1">
      <c r="A243" s="93"/>
      <c r="B243" s="95"/>
      <c r="C243" s="93"/>
      <c r="D243" s="93"/>
      <c r="E243" s="93"/>
      <c r="F243" s="93"/>
      <c r="G243" s="95"/>
      <c r="H243" s="93"/>
      <c r="I243" s="93"/>
      <c r="J243" s="93"/>
    </row>
    <row r="244" ht="29.25" customHeight="1">
      <c r="A244" s="93"/>
      <c r="B244" s="95"/>
      <c r="C244" s="93"/>
      <c r="D244" s="93"/>
      <c r="E244" s="93"/>
      <c r="F244" s="93"/>
      <c r="G244" s="95"/>
      <c r="H244" s="93"/>
      <c r="I244" s="93"/>
      <c r="J244" s="93"/>
    </row>
    <row r="245" ht="29.25" customHeight="1">
      <c r="A245" s="93"/>
      <c r="B245" s="95"/>
      <c r="C245" s="93"/>
      <c r="D245" s="93"/>
      <c r="E245" s="93"/>
      <c r="F245" s="93"/>
      <c r="G245" s="95"/>
      <c r="H245" s="93"/>
      <c r="I245" s="93"/>
      <c r="J245" s="93"/>
    </row>
    <row r="246" ht="29.25" customHeight="1">
      <c r="A246" s="93"/>
      <c r="B246" s="95"/>
      <c r="C246" s="93"/>
      <c r="D246" s="93"/>
      <c r="E246" s="93"/>
      <c r="F246" s="93"/>
      <c r="G246" s="95"/>
      <c r="H246" s="93"/>
      <c r="I246" s="93"/>
      <c r="J246" s="93"/>
    </row>
    <row r="247" ht="29.25" customHeight="1">
      <c r="A247" s="93"/>
      <c r="B247" s="95"/>
      <c r="C247" s="93"/>
      <c r="D247" s="93"/>
      <c r="E247" s="93"/>
      <c r="F247" s="93"/>
      <c r="G247" s="95"/>
      <c r="H247" s="93"/>
      <c r="I247" s="93"/>
      <c r="J247" s="93"/>
    </row>
    <row r="248" ht="29.25" customHeight="1">
      <c r="A248" s="93"/>
      <c r="B248" s="95"/>
      <c r="C248" s="93"/>
      <c r="D248" s="93"/>
      <c r="E248" s="93"/>
      <c r="F248" s="93"/>
      <c r="G248" s="95"/>
      <c r="H248" s="93"/>
      <c r="I248" s="93"/>
      <c r="J248" s="93"/>
    </row>
    <row r="249" ht="29.25" customHeight="1">
      <c r="A249" s="93"/>
      <c r="B249" s="95"/>
      <c r="C249" s="93"/>
      <c r="D249" s="93"/>
      <c r="E249" s="93"/>
      <c r="F249" s="93"/>
      <c r="G249" s="95"/>
      <c r="H249" s="93"/>
      <c r="I249" s="93"/>
      <c r="J249" s="93"/>
    </row>
    <row r="250" ht="29.25" customHeight="1">
      <c r="A250" s="93"/>
      <c r="B250" s="95"/>
      <c r="C250" s="93"/>
      <c r="D250" s="93"/>
      <c r="E250" s="93"/>
      <c r="F250" s="93"/>
      <c r="G250" s="95"/>
      <c r="H250" s="93"/>
      <c r="I250" s="93"/>
      <c r="J250" s="93"/>
    </row>
    <row r="251" ht="29.25" customHeight="1">
      <c r="A251" s="93"/>
      <c r="B251" s="95"/>
      <c r="C251" s="93"/>
      <c r="D251" s="93"/>
      <c r="E251" s="93"/>
      <c r="F251" s="93"/>
      <c r="G251" s="95"/>
      <c r="H251" s="93"/>
      <c r="I251" s="93"/>
      <c r="J251" s="93"/>
    </row>
    <row r="252" ht="29.25" customHeight="1">
      <c r="A252" s="93"/>
      <c r="B252" s="95"/>
      <c r="C252" s="93"/>
      <c r="D252" s="93"/>
      <c r="E252" s="93"/>
      <c r="F252" s="93"/>
      <c r="G252" s="95"/>
      <c r="H252" s="93"/>
      <c r="I252" s="93"/>
      <c r="J252" s="93"/>
    </row>
    <row r="253" ht="29.25" customHeight="1">
      <c r="A253" s="93"/>
      <c r="B253" s="95"/>
      <c r="C253" s="93"/>
      <c r="D253" s="93"/>
      <c r="E253" s="93"/>
      <c r="F253" s="93"/>
      <c r="G253" s="95"/>
      <c r="H253" s="93"/>
      <c r="I253" s="93"/>
      <c r="J253" s="93"/>
    </row>
    <row r="254" ht="29.25" customHeight="1">
      <c r="A254" s="93"/>
      <c r="B254" s="95"/>
      <c r="C254" s="93"/>
      <c r="D254" s="93"/>
      <c r="E254" s="93"/>
      <c r="F254" s="93"/>
      <c r="G254" s="95"/>
      <c r="H254" s="93"/>
      <c r="I254" s="93"/>
      <c r="J254" s="93"/>
    </row>
    <row r="255" ht="29.25" customHeight="1">
      <c r="A255" s="93"/>
      <c r="B255" s="95"/>
      <c r="C255" s="93"/>
      <c r="D255" s="93"/>
      <c r="E255" s="93"/>
      <c r="F255" s="93"/>
      <c r="G255" s="95"/>
      <c r="H255" s="93"/>
      <c r="I255" s="93"/>
      <c r="J255" s="93"/>
    </row>
    <row r="256" ht="29.25" customHeight="1">
      <c r="A256" s="93"/>
      <c r="B256" s="95"/>
      <c r="C256" s="93"/>
      <c r="D256" s="93"/>
      <c r="E256" s="93"/>
      <c r="F256" s="93"/>
      <c r="G256" s="95"/>
      <c r="H256" s="93"/>
      <c r="I256" s="93"/>
      <c r="J256" s="93"/>
    </row>
    <row r="257" ht="29.25" customHeight="1">
      <c r="A257" s="93"/>
      <c r="B257" s="95"/>
      <c r="C257" s="93"/>
      <c r="D257" s="93"/>
      <c r="E257" s="93"/>
      <c r="F257" s="93"/>
      <c r="G257" s="95"/>
      <c r="H257" s="93"/>
      <c r="I257" s="93"/>
      <c r="J257" s="93"/>
    </row>
    <row r="258" ht="29.25" customHeight="1">
      <c r="A258" s="93"/>
      <c r="B258" s="95"/>
      <c r="C258" s="93"/>
      <c r="D258" s="93"/>
      <c r="E258" s="93"/>
      <c r="F258" s="93"/>
      <c r="G258" s="95"/>
      <c r="H258" s="93"/>
      <c r="I258" s="93"/>
      <c r="J258" s="93"/>
    </row>
    <row r="259" ht="29.25" customHeight="1">
      <c r="A259" s="93"/>
      <c r="B259" s="95"/>
      <c r="C259" s="93"/>
      <c r="D259" s="93"/>
      <c r="E259" s="93"/>
      <c r="F259" s="93"/>
      <c r="G259" s="95"/>
      <c r="H259" s="93"/>
      <c r="I259" s="93"/>
      <c r="J259" s="93"/>
    </row>
    <row r="260" ht="29.25" customHeight="1">
      <c r="A260" s="93"/>
      <c r="B260" s="95"/>
      <c r="C260" s="93"/>
      <c r="D260" s="93"/>
      <c r="E260" s="93"/>
      <c r="F260" s="93"/>
      <c r="G260" s="95"/>
      <c r="H260" s="93"/>
      <c r="I260" s="93"/>
      <c r="J260" s="93"/>
    </row>
    <row r="261" ht="29.25" customHeight="1">
      <c r="A261" s="93"/>
      <c r="B261" s="95"/>
      <c r="C261" s="93"/>
      <c r="D261" s="93"/>
      <c r="E261" s="93"/>
      <c r="F261" s="93"/>
      <c r="G261" s="95"/>
      <c r="H261" s="93"/>
      <c r="I261" s="93"/>
      <c r="J261" s="93"/>
    </row>
    <row r="262" ht="29.25" customHeight="1">
      <c r="A262" s="93"/>
      <c r="B262" s="95"/>
      <c r="C262" s="93"/>
      <c r="D262" s="93"/>
      <c r="E262" s="93"/>
      <c r="F262" s="93"/>
      <c r="G262" s="95"/>
      <c r="H262" s="93"/>
      <c r="I262" s="93"/>
      <c r="J262" s="93"/>
    </row>
    <row r="263" ht="29.25" customHeight="1">
      <c r="A263" s="93"/>
      <c r="B263" s="95"/>
      <c r="C263" s="93"/>
      <c r="D263" s="93"/>
      <c r="E263" s="93"/>
      <c r="F263" s="93"/>
      <c r="G263" s="95"/>
      <c r="H263" s="93"/>
      <c r="I263" s="93"/>
      <c r="J263" s="93"/>
    </row>
    <row r="264" ht="29.25" customHeight="1">
      <c r="A264" s="93"/>
      <c r="B264" s="95"/>
      <c r="C264" s="93"/>
      <c r="D264" s="93"/>
      <c r="E264" s="93"/>
      <c r="F264" s="93"/>
      <c r="G264" s="95"/>
      <c r="H264" s="93"/>
      <c r="I264" s="93"/>
      <c r="J264" s="93"/>
    </row>
    <row r="265" ht="29.25" customHeight="1">
      <c r="A265" s="93"/>
      <c r="B265" s="95"/>
      <c r="C265" s="93"/>
      <c r="D265" s="93"/>
      <c r="E265" s="93"/>
      <c r="F265" s="93"/>
      <c r="G265" s="95"/>
      <c r="H265" s="93"/>
      <c r="I265" s="93"/>
      <c r="J265" s="93"/>
    </row>
    <row r="266" ht="29.25" customHeight="1">
      <c r="A266" s="93"/>
      <c r="B266" s="95"/>
      <c r="C266" s="93"/>
      <c r="D266" s="93"/>
      <c r="E266" s="93"/>
      <c r="F266" s="93"/>
      <c r="G266" s="95"/>
      <c r="H266" s="93"/>
      <c r="I266" s="93"/>
      <c r="J266" s="93"/>
    </row>
    <row r="267" ht="29.25" customHeight="1">
      <c r="A267" s="93"/>
      <c r="B267" s="95"/>
      <c r="C267" s="93"/>
      <c r="D267" s="93"/>
      <c r="E267" s="93"/>
      <c r="F267" s="93"/>
      <c r="G267" s="95"/>
      <c r="H267" s="93"/>
      <c r="I267" s="93"/>
      <c r="J267" s="93"/>
    </row>
    <row r="268" ht="29.25" customHeight="1">
      <c r="A268" s="93"/>
      <c r="B268" s="95"/>
      <c r="C268" s="93"/>
      <c r="D268" s="93"/>
      <c r="E268" s="93"/>
      <c r="F268" s="93"/>
      <c r="G268" s="95"/>
      <c r="H268" s="93"/>
      <c r="I268" s="93"/>
      <c r="J268" s="93"/>
    </row>
    <row r="269" ht="29.25" customHeight="1">
      <c r="A269" s="93"/>
      <c r="B269" s="95"/>
      <c r="C269" s="93"/>
      <c r="D269" s="93"/>
      <c r="E269" s="93"/>
      <c r="F269" s="93"/>
      <c r="G269" s="95"/>
      <c r="H269" s="93"/>
      <c r="I269" s="93"/>
      <c r="J269" s="93"/>
    </row>
    <row r="270" ht="29.25" customHeight="1">
      <c r="A270" s="93"/>
      <c r="B270" s="95"/>
      <c r="C270" s="93"/>
      <c r="D270" s="93"/>
      <c r="E270" s="93"/>
      <c r="F270" s="93"/>
      <c r="G270" s="95"/>
      <c r="H270" s="93"/>
      <c r="I270" s="93"/>
      <c r="J270" s="93"/>
    </row>
    <row r="271" ht="29.25" customHeight="1">
      <c r="A271" s="93"/>
      <c r="B271" s="95"/>
      <c r="C271" s="93"/>
      <c r="D271" s="93"/>
      <c r="E271" s="93"/>
      <c r="F271" s="93"/>
      <c r="G271" s="95"/>
      <c r="H271" s="93"/>
      <c r="I271" s="93"/>
      <c r="J271" s="93"/>
    </row>
    <row r="272" ht="29.25" customHeight="1">
      <c r="A272" s="93"/>
      <c r="B272" s="95"/>
      <c r="C272" s="93"/>
      <c r="D272" s="93"/>
      <c r="E272" s="93"/>
      <c r="F272" s="93"/>
      <c r="G272" s="95"/>
      <c r="H272" s="93"/>
      <c r="I272" s="93"/>
      <c r="J272" s="93"/>
    </row>
    <row r="273" ht="29.25" customHeight="1">
      <c r="A273" s="93"/>
      <c r="B273" s="95"/>
      <c r="C273" s="93"/>
      <c r="D273" s="93"/>
      <c r="E273" s="93"/>
      <c r="F273" s="93"/>
      <c r="G273" s="95"/>
      <c r="H273" s="93"/>
      <c r="I273" s="93"/>
      <c r="J273" s="93"/>
    </row>
    <row r="274" ht="29.25" customHeight="1">
      <c r="A274" s="93"/>
      <c r="B274" s="95"/>
      <c r="C274" s="93"/>
      <c r="D274" s="93"/>
      <c r="E274" s="93"/>
      <c r="F274" s="93"/>
      <c r="G274" s="95"/>
      <c r="H274" s="93"/>
      <c r="I274" s="93"/>
      <c r="J274" s="93"/>
    </row>
    <row r="275" ht="29.25" customHeight="1">
      <c r="A275" s="93"/>
      <c r="B275" s="95"/>
      <c r="C275" s="93"/>
      <c r="D275" s="93"/>
      <c r="E275" s="93"/>
      <c r="F275" s="93"/>
      <c r="G275" s="95"/>
      <c r="H275" s="93"/>
      <c r="I275" s="93"/>
      <c r="J275" s="93"/>
    </row>
    <row r="276" ht="29.25" customHeight="1">
      <c r="A276" s="93"/>
      <c r="B276" s="95"/>
      <c r="C276" s="93"/>
      <c r="D276" s="93"/>
      <c r="E276" s="93"/>
      <c r="F276" s="93"/>
      <c r="G276" s="95"/>
      <c r="H276" s="93"/>
      <c r="I276" s="93"/>
      <c r="J276" s="93"/>
    </row>
    <row r="277" ht="29.25" customHeight="1">
      <c r="A277" s="93"/>
      <c r="B277" s="95"/>
      <c r="C277" s="93"/>
      <c r="D277" s="93"/>
      <c r="E277" s="93"/>
      <c r="F277" s="93"/>
      <c r="G277" s="95"/>
      <c r="H277" s="93"/>
      <c r="I277" s="93"/>
      <c r="J277" s="93"/>
    </row>
    <row r="278" ht="29.25" customHeight="1">
      <c r="A278" s="93"/>
      <c r="B278" s="95"/>
      <c r="C278" s="93"/>
      <c r="D278" s="93"/>
      <c r="E278" s="93"/>
      <c r="F278" s="93"/>
      <c r="G278" s="95"/>
      <c r="H278" s="93"/>
      <c r="I278" s="93"/>
      <c r="J278" s="93"/>
    </row>
    <row r="279" ht="29.25" customHeight="1">
      <c r="A279" s="93"/>
      <c r="B279" s="95"/>
      <c r="C279" s="93"/>
      <c r="D279" s="93"/>
      <c r="E279" s="93"/>
      <c r="F279" s="93"/>
      <c r="G279" s="95"/>
      <c r="H279" s="93"/>
      <c r="I279" s="93"/>
      <c r="J279" s="93"/>
    </row>
    <row r="280" ht="29.25" customHeight="1">
      <c r="A280" s="93"/>
      <c r="B280" s="95"/>
      <c r="C280" s="93"/>
      <c r="D280" s="93"/>
      <c r="E280" s="93"/>
      <c r="F280" s="93"/>
      <c r="G280" s="95"/>
      <c r="H280" s="93"/>
      <c r="I280" s="93"/>
      <c r="J280" s="93"/>
    </row>
    <row r="281" ht="29.25" customHeight="1">
      <c r="A281" s="93"/>
      <c r="B281" s="95"/>
      <c r="C281" s="93"/>
      <c r="D281" s="93"/>
      <c r="E281" s="93"/>
      <c r="F281" s="93"/>
      <c r="G281" s="95"/>
      <c r="H281" s="93"/>
      <c r="I281" s="93"/>
      <c r="J281" s="93"/>
    </row>
    <row r="282" ht="29.25" customHeight="1">
      <c r="A282" s="93"/>
      <c r="B282" s="95"/>
      <c r="C282" s="93"/>
      <c r="D282" s="93"/>
      <c r="E282" s="93"/>
      <c r="F282" s="93"/>
      <c r="G282" s="95"/>
      <c r="H282" s="93"/>
      <c r="I282" s="93"/>
      <c r="J282" s="93"/>
    </row>
    <row r="283" ht="29.25" customHeight="1">
      <c r="A283" s="93"/>
      <c r="B283" s="95"/>
      <c r="C283" s="93"/>
      <c r="D283" s="93"/>
      <c r="E283" s="93"/>
      <c r="F283" s="93"/>
      <c r="G283" s="95"/>
      <c r="H283" s="93"/>
      <c r="I283" s="93"/>
      <c r="J283" s="93"/>
    </row>
    <row r="284" ht="29.25" customHeight="1">
      <c r="A284" s="93"/>
      <c r="B284" s="95"/>
      <c r="C284" s="93"/>
      <c r="D284" s="93"/>
      <c r="E284" s="93"/>
      <c r="F284" s="93"/>
      <c r="G284" s="95"/>
      <c r="H284" s="93"/>
      <c r="I284" s="93"/>
      <c r="J284" s="93"/>
    </row>
    <row r="285" ht="29.25" customHeight="1">
      <c r="A285" s="93"/>
      <c r="B285" s="95"/>
      <c r="C285" s="93"/>
      <c r="D285" s="93"/>
      <c r="E285" s="93"/>
      <c r="F285" s="93"/>
      <c r="G285" s="95"/>
      <c r="H285" s="93"/>
      <c r="I285" s="93"/>
      <c r="J285" s="93"/>
    </row>
    <row r="286" ht="29.25" customHeight="1">
      <c r="A286" s="93"/>
      <c r="B286" s="95"/>
      <c r="C286" s="93"/>
      <c r="D286" s="93"/>
      <c r="E286" s="93"/>
      <c r="F286" s="93"/>
      <c r="G286" s="95"/>
      <c r="H286" s="93"/>
      <c r="I286" s="93"/>
      <c r="J286" s="93"/>
    </row>
    <row r="287" ht="29.25" customHeight="1">
      <c r="A287" s="93"/>
      <c r="B287" s="95"/>
      <c r="C287" s="93"/>
      <c r="D287" s="93"/>
      <c r="E287" s="93"/>
      <c r="F287" s="93"/>
      <c r="G287" s="95"/>
      <c r="H287" s="93"/>
      <c r="I287" s="93"/>
      <c r="J287" s="93"/>
    </row>
    <row r="288" ht="29.25" customHeight="1">
      <c r="A288" s="93"/>
      <c r="B288" s="95"/>
      <c r="C288" s="93"/>
      <c r="D288" s="93"/>
      <c r="E288" s="93"/>
      <c r="F288" s="93"/>
      <c r="G288" s="95"/>
      <c r="H288" s="93"/>
      <c r="I288" s="93"/>
      <c r="J288" s="93"/>
    </row>
    <row r="289" ht="29.25" customHeight="1">
      <c r="A289" s="93"/>
      <c r="B289" s="95"/>
      <c r="C289" s="93"/>
      <c r="D289" s="93"/>
      <c r="E289" s="93"/>
      <c r="F289" s="93"/>
      <c r="G289" s="95"/>
      <c r="H289" s="93"/>
      <c r="I289" s="93"/>
      <c r="J289" s="93"/>
    </row>
    <row r="290" ht="29.25" customHeight="1">
      <c r="A290" s="93"/>
      <c r="B290" s="95"/>
      <c r="C290" s="93"/>
      <c r="D290" s="93"/>
      <c r="E290" s="93"/>
      <c r="F290" s="93"/>
      <c r="G290" s="95"/>
      <c r="H290" s="93"/>
      <c r="I290" s="93"/>
      <c r="J290" s="93"/>
    </row>
    <row r="291" ht="29.25" customHeight="1">
      <c r="A291" s="93"/>
      <c r="B291" s="95"/>
      <c r="C291" s="93"/>
      <c r="D291" s="93"/>
      <c r="E291" s="93"/>
      <c r="F291" s="93"/>
      <c r="G291" s="95"/>
      <c r="H291" s="93"/>
      <c r="I291" s="93"/>
      <c r="J291" s="93"/>
    </row>
    <row r="292" ht="29.25" customHeight="1">
      <c r="A292" s="93"/>
      <c r="B292" s="95"/>
      <c r="C292" s="93"/>
      <c r="D292" s="93"/>
      <c r="E292" s="93"/>
      <c r="F292" s="93"/>
      <c r="G292" s="95"/>
      <c r="H292" s="93"/>
      <c r="I292" s="93"/>
      <c r="J292" s="93"/>
    </row>
    <row r="293" ht="29.25" customHeight="1">
      <c r="A293" s="93"/>
      <c r="B293" s="95"/>
      <c r="C293" s="93"/>
      <c r="D293" s="93"/>
      <c r="E293" s="93"/>
      <c r="F293" s="93"/>
      <c r="G293" s="95"/>
      <c r="H293" s="93"/>
      <c r="I293" s="93"/>
      <c r="J293" s="93"/>
    </row>
    <row r="294" ht="29.25" customHeight="1">
      <c r="A294" s="93"/>
      <c r="B294" s="95"/>
      <c r="C294" s="93"/>
      <c r="D294" s="93"/>
      <c r="E294" s="93"/>
      <c r="F294" s="93"/>
      <c r="G294" s="95"/>
      <c r="H294" s="93"/>
      <c r="I294" s="93"/>
      <c r="J294" s="93"/>
    </row>
    <row r="295" ht="29.25" customHeight="1">
      <c r="A295" s="93"/>
      <c r="B295" s="95"/>
      <c r="C295" s="93"/>
      <c r="D295" s="93"/>
      <c r="E295" s="93"/>
      <c r="F295" s="93"/>
      <c r="G295" s="95"/>
      <c r="H295" s="93"/>
      <c r="I295" s="93"/>
      <c r="J295" s="93"/>
    </row>
    <row r="296" ht="29.25" customHeight="1">
      <c r="A296" s="93"/>
      <c r="B296" s="95"/>
      <c r="C296" s="93"/>
      <c r="D296" s="93"/>
      <c r="E296" s="93"/>
      <c r="F296" s="93"/>
      <c r="G296" s="95"/>
      <c r="H296" s="93"/>
      <c r="I296" s="93"/>
      <c r="J296" s="93"/>
    </row>
    <row r="297" ht="29.25" customHeight="1">
      <c r="A297" s="93"/>
      <c r="B297" s="95"/>
      <c r="C297" s="93"/>
      <c r="D297" s="93"/>
      <c r="E297" s="93"/>
      <c r="F297" s="93"/>
      <c r="G297" s="95"/>
      <c r="H297" s="93"/>
      <c r="I297" s="93"/>
      <c r="J297" s="93"/>
    </row>
    <row r="298" ht="29.25" customHeight="1">
      <c r="A298" s="93"/>
      <c r="B298" s="95"/>
      <c r="C298" s="93"/>
      <c r="D298" s="93"/>
      <c r="E298" s="93"/>
      <c r="F298" s="93"/>
      <c r="G298" s="95"/>
      <c r="H298" s="93"/>
      <c r="I298" s="93"/>
      <c r="J298" s="93"/>
    </row>
    <row r="299" ht="29.25" customHeight="1">
      <c r="A299" s="93"/>
      <c r="B299" s="95"/>
      <c r="C299" s="93"/>
      <c r="D299" s="93"/>
      <c r="E299" s="93"/>
      <c r="F299" s="93"/>
      <c r="G299" s="95"/>
      <c r="H299" s="93"/>
      <c r="I299" s="93"/>
      <c r="J299" s="93"/>
    </row>
    <row r="300" ht="29.25" customHeight="1">
      <c r="A300" s="93"/>
      <c r="B300" s="95"/>
      <c r="C300" s="93"/>
      <c r="D300" s="93"/>
      <c r="E300" s="93"/>
      <c r="F300" s="93"/>
      <c r="G300" s="95"/>
      <c r="H300" s="93"/>
      <c r="I300" s="93"/>
      <c r="J300" s="93"/>
    </row>
    <row r="301" ht="29.25" customHeight="1">
      <c r="A301" s="93"/>
      <c r="B301" s="95"/>
      <c r="C301" s="93"/>
      <c r="D301" s="93"/>
      <c r="E301" s="93"/>
      <c r="F301" s="93"/>
      <c r="G301" s="95"/>
      <c r="H301" s="93"/>
      <c r="I301" s="93"/>
      <c r="J301" s="93"/>
    </row>
    <row r="302" ht="29.25" customHeight="1">
      <c r="A302" s="93"/>
      <c r="B302" s="95"/>
      <c r="C302" s="93"/>
      <c r="D302" s="93"/>
      <c r="E302" s="93"/>
      <c r="F302" s="93"/>
      <c r="G302" s="95"/>
      <c r="H302" s="93"/>
      <c r="I302" s="93"/>
      <c r="J302" s="93"/>
    </row>
    <row r="303" ht="29.25" customHeight="1">
      <c r="A303" s="93"/>
      <c r="B303" s="95"/>
      <c r="C303" s="93"/>
      <c r="D303" s="93"/>
      <c r="E303" s="93"/>
      <c r="F303" s="93"/>
      <c r="G303" s="95"/>
      <c r="H303" s="93"/>
      <c r="I303" s="93"/>
      <c r="J303" s="93"/>
    </row>
    <row r="304" ht="29.25" customHeight="1">
      <c r="A304" s="93"/>
      <c r="B304" s="95"/>
      <c r="C304" s="93"/>
      <c r="D304" s="93"/>
      <c r="E304" s="93"/>
      <c r="F304" s="93"/>
      <c r="G304" s="95"/>
      <c r="H304" s="93"/>
      <c r="I304" s="93"/>
      <c r="J304" s="93"/>
    </row>
    <row r="305" ht="29.25" customHeight="1">
      <c r="A305" s="93"/>
      <c r="B305" s="95"/>
      <c r="C305" s="93"/>
      <c r="D305" s="93"/>
      <c r="E305" s="93"/>
      <c r="F305" s="93"/>
      <c r="G305" s="95"/>
      <c r="H305" s="93"/>
      <c r="I305" s="93"/>
      <c r="J305" s="93"/>
    </row>
    <row r="306" ht="29.25" customHeight="1">
      <c r="A306" s="93"/>
      <c r="B306" s="95"/>
      <c r="C306" s="93"/>
      <c r="D306" s="93"/>
      <c r="E306" s="93"/>
      <c r="F306" s="93"/>
      <c r="G306" s="95"/>
      <c r="H306" s="93"/>
      <c r="I306" s="93"/>
      <c r="J306" s="93"/>
    </row>
    <row r="307" ht="29.25" customHeight="1">
      <c r="A307" s="93"/>
      <c r="B307" s="95"/>
      <c r="C307" s="93"/>
      <c r="D307" s="93"/>
      <c r="E307" s="93"/>
      <c r="F307" s="93"/>
      <c r="G307" s="95"/>
      <c r="H307" s="93"/>
      <c r="I307" s="93"/>
      <c r="J307" s="93"/>
    </row>
    <row r="308" ht="29.25" customHeight="1">
      <c r="A308" s="93"/>
      <c r="B308" s="95"/>
      <c r="C308" s="93"/>
      <c r="D308" s="93"/>
      <c r="E308" s="93"/>
      <c r="F308" s="93"/>
      <c r="G308" s="95"/>
      <c r="H308" s="93"/>
      <c r="I308" s="93"/>
      <c r="J308" s="93"/>
    </row>
    <row r="309" ht="29.25" customHeight="1">
      <c r="A309" s="93"/>
      <c r="B309" s="95"/>
      <c r="C309" s="93"/>
      <c r="D309" s="93"/>
      <c r="E309" s="93"/>
      <c r="F309" s="93"/>
      <c r="G309" s="95"/>
      <c r="H309" s="93"/>
      <c r="I309" s="93"/>
      <c r="J309" s="93"/>
    </row>
    <row r="310" ht="29.25" customHeight="1">
      <c r="A310" s="93"/>
      <c r="B310" s="95"/>
      <c r="C310" s="93"/>
      <c r="D310" s="93"/>
      <c r="E310" s="93"/>
      <c r="F310" s="93"/>
      <c r="G310" s="95"/>
      <c r="H310" s="93"/>
      <c r="I310" s="93"/>
      <c r="J310" s="93"/>
    </row>
    <row r="311" ht="29.25" customHeight="1">
      <c r="A311" s="93"/>
      <c r="B311" s="95"/>
      <c r="C311" s="93"/>
      <c r="D311" s="93"/>
      <c r="E311" s="93"/>
      <c r="F311" s="93"/>
      <c r="G311" s="95"/>
      <c r="H311" s="93"/>
      <c r="I311" s="93"/>
      <c r="J311" s="93"/>
    </row>
    <row r="312" ht="29.25" customHeight="1">
      <c r="A312" s="93"/>
      <c r="B312" s="95"/>
      <c r="C312" s="93"/>
      <c r="D312" s="93"/>
      <c r="E312" s="93"/>
      <c r="F312" s="93"/>
      <c r="G312" s="95"/>
      <c r="H312" s="93"/>
      <c r="I312" s="93"/>
      <c r="J312" s="93"/>
    </row>
    <row r="313" ht="29.25" customHeight="1">
      <c r="A313" s="93"/>
      <c r="B313" s="95"/>
      <c r="C313" s="93"/>
      <c r="D313" s="93"/>
      <c r="E313" s="93"/>
      <c r="F313" s="93"/>
      <c r="G313" s="95"/>
      <c r="H313" s="93"/>
      <c r="I313" s="93"/>
      <c r="J313" s="93"/>
    </row>
    <row r="314" ht="29.25" customHeight="1">
      <c r="A314" s="93"/>
      <c r="B314" s="95"/>
      <c r="C314" s="93"/>
      <c r="D314" s="93"/>
      <c r="E314" s="93"/>
      <c r="F314" s="93"/>
      <c r="G314" s="95"/>
      <c r="H314" s="93"/>
      <c r="I314" s="93"/>
      <c r="J314" s="93"/>
    </row>
    <row r="315" ht="29.25" customHeight="1">
      <c r="A315" s="93"/>
      <c r="B315" s="95"/>
      <c r="C315" s="93"/>
      <c r="D315" s="93"/>
      <c r="E315" s="93"/>
      <c r="F315" s="93"/>
      <c r="G315" s="95"/>
      <c r="H315" s="93"/>
      <c r="I315" s="93"/>
      <c r="J315" s="93"/>
    </row>
    <row r="316" ht="29.25" customHeight="1">
      <c r="A316" s="93"/>
      <c r="B316" s="95"/>
      <c r="C316" s="93"/>
      <c r="D316" s="93"/>
      <c r="E316" s="93"/>
      <c r="F316" s="93"/>
      <c r="G316" s="95"/>
      <c r="H316" s="93"/>
      <c r="I316" s="93"/>
      <c r="J316" s="93"/>
    </row>
    <row r="317" ht="29.25" customHeight="1">
      <c r="A317" s="93"/>
      <c r="B317" s="95"/>
      <c r="C317" s="93"/>
      <c r="D317" s="93"/>
      <c r="E317" s="93"/>
      <c r="F317" s="93"/>
      <c r="G317" s="95"/>
      <c r="H317" s="93"/>
      <c r="I317" s="93"/>
      <c r="J317" s="93"/>
    </row>
    <row r="318" ht="29.25" customHeight="1">
      <c r="A318" s="93"/>
      <c r="B318" s="95"/>
      <c r="C318" s="93"/>
      <c r="D318" s="93"/>
      <c r="E318" s="93"/>
      <c r="F318" s="93"/>
      <c r="G318" s="95"/>
      <c r="H318" s="93"/>
      <c r="I318" s="93"/>
      <c r="J318" s="93"/>
    </row>
    <row r="319" ht="29.25" customHeight="1">
      <c r="A319" s="93"/>
      <c r="B319" s="95"/>
      <c r="C319" s="93"/>
      <c r="D319" s="93"/>
      <c r="E319" s="93"/>
      <c r="F319" s="93"/>
      <c r="G319" s="95"/>
      <c r="H319" s="93"/>
      <c r="I319" s="93"/>
      <c r="J319" s="93"/>
    </row>
    <row r="320" ht="29.25" customHeight="1">
      <c r="A320" s="93"/>
      <c r="B320" s="95"/>
      <c r="C320" s="93"/>
      <c r="D320" s="93"/>
      <c r="E320" s="93"/>
      <c r="F320" s="93"/>
      <c r="G320" s="95"/>
      <c r="H320" s="93"/>
      <c r="I320" s="93"/>
      <c r="J320" s="93"/>
    </row>
    <row r="321" ht="29.25" customHeight="1">
      <c r="A321" s="93"/>
      <c r="B321" s="95"/>
      <c r="C321" s="93"/>
      <c r="D321" s="93"/>
      <c r="E321" s="93"/>
      <c r="F321" s="93"/>
      <c r="G321" s="95"/>
      <c r="H321" s="93"/>
      <c r="I321" s="93"/>
      <c r="J321" s="93"/>
    </row>
    <row r="322" ht="29.25" customHeight="1">
      <c r="A322" s="93"/>
      <c r="B322" s="95"/>
      <c r="C322" s="93"/>
      <c r="D322" s="93"/>
      <c r="E322" s="93"/>
      <c r="F322" s="93"/>
      <c r="G322" s="95"/>
      <c r="H322" s="93"/>
      <c r="I322" s="93"/>
      <c r="J322" s="93"/>
    </row>
    <row r="323" ht="29.25" customHeight="1">
      <c r="A323" s="93"/>
      <c r="B323" s="95"/>
      <c r="C323" s="93"/>
      <c r="D323" s="93"/>
      <c r="E323" s="93"/>
      <c r="F323" s="93"/>
      <c r="G323" s="95"/>
      <c r="H323" s="93"/>
      <c r="I323" s="93"/>
      <c r="J323" s="93"/>
    </row>
    <row r="324" ht="29.25" customHeight="1">
      <c r="A324" s="93"/>
      <c r="B324" s="95"/>
      <c r="C324" s="93"/>
      <c r="D324" s="93"/>
      <c r="E324" s="93"/>
      <c r="F324" s="93"/>
      <c r="G324" s="95"/>
      <c r="H324" s="93"/>
      <c r="I324" s="93"/>
      <c r="J324" s="93"/>
    </row>
    <row r="325" ht="29.25" customHeight="1">
      <c r="A325" s="93"/>
      <c r="B325" s="95"/>
      <c r="C325" s="93"/>
      <c r="D325" s="93"/>
      <c r="E325" s="93"/>
      <c r="F325" s="93"/>
      <c r="G325" s="95"/>
      <c r="H325" s="93"/>
      <c r="I325" s="93"/>
      <c r="J325" s="93"/>
    </row>
    <row r="326" ht="29.25" customHeight="1">
      <c r="A326" s="93"/>
      <c r="B326" s="95"/>
      <c r="C326" s="93"/>
      <c r="D326" s="93"/>
      <c r="E326" s="93"/>
      <c r="F326" s="93"/>
      <c r="G326" s="95"/>
      <c r="H326" s="93"/>
      <c r="I326" s="93"/>
      <c r="J326" s="93"/>
    </row>
    <row r="327" ht="29.25" customHeight="1">
      <c r="A327" s="93"/>
      <c r="B327" s="95"/>
      <c r="C327" s="93"/>
      <c r="D327" s="93"/>
      <c r="E327" s="93"/>
      <c r="F327" s="93"/>
      <c r="G327" s="95"/>
      <c r="H327" s="93"/>
      <c r="I327" s="93"/>
      <c r="J327" s="93"/>
    </row>
    <row r="328" ht="29.25" customHeight="1">
      <c r="A328" s="93"/>
      <c r="B328" s="95"/>
      <c r="C328" s="93"/>
      <c r="D328" s="93"/>
      <c r="E328" s="93"/>
      <c r="F328" s="93"/>
      <c r="G328" s="95"/>
      <c r="H328" s="93"/>
      <c r="I328" s="93"/>
      <c r="J328" s="93"/>
    </row>
    <row r="329" ht="29.25" customHeight="1">
      <c r="A329" s="93"/>
      <c r="B329" s="95"/>
      <c r="C329" s="93"/>
      <c r="D329" s="93"/>
      <c r="E329" s="93"/>
      <c r="F329" s="93"/>
      <c r="G329" s="95"/>
      <c r="H329" s="93"/>
      <c r="I329" s="93"/>
      <c r="J329" s="93"/>
    </row>
    <row r="330" ht="29.25" customHeight="1">
      <c r="A330" s="93"/>
      <c r="B330" s="95"/>
      <c r="C330" s="93"/>
      <c r="D330" s="93"/>
      <c r="E330" s="93"/>
      <c r="F330" s="93"/>
      <c r="G330" s="95"/>
      <c r="H330" s="93"/>
      <c r="I330" s="93"/>
      <c r="J330" s="93"/>
    </row>
    <row r="331" ht="29.25" customHeight="1">
      <c r="A331" s="93"/>
      <c r="B331" s="95"/>
      <c r="C331" s="93"/>
      <c r="D331" s="93"/>
      <c r="E331" s="93"/>
      <c r="F331" s="93"/>
      <c r="G331" s="95"/>
      <c r="H331" s="93"/>
      <c r="I331" s="93"/>
      <c r="J331" s="93"/>
    </row>
    <row r="332" ht="29.25" customHeight="1">
      <c r="A332" s="93"/>
      <c r="B332" s="95"/>
      <c r="C332" s="93"/>
      <c r="D332" s="93"/>
      <c r="E332" s="93"/>
      <c r="F332" s="93"/>
      <c r="G332" s="95"/>
      <c r="H332" s="93"/>
      <c r="I332" s="93"/>
      <c r="J332" s="93"/>
    </row>
    <row r="333" ht="29.25" customHeight="1">
      <c r="A333" s="93"/>
      <c r="B333" s="95"/>
      <c r="C333" s="93"/>
      <c r="D333" s="93"/>
      <c r="E333" s="93"/>
      <c r="F333" s="93"/>
      <c r="G333" s="95"/>
      <c r="H333" s="93"/>
      <c r="I333" s="93"/>
      <c r="J333" s="93"/>
    </row>
    <row r="334" ht="29.25" customHeight="1">
      <c r="A334" s="93"/>
      <c r="B334" s="95"/>
      <c r="C334" s="93"/>
      <c r="D334" s="93"/>
      <c r="E334" s="93"/>
      <c r="F334" s="93"/>
      <c r="G334" s="95"/>
      <c r="H334" s="93"/>
      <c r="I334" s="93"/>
      <c r="J334" s="93"/>
    </row>
    <row r="335" ht="29.25" customHeight="1">
      <c r="A335" s="93"/>
      <c r="B335" s="95"/>
      <c r="C335" s="93"/>
      <c r="D335" s="93"/>
      <c r="E335" s="93"/>
      <c r="F335" s="93"/>
      <c r="G335" s="95"/>
      <c r="H335" s="93"/>
      <c r="I335" s="93"/>
      <c r="J335" s="93"/>
    </row>
    <row r="336" ht="29.25" customHeight="1">
      <c r="A336" s="93"/>
      <c r="B336" s="95"/>
      <c r="C336" s="93"/>
      <c r="D336" s="93"/>
      <c r="E336" s="93"/>
      <c r="F336" s="93"/>
      <c r="G336" s="95"/>
      <c r="H336" s="93"/>
      <c r="I336" s="93"/>
      <c r="J336" s="93"/>
    </row>
    <row r="337" ht="29.25" customHeight="1">
      <c r="A337" s="93"/>
      <c r="B337" s="95"/>
      <c r="C337" s="93"/>
      <c r="D337" s="93"/>
      <c r="E337" s="93"/>
      <c r="F337" s="93"/>
      <c r="G337" s="95"/>
      <c r="H337" s="93"/>
      <c r="I337" s="93"/>
      <c r="J337" s="93"/>
    </row>
    <row r="338" ht="29.25" customHeight="1">
      <c r="A338" s="93"/>
      <c r="B338" s="95"/>
      <c r="C338" s="93"/>
      <c r="D338" s="93"/>
      <c r="E338" s="93"/>
      <c r="F338" s="93"/>
      <c r="G338" s="95"/>
      <c r="H338" s="93"/>
      <c r="I338" s="93"/>
      <c r="J338" s="93"/>
    </row>
    <row r="339" ht="29.25" customHeight="1">
      <c r="A339" s="93"/>
      <c r="B339" s="95"/>
      <c r="C339" s="93"/>
      <c r="D339" s="93"/>
      <c r="E339" s="93"/>
      <c r="F339" s="93"/>
      <c r="G339" s="95"/>
      <c r="H339" s="93"/>
      <c r="I339" s="93"/>
      <c r="J339" s="93"/>
    </row>
    <row r="340" ht="29.25" customHeight="1">
      <c r="A340" s="93"/>
      <c r="B340" s="95"/>
      <c r="C340" s="93"/>
      <c r="D340" s="93"/>
      <c r="E340" s="93"/>
      <c r="F340" s="93"/>
      <c r="G340" s="95"/>
      <c r="H340" s="93"/>
      <c r="I340" s="93"/>
      <c r="J340" s="93"/>
    </row>
    <row r="341" ht="29.25" customHeight="1">
      <c r="A341" s="93"/>
      <c r="B341" s="95"/>
      <c r="C341" s="93"/>
      <c r="D341" s="93"/>
      <c r="E341" s="93"/>
      <c r="F341" s="93"/>
      <c r="G341" s="95"/>
      <c r="H341" s="93"/>
      <c r="I341" s="93"/>
      <c r="J341" s="93"/>
    </row>
    <row r="342" ht="29.25" customHeight="1">
      <c r="A342" s="93"/>
      <c r="B342" s="95"/>
      <c r="C342" s="93"/>
      <c r="D342" s="93"/>
      <c r="E342" s="93"/>
      <c r="F342" s="93"/>
      <c r="G342" s="95"/>
      <c r="H342" s="93"/>
      <c r="I342" s="93"/>
      <c r="J342" s="93"/>
    </row>
    <row r="343" ht="29.25" customHeight="1">
      <c r="A343" s="93"/>
      <c r="B343" s="95"/>
      <c r="C343" s="93"/>
      <c r="D343" s="93"/>
      <c r="E343" s="93"/>
      <c r="F343" s="93"/>
      <c r="G343" s="95"/>
      <c r="H343" s="93"/>
      <c r="I343" s="93"/>
      <c r="J343" s="93"/>
    </row>
    <row r="344" ht="29.25" customHeight="1">
      <c r="A344" s="93"/>
      <c r="B344" s="95"/>
      <c r="C344" s="93"/>
      <c r="D344" s="93"/>
      <c r="E344" s="93"/>
      <c r="F344" s="93"/>
      <c r="G344" s="95"/>
      <c r="H344" s="93"/>
      <c r="I344" s="93"/>
      <c r="J344" s="93"/>
    </row>
    <row r="345" ht="29.25" customHeight="1">
      <c r="A345" s="93"/>
      <c r="B345" s="95"/>
      <c r="C345" s="93"/>
      <c r="D345" s="93"/>
      <c r="E345" s="93"/>
      <c r="F345" s="93"/>
      <c r="G345" s="95"/>
      <c r="H345" s="93"/>
      <c r="I345" s="93"/>
      <c r="J345" s="93"/>
    </row>
    <row r="346" ht="29.25" customHeight="1">
      <c r="A346" s="93"/>
      <c r="B346" s="95"/>
      <c r="C346" s="93"/>
      <c r="D346" s="93"/>
      <c r="E346" s="93"/>
      <c r="F346" s="93"/>
      <c r="G346" s="95"/>
      <c r="H346" s="93"/>
      <c r="I346" s="93"/>
      <c r="J346" s="93"/>
    </row>
    <row r="347" ht="29.25" customHeight="1">
      <c r="A347" s="93"/>
      <c r="B347" s="95"/>
      <c r="C347" s="93"/>
      <c r="D347" s="93"/>
      <c r="E347" s="93"/>
      <c r="F347" s="93"/>
      <c r="G347" s="95"/>
      <c r="H347" s="93"/>
      <c r="I347" s="93"/>
      <c r="J347" s="93"/>
    </row>
    <row r="348" ht="29.25" customHeight="1">
      <c r="A348" s="93"/>
      <c r="B348" s="95"/>
      <c r="C348" s="93"/>
      <c r="D348" s="93"/>
      <c r="E348" s="93"/>
      <c r="F348" s="93"/>
      <c r="G348" s="95"/>
      <c r="H348" s="93"/>
      <c r="I348" s="93"/>
      <c r="J348" s="93"/>
    </row>
    <row r="349" ht="29.25" customHeight="1">
      <c r="A349" s="93"/>
      <c r="B349" s="95"/>
      <c r="C349" s="93"/>
      <c r="D349" s="93"/>
      <c r="E349" s="93"/>
      <c r="F349" s="93"/>
      <c r="G349" s="95"/>
      <c r="H349" s="93"/>
      <c r="I349" s="93"/>
      <c r="J349" s="93"/>
    </row>
    <row r="350" ht="29.25" customHeight="1">
      <c r="A350" s="93"/>
      <c r="B350" s="95"/>
      <c r="C350" s="93"/>
      <c r="D350" s="93"/>
      <c r="E350" s="93"/>
      <c r="F350" s="93"/>
      <c r="G350" s="95"/>
      <c r="H350" s="93"/>
      <c r="I350" s="93"/>
      <c r="J350" s="93"/>
    </row>
    <row r="351" ht="29.25" customHeight="1">
      <c r="A351" s="93"/>
      <c r="B351" s="95"/>
      <c r="C351" s="93"/>
      <c r="D351" s="93"/>
      <c r="E351" s="93"/>
      <c r="F351" s="93"/>
      <c r="G351" s="95"/>
      <c r="H351" s="93"/>
      <c r="I351" s="93"/>
      <c r="J351" s="93"/>
    </row>
    <row r="352" ht="29.25" customHeight="1">
      <c r="A352" s="93"/>
      <c r="B352" s="95"/>
      <c r="C352" s="93"/>
      <c r="D352" s="93"/>
      <c r="E352" s="93"/>
      <c r="F352" s="93"/>
      <c r="G352" s="95"/>
      <c r="H352" s="93"/>
      <c r="I352" s="93"/>
      <c r="J352" s="93"/>
    </row>
    <row r="353" ht="29.25" customHeight="1">
      <c r="A353" s="93"/>
      <c r="B353" s="95"/>
      <c r="C353" s="93"/>
      <c r="D353" s="93"/>
      <c r="E353" s="93"/>
      <c r="F353" s="93"/>
      <c r="G353" s="95"/>
      <c r="H353" s="93"/>
      <c r="I353" s="93"/>
      <c r="J353" s="93"/>
    </row>
    <row r="354" ht="29.25" customHeight="1">
      <c r="A354" s="93"/>
      <c r="B354" s="95"/>
      <c r="C354" s="93"/>
      <c r="D354" s="93"/>
      <c r="E354" s="93"/>
      <c r="F354" s="93"/>
      <c r="G354" s="95"/>
      <c r="H354" s="93"/>
      <c r="I354" s="93"/>
      <c r="J354" s="93"/>
    </row>
    <row r="355" ht="29.25" customHeight="1">
      <c r="A355" s="93"/>
      <c r="B355" s="95"/>
      <c r="C355" s="93"/>
      <c r="D355" s="93"/>
      <c r="E355" s="93"/>
      <c r="F355" s="93"/>
      <c r="G355" s="95"/>
      <c r="H355" s="93"/>
      <c r="I355" s="93"/>
      <c r="J355" s="93"/>
    </row>
    <row r="356" ht="29.25" customHeight="1">
      <c r="A356" s="93"/>
      <c r="B356" s="95"/>
      <c r="C356" s="93"/>
      <c r="D356" s="93"/>
      <c r="E356" s="93"/>
      <c r="F356" s="93"/>
      <c r="G356" s="95"/>
      <c r="H356" s="93"/>
      <c r="I356" s="93"/>
      <c r="J356" s="93"/>
    </row>
    <row r="357" ht="29.25" customHeight="1">
      <c r="A357" s="93"/>
      <c r="B357" s="95"/>
      <c r="C357" s="93"/>
      <c r="D357" s="93"/>
      <c r="E357" s="93"/>
      <c r="F357" s="93"/>
      <c r="G357" s="95"/>
      <c r="H357" s="93"/>
      <c r="I357" s="93"/>
      <c r="J357" s="93"/>
    </row>
    <row r="358" ht="29.25" customHeight="1">
      <c r="A358" s="93"/>
      <c r="B358" s="95"/>
      <c r="C358" s="93"/>
      <c r="D358" s="93"/>
      <c r="E358" s="93"/>
      <c r="F358" s="93"/>
      <c r="G358" s="95"/>
      <c r="H358" s="93"/>
      <c r="I358" s="93"/>
      <c r="J358" s="93"/>
    </row>
    <row r="359" ht="29.25" customHeight="1">
      <c r="A359" s="93"/>
      <c r="B359" s="95"/>
      <c r="C359" s="93"/>
      <c r="D359" s="93"/>
      <c r="E359" s="93"/>
      <c r="F359" s="93"/>
      <c r="G359" s="95"/>
      <c r="H359" s="93"/>
      <c r="I359" s="93"/>
      <c r="J359" s="93"/>
    </row>
    <row r="360" ht="29.25" customHeight="1">
      <c r="A360" s="93"/>
      <c r="B360" s="95"/>
      <c r="C360" s="93"/>
      <c r="D360" s="93"/>
      <c r="E360" s="93"/>
      <c r="F360" s="93"/>
      <c r="G360" s="95"/>
      <c r="H360" s="93"/>
      <c r="I360" s="93"/>
      <c r="J360" s="93"/>
    </row>
    <row r="361" ht="29.25" customHeight="1">
      <c r="A361" s="93"/>
      <c r="B361" s="95"/>
      <c r="C361" s="93"/>
      <c r="D361" s="93"/>
      <c r="E361" s="93"/>
      <c r="F361" s="93"/>
      <c r="G361" s="95"/>
      <c r="H361" s="93"/>
      <c r="I361" s="93"/>
      <c r="J361" s="93"/>
    </row>
    <row r="362" ht="29.25" customHeight="1">
      <c r="A362" s="93"/>
      <c r="B362" s="95"/>
      <c r="C362" s="93"/>
      <c r="D362" s="93"/>
      <c r="E362" s="93"/>
      <c r="F362" s="93"/>
      <c r="G362" s="95"/>
      <c r="H362" s="93"/>
      <c r="I362" s="93"/>
      <c r="J362" s="93"/>
    </row>
    <row r="363" ht="29.25" customHeight="1">
      <c r="A363" s="93"/>
      <c r="B363" s="95"/>
      <c r="C363" s="93"/>
      <c r="D363" s="93"/>
      <c r="E363" s="93"/>
      <c r="F363" s="93"/>
      <c r="G363" s="95"/>
      <c r="H363" s="93"/>
      <c r="I363" s="93"/>
      <c r="J363" s="93"/>
    </row>
    <row r="364" ht="29.25" customHeight="1">
      <c r="A364" s="93"/>
      <c r="B364" s="95"/>
      <c r="C364" s="93"/>
      <c r="D364" s="93"/>
      <c r="E364" s="93"/>
      <c r="F364" s="93"/>
      <c r="G364" s="95"/>
      <c r="H364" s="93"/>
      <c r="I364" s="93"/>
      <c r="J364" s="93"/>
    </row>
    <row r="365" ht="29.25" customHeight="1">
      <c r="A365" s="93"/>
      <c r="B365" s="95"/>
      <c r="C365" s="93"/>
      <c r="D365" s="93"/>
      <c r="E365" s="93"/>
      <c r="F365" s="93"/>
      <c r="G365" s="95"/>
      <c r="H365" s="93"/>
      <c r="I365" s="93"/>
      <c r="J365" s="93"/>
    </row>
    <row r="366" ht="29.25" customHeight="1">
      <c r="A366" s="93"/>
      <c r="B366" s="95"/>
      <c r="C366" s="93"/>
      <c r="D366" s="93"/>
      <c r="E366" s="93"/>
      <c r="F366" s="93"/>
      <c r="G366" s="95"/>
      <c r="H366" s="93"/>
      <c r="I366" s="93"/>
      <c r="J366" s="93"/>
    </row>
    <row r="367" ht="29.25" customHeight="1">
      <c r="A367" s="93"/>
      <c r="B367" s="95"/>
      <c r="C367" s="93"/>
      <c r="D367" s="93"/>
      <c r="E367" s="93"/>
      <c r="F367" s="93"/>
      <c r="G367" s="95"/>
      <c r="H367" s="93"/>
      <c r="I367" s="93"/>
      <c r="J367" s="93"/>
    </row>
    <row r="368" ht="29.25" customHeight="1">
      <c r="A368" s="93"/>
      <c r="B368" s="95"/>
      <c r="C368" s="93"/>
      <c r="D368" s="93"/>
      <c r="E368" s="93"/>
      <c r="F368" s="93"/>
      <c r="G368" s="95"/>
      <c r="H368" s="93"/>
      <c r="I368" s="93"/>
      <c r="J368" s="93"/>
    </row>
    <row r="369" ht="29.25" customHeight="1">
      <c r="A369" s="93"/>
      <c r="B369" s="95"/>
      <c r="C369" s="93"/>
      <c r="D369" s="93"/>
      <c r="E369" s="93"/>
      <c r="F369" s="93"/>
      <c r="G369" s="95"/>
      <c r="H369" s="93"/>
      <c r="I369" s="93"/>
      <c r="J369" s="93"/>
    </row>
    <row r="370" ht="29.25" customHeight="1">
      <c r="A370" s="93"/>
      <c r="B370" s="95"/>
      <c r="C370" s="93"/>
      <c r="D370" s="93"/>
      <c r="E370" s="93"/>
      <c r="F370" s="93"/>
      <c r="G370" s="95"/>
      <c r="H370" s="93"/>
      <c r="I370" s="93"/>
      <c r="J370" s="93"/>
    </row>
    <row r="371" ht="29.25" customHeight="1">
      <c r="A371" s="93"/>
      <c r="B371" s="95"/>
      <c r="C371" s="93"/>
      <c r="D371" s="93"/>
      <c r="E371" s="93"/>
      <c r="F371" s="93"/>
      <c r="G371" s="95"/>
      <c r="H371" s="93"/>
      <c r="I371" s="93"/>
      <c r="J371" s="93"/>
    </row>
    <row r="372" ht="29.25" customHeight="1">
      <c r="A372" s="93"/>
      <c r="B372" s="95"/>
      <c r="C372" s="93"/>
      <c r="D372" s="93"/>
      <c r="E372" s="93"/>
      <c r="F372" s="93"/>
      <c r="G372" s="95"/>
      <c r="H372" s="93"/>
      <c r="I372" s="93"/>
      <c r="J372" s="93"/>
    </row>
    <row r="373" ht="29.25" customHeight="1">
      <c r="A373" s="93"/>
      <c r="B373" s="95"/>
      <c r="C373" s="93"/>
      <c r="D373" s="93"/>
      <c r="E373" s="93"/>
      <c r="F373" s="93"/>
      <c r="G373" s="95"/>
      <c r="H373" s="93"/>
      <c r="I373" s="93"/>
      <c r="J373" s="93"/>
    </row>
    <row r="374" ht="29.25" customHeight="1">
      <c r="A374" s="93"/>
      <c r="B374" s="95"/>
      <c r="C374" s="93"/>
      <c r="D374" s="93"/>
      <c r="E374" s="93"/>
      <c r="F374" s="93"/>
      <c r="G374" s="95"/>
      <c r="H374" s="93"/>
      <c r="I374" s="93"/>
      <c r="J374" s="93"/>
    </row>
    <row r="375" ht="29.25" customHeight="1">
      <c r="A375" s="93"/>
      <c r="B375" s="95"/>
      <c r="C375" s="93"/>
      <c r="D375" s="93"/>
      <c r="E375" s="93"/>
      <c r="F375" s="93"/>
      <c r="G375" s="95"/>
      <c r="H375" s="93"/>
      <c r="I375" s="93"/>
      <c r="J375" s="93"/>
    </row>
    <row r="376" ht="29.25" customHeight="1">
      <c r="A376" s="93"/>
      <c r="B376" s="95"/>
      <c r="C376" s="93"/>
      <c r="D376" s="93"/>
      <c r="E376" s="93"/>
      <c r="F376" s="93"/>
      <c r="G376" s="95"/>
      <c r="H376" s="93"/>
      <c r="I376" s="93"/>
      <c r="J376" s="93"/>
    </row>
    <row r="377" ht="29.25" customHeight="1">
      <c r="A377" s="93"/>
      <c r="B377" s="95"/>
      <c r="C377" s="93"/>
      <c r="D377" s="93"/>
      <c r="E377" s="93"/>
      <c r="F377" s="93"/>
      <c r="G377" s="95"/>
      <c r="H377" s="93"/>
      <c r="I377" s="93"/>
      <c r="J377" s="93"/>
    </row>
    <row r="378" ht="29.25" customHeight="1">
      <c r="A378" s="93"/>
      <c r="B378" s="95"/>
      <c r="C378" s="93"/>
      <c r="D378" s="93"/>
      <c r="E378" s="93"/>
      <c r="F378" s="93"/>
      <c r="G378" s="95"/>
      <c r="H378" s="93"/>
      <c r="I378" s="93"/>
      <c r="J378" s="93"/>
    </row>
    <row r="379" ht="29.25" customHeight="1">
      <c r="A379" s="93"/>
      <c r="B379" s="95"/>
      <c r="C379" s="93"/>
      <c r="D379" s="93"/>
      <c r="E379" s="93"/>
      <c r="F379" s="93"/>
      <c r="G379" s="95"/>
      <c r="H379" s="93"/>
      <c r="I379" s="93"/>
      <c r="J379" s="93"/>
    </row>
    <row r="380" ht="29.25" customHeight="1">
      <c r="A380" s="93"/>
      <c r="B380" s="95"/>
      <c r="C380" s="93"/>
      <c r="D380" s="93"/>
      <c r="E380" s="93"/>
      <c r="F380" s="93"/>
      <c r="G380" s="95"/>
      <c r="H380" s="93"/>
      <c r="I380" s="93"/>
      <c r="J380" s="93"/>
    </row>
    <row r="381" ht="29.25" customHeight="1">
      <c r="A381" s="93"/>
      <c r="B381" s="95"/>
      <c r="C381" s="93"/>
      <c r="D381" s="93"/>
      <c r="E381" s="93"/>
      <c r="F381" s="93"/>
      <c r="G381" s="95"/>
      <c r="H381" s="93"/>
      <c r="I381" s="93"/>
      <c r="J381" s="93"/>
    </row>
    <row r="382" ht="29.25" customHeight="1">
      <c r="A382" s="93"/>
      <c r="B382" s="95"/>
      <c r="C382" s="93"/>
      <c r="D382" s="93"/>
      <c r="E382" s="93"/>
      <c r="F382" s="93"/>
      <c r="G382" s="95"/>
      <c r="H382" s="93"/>
      <c r="I382" s="93"/>
      <c r="J382" s="93"/>
    </row>
    <row r="383" ht="29.25" customHeight="1">
      <c r="A383" s="93"/>
      <c r="B383" s="95"/>
      <c r="C383" s="93"/>
      <c r="D383" s="93"/>
      <c r="E383" s="93"/>
      <c r="F383" s="93"/>
      <c r="G383" s="95"/>
      <c r="H383" s="93"/>
      <c r="I383" s="93"/>
      <c r="J383" s="93"/>
    </row>
    <row r="384" ht="29.25" customHeight="1">
      <c r="A384" s="93"/>
      <c r="B384" s="95"/>
      <c r="C384" s="93"/>
      <c r="D384" s="93"/>
      <c r="E384" s="93"/>
      <c r="F384" s="93"/>
      <c r="G384" s="95"/>
      <c r="H384" s="93"/>
      <c r="I384" s="93"/>
      <c r="J384" s="93"/>
    </row>
    <row r="385" ht="29.25" customHeight="1">
      <c r="A385" s="93"/>
      <c r="B385" s="95"/>
      <c r="C385" s="93"/>
      <c r="D385" s="93"/>
      <c r="E385" s="93"/>
      <c r="F385" s="93"/>
      <c r="G385" s="95"/>
      <c r="H385" s="93"/>
      <c r="I385" s="93"/>
      <c r="J385" s="93"/>
    </row>
    <row r="386" ht="29.25" customHeight="1">
      <c r="A386" s="93"/>
      <c r="B386" s="95"/>
      <c r="C386" s="93"/>
      <c r="D386" s="93"/>
      <c r="E386" s="93"/>
      <c r="F386" s="93"/>
      <c r="G386" s="95"/>
      <c r="H386" s="93"/>
      <c r="I386" s="93"/>
      <c r="J386" s="93"/>
    </row>
    <row r="387" ht="29.25" customHeight="1">
      <c r="A387" s="93"/>
      <c r="B387" s="95"/>
      <c r="C387" s="93"/>
      <c r="D387" s="93"/>
      <c r="E387" s="93"/>
      <c r="F387" s="93"/>
      <c r="G387" s="95"/>
      <c r="H387" s="93"/>
      <c r="I387" s="93"/>
      <c r="J387" s="93"/>
    </row>
    <row r="388" ht="29.25" customHeight="1">
      <c r="A388" s="93"/>
      <c r="B388" s="95"/>
      <c r="C388" s="93"/>
      <c r="D388" s="93"/>
      <c r="E388" s="93"/>
      <c r="F388" s="93"/>
      <c r="G388" s="95"/>
      <c r="H388" s="93"/>
      <c r="I388" s="93"/>
      <c r="J388" s="93"/>
    </row>
    <row r="389" ht="29.25" customHeight="1">
      <c r="A389" s="93"/>
      <c r="B389" s="95"/>
      <c r="C389" s="93"/>
      <c r="D389" s="93"/>
      <c r="E389" s="93"/>
      <c r="F389" s="93"/>
      <c r="G389" s="95"/>
      <c r="H389" s="93"/>
      <c r="I389" s="93"/>
      <c r="J389" s="93"/>
    </row>
    <row r="390" ht="29.25" customHeight="1">
      <c r="A390" s="93"/>
      <c r="B390" s="95"/>
      <c r="C390" s="93"/>
      <c r="D390" s="93"/>
      <c r="E390" s="93"/>
      <c r="F390" s="93"/>
      <c r="G390" s="95"/>
      <c r="H390" s="93"/>
      <c r="I390" s="93"/>
      <c r="J390" s="93"/>
    </row>
    <row r="391" ht="29.25" customHeight="1">
      <c r="A391" s="93"/>
      <c r="B391" s="95"/>
      <c r="C391" s="93"/>
      <c r="D391" s="93"/>
      <c r="E391" s="93"/>
      <c r="F391" s="93"/>
      <c r="G391" s="95"/>
      <c r="H391" s="93"/>
      <c r="I391" s="93"/>
      <c r="J391" s="93"/>
    </row>
    <row r="392" ht="29.25" customHeight="1">
      <c r="A392" s="93"/>
      <c r="B392" s="95"/>
      <c r="C392" s="93"/>
      <c r="D392" s="93"/>
      <c r="E392" s="93"/>
      <c r="F392" s="93"/>
      <c r="G392" s="95"/>
      <c r="H392" s="93"/>
      <c r="I392" s="93"/>
      <c r="J392" s="93"/>
    </row>
    <row r="393" ht="29.25" customHeight="1">
      <c r="A393" s="93"/>
      <c r="B393" s="95"/>
      <c r="C393" s="93"/>
      <c r="D393" s="93"/>
      <c r="E393" s="93"/>
      <c r="F393" s="93"/>
      <c r="G393" s="95"/>
      <c r="H393" s="93"/>
      <c r="I393" s="93"/>
      <c r="J393" s="93"/>
    </row>
    <row r="394" ht="29.25" customHeight="1">
      <c r="A394" s="93"/>
      <c r="B394" s="95"/>
      <c r="C394" s="93"/>
      <c r="D394" s="93"/>
      <c r="E394" s="93"/>
      <c r="F394" s="93"/>
      <c r="G394" s="95"/>
      <c r="H394" s="93"/>
      <c r="I394" s="93"/>
      <c r="J394" s="93"/>
    </row>
    <row r="395" ht="29.25" customHeight="1">
      <c r="A395" s="93"/>
      <c r="B395" s="95"/>
      <c r="C395" s="93"/>
      <c r="D395" s="93"/>
      <c r="E395" s="93"/>
      <c r="F395" s="93"/>
      <c r="G395" s="95"/>
      <c r="H395" s="93"/>
      <c r="I395" s="93"/>
      <c r="J395" s="93"/>
    </row>
    <row r="396" ht="29.25" customHeight="1">
      <c r="A396" s="93"/>
      <c r="B396" s="95"/>
      <c r="C396" s="93"/>
      <c r="D396" s="93"/>
      <c r="E396" s="93"/>
      <c r="F396" s="93"/>
      <c r="G396" s="95"/>
      <c r="H396" s="93"/>
      <c r="I396" s="93"/>
      <c r="J396" s="93"/>
    </row>
    <row r="397" ht="29.25" customHeight="1">
      <c r="A397" s="93"/>
      <c r="B397" s="95"/>
      <c r="C397" s="93"/>
      <c r="D397" s="93"/>
      <c r="E397" s="93"/>
      <c r="F397" s="93"/>
      <c r="G397" s="95"/>
      <c r="H397" s="93"/>
      <c r="I397" s="93"/>
      <c r="J397" s="93"/>
    </row>
    <row r="398" ht="29.25" customHeight="1">
      <c r="A398" s="93"/>
      <c r="B398" s="95"/>
      <c r="C398" s="93"/>
      <c r="D398" s="93"/>
      <c r="E398" s="93"/>
      <c r="F398" s="93"/>
      <c r="G398" s="95"/>
      <c r="H398" s="93"/>
      <c r="I398" s="93"/>
      <c r="J398" s="93"/>
    </row>
    <row r="399" ht="29.25" customHeight="1">
      <c r="A399" s="93"/>
      <c r="B399" s="95"/>
      <c r="C399" s="93"/>
      <c r="D399" s="93"/>
      <c r="E399" s="93"/>
      <c r="F399" s="93"/>
      <c r="G399" s="95"/>
      <c r="H399" s="93"/>
      <c r="I399" s="93"/>
      <c r="J399" s="93"/>
    </row>
    <row r="400" ht="29.25" customHeight="1">
      <c r="A400" s="93"/>
      <c r="B400" s="95"/>
      <c r="C400" s="93"/>
      <c r="D400" s="93"/>
      <c r="E400" s="93"/>
      <c r="F400" s="93"/>
      <c r="G400" s="95"/>
      <c r="H400" s="93"/>
      <c r="I400" s="93"/>
      <c r="J400" s="93"/>
    </row>
    <row r="401" ht="29.25" customHeight="1">
      <c r="A401" s="93"/>
      <c r="B401" s="95"/>
      <c r="C401" s="93"/>
      <c r="D401" s="93"/>
      <c r="E401" s="93"/>
      <c r="F401" s="93"/>
      <c r="G401" s="95"/>
      <c r="H401" s="93"/>
      <c r="I401" s="93"/>
      <c r="J401" s="93"/>
    </row>
    <row r="402" ht="29.25" customHeight="1">
      <c r="A402" s="93"/>
      <c r="B402" s="95"/>
      <c r="C402" s="93"/>
      <c r="D402" s="93"/>
      <c r="E402" s="93"/>
      <c r="F402" s="93"/>
      <c r="G402" s="95"/>
      <c r="H402" s="93"/>
      <c r="I402" s="93"/>
      <c r="J402" s="93"/>
    </row>
    <row r="403" ht="29.25" customHeight="1">
      <c r="A403" s="93"/>
      <c r="B403" s="95"/>
      <c r="C403" s="93"/>
      <c r="D403" s="93"/>
      <c r="E403" s="93"/>
      <c r="F403" s="93"/>
      <c r="G403" s="95"/>
      <c r="H403" s="93"/>
      <c r="I403" s="93"/>
      <c r="J403" s="93"/>
    </row>
    <row r="404" ht="29.25" customHeight="1">
      <c r="A404" s="93"/>
      <c r="B404" s="95"/>
      <c r="C404" s="93"/>
      <c r="D404" s="93"/>
      <c r="E404" s="93"/>
      <c r="F404" s="93"/>
      <c r="G404" s="95"/>
      <c r="H404" s="93"/>
      <c r="I404" s="93"/>
      <c r="J404" s="93"/>
    </row>
    <row r="405" ht="29.25" customHeight="1">
      <c r="A405" s="93"/>
      <c r="B405" s="95"/>
      <c r="C405" s="93"/>
      <c r="D405" s="93"/>
      <c r="E405" s="93"/>
      <c r="F405" s="93"/>
      <c r="G405" s="95"/>
      <c r="H405" s="93"/>
      <c r="I405" s="93"/>
      <c r="J405" s="93"/>
    </row>
    <row r="406" ht="29.25" customHeight="1">
      <c r="A406" s="93"/>
      <c r="B406" s="95"/>
      <c r="C406" s="93"/>
      <c r="D406" s="93"/>
      <c r="E406" s="93"/>
      <c r="F406" s="93"/>
      <c r="G406" s="95"/>
      <c r="H406" s="93"/>
      <c r="I406" s="93"/>
      <c r="J406" s="93"/>
    </row>
    <row r="407" ht="29.25" customHeight="1">
      <c r="A407" s="93"/>
      <c r="B407" s="95"/>
      <c r="C407" s="93"/>
      <c r="D407" s="93"/>
      <c r="E407" s="93"/>
      <c r="F407" s="93"/>
      <c r="G407" s="95"/>
      <c r="H407" s="93"/>
      <c r="I407" s="93"/>
      <c r="J407" s="93"/>
    </row>
    <row r="408" ht="29.25" customHeight="1">
      <c r="A408" s="93"/>
      <c r="B408" s="95"/>
      <c r="C408" s="93"/>
      <c r="D408" s="93"/>
      <c r="E408" s="93"/>
      <c r="F408" s="93"/>
      <c r="G408" s="95"/>
      <c r="H408" s="93"/>
      <c r="I408" s="93"/>
      <c r="J408" s="93"/>
    </row>
    <row r="409" ht="29.25" customHeight="1">
      <c r="A409" s="93"/>
      <c r="B409" s="95"/>
      <c r="C409" s="93"/>
      <c r="D409" s="93"/>
      <c r="E409" s="93"/>
      <c r="F409" s="93"/>
      <c r="G409" s="95"/>
      <c r="H409" s="93"/>
      <c r="I409" s="93"/>
      <c r="J409" s="93"/>
    </row>
    <row r="410" ht="29.25" customHeight="1">
      <c r="A410" s="93"/>
      <c r="B410" s="95"/>
      <c r="C410" s="93"/>
      <c r="D410" s="93"/>
      <c r="E410" s="93"/>
      <c r="F410" s="93"/>
      <c r="G410" s="95"/>
      <c r="H410" s="93"/>
      <c r="I410" s="93"/>
      <c r="J410" s="93"/>
    </row>
    <row r="411" ht="29.25" customHeight="1">
      <c r="A411" s="93"/>
      <c r="B411" s="95"/>
      <c r="C411" s="93"/>
      <c r="D411" s="93"/>
      <c r="E411" s="93"/>
      <c r="F411" s="93"/>
      <c r="G411" s="95"/>
      <c r="H411" s="93"/>
      <c r="I411" s="93"/>
      <c r="J411" s="93"/>
    </row>
    <row r="412" ht="29.25" customHeight="1">
      <c r="A412" s="93"/>
      <c r="B412" s="95"/>
      <c r="C412" s="93"/>
      <c r="D412" s="93"/>
      <c r="E412" s="93"/>
      <c r="F412" s="93"/>
      <c r="G412" s="95"/>
      <c r="H412" s="93"/>
      <c r="I412" s="93"/>
      <c r="J412" s="93"/>
    </row>
    <row r="413" ht="29.25" customHeight="1">
      <c r="A413" s="93"/>
      <c r="B413" s="95"/>
      <c r="C413" s="93"/>
      <c r="D413" s="93"/>
      <c r="E413" s="93"/>
      <c r="F413" s="93"/>
      <c r="G413" s="95"/>
      <c r="H413" s="93"/>
      <c r="I413" s="93"/>
      <c r="J413" s="93"/>
    </row>
    <row r="414" ht="29.25" customHeight="1">
      <c r="A414" s="93"/>
      <c r="B414" s="95"/>
      <c r="C414" s="93"/>
      <c r="D414" s="93"/>
      <c r="E414" s="93"/>
      <c r="F414" s="93"/>
      <c r="G414" s="95"/>
      <c r="H414" s="93"/>
      <c r="I414" s="93"/>
      <c r="J414" s="93"/>
    </row>
    <row r="415" ht="29.25" customHeight="1">
      <c r="A415" s="93"/>
      <c r="B415" s="95"/>
      <c r="C415" s="93"/>
      <c r="D415" s="93"/>
      <c r="E415" s="93"/>
      <c r="F415" s="93"/>
      <c r="G415" s="95"/>
      <c r="H415" s="93"/>
      <c r="I415" s="93"/>
      <c r="J415" s="93"/>
    </row>
    <row r="416" ht="29.25" customHeight="1">
      <c r="A416" s="93"/>
      <c r="B416" s="95"/>
      <c r="C416" s="93"/>
      <c r="D416" s="93"/>
      <c r="E416" s="93"/>
      <c r="F416" s="93"/>
      <c r="G416" s="95"/>
      <c r="H416" s="93"/>
      <c r="I416" s="93"/>
      <c r="J416" s="93"/>
    </row>
    <row r="417" ht="29.25" customHeight="1">
      <c r="A417" s="93"/>
      <c r="B417" s="95"/>
      <c r="C417" s="93"/>
      <c r="D417" s="93"/>
      <c r="E417" s="93"/>
      <c r="F417" s="93"/>
      <c r="G417" s="95"/>
      <c r="H417" s="93"/>
      <c r="I417" s="93"/>
      <c r="J417" s="93"/>
    </row>
    <row r="418" ht="29.25" customHeight="1">
      <c r="A418" s="93"/>
      <c r="B418" s="95"/>
      <c r="C418" s="93"/>
      <c r="D418" s="93"/>
      <c r="E418" s="93"/>
      <c r="F418" s="93"/>
      <c r="G418" s="95"/>
      <c r="H418" s="93"/>
      <c r="I418" s="93"/>
      <c r="J418" s="93"/>
    </row>
    <row r="419" ht="29.25" customHeight="1">
      <c r="A419" s="93"/>
      <c r="B419" s="95"/>
      <c r="C419" s="93"/>
      <c r="D419" s="93"/>
      <c r="E419" s="93"/>
      <c r="F419" s="93"/>
      <c r="G419" s="95"/>
      <c r="H419" s="93"/>
      <c r="I419" s="93"/>
      <c r="J419" s="93"/>
    </row>
    <row r="420" ht="29.25" customHeight="1">
      <c r="A420" s="93"/>
      <c r="B420" s="95"/>
      <c r="C420" s="93"/>
      <c r="D420" s="93"/>
      <c r="E420" s="93"/>
      <c r="F420" s="93"/>
      <c r="G420" s="95"/>
      <c r="H420" s="93"/>
      <c r="I420" s="93"/>
      <c r="J420" s="93"/>
    </row>
    <row r="421" ht="29.25" customHeight="1">
      <c r="A421" s="93"/>
      <c r="B421" s="95"/>
      <c r="C421" s="93"/>
      <c r="D421" s="93"/>
      <c r="E421" s="93"/>
      <c r="F421" s="93"/>
      <c r="G421" s="95"/>
      <c r="H421" s="93"/>
      <c r="I421" s="93"/>
      <c r="J421" s="93"/>
    </row>
    <row r="422" ht="29.25" customHeight="1">
      <c r="A422" s="93"/>
      <c r="B422" s="95"/>
      <c r="C422" s="93"/>
      <c r="D422" s="93"/>
      <c r="E422" s="93"/>
      <c r="F422" s="93"/>
      <c r="G422" s="95"/>
      <c r="H422" s="93"/>
      <c r="I422" s="93"/>
      <c r="J422" s="93"/>
    </row>
    <row r="423" ht="29.25" customHeight="1">
      <c r="A423" s="93"/>
      <c r="B423" s="95"/>
      <c r="C423" s="93"/>
      <c r="D423" s="93"/>
      <c r="E423" s="93"/>
      <c r="F423" s="93"/>
      <c r="G423" s="95"/>
      <c r="H423" s="93"/>
      <c r="I423" s="93"/>
      <c r="J423" s="93"/>
    </row>
    <row r="424" ht="29.25" customHeight="1">
      <c r="A424" s="93"/>
      <c r="B424" s="95"/>
      <c r="C424" s="93"/>
      <c r="D424" s="93"/>
      <c r="E424" s="93"/>
      <c r="F424" s="93"/>
      <c r="G424" s="95"/>
      <c r="H424" s="93"/>
      <c r="I424" s="93"/>
      <c r="J424" s="93"/>
    </row>
    <row r="425" ht="29.25" customHeight="1">
      <c r="A425" s="93"/>
      <c r="B425" s="95"/>
      <c r="C425" s="93"/>
      <c r="D425" s="93"/>
      <c r="E425" s="93"/>
      <c r="F425" s="93"/>
      <c r="G425" s="95"/>
      <c r="H425" s="93"/>
      <c r="I425" s="93"/>
      <c r="J425" s="93"/>
    </row>
    <row r="426" ht="29.25" customHeight="1">
      <c r="A426" s="93"/>
      <c r="B426" s="95"/>
      <c r="C426" s="93"/>
      <c r="D426" s="93"/>
      <c r="E426" s="93"/>
      <c r="F426" s="93"/>
      <c r="G426" s="95"/>
      <c r="H426" s="93"/>
      <c r="I426" s="93"/>
      <c r="J426" s="93"/>
    </row>
    <row r="427" ht="29.25" customHeight="1">
      <c r="A427" s="93"/>
      <c r="B427" s="95"/>
      <c r="C427" s="93"/>
      <c r="D427" s="93"/>
      <c r="E427" s="93"/>
      <c r="F427" s="93"/>
      <c r="G427" s="95"/>
      <c r="H427" s="93"/>
      <c r="I427" s="93"/>
      <c r="J427" s="93"/>
    </row>
    <row r="428" ht="29.25" customHeight="1">
      <c r="A428" s="93"/>
      <c r="B428" s="95"/>
      <c r="C428" s="93"/>
      <c r="D428" s="93"/>
      <c r="E428" s="93"/>
      <c r="F428" s="93"/>
      <c r="G428" s="95"/>
      <c r="H428" s="93"/>
      <c r="I428" s="93"/>
      <c r="J428" s="93"/>
    </row>
    <row r="429" ht="29.25" customHeight="1">
      <c r="A429" s="93"/>
      <c r="B429" s="95"/>
      <c r="C429" s="93"/>
      <c r="D429" s="93"/>
      <c r="E429" s="93"/>
      <c r="F429" s="93"/>
      <c r="G429" s="95"/>
      <c r="H429" s="93"/>
      <c r="I429" s="93"/>
      <c r="J429" s="93"/>
    </row>
    <row r="430" ht="29.25" customHeight="1">
      <c r="A430" s="93"/>
      <c r="B430" s="95"/>
      <c r="C430" s="93"/>
      <c r="D430" s="93"/>
      <c r="E430" s="93"/>
      <c r="F430" s="93"/>
      <c r="G430" s="95"/>
      <c r="H430" s="93"/>
      <c r="I430" s="93"/>
      <c r="J430" s="93"/>
    </row>
    <row r="431" ht="29.25" customHeight="1">
      <c r="A431" s="93"/>
      <c r="B431" s="95"/>
      <c r="C431" s="93"/>
      <c r="D431" s="93"/>
      <c r="E431" s="93"/>
      <c r="F431" s="93"/>
      <c r="G431" s="95"/>
      <c r="H431" s="93"/>
      <c r="I431" s="93"/>
      <c r="J431" s="93"/>
    </row>
    <row r="432" ht="29.25" customHeight="1">
      <c r="A432" s="93"/>
      <c r="B432" s="95"/>
      <c r="C432" s="93"/>
      <c r="D432" s="93"/>
      <c r="E432" s="93"/>
      <c r="F432" s="93"/>
      <c r="G432" s="95"/>
      <c r="H432" s="93"/>
      <c r="I432" s="93"/>
      <c r="J432" s="93"/>
    </row>
    <row r="433" ht="29.25" customHeight="1">
      <c r="A433" s="93"/>
      <c r="B433" s="95"/>
      <c r="C433" s="93"/>
      <c r="D433" s="93"/>
      <c r="E433" s="93"/>
      <c r="F433" s="93"/>
      <c r="G433" s="95"/>
      <c r="H433" s="93"/>
      <c r="I433" s="93"/>
      <c r="J433" s="93"/>
    </row>
    <row r="434" ht="29.25" customHeight="1">
      <c r="A434" s="93"/>
      <c r="B434" s="95"/>
      <c r="C434" s="93"/>
      <c r="D434" s="93"/>
      <c r="E434" s="93"/>
      <c r="F434" s="93"/>
      <c r="G434" s="95"/>
      <c r="H434" s="93"/>
      <c r="I434" s="93"/>
      <c r="J434" s="93"/>
    </row>
    <row r="435" ht="29.25" customHeight="1">
      <c r="A435" s="93"/>
      <c r="B435" s="95"/>
      <c r="C435" s="93"/>
      <c r="D435" s="93"/>
      <c r="E435" s="93"/>
      <c r="F435" s="93"/>
      <c r="G435" s="95"/>
      <c r="H435" s="93"/>
      <c r="I435" s="93"/>
      <c r="J435" s="93"/>
    </row>
    <row r="436" ht="29.25" customHeight="1">
      <c r="A436" s="93"/>
      <c r="B436" s="95"/>
      <c r="C436" s="93"/>
      <c r="D436" s="93"/>
      <c r="E436" s="93"/>
      <c r="F436" s="93"/>
      <c r="G436" s="95"/>
      <c r="H436" s="93"/>
      <c r="I436" s="93"/>
      <c r="J436" s="93"/>
    </row>
    <row r="437" ht="29.25" customHeight="1">
      <c r="A437" s="93"/>
      <c r="B437" s="95"/>
      <c r="C437" s="93"/>
      <c r="D437" s="93"/>
      <c r="E437" s="93"/>
      <c r="F437" s="93"/>
      <c r="G437" s="95"/>
      <c r="H437" s="93"/>
      <c r="I437" s="93"/>
      <c r="J437" s="93"/>
    </row>
    <row r="438" ht="29.25" customHeight="1">
      <c r="A438" s="93"/>
      <c r="B438" s="95"/>
      <c r="C438" s="93"/>
      <c r="D438" s="93"/>
      <c r="E438" s="93"/>
      <c r="F438" s="93"/>
      <c r="G438" s="95"/>
      <c r="H438" s="93"/>
      <c r="I438" s="93"/>
      <c r="J438" s="93"/>
    </row>
    <row r="439" ht="29.25" customHeight="1">
      <c r="A439" s="93"/>
      <c r="B439" s="95"/>
      <c r="C439" s="93"/>
      <c r="D439" s="93"/>
      <c r="E439" s="93"/>
      <c r="F439" s="93"/>
      <c r="G439" s="95"/>
      <c r="H439" s="93"/>
      <c r="I439" s="93"/>
      <c r="J439" s="93"/>
    </row>
    <row r="440" ht="29.25" customHeight="1">
      <c r="A440" s="93"/>
      <c r="B440" s="95"/>
      <c r="C440" s="93"/>
      <c r="D440" s="93"/>
      <c r="E440" s="93"/>
      <c r="F440" s="93"/>
      <c r="G440" s="95"/>
      <c r="H440" s="93"/>
      <c r="I440" s="93"/>
      <c r="J440" s="93"/>
    </row>
    <row r="441" ht="29.25" customHeight="1">
      <c r="A441" s="93"/>
      <c r="B441" s="95"/>
      <c r="C441" s="93"/>
      <c r="D441" s="93"/>
      <c r="E441" s="93"/>
      <c r="F441" s="93"/>
      <c r="G441" s="95"/>
      <c r="H441" s="93"/>
      <c r="I441" s="93"/>
      <c r="J441" s="93"/>
    </row>
    <row r="442" ht="29.25" customHeight="1">
      <c r="A442" s="93"/>
      <c r="B442" s="95"/>
      <c r="C442" s="93"/>
      <c r="D442" s="93"/>
      <c r="E442" s="93"/>
      <c r="F442" s="93"/>
      <c r="G442" s="95"/>
      <c r="H442" s="93"/>
      <c r="I442" s="93"/>
      <c r="J442" s="93"/>
    </row>
    <row r="443" ht="29.25" customHeight="1">
      <c r="A443" s="93"/>
      <c r="B443" s="95"/>
      <c r="C443" s="93"/>
      <c r="D443" s="93"/>
      <c r="E443" s="93"/>
      <c r="F443" s="93"/>
      <c r="G443" s="95"/>
      <c r="H443" s="93"/>
      <c r="I443" s="93"/>
      <c r="J443" s="93"/>
    </row>
    <row r="444" ht="29.25" customHeight="1">
      <c r="A444" s="93"/>
      <c r="B444" s="95"/>
      <c r="C444" s="93"/>
      <c r="D444" s="93"/>
      <c r="E444" s="93"/>
      <c r="F444" s="93"/>
      <c r="G444" s="95"/>
      <c r="H444" s="93"/>
      <c r="I444" s="93"/>
      <c r="J444" s="93"/>
    </row>
    <row r="445" ht="29.25" customHeight="1">
      <c r="A445" s="93"/>
      <c r="B445" s="95"/>
      <c r="C445" s="93"/>
      <c r="D445" s="93"/>
      <c r="E445" s="93"/>
      <c r="F445" s="93"/>
      <c r="G445" s="95"/>
      <c r="H445" s="93"/>
      <c r="I445" s="93"/>
      <c r="J445" s="93"/>
    </row>
    <row r="446" ht="29.25" customHeight="1">
      <c r="A446" s="93"/>
      <c r="B446" s="95"/>
      <c r="C446" s="93"/>
      <c r="D446" s="93"/>
      <c r="E446" s="93"/>
      <c r="F446" s="93"/>
      <c r="G446" s="95"/>
      <c r="H446" s="93"/>
      <c r="I446" s="93"/>
      <c r="J446" s="93"/>
    </row>
    <row r="447" ht="29.25" customHeight="1">
      <c r="A447" s="93"/>
      <c r="B447" s="95"/>
      <c r="C447" s="93"/>
      <c r="D447" s="93"/>
      <c r="E447" s="93"/>
      <c r="F447" s="93"/>
      <c r="G447" s="95"/>
      <c r="H447" s="93"/>
      <c r="I447" s="93"/>
      <c r="J447" s="93"/>
    </row>
    <row r="448" ht="29.25" customHeight="1">
      <c r="A448" s="93"/>
      <c r="B448" s="95"/>
      <c r="C448" s="93"/>
      <c r="D448" s="93"/>
      <c r="E448" s="93"/>
      <c r="F448" s="93"/>
      <c r="G448" s="95"/>
      <c r="H448" s="93"/>
      <c r="I448" s="93"/>
      <c r="J448" s="93"/>
    </row>
    <row r="449" ht="29.25" customHeight="1">
      <c r="A449" s="93"/>
      <c r="B449" s="95"/>
      <c r="C449" s="93"/>
      <c r="D449" s="93"/>
      <c r="E449" s="93"/>
      <c r="F449" s="93"/>
      <c r="G449" s="95"/>
      <c r="H449" s="93"/>
      <c r="I449" s="93"/>
      <c r="J449" s="93"/>
    </row>
    <row r="450" ht="29.25" customHeight="1">
      <c r="A450" s="93"/>
      <c r="B450" s="95"/>
      <c r="C450" s="93"/>
      <c r="D450" s="93"/>
      <c r="E450" s="93"/>
      <c r="F450" s="93"/>
      <c r="G450" s="95"/>
      <c r="H450" s="93"/>
      <c r="I450" s="93"/>
      <c r="J450" s="93"/>
    </row>
    <row r="451" ht="29.25" customHeight="1">
      <c r="A451" s="93"/>
      <c r="B451" s="95"/>
      <c r="C451" s="93"/>
      <c r="D451" s="93"/>
      <c r="E451" s="93"/>
      <c r="F451" s="93"/>
      <c r="G451" s="95"/>
      <c r="H451" s="93"/>
      <c r="I451" s="93"/>
      <c r="J451" s="93"/>
    </row>
    <row r="452" ht="29.25" customHeight="1">
      <c r="A452" s="93"/>
      <c r="B452" s="95"/>
      <c r="C452" s="93"/>
      <c r="D452" s="93"/>
      <c r="E452" s="93"/>
      <c r="F452" s="93"/>
      <c r="G452" s="95"/>
      <c r="H452" s="93"/>
      <c r="I452" s="93"/>
      <c r="J452" s="93"/>
    </row>
    <row r="453" ht="29.25" customHeight="1">
      <c r="A453" s="93"/>
      <c r="B453" s="95"/>
      <c r="C453" s="93"/>
      <c r="D453" s="93"/>
      <c r="E453" s="93"/>
      <c r="F453" s="93"/>
      <c r="G453" s="95"/>
      <c r="H453" s="93"/>
      <c r="I453" s="93"/>
      <c r="J453" s="93"/>
    </row>
    <row r="454" ht="29.25" customHeight="1">
      <c r="A454" s="93"/>
      <c r="B454" s="95"/>
      <c r="C454" s="93"/>
      <c r="D454" s="93"/>
      <c r="E454" s="93"/>
      <c r="F454" s="93"/>
      <c r="G454" s="95"/>
      <c r="H454" s="93"/>
      <c r="I454" s="93"/>
      <c r="J454" s="93"/>
    </row>
    <row r="455" ht="29.25" customHeight="1">
      <c r="A455" s="93"/>
      <c r="B455" s="95"/>
      <c r="C455" s="93"/>
      <c r="D455" s="93"/>
      <c r="E455" s="93"/>
      <c r="F455" s="93"/>
      <c r="G455" s="95"/>
      <c r="H455" s="93"/>
      <c r="I455" s="93"/>
      <c r="J455" s="93"/>
    </row>
    <row r="456" ht="29.25" customHeight="1">
      <c r="A456" s="93"/>
      <c r="B456" s="95"/>
      <c r="C456" s="93"/>
      <c r="D456" s="93"/>
      <c r="E456" s="93"/>
      <c r="F456" s="93"/>
      <c r="G456" s="95"/>
      <c r="H456" s="93"/>
      <c r="I456" s="93"/>
      <c r="J456" s="93"/>
    </row>
    <row r="457" ht="29.25" customHeight="1">
      <c r="A457" s="93"/>
      <c r="B457" s="95"/>
      <c r="C457" s="93"/>
      <c r="D457" s="93"/>
      <c r="E457" s="93"/>
      <c r="F457" s="93"/>
      <c r="G457" s="95"/>
      <c r="H457" s="93"/>
      <c r="I457" s="93"/>
      <c r="J457" s="93"/>
    </row>
    <row r="458" ht="29.25" customHeight="1">
      <c r="A458" s="93"/>
      <c r="B458" s="95"/>
      <c r="C458" s="93"/>
      <c r="D458" s="93"/>
      <c r="E458" s="93"/>
      <c r="F458" s="93"/>
      <c r="G458" s="95"/>
      <c r="H458" s="93"/>
      <c r="I458" s="93"/>
      <c r="J458" s="93"/>
    </row>
    <row r="459" ht="29.25" customHeight="1">
      <c r="A459" s="93"/>
      <c r="B459" s="95"/>
      <c r="C459" s="93"/>
      <c r="D459" s="93"/>
      <c r="E459" s="93"/>
      <c r="F459" s="93"/>
      <c r="G459" s="95"/>
      <c r="H459" s="93"/>
      <c r="I459" s="93"/>
      <c r="J459" s="93"/>
    </row>
    <row r="460" ht="29.25" customHeight="1">
      <c r="A460" s="93"/>
      <c r="B460" s="95"/>
      <c r="C460" s="93"/>
      <c r="D460" s="93"/>
      <c r="E460" s="93"/>
      <c r="F460" s="93"/>
      <c r="G460" s="95"/>
      <c r="H460" s="93"/>
      <c r="I460" s="93"/>
      <c r="J460" s="93"/>
    </row>
    <row r="461" ht="29.25" customHeight="1">
      <c r="A461" s="93"/>
      <c r="B461" s="95"/>
      <c r="C461" s="93"/>
      <c r="D461" s="93"/>
      <c r="E461" s="93"/>
      <c r="F461" s="93"/>
      <c r="G461" s="95"/>
      <c r="H461" s="93"/>
      <c r="I461" s="93"/>
      <c r="J461" s="93"/>
    </row>
    <row r="462" ht="29.25" customHeight="1">
      <c r="A462" s="93"/>
      <c r="B462" s="95"/>
      <c r="C462" s="93"/>
      <c r="D462" s="93"/>
      <c r="E462" s="93"/>
      <c r="F462" s="93"/>
      <c r="G462" s="95"/>
      <c r="H462" s="93"/>
      <c r="I462" s="93"/>
      <c r="J462" s="93"/>
    </row>
    <row r="463" ht="29.25" customHeight="1">
      <c r="A463" s="93"/>
      <c r="B463" s="95"/>
      <c r="C463" s="93"/>
      <c r="D463" s="93"/>
      <c r="E463" s="93"/>
      <c r="F463" s="93"/>
      <c r="G463" s="95"/>
      <c r="H463" s="93"/>
      <c r="I463" s="93"/>
      <c r="J463" s="93"/>
    </row>
    <row r="464" ht="29.25" customHeight="1">
      <c r="A464" s="93"/>
      <c r="B464" s="95"/>
      <c r="C464" s="93"/>
      <c r="D464" s="93"/>
      <c r="E464" s="93"/>
      <c r="F464" s="93"/>
      <c r="G464" s="95"/>
      <c r="H464" s="93"/>
      <c r="I464" s="93"/>
      <c r="J464" s="93"/>
    </row>
    <row r="465" ht="29.25" customHeight="1">
      <c r="A465" s="93"/>
      <c r="B465" s="95"/>
      <c r="C465" s="93"/>
      <c r="D465" s="93"/>
      <c r="E465" s="93"/>
      <c r="F465" s="93"/>
      <c r="G465" s="95"/>
      <c r="H465" s="93"/>
      <c r="I465" s="93"/>
      <c r="J465" s="93"/>
    </row>
    <row r="466" ht="29.25" customHeight="1">
      <c r="A466" s="93"/>
      <c r="B466" s="95"/>
      <c r="C466" s="93"/>
      <c r="D466" s="93"/>
      <c r="E466" s="93"/>
      <c r="F466" s="93"/>
      <c r="G466" s="95"/>
      <c r="H466" s="93"/>
      <c r="I466" s="93"/>
      <c r="J466" s="93"/>
    </row>
    <row r="467" ht="29.25" customHeight="1">
      <c r="A467" s="93"/>
      <c r="B467" s="95"/>
      <c r="C467" s="93"/>
      <c r="D467" s="93"/>
      <c r="E467" s="93"/>
      <c r="F467" s="93"/>
      <c r="G467" s="95"/>
      <c r="H467" s="93"/>
      <c r="I467" s="93"/>
      <c r="J467" s="93"/>
    </row>
    <row r="468" ht="29.25" customHeight="1">
      <c r="A468" s="93"/>
      <c r="B468" s="95"/>
      <c r="C468" s="93"/>
      <c r="D468" s="93"/>
      <c r="E468" s="93"/>
      <c r="F468" s="93"/>
      <c r="G468" s="95"/>
      <c r="H468" s="93"/>
      <c r="I468" s="93"/>
      <c r="J468" s="93"/>
    </row>
    <row r="469" ht="29.25" customHeight="1">
      <c r="A469" s="93"/>
      <c r="B469" s="95"/>
      <c r="C469" s="93"/>
      <c r="D469" s="93"/>
      <c r="E469" s="93"/>
      <c r="F469" s="93"/>
      <c r="G469" s="95"/>
      <c r="H469" s="93"/>
      <c r="I469" s="93"/>
      <c r="J469" s="93"/>
    </row>
    <row r="470" ht="29.25" customHeight="1">
      <c r="A470" s="93"/>
      <c r="B470" s="95"/>
      <c r="C470" s="93"/>
      <c r="D470" s="93"/>
      <c r="E470" s="93"/>
      <c r="F470" s="93"/>
      <c r="G470" s="95"/>
      <c r="H470" s="93"/>
      <c r="I470" s="93"/>
      <c r="J470" s="93"/>
    </row>
    <row r="471" ht="29.25" customHeight="1">
      <c r="A471" s="93"/>
      <c r="B471" s="95"/>
      <c r="C471" s="93"/>
      <c r="D471" s="93"/>
      <c r="E471" s="93"/>
      <c r="F471" s="93"/>
      <c r="G471" s="95"/>
      <c r="H471" s="93"/>
      <c r="I471" s="93"/>
      <c r="J471" s="93"/>
    </row>
    <row r="472" ht="29.25" customHeight="1">
      <c r="A472" s="93"/>
      <c r="B472" s="95"/>
      <c r="C472" s="93"/>
      <c r="D472" s="93"/>
      <c r="E472" s="93"/>
      <c r="F472" s="93"/>
      <c r="G472" s="95"/>
      <c r="H472" s="93"/>
      <c r="I472" s="93"/>
      <c r="J472" s="93"/>
    </row>
    <row r="473" ht="29.25" customHeight="1">
      <c r="A473" s="93"/>
      <c r="B473" s="95"/>
      <c r="C473" s="93"/>
      <c r="D473" s="93"/>
      <c r="E473" s="93"/>
      <c r="F473" s="93"/>
      <c r="G473" s="95"/>
      <c r="H473" s="93"/>
      <c r="I473" s="93"/>
      <c r="J473" s="93"/>
    </row>
    <row r="474" ht="29.25" customHeight="1">
      <c r="A474" s="93"/>
      <c r="B474" s="95"/>
      <c r="C474" s="93"/>
      <c r="D474" s="93"/>
      <c r="E474" s="93"/>
      <c r="F474" s="93"/>
      <c r="G474" s="95"/>
      <c r="H474" s="93"/>
      <c r="I474" s="93"/>
      <c r="J474" s="93"/>
    </row>
    <row r="475" ht="29.25" customHeight="1">
      <c r="A475" s="93"/>
      <c r="B475" s="95"/>
      <c r="C475" s="93"/>
      <c r="D475" s="93"/>
      <c r="E475" s="93"/>
      <c r="F475" s="93"/>
      <c r="G475" s="95"/>
      <c r="H475" s="93"/>
      <c r="I475" s="93"/>
      <c r="J475" s="93"/>
    </row>
    <row r="476" ht="29.25" customHeight="1">
      <c r="A476" s="93"/>
      <c r="B476" s="95"/>
      <c r="C476" s="93"/>
      <c r="D476" s="93"/>
      <c r="E476" s="93"/>
      <c r="F476" s="93"/>
      <c r="G476" s="95"/>
      <c r="H476" s="93"/>
      <c r="I476" s="93"/>
      <c r="J476" s="93"/>
    </row>
    <row r="477" ht="29.25" customHeight="1">
      <c r="A477" s="93"/>
      <c r="B477" s="95"/>
      <c r="C477" s="93"/>
      <c r="D477" s="93"/>
      <c r="E477" s="93"/>
      <c r="F477" s="93"/>
      <c r="G477" s="95"/>
      <c r="H477" s="93"/>
      <c r="I477" s="93"/>
      <c r="J477" s="93"/>
    </row>
    <row r="478" ht="29.25" customHeight="1">
      <c r="A478" s="93"/>
      <c r="B478" s="95"/>
      <c r="C478" s="93"/>
      <c r="D478" s="93"/>
      <c r="E478" s="93"/>
      <c r="F478" s="93"/>
      <c r="G478" s="95"/>
      <c r="H478" s="93"/>
      <c r="I478" s="93"/>
      <c r="J478" s="93"/>
    </row>
    <row r="479" ht="29.25" customHeight="1">
      <c r="A479" s="93"/>
      <c r="B479" s="95"/>
      <c r="C479" s="93"/>
      <c r="D479" s="93"/>
      <c r="E479" s="93"/>
      <c r="F479" s="93"/>
      <c r="G479" s="95"/>
      <c r="H479" s="93"/>
      <c r="I479" s="93"/>
      <c r="J479" s="93"/>
    </row>
    <row r="480" ht="29.25" customHeight="1">
      <c r="A480" s="93"/>
      <c r="B480" s="95"/>
      <c r="C480" s="93"/>
      <c r="D480" s="93"/>
      <c r="E480" s="93"/>
      <c r="F480" s="93"/>
      <c r="G480" s="95"/>
      <c r="H480" s="93"/>
      <c r="I480" s="93"/>
      <c r="J480" s="93"/>
    </row>
    <row r="481" ht="29.25" customHeight="1">
      <c r="A481" s="93"/>
      <c r="B481" s="95"/>
      <c r="C481" s="93"/>
      <c r="D481" s="93"/>
      <c r="E481" s="93"/>
      <c r="F481" s="93"/>
      <c r="G481" s="95"/>
      <c r="H481" s="93"/>
      <c r="I481" s="93"/>
      <c r="J481" s="93"/>
    </row>
    <row r="482" ht="29.25" customHeight="1">
      <c r="A482" s="93"/>
      <c r="B482" s="95"/>
      <c r="C482" s="93"/>
      <c r="D482" s="93"/>
      <c r="E482" s="93"/>
      <c r="F482" s="93"/>
      <c r="G482" s="95"/>
      <c r="H482" s="93"/>
      <c r="I482" s="93"/>
      <c r="J482" s="93"/>
    </row>
    <row r="483" ht="29.25" customHeight="1">
      <c r="A483" s="93"/>
      <c r="B483" s="95"/>
      <c r="C483" s="93"/>
      <c r="D483" s="93"/>
      <c r="E483" s="93"/>
      <c r="F483" s="93"/>
      <c r="G483" s="95"/>
      <c r="H483" s="93"/>
      <c r="I483" s="93"/>
      <c r="J483" s="93"/>
    </row>
    <row r="484" ht="29.25" customHeight="1">
      <c r="A484" s="93"/>
      <c r="B484" s="95"/>
      <c r="C484" s="93"/>
      <c r="D484" s="93"/>
      <c r="E484" s="93"/>
      <c r="F484" s="93"/>
      <c r="G484" s="95"/>
      <c r="H484" s="93"/>
      <c r="I484" s="93"/>
      <c r="J484" s="93"/>
    </row>
    <row r="485" ht="29.25" customHeight="1">
      <c r="A485" s="93"/>
      <c r="B485" s="95"/>
      <c r="C485" s="93"/>
      <c r="D485" s="93"/>
      <c r="E485" s="93"/>
      <c r="F485" s="93"/>
      <c r="G485" s="95"/>
      <c r="H485" s="93"/>
      <c r="I485" s="93"/>
      <c r="J485" s="93"/>
    </row>
    <row r="486" ht="29.25" customHeight="1">
      <c r="A486" s="93"/>
      <c r="B486" s="95"/>
      <c r="C486" s="93"/>
      <c r="D486" s="93"/>
      <c r="E486" s="93"/>
      <c r="F486" s="93"/>
      <c r="G486" s="95"/>
      <c r="H486" s="93"/>
      <c r="I486" s="93"/>
      <c r="J486" s="93"/>
    </row>
    <row r="487" ht="29.25" customHeight="1">
      <c r="A487" s="93"/>
      <c r="B487" s="95"/>
      <c r="C487" s="93"/>
      <c r="D487" s="93"/>
      <c r="E487" s="93"/>
      <c r="F487" s="93"/>
      <c r="G487" s="95"/>
      <c r="H487" s="93"/>
      <c r="I487" s="93"/>
      <c r="J487" s="93"/>
    </row>
    <row r="488" ht="29.25" customHeight="1">
      <c r="A488" s="93"/>
      <c r="B488" s="95"/>
      <c r="C488" s="93"/>
      <c r="D488" s="93"/>
      <c r="E488" s="93"/>
      <c r="F488" s="93"/>
      <c r="G488" s="95"/>
      <c r="H488" s="93"/>
      <c r="I488" s="93"/>
      <c r="J488" s="93"/>
    </row>
    <row r="489" ht="29.25" customHeight="1">
      <c r="A489" s="93"/>
      <c r="B489" s="95"/>
      <c r="C489" s="93"/>
      <c r="D489" s="93"/>
      <c r="E489" s="93"/>
      <c r="F489" s="93"/>
      <c r="G489" s="95"/>
      <c r="H489" s="93"/>
      <c r="I489" s="93"/>
      <c r="J489" s="93"/>
    </row>
    <row r="490" ht="29.25" customHeight="1">
      <c r="A490" s="93"/>
      <c r="B490" s="95"/>
      <c r="C490" s="93"/>
      <c r="D490" s="93"/>
      <c r="E490" s="93"/>
      <c r="F490" s="93"/>
      <c r="G490" s="95"/>
      <c r="H490" s="93"/>
      <c r="I490" s="93"/>
      <c r="J490" s="93"/>
    </row>
    <row r="491" ht="29.25" customHeight="1">
      <c r="A491" s="93"/>
      <c r="B491" s="95"/>
      <c r="C491" s="93"/>
      <c r="D491" s="93"/>
      <c r="E491" s="93"/>
      <c r="F491" s="93"/>
      <c r="G491" s="95"/>
      <c r="H491" s="93"/>
      <c r="I491" s="93"/>
      <c r="J491" s="93"/>
    </row>
    <row r="492" ht="29.25" customHeight="1">
      <c r="A492" s="93"/>
      <c r="B492" s="95"/>
      <c r="C492" s="93"/>
      <c r="D492" s="93"/>
      <c r="E492" s="93"/>
      <c r="F492" s="93"/>
      <c r="G492" s="95"/>
      <c r="H492" s="93"/>
      <c r="I492" s="93"/>
      <c r="J492" s="93"/>
    </row>
    <row r="493" ht="29.25" customHeight="1">
      <c r="A493" s="93"/>
      <c r="B493" s="95"/>
      <c r="C493" s="93"/>
      <c r="D493" s="93"/>
      <c r="E493" s="93"/>
      <c r="F493" s="93"/>
      <c r="G493" s="95"/>
      <c r="H493" s="93"/>
      <c r="I493" s="93"/>
      <c r="J493" s="93"/>
    </row>
    <row r="494" ht="29.25" customHeight="1">
      <c r="A494" s="93"/>
      <c r="B494" s="95"/>
      <c r="C494" s="93"/>
      <c r="D494" s="93"/>
      <c r="E494" s="93"/>
      <c r="F494" s="93"/>
      <c r="G494" s="95"/>
      <c r="H494" s="93"/>
      <c r="I494" s="93"/>
      <c r="J494" s="93"/>
    </row>
    <row r="495" ht="29.25" customHeight="1">
      <c r="A495" s="93"/>
      <c r="B495" s="95"/>
      <c r="C495" s="93"/>
      <c r="D495" s="93"/>
      <c r="E495" s="93"/>
      <c r="F495" s="93"/>
      <c r="G495" s="95"/>
      <c r="H495" s="93"/>
      <c r="I495" s="93"/>
      <c r="J495" s="93"/>
    </row>
    <row r="496" ht="29.25" customHeight="1">
      <c r="A496" s="93"/>
      <c r="B496" s="95"/>
      <c r="C496" s="93"/>
      <c r="D496" s="93"/>
      <c r="E496" s="93"/>
      <c r="F496" s="93"/>
      <c r="G496" s="95"/>
      <c r="H496" s="93"/>
      <c r="I496" s="93"/>
      <c r="J496" s="93"/>
    </row>
    <row r="497" ht="29.25" customHeight="1">
      <c r="A497" s="93"/>
      <c r="B497" s="95"/>
      <c r="C497" s="93"/>
      <c r="D497" s="93"/>
      <c r="E497" s="93"/>
      <c r="F497" s="93"/>
      <c r="G497" s="95"/>
      <c r="H497" s="93"/>
      <c r="I497" s="93"/>
      <c r="J497" s="93"/>
    </row>
    <row r="498" ht="29.25" customHeight="1">
      <c r="A498" s="93"/>
      <c r="B498" s="95"/>
      <c r="C498" s="93"/>
      <c r="D498" s="93"/>
      <c r="E498" s="93"/>
      <c r="F498" s="93"/>
      <c r="G498" s="95"/>
      <c r="H498" s="93"/>
      <c r="I498" s="93"/>
      <c r="J498" s="93"/>
    </row>
    <row r="499" ht="29.25" customHeight="1">
      <c r="A499" s="93"/>
      <c r="B499" s="95"/>
      <c r="C499" s="93"/>
      <c r="D499" s="93"/>
      <c r="E499" s="93"/>
      <c r="F499" s="93"/>
      <c r="G499" s="95"/>
      <c r="H499" s="93"/>
      <c r="I499" s="93"/>
      <c r="J499" s="93"/>
    </row>
    <row r="500" ht="29.25" customHeight="1">
      <c r="A500" s="93"/>
      <c r="B500" s="95"/>
      <c r="C500" s="93"/>
      <c r="D500" s="93"/>
      <c r="E500" s="93"/>
      <c r="F500" s="93"/>
      <c r="G500" s="95"/>
      <c r="H500" s="93"/>
      <c r="I500" s="93"/>
      <c r="J500" s="93"/>
    </row>
    <row r="501" ht="29.25" customHeight="1">
      <c r="A501" s="93"/>
      <c r="B501" s="95"/>
      <c r="C501" s="93"/>
      <c r="D501" s="93"/>
      <c r="E501" s="93"/>
      <c r="F501" s="93"/>
      <c r="G501" s="95"/>
      <c r="H501" s="93"/>
      <c r="I501" s="93"/>
      <c r="J501" s="93"/>
    </row>
    <row r="502" ht="29.25" customHeight="1">
      <c r="A502" s="93"/>
      <c r="B502" s="95"/>
      <c r="C502" s="93"/>
      <c r="D502" s="93"/>
      <c r="E502" s="93"/>
      <c r="F502" s="93"/>
      <c r="G502" s="95"/>
      <c r="H502" s="93"/>
      <c r="I502" s="93"/>
      <c r="J502" s="93"/>
    </row>
    <row r="503" ht="29.25" customHeight="1">
      <c r="A503" s="93"/>
      <c r="B503" s="95"/>
      <c r="C503" s="93"/>
      <c r="D503" s="93"/>
      <c r="E503" s="93"/>
      <c r="F503" s="93"/>
      <c r="G503" s="95"/>
      <c r="H503" s="93"/>
      <c r="I503" s="93"/>
      <c r="J503" s="93"/>
    </row>
    <row r="504" ht="29.25" customHeight="1">
      <c r="A504" s="93"/>
      <c r="B504" s="95"/>
      <c r="C504" s="93"/>
      <c r="D504" s="93"/>
      <c r="E504" s="93"/>
      <c r="F504" s="93"/>
      <c r="G504" s="95"/>
      <c r="H504" s="93"/>
      <c r="I504" s="93"/>
      <c r="J504" s="93"/>
    </row>
    <row r="505" ht="29.25" customHeight="1">
      <c r="A505" s="93"/>
      <c r="B505" s="95"/>
      <c r="C505" s="93"/>
      <c r="D505" s="93"/>
      <c r="E505" s="93"/>
      <c r="F505" s="93"/>
      <c r="G505" s="95"/>
      <c r="H505" s="93"/>
      <c r="I505" s="93"/>
      <c r="J505" s="93"/>
    </row>
    <row r="506" ht="29.25" customHeight="1">
      <c r="A506" s="93"/>
      <c r="B506" s="95"/>
      <c r="C506" s="93"/>
      <c r="D506" s="93"/>
      <c r="E506" s="93"/>
      <c r="F506" s="93"/>
      <c r="G506" s="95"/>
      <c r="H506" s="93"/>
      <c r="I506" s="93"/>
      <c r="J506" s="93"/>
    </row>
    <row r="507" ht="29.25" customHeight="1">
      <c r="A507" s="93"/>
      <c r="B507" s="95"/>
      <c r="C507" s="93"/>
      <c r="D507" s="93"/>
      <c r="E507" s="93"/>
      <c r="F507" s="93"/>
      <c r="G507" s="95"/>
      <c r="H507" s="93"/>
      <c r="I507" s="93"/>
      <c r="J507" s="93"/>
    </row>
    <row r="508" ht="29.25" customHeight="1">
      <c r="A508" s="93"/>
      <c r="B508" s="95"/>
      <c r="C508" s="93"/>
      <c r="D508" s="93"/>
      <c r="E508" s="93"/>
      <c r="F508" s="93"/>
      <c r="G508" s="95"/>
      <c r="H508" s="93"/>
      <c r="I508" s="93"/>
      <c r="J508" s="93"/>
    </row>
    <row r="509" ht="29.25" customHeight="1">
      <c r="A509" s="93"/>
      <c r="B509" s="95"/>
      <c r="C509" s="93"/>
      <c r="D509" s="93"/>
      <c r="E509" s="93"/>
      <c r="F509" s="93"/>
      <c r="G509" s="95"/>
      <c r="H509" s="93"/>
      <c r="I509" s="93"/>
      <c r="J509" s="93"/>
    </row>
    <row r="510" ht="29.25" customHeight="1">
      <c r="A510" s="93"/>
      <c r="B510" s="95"/>
      <c r="C510" s="93"/>
      <c r="D510" s="93"/>
      <c r="E510" s="93"/>
      <c r="F510" s="93"/>
      <c r="G510" s="95"/>
      <c r="H510" s="93"/>
      <c r="I510" s="93"/>
      <c r="J510" s="93"/>
    </row>
    <row r="511" ht="29.25" customHeight="1">
      <c r="A511" s="93"/>
      <c r="B511" s="95"/>
      <c r="C511" s="93"/>
      <c r="D511" s="93"/>
      <c r="E511" s="93"/>
      <c r="F511" s="93"/>
      <c r="G511" s="95"/>
      <c r="H511" s="93"/>
      <c r="I511" s="93"/>
      <c r="J511" s="93"/>
    </row>
    <row r="512" ht="29.25" customHeight="1">
      <c r="A512" s="93"/>
      <c r="B512" s="95"/>
      <c r="C512" s="93"/>
      <c r="D512" s="93"/>
      <c r="E512" s="93"/>
      <c r="F512" s="93"/>
      <c r="G512" s="95"/>
      <c r="H512" s="93"/>
      <c r="I512" s="93"/>
      <c r="J512" s="93"/>
    </row>
    <row r="513" ht="29.25" customHeight="1">
      <c r="A513" s="93"/>
      <c r="B513" s="95"/>
      <c r="C513" s="93"/>
      <c r="D513" s="93"/>
      <c r="E513" s="93"/>
      <c r="F513" s="93"/>
      <c r="G513" s="95"/>
      <c r="H513" s="93"/>
      <c r="I513" s="93"/>
      <c r="J513" s="93"/>
    </row>
    <row r="514" ht="29.25" customHeight="1">
      <c r="A514" s="93"/>
      <c r="B514" s="95"/>
      <c r="C514" s="93"/>
      <c r="D514" s="93"/>
      <c r="E514" s="93"/>
      <c r="F514" s="93"/>
      <c r="G514" s="95"/>
      <c r="H514" s="93"/>
      <c r="I514" s="93"/>
      <c r="J514" s="93"/>
    </row>
    <row r="515" ht="29.25" customHeight="1">
      <c r="A515" s="93"/>
      <c r="B515" s="95"/>
      <c r="C515" s="93"/>
      <c r="D515" s="93"/>
      <c r="E515" s="93"/>
      <c r="F515" s="93"/>
      <c r="G515" s="95"/>
      <c r="H515" s="93"/>
      <c r="I515" s="93"/>
      <c r="J515" s="93"/>
    </row>
    <row r="516" ht="29.25" customHeight="1">
      <c r="A516" s="93"/>
      <c r="B516" s="95"/>
      <c r="C516" s="93"/>
      <c r="D516" s="93"/>
      <c r="E516" s="93"/>
      <c r="F516" s="93"/>
      <c r="G516" s="95"/>
      <c r="H516" s="93"/>
      <c r="I516" s="93"/>
      <c r="J516" s="93"/>
    </row>
    <row r="517" ht="29.25" customHeight="1">
      <c r="A517" s="93"/>
      <c r="B517" s="95"/>
      <c r="C517" s="93"/>
      <c r="D517" s="93"/>
      <c r="E517" s="93"/>
      <c r="F517" s="93"/>
      <c r="G517" s="95"/>
      <c r="H517" s="93"/>
      <c r="I517" s="93"/>
      <c r="J517" s="93"/>
    </row>
    <row r="518" ht="29.25" customHeight="1">
      <c r="A518" s="93"/>
      <c r="B518" s="95"/>
      <c r="C518" s="93"/>
      <c r="D518" s="93"/>
      <c r="E518" s="93"/>
      <c r="F518" s="93"/>
      <c r="G518" s="95"/>
      <c r="H518" s="93"/>
      <c r="I518" s="93"/>
      <c r="J518" s="93"/>
    </row>
    <row r="519" ht="29.25" customHeight="1">
      <c r="A519" s="93"/>
      <c r="B519" s="95"/>
      <c r="C519" s="93"/>
      <c r="D519" s="93"/>
      <c r="E519" s="93"/>
      <c r="F519" s="93"/>
      <c r="G519" s="95"/>
      <c r="H519" s="93"/>
      <c r="I519" s="93"/>
      <c r="J519" s="93"/>
    </row>
    <row r="520" ht="29.25" customHeight="1">
      <c r="A520" s="93"/>
      <c r="B520" s="95"/>
      <c r="C520" s="93"/>
      <c r="D520" s="93"/>
      <c r="E520" s="93"/>
      <c r="F520" s="93"/>
      <c r="G520" s="95"/>
      <c r="H520" s="93"/>
      <c r="I520" s="93"/>
      <c r="J520" s="93"/>
    </row>
    <row r="521" ht="29.25" customHeight="1">
      <c r="A521" s="93"/>
      <c r="B521" s="95"/>
      <c r="C521" s="93"/>
      <c r="D521" s="93"/>
      <c r="E521" s="93"/>
      <c r="F521" s="93"/>
      <c r="G521" s="95"/>
      <c r="H521" s="93"/>
      <c r="I521" s="93"/>
      <c r="J521" s="93"/>
    </row>
    <row r="522" ht="29.25" customHeight="1">
      <c r="A522" s="93"/>
      <c r="B522" s="95"/>
      <c r="C522" s="93"/>
      <c r="D522" s="93"/>
      <c r="E522" s="93"/>
      <c r="F522" s="93"/>
      <c r="G522" s="95"/>
      <c r="H522" s="93"/>
      <c r="I522" s="93"/>
      <c r="J522" s="93"/>
    </row>
    <row r="523" ht="29.25" customHeight="1">
      <c r="A523" s="93"/>
      <c r="B523" s="95"/>
      <c r="C523" s="93"/>
      <c r="D523" s="93"/>
      <c r="E523" s="93"/>
      <c r="F523" s="93"/>
      <c r="G523" s="95"/>
      <c r="H523" s="93"/>
      <c r="I523" s="93"/>
      <c r="J523" s="93"/>
    </row>
    <row r="524" ht="29.25" customHeight="1">
      <c r="A524" s="93"/>
      <c r="B524" s="95"/>
      <c r="C524" s="93"/>
      <c r="D524" s="93"/>
      <c r="E524" s="93"/>
      <c r="F524" s="93"/>
      <c r="G524" s="95"/>
      <c r="H524" s="93"/>
      <c r="I524" s="93"/>
      <c r="J524" s="93"/>
    </row>
    <row r="525" ht="29.25" customHeight="1">
      <c r="A525" s="93"/>
      <c r="B525" s="95"/>
      <c r="C525" s="93"/>
      <c r="D525" s="93"/>
      <c r="E525" s="93"/>
      <c r="F525" s="93"/>
      <c r="G525" s="95"/>
      <c r="H525" s="93"/>
      <c r="I525" s="93"/>
      <c r="J525" s="93"/>
    </row>
    <row r="526" ht="29.25" customHeight="1">
      <c r="A526" s="93"/>
      <c r="B526" s="95"/>
      <c r="C526" s="93"/>
      <c r="D526" s="93"/>
      <c r="E526" s="93"/>
      <c r="F526" s="93"/>
      <c r="G526" s="95"/>
      <c r="H526" s="93"/>
      <c r="I526" s="93"/>
      <c r="J526" s="93"/>
    </row>
    <row r="527" ht="29.25" customHeight="1">
      <c r="A527" s="93"/>
      <c r="B527" s="95"/>
      <c r="C527" s="93"/>
      <c r="D527" s="93"/>
      <c r="E527" s="93"/>
      <c r="F527" s="93"/>
      <c r="G527" s="95"/>
      <c r="H527" s="93"/>
      <c r="I527" s="93"/>
      <c r="J527" s="93"/>
    </row>
    <row r="528" ht="29.25" customHeight="1">
      <c r="A528" s="93"/>
      <c r="B528" s="95"/>
      <c r="C528" s="93"/>
      <c r="D528" s="93"/>
      <c r="E528" s="93"/>
      <c r="F528" s="93"/>
      <c r="G528" s="95"/>
      <c r="H528" s="93"/>
      <c r="I528" s="93"/>
      <c r="J528" s="93"/>
    </row>
    <row r="529" ht="29.25" customHeight="1">
      <c r="A529" s="93"/>
      <c r="B529" s="95"/>
      <c r="C529" s="93"/>
      <c r="D529" s="93"/>
      <c r="E529" s="93"/>
      <c r="F529" s="93"/>
      <c r="G529" s="95"/>
      <c r="H529" s="93"/>
      <c r="I529" s="93"/>
      <c r="J529" s="93"/>
    </row>
    <row r="530" ht="29.25" customHeight="1">
      <c r="A530" s="93"/>
      <c r="B530" s="95"/>
      <c r="C530" s="93"/>
      <c r="D530" s="93"/>
      <c r="E530" s="93"/>
      <c r="F530" s="93"/>
      <c r="G530" s="95"/>
      <c r="H530" s="93"/>
      <c r="I530" s="93"/>
      <c r="J530" s="93"/>
    </row>
    <row r="531" ht="29.25" customHeight="1">
      <c r="A531" s="93"/>
      <c r="B531" s="95"/>
      <c r="C531" s="93"/>
      <c r="D531" s="93"/>
      <c r="E531" s="93"/>
      <c r="F531" s="93"/>
      <c r="G531" s="95"/>
      <c r="H531" s="93"/>
      <c r="I531" s="93"/>
      <c r="J531" s="93"/>
    </row>
    <row r="532" ht="29.25" customHeight="1">
      <c r="A532" s="93"/>
      <c r="B532" s="95"/>
      <c r="C532" s="93"/>
      <c r="D532" s="93"/>
      <c r="E532" s="93"/>
      <c r="F532" s="93"/>
      <c r="G532" s="95"/>
      <c r="H532" s="93"/>
      <c r="I532" s="93"/>
      <c r="J532" s="93"/>
    </row>
    <row r="533" ht="29.25" customHeight="1">
      <c r="A533" s="93"/>
      <c r="B533" s="95"/>
      <c r="C533" s="93"/>
      <c r="D533" s="93"/>
      <c r="E533" s="93"/>
      <c r="F533" s="93"/>
      <c r="G533" s="95"/>
      <c r="H533" s="93"/>
      <c r="I533" s="93"/>
      <c r="J533" s="93"/>
    </row>
    <row r="534" ht="29.25" customHeight="1">
      <c r="A534" s="93"/>
      <c r="B534" s="95"/>
      <c r="C534" s="93"/>
      <c r="D534" s="93"/>
      <c r="E534" s="93"/>
      <c r="F534" s="93"/>
      <c r="G534" s="95"/>
      <c r="H534" s="93"/>
      <c r="I534" s="93"/>
      <c r="J534" s="93"/>
    </row>
    <row r="535" ht="29.25" customHeight="1">
      <c r="A535" s="93"/>
      <c r="B535" s="95"/>
      <c r="C535" s="93"/>
      <c r="D535" s="93"/>
      <c r="E535" s="93"/>
      <c r="F535" s="93"/>
      <c r="G535" s="95"/>
      <c r="H535" s="93"/>
      <c r="I535" s="93"/>
      <c r="J535" s="93"/>
    </row>
    <row r="536" ht="29.25" customHeight="1">
      <c r="A536" s="93"/>
      <c r="B536" s="95"/>
      <c r="C536" s="93"/>
      <c r="D536" s="93"/>
      <c r="E536" s="93"/>
      <c r="F536" s="93"/>
      <c r="G536" s="95"/>
      <c r="H536" s="93"/>
      <c r="I536" s="93"/>
      <c r="J536" s="93"/>
    </row>
    <row r="537" ht="29.25" customHeight="1">
      <c r="A537" s="93"/>
      <c r="B537" s="95"/>
      <c r="C537" s="93"/>
      <c r="D537" s="93"/>
      <c r="E537" s="93"/>
      <c r="F537" s="93"/>
      <c r="G537" s="95"/>
      <c r="H537" s="93"/>
      <c r="I537" s="93"/>
      <c r="J537" s="93"/>
    </row>
    <row r="538" ht="29.25" customHeight="1">
      <c r="A538" s="93"/>
      <c r="B538" s="95"/>
      <c r="C538" s="93"/>
      <c r="D538" s="93"/>
      <c r="E538" s="93"/>
      <c r="F538" s="93"/>
      <c r="G538" s="95"/>
      <c r="H538" s="93"/>
      <c r="I538" s="93"/>
      <c r="J538" s="93"/>
    </row>
    <row r="539" ht="29.25" customHeight="1">
      <c r="A539" s="93"/>
      <c r="B539" s="95"/>
      <c r="C539" s="93"/>
      <c r="D539" s="93"/>
      <c r="E539" s="93"/>
      <c r="F539" s="93"/>
      <c r="G539" s="95"/>
      <c r="H539" s="93"/>
      <c r="I539" s="93"/>
      <c r="J539" s="93"/>
    </row>
    <row r="540" ht="29.25" customHeight="1">
      <c r="A540" s="93"/>
      <c r="B540" s="95"/>
      <c r="C540" s="93"/>
      <c r="D540" s="93"/>
      <c r="E540" s="93"/>
      <c r="F540" s="93"/>
      <c r="G540" s="95"/>
      <c r="H540" s="93"/>
      <c r="I540" s="93"/>
      <c r="J540" s="93"/>
    </row>
    <row r="541" ht="29.25" customHeight="1">
      <c r="A541" s="93"/>
      <c r="B541" s="95"/>
      <c r="C541" s="93"/>
      <c r="D541" s="93"/>
      <c r="E541" s="93"/>
      <c r="F541" s="93"/>
      <c r="G541" s="95"/>
      <c r="H541" s="93"/>
      <c r="I541" s="93"/>
      <c r="J541" s="93"/>
    </row>
    <row r="542" ht="29.25" customHeight="1">
      <c r="A542" s="93"/>
      <c r="B542" s="95"/>
      <c r="C542" s="93"/>
      <c r="D542" s="93"/>
      <c r="E542" s="93"/>
      <c r="F542" s="93"/>
      <c r="G542" s="95"/>
      <c r="H542" s="93"/>
      <c r="I542" s="93"/>
      <c r="J542" s="93"/>
    </row>
    <row r="543" ht="29.25" customHeight="1">
      <c r="A543" s="93"/>
      <c r="B543" s="95"/>
      <c r="C543" s="93"/>
      <c r="D543" s="93"/>
      <c r="E543" s="93"/>
      <c r="F543" s="93"/>
      <c r="G543" s="95"/>
      <c r="H543" s="93"/>
      <c r="I543" s="93"/>
      <c r="J543" s="93"/>
    </row>
    <row r="544" ht="29.25" customHeight="1">
      <c r="A544" s="93"/>
      <c r="B544" s="95"/>
      <c r="C544" s="93"/>
      <c r="D544" s="93"/>
      <c r="E544" s="93"/>
      <c r="F544" s="93"/>
      <c r="G544" s="95"/>
      <c r="H544" s="93"/>
      <c r="I544" s="93"/>
      <c r="J544" s="93"/>
    </row>
    <row r="545" ht="29.25" customHeight="1">
      <c r="A545" s="93"/>
      <c r="B545" s="95"/>
      <c r="C545" s="93"/>
      <c r="D545" s="93"/>
      <c r="E545" s="93"/>
      <c r="F545" s="93"/>
      <c r="G545" s="95"/>
      <c r="H545" s="93"/>
      <c r="I545" s="93"/>
      <c r="J545" s="93"/>
    </row>
    <row r="546" ht="29.25" customHeight="1">
      <c r="A546" s="93"/>
      <c r="B546" s="95"/>
      <c r="C546" s="93"/>
      <c r="D546" s="93"/>
      <c r="E546" s="93"/>
      <c r="F546" s="93"/>
      <c r="G546" s="95"/>
      <c r="H546" s="93"/>
      <c r="I546" s="93"/>
      <c r="J546" s="93"/>
    </row>
    <row r="547" ht="29.25" customHeight="1">
      <c r="A547" s="93"/>
      <c r="B547" s="95"/>
      <c r="C547" s="93"/>
      <c r="D547" s="93"/>
      <c r="E547" s="93"/>
      <c r="F547" s="93"/>
      <c r="G547" s="95"/>
      <c r="H547" s="93"/>
      <c r="I547" s="93"/>
      <c r="J547" s="93"/>
    </row>
    <row r="548" ht="29.25" customHeight="1">
      <c r="A548" s="93"/>
      <c r="B548" s="95"/>
      <c r="C548" s="93"/>
      <c r="D548" s="93"/>
      <c r="E548" s="93"/>
      <c r="F548" s="93"/>
      <c r="G548" s="95"/>
      <c r="H548" s="93"/>
      <c r="I548" s="93"/>
      <c r="J548" s="93"/>
    </row>
    <row r="549" ht="29.25" customHeight="1">
      <c r="A549" s="93"/>
      <c r="B549" s="95"/>
      <c r="C549" s="93"/>
      <c r="D549" s="93"/>
      <c r="E549" s="93"/>
      <c r="F549" s="93"/>
      <c r="G549" s="95"/>
      <c r="H549" s="93"/>
      <c r="I549" s="93"/>
      <c r="J549" s="93"/>
    </row>
    <row r="550" ht="29.25" customHeight="1">
      <c r="A550" s="93"/>
      <c r="B550" s="95"/>
      <c r="C550" s="93"/>
      <c r="D550" s="93"/>
      <c r="E550" s="93"/>
      <c r="F550" s="93"/>
      <c r="G550" s="95"/>
      <c r="H550" s="93"/>
      <c r="I550" s="93"/>
      <c r="J550" s="93"/>
    </row>
    <row r="551" ht="29.25" customHeight="1">
      <c r="A551" s="93"/>
      <c r="B551" s="95"/>
      <c r="C551" s="93"/>
      <c r="D551" s="93"/>
      <c r="E551" s="93"/>
      <c r="F551" s="93"/>
      <c r="G551" s="95"/>
      <c r="H551" s="93"/>
      <c r="I551" s="93"/>
      <c r="J551" s="93"/>
    </row>
    <row r="552" ht="29.25" customHeight="1">
      <c r="A552" s="93"/>
      <c r="B552" s="95"/>
      <c r="C552" s="93"/>
      <c r="D552" s="93"/>
      <c r="E552" s="93"/>
      <c r="F552" s="93"/>
      <c r="G552" s="95"/>
      <c r="H552" s="93"/>
      <c r="I552" s="93"/>
      <c r="J552" s="93"/>
    </row>
    <row r="553" ht="29.25" customHeight="1">
      <c r="A553" s="93"/>
      <c r="B553" s="95"/>
      <c r="C553" s="93"/>
      <c r="D553" s="93"/>
      <c r="E553" s="93"/>
      <c r="F553" s="93"/>
      <c r="G553" s="95"/>
      <c r="H553" s="93"/>
      <c r="I553" s="93"/>
      <c r="J553" s="93"/>
    </row>
    <row r="554" ht="29.25" customHeight="1">
      <c r="A554" s="93"/>
      <c r="B554" s="95"/>
      <c r="C554" s="93"/>
      <c r="D554" s="93"/>
      <c r="E554" s="93"/>
      <c r="F554" s="93"/>
      <c r="G554" s="95"/>
      <c r="H554" s="93"/>
      <c r="I554" s="93"/>
      <c r="J554" s="93"/>
    </row>
    <row r="555" ht="29.25" customHeight="1">
      <c r="A555" s="93"/>
      <c r="B555" s="95"/>
      <c r="C555" s="93"/>
      <c r="D555" s="93"/>
      <c r="E555" s="93"/>
      <c r="F555" s="93"/>
      <c r="G555" s="95"/>
      <c r="H555" s="93"/>
      <c r="I555" s="93"/>
      <c r="J555" s="93"/>
    </row>
    <row r="556" ht="29.25" customHeight="1">
      <c r="A556" s="93"/>
      <c r="B556" s="95"/>
      <c r="C556" s="93"/>
      <c r="D556" s="93"/>
      <c r="E556" s="93"/>
      <c r="F556" s="93"/>
      <c r="G556" s="95"/>
      <c r="H556" s="93"/>
      <c r="I556" s="93"/>
      <c r="J556" s="93"/>
    </row>
    <row r="557" ht="29.25" customHeight="1">
      <c r="A557" s="93"/>
      <c r="B557" s="95"/>
      <c r="C557" s="93"/>
      <c r="D557" s="93"/>
      <c r="E557" s="93"/>
      <c r="F557" s="93"/>
      <c r="G557" s="95"/>
      <c r="H557" s="93"/>
      <c r="I557" s="93"/>
      <c r="J557" s="93"/>
    </row>
    <row r="558" ht="29.25" customHeight="1">
      <c r="A558" s="93"/>
      <c r="B558" s="95"/>
      <c r="C558" s="93"/>
      <c r="D558" s="93"/>
      <c r="E558" s="93"/>
      <c r="F558" s="93"/>
      <c r="G558" s="95"/>
      <c r="H558" s="93"/>
      <c r="I558" s="93"/>
      <c r="J558" s="93"/>
    </row>
    <row r="559" ht="29.25" customHeight="1">
      <c r="A559" s="93"/>
      <c r="B559" s="95"/>
      <c r="C559" s="93"/>
      <c r="D559" s="93"/>
      <c r="E559" s="93"/>
      <c r="F559" s="93"/>
      <c r="G559" s="95"/>
      <c r="H559" s="93"/>
      <c r="I559" s="93"/>
      <c r="J559" s="93"/>
    </row>
    <row r="560" ht="29.25" customHeight="1">
      <c r="A560" s="93"/>
      <c r="B560" s="95"/>
      <c r="C560" s="93"/>
      <c r="D560" s="93"/>
      <c r="E560" s="93"/>
      <c r="F560" s="93"/>
      <c r="G560" s="95"/>
      <c r="H560" s="93"/>
      <c r="I560" s="93"/>
      <c r="J560" s="93"/>
    </row>
    <row r="561" ht="29.25" customHeight="1">
      <c r="A561" s="93"/>
      <c r="B561" s="95"/>
      <c r="C561" s="93"/>
      <c r="D561" s="93"/>
      <c r="E561" s="93"/>
      <c r="F561" s="93"/>
      <c r="G561" s="95"/>
      <c r="H561" s="93"/>
      <c r="I561" s="93"/>
      <c r="J561" s="93"/>
    </row>
    <row r="562" ht="29.25" customHeight="1">
      <c r="A562" s="93"/>
      <c r="B562" s="95"/>
      <c r="C562" s="93"/>
      <c r="D562" s="93"/>
      <c r="E562" s="93"/>
      <c r="F562" s="93"/>
      <c r="G562" s="95"/>
      <c r="H562" s="93"/>
      <c r="I562" s="93"/>
      <c r="J562" s="93"/>
    </row>
    <row r="563" ht="29.25" customHeight="1">
      <c r="A563" s="93"/>
      <c r="B563" s="95"/>
      <c r="C563" s="93"/>
      <c r="D563" s="93"/>
      <c r="E563" s="93"/>
      <c r="F563" s="93"/>
      <c r="G563" s="95"/>
      <c r="H563" s="93"/>
      <c r="I563" s="93"/>
      <c r="J563" s="93"/>
    </row>
    <row r="564" ht="29.25" customHeight="1">
      <c r="A564" s="93"/>
      <c r="B564" s="95"/>
      <c r="C564" s="93"/>
      <c r="D564" s="93"/>
      <c r="E564" s="93"/>
      <c r="F564" s="93"/>
      <c r="G564" s="95"/>
      <c r="H564" s="93"/>
      <c r="I564" s="93"/>
      <c r="J564" s="93"/>
    </row>
    <row r="565" ht="29.25" customHeight="1">
      <c r="A565" s="93"/>
      <c r="B565" s="95"/>
      <c r="C565" s="93"/>
      <c r="D565" s="93"/>
      <c r="E565" s="93"/>
      <c r="F565" s="93"/>
      <c r="G565" s="95"/>
      <c r="H565" s="93"/>
      <c r="I565" s="93"/>
      <c r="J565" s="93"/>
    </row>
    <row r="566" ht="29.25" customHeight="1">
      <c r="A566" s="93"/>
      <c r="B566" s="95"/>
      <c r="C566" s="93"/>
      <c r="D566" s="93"/>
      <c r="E566" s="93"/>
      <c r="F566" s="93"/>
      <c r="G566" s="95"/>
      <c r="H566" s="93"/>
      <c r="I566" s="93"/>
      <c r="J566" s="93"/>
    </row>
    <row r="567" ht="29.25" customHeight="1">
      <c r="A567" s="93"/>
      <c r="B567" s="95"/>
      <c r="C567" s="93"/>
      <c r="D567" s="93"/>
      <c r="E567" s="93"/>
      <c r="F567" s="93"/>
      <c r="G567" s="95"/>
      <c r="H567" s="93"/>
      <c r="I567" s="93"/>
      <c r="J567" s="93"/>
    </row>
    <row r="568" ht="29.25" customHeight="1">
      <c r="A568" s="93"/>
      <c r="B568" s="95"/>
      <c r="C568" s="93"/>
      <c r="D568" s="93"/>
      <c r="E568" s="93"/>
      <c r="F568" s="93"/>
      <c r="G568" s="95"/>
      <c r="H568" s="93"/>
      <c r="I568" s="93"/>
      <c r="J568" s="93"/>
    </row>
    <row r="569" ht="29.25" customHeight="1">
      <c r="A569" s="93"/>
      <c r="B569" s="95"/>
      <c r="C569" s="93"/>
      <c r="D569" s="93"/>
      <c r="E569" s="93"/>
      <c r="F569" s="93"/>
      <c r="G569" s="95"/>
      <c r="H569" s="93"/>
      <c r="I569" s="93"/>
      <c r="J569" s="93"/>
    </row>
    <row r="570" ht="29.25" customHeight="1">
      <c r="A570" s="93"/>
      <c r="B570" s="95"/>
      <c r="C570" s="93"/>
      <c r="D570" s="93"/>
      <c r="E570" s="93"/>
      <c r="F570" s="93"/>
      <c r="G570" s="95"/>
      <c r="H570" s="93"/>
      <c r="I570" s="93"/>
      <c r="J570" s="93"/>
    </row>
    <row r="571" ht="29.25" customHeight="1">
      <c r="A571" s="93"/>
      <c r="B571" s="95"/>
      <c r="C571" s="93"/>
      <c r="D571" s="93"/>
      <c r="E571" s="93"/>
      <c r="F571" s="93"/>
      <c r="G571" s="95"/>
      <c r="H571" s="93"/>
      <c r="I571" s="93"/>
      <c r="J571" s="93"/>
    </row>
    <row r="572" ht="29.25" customHeight="1">
      <c r="A572" s="93"/>
      <c r="B572" s="95"/>
      <c r="C572" s="93"/>
      <c r="D572" s="93"/>
      <c r="E572" s="93"/>
      <c r="F572" s="93"/>
      <c r="G572" s="95"/>
      <c r="H572" s="93"/>
      <c r="I572" s="93"/>
      <c r="J572" s="93"/>
    </row>
    <row r="573" ht="29.25" customHeight="1">
      <c r="A573" s="93"/>
      <c r="B573" s="95"/>
      <c r="C573" s="93"/>
      <c r="D573" s="93"/>
      <c r="E573" s="93"/>
      <c r="F573" s="93"/>
      <c r="G573" s="95"/>
      <c r="H573" s="93"/>
      <c r="I573" s="93"/>
      <c r="J573" s="93"/>
    </row>
    <row r="574" ht="29.25" customHeight="1">
      <c r="A574" s="93"/>
      <c r="B574" s="95"/>
      <c r="C574" s="93"/>
      <c r="D574" s="93"/>
      <c r="E574" s="93"/>
      <c r="F574" s="93"/>
      <c r="G574" s="95"/>
      <c r="H574" s="93"/>
      <c r="I574" s="93"/>
      <c r="J574" s="93"/>
    </row>
    <row r="575" ht="29.25" customHeight="1">
      <c r="A575" s="93"/>
      <c r="B575" s="95"/>
      <c r="C575" s="93"/>
      <c r="D575" s="93"/>
      <c r="E575" s="93"/>
      <c r="F575" s="93"/>
      <c r="G575" s="95"/>
      <c r="H575" s="93"/>
      <c r="I575" s="93"/>
      <c r="J575" s="93"/>
    </row>
    <row r="576" ht="29.25" customHeight="1">
      <c r="A576" s="93"/>
      <c r="B576" s="95"/>
      <c r="C576" s="93"/>
      <c r="D576" s="93"/>
      <c r="E576" s="93"/>
      <c r="F576" s="93"/>
      <c r="G576" s="95"/>
      <c r="H576" s="93"/>
      <c r="I576" s="93"/>
      <c r="J576" s="93"/>
    </row>
    <row r="577" ht="29.25" customHeight="1">
      <c r="A577" s="93"/>
      <c r="B577" s="95"/>
      <c r="C577" s="93"/>
      <c r="D577" s="93"/>
      <c r="E577" s="93"/>
      <c r="F577" s="93"/>
      <c r="G577" s="95"/>
      <c r="H577" s="93"/>
      <c r="I577" s="93"/>
      <c r="J577" s="93"/>
    </row>
    <row r="578" ht="29.25" customHeight="1">
      <c r="A578" s="93"/>
      <c r="B578" s="95"/>
      <c r="C578" s="93"/>
      <c r="D578" s="93"/>
      <c r="E578" s="93"/>
      <c r="F578" s="93"/>
      <c r="G578" s="95"/>
      <c r="H578" s="93"/>
      <c r="I578" s="93"/>
      <c r="J578" s="93"/>
    </row>
    <row r="579" ht="29.25" customHeight="1">
      <c r="A579" s="93"/>
      <c r="B579" s="95"/>
      <c r="C579" s="93"/>
      <c r="D579" s="93"/>
      <c r="E579" s="93"/>
      <c r="F579" s="93"/>
      <c r="G579" s="95"/>
      <c r="H579" s="93"/>
      <c r="I579" s="93"/>
      <c r="J579" s="93"/>
    </row>
    <row r="580" ht="29.25" customHeight="1">
      <c r="A580" s="93"/>
      <c r="B580" s="95"/>
      <c r="C580" s="93"/>
      <c r="D580" s="93"/>
      <c r="E580" s="93"/>
      <c r="F580" s="93"/>
      <c r="G580" s="95"/>
      <c r="H580" s="93"/>
      <c r="I580" s="93"/>
      <c r="J580" s="93"/>
    </row>
    <row r="581" ht="29.25" customHeight="1">
      <c r="A581" s="93"/>
      <c r="B581" s="95"/>
      <c r="C581" s="93"/>
      <c r="D581" s="93"/>
      <c r="E581" s="93"/>
      <c r="F581" s="93"/>
      <c r="G581" s="95"/>
      <c r="H581" s="93"/>
      <c r="I581" s="93"/>
      <c r="J581" s="93"/>
    </row>
    <row r="582" ht="29.25" customHeight="1">
      <c r="A582" s="93"/>
      <c r="B582" s="95"/>
      <c r="C582" s="93"/>
      <c r="D582" s="93"/>
      <c r="E582" s="93"/>
      <c r="F582" s="93"/>
      <c r="G582" s="95"/>
      <c r="H582" s="93"/>
      <c r="I582" s="93"/>
      <c r="J582" s="93"/>
    </row>
    <row r="583" ht="29.25" customHeight="1">
      <c r="A583" s="93"/>
      <c r="B583" s="95"/>
      <c r="C583" s="93"/>
      <c r="D583" s="93"/>
      <c r="E583" s="93"/>
      <c r="F583" s="93"/>
      <c r="G583" s="95"/>
      <c r="H583" s="93"/>
      <c r="I583" s="93"/>
      <c r="J583" s="93"/>
    </row>
    <row r="584" ht="29.25" customHeight="1">
      <c r="A584" s="93"/>
      <c r="B584" s="95"/>
      <c r="C584" s="93"/>
      <c r="D584" s="93"/>
      <c r="E584" s="93"/>
      <c r="F584" s="93"/>
      <c r="G584" s="95"/>
      <c r="H584" s="93"/>
      <c r="I584" s="93"/>
      <c r="J584" s="93"/>
    </row>
    <row r="585" ht="29.25" customHeight="1">
      <c r="A585" s="93"/>
      <c r="B585" s="95"/>
      <c r="C585" s="93"/>
      <c r="D585" s="93"/>
      <c r="E585" s="93"/>
      <c r="F585" s="93"/>
      <c r="G585" s="95"/>
      <c r="H585" s="93"/>
      <c r="I585" s="93"/>
      <c r="J585" s="93"/>
    </row>
    <row r="586" ht="29.25" customHeight="1">
      <c r="A586" s="93"/>
      <c r="B586" s="95"/>
      <c r="C586" s="93"/>
      <c r="D586" s="93"/>
      <c r="E586" s="93"/>
      <c r="F586" s="93"/>
      <c r="G586" s="95"/>
      <c r="H586" s="93"/>
      <c r="I586" s="93"/>
      <c r="J586" s="93"/>
    </row>
    <row r="587" ht="29.25" customHeight="1">
      <c r="A587" s="93"/>
      <c r="B587" s="95"/>
      <c r="C587" s="93"/>
      <c r="D587" s="93"/>
      <c r="E587" s="93"/>
      <c r="F587" s="93"/>
      <c r="G587" s="95"/>
      <c r="H587" s="93"/>
      <c r="I587" s="93"/>
      <c r="J587" s="93"/>
    </row>
    <row r="588" ht="29.25" customHeight="1">
      <c r="A588" s="93"/>
      <c r="B588" s="95"/>
      <c r="C588" s="93"/>
      <c r="D588" s="93"/>
      <c r="E588" s="93"/>
      <c r="F588" s="93"/>
      <c r="G588" s="95"/>
      <c r="H588" s="93"/>
      <c r="I588" s="93"/>
      <c r="J588" s="93"/>
    </row>
    <row r="589" ht="29.25" customHeight="1">
      <c r="A589" s="93"/>
      <c r="B589" s="95"/>
      <c r="C589" s="93"/>
      <c r="D589" s="93"/>
      <c r="E589" s="93"/>
      <c r="F589" s="93"/>
      <c r="G589" s="95"/>
      <c r="H589" s="93"/>
      <c r="I589" s="93"/>
      <c r="J589" s="93"/>
    </row>
    <row r="590" ht="29.25" customHeight="1">
      <c r="A590" s="93"/>
      <c r="B590" s="95"/>
      <c r="C590" s="93"/>
      <c r="D590" s="93"/>
      <c r="E590" s="93"/>
      <c r="F590" s="93"/>
      <c r="G590" s="95"/>
      <c r="H590" s="93"/>
      <c r="I590" s="93"/>
      <c r="J590" s="93"/>
    </row>
    <row r="591" ht="29.25" customHeight="1">
      <c r="A591" s="93"/>
      <c r="B591" s="95"/>
      <c r="C591" s="93"/>
      <c r="D591" s="93"/>
      <c r="E591" s="93"/>
      <c r="F591" s="93"/>
      <c r="G591" s="95"/>
      <c r="H591" s="93"/>
      <c r="I591" s="93"/>
      <c r="J591" s="93"/>
    </row>
    <row r="592" ht="29.25" customHeight="1">
      <c r="A592" s="93"/>
      <c r="B592" s="95"/>
      <c r="C592" s="93"/>
      <c r="D592" s="93"/>
      <c r="E592" s="93"/>
      <c r="F592" s="93"/>
      <c r="G592" s="95"/>
      <c r="H592" s="93"/>
      <c r="I592" s="93"/>
      <c r="J592" s="93"/>
    </row>
    <row r="593" ht="29.25" customHeight="1">
      <c r="A593" s="93"/>
      <c r="B593" s="95"/>
      <c r="C593" s="93"/>
      <c r="D593" s="93"/>
      <c r="E593" s="93"/>
      <c r="F593" s="93"/>
      <c r="G593" s="95"/>
      <c r="H593" s="93"/>
      <c r="I593" s="93"/>
      <c r="J593" s="93"/>
    </row>
    <row r="594" ht="29.25" customHeight="1">
      <c r="A594" s="93"/>
      <c r="B594" s="95"/>
      <c r="C594" s="93"/>
      <c r="D594" s="93"/>
      <c r="E594" s="93"/>
      <c r="F594" s="93"/>
      <c r="G594" s="95"/>
      <c r="H594" s="93"/>
      <c r="I594" s="93"/>
      <c r="J594" s="93"/>
    </row>
    <row r="595" ht="29.25" customHeight="1">
      <c r="A595" s="93"/>
      <c r="B595" s="95"/>
      <c r="C595" s="93"/>
      <c r="D595" s="93"/>
      <c r="E595" s="93"/>
      <c r="F595" s="93"/>
      <c r="G595" s="95"/>
      <c r="H595" s="93"/>
      <c r="I595" s="93"/>
      <c r="J595" s="93"/>
    </row>
    <row r="596" ht="29.25" customHeight="1">
      <c r="A596" s="93"/>
      <c r="B596" s="95"/>
      <c r="C596" s="93"/>
      <c r="D596" s="93"/>
      <c r="E596" s="93"/>
      <c r="F596" s="93"/>
      <c r="G596" s="95"/>
      <c r="H596" s="93"/>
      <c r="I596" s="93"/>
      <c r="J596" s="93"/>
    </row>
    <row r="597" ht="29.25" customHeight="1">
      <c r="A597" s="93"/>
      <c r="B597" s="95"/>
      <c r="C597" s="93"/>
      <c r="D597" s="93"/>
      <c r="E597" s="93"/>
      <c r="F597" s="93"/>
      <c r="G597" s="95"/>
      <c r="H597" s="93"/>
      <c r="I597" s="93"/>
      <c r="J597" s="93"/>
    </row>
    <row r="598" ht="29.25" customHeight="1">
      <c r="A598" s="93"/>
      <c r="B598" s="95"/>
      <c r="C598" s="93"/>
      <c r="D598" s="93"/>
      <c r="E598" s="93"/>
      <c r="F598" s="93"/>
      <c r="G598" s="95"/>
      <c r="H598" s="93"/>
      <c r="I598" s="93"/>
      <c r="J598" s="93"/>
    </row>
    <row r="599" ht="29.25" customHeight="1">
      <c r="A599" s="93"/>
      <c r="B599" s="95"/>
      <c r="C599" s="93"/>
      <c r="D599" s="93"/>
      <c r="E599" s="93"/>
      <c r="F599" s="93"/>
      <c r="G599" s="95"/>
      <c r="H599" s="93"/>
      <c r="I599" s="93"/>
      <c r="J599" s="93"/>
    </row>
    <row r="600" ht="29.25" customHeight="1">
      <c r="A600" s="93"/>
      <c r="B600" s="95"/>
      <c r="C600" s="93"/>
      <c r="D600" s="93"/>
      <c r="E600" s="93"/>
      <c r="F600" s="93"/>
      <c r="G600" s="95"/>
      <c r="H600" s="93"/>
      <c r="I600" s="93"/>
      <c r="J600" s="93"/>
    </row>
    <row r="601" ht="29.25" customHeight="1">
      <c r="A601" s="93"/>
      <c r="B601" s="95"/>
      <c r="C601" s="93"/>
      <c r="D601" s="93"/>
      <c r="E601" s="93"/>
      <c r="F601" s="93"/>
      <c r="G601" s="95"/>
      <c r="H601" s="93"/>
      <c r="I601" s="93"/>
      <c r="J601" s="93"/>
    </row>
    <row r="602" ht="29.25" customHeight="1">
      <c r="A602" s="93"/>
      <c r="B602" s="95"/>
      <c r="C602" s="93"/>
      <c r="D602" s="93"/>
      <c r="E602" s="93"/>
      <c r="F602" s="93"/>
      <c r="G602" s="95"/>
      <c r="H602" s="93"/>
      <c r="I602" s="93"/>
      <c r="J602" s="93"/>
    </row>
    <row r="603" ht="29.25" customHeight="1">
      <c r="A603" s="93"/>
      <c r="B603" s="95"/>
      <c r="C603" s="93"/>
      <c r="D603" s="93"/>
      <c r="E603" s="93"/>
      <c r="F603" s="93"/>
      <c r="G603" s="95"/>
      <c r="H603" s="93"/>
      <c r="I603" s="93"/>
      <c r="J603" s="93"/>
    </row>
    <row r="604" ht="29.25" customHeight="1">
      <c r="A604" s="93"/>
      <c r="B604" s="95"/>
      <c r="C604" s="93"/>
      <c r="D604" s="93"/>
      <c r="E604" s="93"/>
      <c r="F604" s="93"/>
      <c r="G604" s="95"/>
      <c r="H604" s="93"/>
      <c r="I604" s="93"/>
      <c r="J604" s="93"/>
    </row>
    <row r="605" ht="29.25" customHeight="1">
      <c r="A605" s="93"/>
      <c r="B605" s="95"/>
      <c r="C605" s="93"/>
      <c r="D605" s="93"/>
      <c r="E605" s="93"/>
      <c r="F605" s="93"/>
      <c r="G605" s="95"/>
      <c r="H605" s="93"/>
      <c r="I605" s="93"/>
      <c r="J605" s="93"/>
    </row>
    <row r="606" ht="29.25" customHeight="1">
      <c r="A606" s="93"/>
      <c r="B606" s="95"/>
      <c r="C606" s="93"/>
      <c r="D606" s="93"/>
      <c r="E606" s="93"/>
      <c r="F606" s="93"/>
      <c r="G606" s="95"/>
      <c r="H606" s="93"/>
      <c r="I606" s="93"/>
      <c r="J606" s="93"/>
    </row>
    <row r="607" ht="29.25" customHeight="1">
      <c r="A607" s="93"/>
      <c r="B607" s="95"/>
      <c r="C607" s="93"/>
      <c r="D607" s="93"/>
      <c r="E607" s="93"/>
      <c r="F607" s="93"/>
      <c r="G607" s="95"/>
      <c r="H607" s="93"/>
      <c r="I607" s="93"/>
      <c r="J607" s="93"/>
    </row>
    <row r="608" ht="29.25" customHeight="1">
      <c r="A608" s="93"/>
      <c r="B608" s="95"/>
      <c r="C608" s="93"/>
      <c r="D608" s="93"/>
      <c r="E608" s="93"/>
      <c r="F608" s="93"/>
      <c r="G608" s="95"/>
      <c r="H608" s="93"/>
      <c r="I608" s="93"/>
      <c r="J608" s="93"/>
    </row>
    <row r="609" ht="29.25" customHeight="1">
      <c r="A609" s="93"/>
      <c r="B609" s="95"/>
      <c r="C609" s="93"/>
      <c r="D609" s="93"/>
      <c r="E609" s="93"/>
      <c r="F609" s="93"/>
      <c r="G609" s="95"/>
      <c r="H609" s="93"/>
      <c r="I609" s="93"/>
      <c r="J609" s="93"/>
    </row>
    <row r="610" ht="29.25" customHeight="1">
      <c r="A610" s="93"/>
      <c r="B610" s="95"/>
      <c r="C610" s="93"/>
      <c r="D610" s="93"/>
      <c r="E610" s="93"/>
      <c r="F610" s="93"/>
      <c r="G610" s="95"/>
      <c r="H610" s="93"/>
      <c r="I610" s="93"/>
      <c r="J610" s="93"/>
    </row>
    <row r="611" ht="29.25" customHeight="1">
      <c r="A611" s="93"/>
      <c r="B611" s="95"/>
      <c r="C611" s="93"/>
      <c r="D611" s="93"/>
      <c r="E611" s="93"/>
      <c r="F611" s="93"/>
      <c r="G611" s="95"/>
      <c r="H611" s="93"/>
      <c r="I611" s="93"/>
      <c r="J611" s="93"/>
    </row>
    <row r="612" ht="29.25" customHeight="1">
      <c r="A612" s="93"/>
      <c r="B612" s="95"/>
      <c r="C612" s="93"/>
      <c r="D612" s="93"/>
      <c r="E612" s="93"/>
      <c r="F612" s="93"/>
      <c r="G612" s="95"/>
      <c r="H612" s="93"/>
      <c r="I612" s="93"/>
      <c r="J612" s="93"/>
    </row>
    <row r="613" ht="29.25" customHeight="1">
      <c r="A613" s="93"/>
      <c r="B613" s="95"/>
      <c r="C613" s="93"/>
      <c r="D613" s="93"/>
      <c r="E613" s="93"/>
      <c r="F613" s="93"/>
      <c r="G613" s="95"/>
      <c r="H613" s="93"/>
      <c r="I613" s="93"/>
      <c r="J613" s="93"/>
    </row>
    <row r="614" ht="29.25" customHeight="1">
      <c r="A614" s="93"/>
      <c r="B614" s="95"/>
      <c r="C614" s="93"/>
      <c r="D614" s="93"/>
      <c r="E614" s="93"/>
      <c r="F614" s="93"/>
      <c r="G614" s="95"/>
      <c r="H614" s="93"/>
      <c r="I614" s="93"/>
      <c r="J614" s="93"/>
    </row>
    <row r="615" ht="29.25" customHeight="1">
      <c r="A615" s="93"/>
      <c r="B615" s="95"/>
      <c r="C615" s="93"/>
      <c r="D615" s="93"/>
      <c r="E615" s="93"/>
      <c r="F615" s="93"/>
      <c r="G615" s="95"/>
      <c r="H615" s="93"/>
      <c r="I615" s="93"/>
      <c r="J615" s="93"/>
    </row>
    <row r="616" ht="29.25" customHeight="1">
      <c r="A616" s="93"/>
      <c r="B616" s="95"/>
      <c r="C616" s="93"/>
      <c r="D616" s="93"/>
      <c r="E616" s="93"/>
      <c r="F616" s="93"/>
      <c r="G616" s="95"/>
      <c r="H616" s="93"/>
      <c r="I616" s="93"/>
      <c r="J616" s="93"/>
    </row>
    <row r="617" ht="29.25" customHeight="1">
      <c r="A617" s="93"/>
      <c r="B617" s="95"/>
      <c r="C617" s="93"/>
      <c r="D617" s="93"/>
      <c r="E617" s="93"/>
      <c r="F617" s="93"/>
      <c r="G617" s="95"/>
      <c r="H617" s="93"/>
      <c r="I617" s="93"/>
      <c r="J617" s="93"/>
    </row>
    <row r="618" ht="29.25" customHeight="1">
      <c r="A618" s="93"/>
      <c r="B618" s="95"/>
      <c r="C618" s="93"/>
      <c r="D618" s="93"/>
      <c r="E618" s="93"/>
      <c r="F618" s="93"/>
      <c r="G618" s="95"/>
      <c r="H618" s="93"/>
      <c r="I618" s="93"/>
      <c r="J618" s="93"/>
    </row>
    <row r="619" ht="29.25" customHeight="1">
      <c r="A619" s="93"/>
      <c r="B619" s="95"/>
      <c r="C619" s="93"/>
      <c r="D619" s="93"/>
      <c r="E619" s="93"/>
      <c r="F619" s="93"/>
      <c r="G619" s="95"/>
      <c r="H619" s="93"/>
      <c r="I619" s="93"/>
      <c r="J619" s="93"/>
    </row>
    <row r="620" ht="29.25" customHeight="1">
      <c r="A620" s="93"/>
      <c r="B620" s="95"/>
      <c r="C620" s="93"/>
      <c r="D620" s="93"/>
      <c r="E620" s="93"/>
      <c r="F620" s="93"/>
      <c r="G620" s="95"/>
      <c r="H620" s="93"/>
      <c r="I620" s="93"/>
      <c r="J620" s="93"/>
    </row>
    <row r="621" ht="29.25" customHeight="1">
      <c r="A621" s="93"/>
      <c r="B621" s="95"/>
      <c r="C621" s="93"/>
      <c r="D621" s="93"/>
      <c r="E621" s="93"/>
      <c r="F621" s="93"/>
      <c r="G621" s="95"/>
      <c r="H621" s="93"/>
      <c r="I621" s="93"/>
      <c r="J621" s="93"/>
    </row>
    <row r="622" ht="29.25" customHeight="1">
      <c r="A622" s="93"/>
      <c r="B622" s="95"/>
      <c r="C622" s="93"/>
      <c r="D622" s="93"/>
      <c r="E622" s="93"/>
      <c r="F622" s="93"/>
      <c r="G622" s="95"/>
      <c r="H622" s="93"/>
      <c r="I622" s="93"/>
      <c r="J622" s="93"/>
    </row>
    <row r="623" ht="29.25" customHeight="1">
      <c r="A623" s="93"/>
      <c r="B623" s="95"/>
      <c r="C623" s="93"/>
      <c r="D623" s="93"/>
      <c r="E623" s="93"/>
      <c r="F623" s="93"/>
      <c r="G623" s="95"/>
      <c r="H623" s="93"/>
      <c r="I623" s="93"/>
      <c r="J623" s="93"/>
    </row>
    <row r="624" ht="29.25" customHeight="1">
      <c r="A624" s="93"/>
      <c r="B624" s="95"/>
      <c r="C624" s="93"/>
      <c r="D624" s="93"/>
      <c r="E624" s="93"/>
      <c r="F624" s="93"/>
      <c r="G624" s="95"/>
      <c r="H624" s="93"/>
      <c r="I624" s="93"/>
      <c r="J624" s="93"/>
    </row>
    <row r="625" ht="29.25" customHeight="1">
      <c r="A625" s="93"/>
      <c r="B625" s="95"/>
      <c r="C625" s="93"/>
      <c r="D625" s="93"/>
      <c r="E625" s="93"/>
      <c r="F625" s="93"/>
      <c r="G625" s="95"/>
      <c r="H625" s="93"/>
      <c r="I625" s="93"/>
      <c r="J625" s="93"/>
    </row>
    <row r="626" ht="29.25" customHeight="1">
      <c r="A626" s="93"/>
      <c r="B626" s="95"/>
      <c r="C626" s="93"/>
      <c r="D626" s="93"/>
      <c r="E626" s="93"/>
      <c r="F626" s="93"/>
      <c r="G626" s="95"/>
      <c r="H626" s="93"/>
      <c r="I626" s="93"/>
      <c r="J626" s="93"/>
    </row>
    <row r="627" ht="29.25" customHeight="1">
      <c r="A627" s="93"/>
      <c r="B627" s="95"/>
      <c r="C627" s="93"/>
      <c r="D627" s="93"/>
      <c r="E627" s="93"/>
      <c r="F627" s="93"/>
      <c r="G627" s="95"/>
      <c r="H627" s="93"/>
      <c r="I627" s="93"/>
      <c r="J627" s="93"/>
    </row>
    <row r="628" ht="29.25" customHeight="1">
      <c r="A628" s="93"/>
      <c r="B628" s="95"/>
      <c r="C628" s="93"/>
      <c r="D628" s="93"/>
      <c r="E628" s="93"/>
      <c r="F628" s="93"/>
      <c r="G628" s="95"/>
      <c r="H628" s="93"/>
      <c r="I628" s="93"/>
      <c r="J628" s="93"/>
    </row>
    <row r="629" ht="29.25" customHeight="1">
      <c r="A629" s="93"/>
      <c r="B629" s="95"/>
      <c r="C629" s="93"/>
      <c r="D629" s="93"/>
      <c r="E629" s="93"/>
      <c r="F629" s="93"/>
      <c r="G629" s="95"/>
      <c r="H629" s="93"/>
      <c r="I629" s="93"/>
      <c r="J629" s="93"/>
    </row>
    <row r="630" ht="29.25" customHeight="1">
      <c r="A630" s="93"/>
      <c r="B630" s="95"/>
      <c r="C630" s="93"/>
      <c r="D630" s="93"/>
      <c r="E630" s="93"/>
      <c r="F630" s="93"/>
      <c r="G630" s="95"/>
      <c r="H630" s="93"/>
      <c r="I630" s="93"/>
      <c r="J630" s="93"/>
    </row>
    <row r="631" ht="29.25" customHeight="1">
      <c r="A631" s="93"/>
      <c r="B631" s="95"/>
      <c r="C631" s="93"/>
      <c r="D631" s="93"/>
      <c r="E631" s="93"/>
      <c r="F631" s="93"/>
      <c r="G631" s="95"/>
      <c r="H631" s="93"/>
      <c r="I631" s="93"/>
      <c r="J631" s="93"/>
    </row>
    <row r="632" ht="29.25" customHeight="1">
      <c r="A632" s="93"/>
      <c r="B632" s="95"/>
      <c r="C632" s="93"/>
      <c r="D632" s="93"/>
      <c r="E632" s="93"/>
      <c r="F632" s="93"/>
      <c r="G632" s="95"/>
      <c r="H632" s="93"/>
      <c r="I632" s="93"/>
      <c r="J632" s="93"/>
    </row>
    <row r="633" ht="29.25" customHeight="1">
      <c r="A633" s="93"/>
      <c r="B633" s="95"/>
      <c r="C633" s="93"/>
      <c r="D633" s="93"/>
      <c r="E633" s="93"/>
      <c r="F633" s="93"/>
      <c r="G633" s="95"/>
      <c r="H633" s="93"/>
      <c r="I633" s="93"/>
      <c r="J633" s="93"/>
    </row>
    <row r="634" ht="29.25" customHeight="1">
      <c r="A634" s="93"/>
      <c r="B634" s="95"/>
      <c r="C634" s="93"/>
      <c r="D634" s="93"/>
      <c r="E634" s="93"/>
      <c r="F634" s="93"/>
      <c r="G634" s="95"/>
      <c r="H634" s="93"/>
      <c r="I634" s="93"/>
      <c r="J634" s="93"/>
    </row>
    <row r="635" ht="29.25" customHeight="1">
      <c r="A635" s="93"/>
      <c r="B635" s="95"/>
      <c r="C635" s="93"/>
      <c r="D635" s="93"/>
      <c r="E635" s="93"/>
      <c r="F635" s="93"/>
      <c r="G635" s="95"/>
      <c r="H635" s="93"/>
      <c r="I635" s="93"/>
      <c r="J635" s="93"/>
    </row>
    <row r="636" ht="29.25" customHeight="1">
      <c r="A636" s="93"/>
      <c r="B636" s="95"/>
      <c r="C636" s="93"/>
      <c r="D636" s="93"/>
      <c r="E636" s="93"/>
      <c r="F636" s="93"/>
      <c r="G636" s="95"/>
      <c r="H636" s="93"/>
      <c r="I636" s="93"/>
      <c r="J636" s="93"/>
    </row>
    <row r="637" ht="29.25" customHeight="1">
      <c r="A637" s="93"/>
      <c r="B637" s="95"/>
      <c r="C637" s="93"/>
      <c r="D637" s="93"/>
      <c r="E637" s="93"/>
      <c r="F637" s="93"/>
      <c r="G637" s="95"/>
      <c r="H637" s="93"/>
      <c r="I637" s="93"/>
      <c r="J637" s="93"/>
    </row>
    <row r="638" ht="29.25" customHeight="1">
      <c r="A638" s="93"/>
      <c r="B638" s="95"/>
      <c r="C638" s="93"/>
      <c r="D638" s="93"/>
      <c r="E638" s="93"/>
      <c r="F638" s="93"/>
      <c r="G638" s="95"/>
      <c r="H638" s="93"/>
      <c r="I638" s="93"/>
      <c r="J638" s="93"/>
    </row>
    <row r="639" ht="29.25" customHeight="1">
      <c r="A639" s="93"/>
      <c r="B639" s="95"/>
      <c r="C639" s="93"/>
      <c r="D639" s="93"/>
      <c r="E639" s="93"/>
      <c r="F639" s="93"/>
      <c r="G639" s="95"/>
      <c r="H639" s="93"/>
      <c r="I639" s="93"/>
      <c r="J639" s="93"/>
    </row>
    <row r="640" ht="29.25" customHeight="1">
      <c r="A640" s="93"/>
      <c r="B640" s="95"/>
      <c r="C640" s="93"/>
      <c r="D640" s="93"/>
      <c r="E640" s="93"/>
      <c r="F640" s="93"/>
      <c r="G640" s="95"/>
      <c r="H640" s="93"/>
      <c r="I640" s="93"/>
      <c r="J640" s="93"/>
    </row>
    <row r="641" ht="29.25" customHeight="1">
      <c r="A641" s="93"/>
      <c r="B641" s="95"/>
      <c r="C641" s="93"/>
      <c r="D641" s="93"/>
      <c r="E641" s="93"/>
      <c r="F641" s="93"/>
      <c r="G641" s="95"/>
      <c r="H641" s="93"/>
      <c r="I641" s="93"/>
      <c r="J641" s="93"/>
    </row>
    <row r="642" ht="29.25" customHeight="1">
      <c r="A642" s="93"/>
      <c r="B642" s="95"/>
      <c r="C642" s="93"/>
      <c r="D642" s="93"/>
      <c r="E642" s="93"/>
      <c r="F642" s="93"/>
      <c r="G642" s="95"/>
      <c r="H642" s="93"/>
      <c r="I642" s="93"/>
      <c r="J642" s="93"/>
    </row>
    <row r="643" ht="29.25" customHeight="1">
      <c r="A643" s="93"/>
      <c r="B643" s="95"/>
      <c r="C643" s="93"/>
      <c r="D643" s="93"/>
      <c r="E643" s="93"/>
      <c r="F643" s="93"/>
      <c r="G643" s="95"/>
      <c r="H643" s="93"/>
      <c r="I643" s="93"/>
      <c r="J643" s="93"/>
    </row>
    <row r="644" ht="29.25" customHeight="1">
      <c r="A644" s="93"/>
      <c r="B644" s="95"/>
      <c r="C644" s="93"/>
      <c r="D644" s="93"/>
      <c r="E644" s="93"/>
      <c r="F644" s="93"/>
      <c r="G644" s="95"/>
      <c r="H644" s="93"/>
      <c r="I644" s="93"/>
      <c r="J644" s="93"/>
    </row>
    <row r="645" ht="29.25" customHeight="1">
      <c r="A645" s="93"/>
      <c r="B645" s="95"/>
      <c r="C645" s="93"/>
      <c r="D645" s="93"/>
      <c r="E645" s="93"/>
      <c r="F645" s="93"/>
      <c r="G645" s="95"/>
      <c r="H645" s="93"/>
      <c r="I645" s="93"/>
      <c r="J645" s="93"/>
    </row>
    <row r="646" ht="29.25" customHeight="1">
      <c r="A646" s="93"/>
      <c r="B646" s="95"/>
      <c r="C646" s="93"/>
      <c r="D646" s="93"/>
      <c r="E646" s="93"/>
      <c r="F646" s="93"/>
      <c r="G646" s="95"/>
      <c r="H646" s="93"/>
      <c r="I646" s="93"/>
      <c r="J646" s="93"/>
    </row>
    <row r="647" ht="29.25" customHeight="1">
      <c r="A647" s="93"/>
      <c r="B647" s="95"/>
      <c r="C647" s="93"/>
      <c r="D647" s="93"/>
      <c r="E647" s="93"/>
      <c r="F647" s="93"/>
      <c r="G647" s="95"/>
      <c r="H647" s="93"/>
      <c r="I647" s="93"/>
      <c r="J647" s="93"/>
    </row>
    <row r="648" ht="29.25" customHeight="1">
      <c r="A648" s="93"/>
      <c r="B648" s="95"/>
      <c r="C648" s="93"/>
      <c r="D648" s="93"/>
      <c r="E648" s="93"/>
      <c r="F648" s="93"/>
      <c r="G648" s="95"/>
      <c r="H648" s="93"/>
      <c r="I648" s="93"/>
      <c r="J648" s="93"/>
    </row>
    <row r="649" ht="29.25" customHeight="1">
      <c r="A649" s="93"/>
      <c r="B649" s="95"/>
      <c r="C649" s="93"/>
      <c r="D649" s="93"/>
      <c r="E649" s="93"/>
      <c r="F649" s="93"/>
      <c r="G649" s="95"/>
      <c r="H649" s="93"/>
      <c r="I649" s="93"/>
      <c r="J649" s="93"/>
    </row>
    <row r="650" ht="29.25" customHeight="1">
      <c r="A650" s="93"/>
      <c r="B650" s="95"/>
      <c r="C650" s="93"/>
      <c r="D650" s="93"/>
      <c r="E650" s="93"/>
      <c r="F650" s="93"/>
      <c r="G650" s="95"/>
      <c r="H650" s="93"/>
      <c r="I650" s="93"/>
      <c r="J650" s="93"/>
    </row>
    <row r="651" ht="29.25" customHeight="1">
      <c r="A651" s="93"/>
      <c r="B651" s="95"/>
      <c r="C651" s="93"/>
      <c r="D651" s="93"/>
      <c r="E651" s="93"/>
      <c r="F651" s="93"/>
      <c r="G651" s="95"/>
      <c r="H651" s="93"/>
      <c r="I651" s="93"/>
      <c r="J651" s="93"/>
    </row>
    <row r="652" ht="29.25" customHeight="1">
      <c r="A652" s="93"/>
      <c r="B652" s="95"/>
      <c r="C652" s="93"/>
      <c r="D652" s="93"/>
      <c r="E652" s="93"/>
      <c r="F652" s="93"/>
      <c r="G652" s="95"/>
      <c r="H652" s="93"/>
      <c r="I652" s="93"/>
      <c r="J652" s="93"/>
    </row>
    <row r="653" ht="29.25" customHeight="1">
      <c r="A653" s="93"/>
      <c r="B653" s="95"/>
      <c r="C653" s="93"/>
      <c r="D653" s="93"/>
      <c r="E653" s="93"/>
      <c r="F653" s="93"/>
      <c r="G653" s="95"/>
      <c r="H653" s="93"/>
      <c r="I653" s="93"/>
      <c r="J653" s="93"/>
    </row>
    <row r="654" ht="29.25" customHeight="1">
      <c r="A654" s="93"/>
      <c r="B654" s="95"/>
      <c r="C654" s="93"/>
      <c r="D654" s="93"/>
      <c r="E654" s="93"/>
      <c r="F654" s="93"/>
      <c r="G654" s="95"/>
      <c r="H654" s="93"/>
      <c r="I654" s="93"/>
      <c r="J654" s="93"/>
    </row>
    <row r="655" ht="29.25" customHeight="1">
      <c r="A655" s="93"/>
      <c r="B655" s="95"/>
      <c r="C655" s="93"/>
      <c r="D655" s="93"/>
      <c r="E655" s="93"/>
      <c r="F655" s="93"/>
      <c r="G655" s="95"/>
      <c r="H655" s="93"/>
      <c r="I655" s="93"/>
      <c r="J655" s="93"/>
    </row>
    <row r="656" ht="29.25" customHeight="1">
      <c r="A656" s="93"/>
      <c r="B656" s="95"/>
      <c r="C656" s="93"/>
      <c r="D656" s="93"/>
      <c r="E656" s="93"/>
      <c r="F656" s="93"/>
      <c r="G656" s="95"/>
      <c r="H656" s="93"/>
      <c r="I656" s="93"/>
      <c r="J656" s="93"/>
    </row>
    <row r="657" ht="29.25" customHeight="1">
      <c r="A657" s="93"/>
      <c r="B657" s="95"/>
      <c r="C657" s="93"/>
      <c r="D657" s="93"/>
      <c r="E657" s="93"/>
      <c r="F657" s="93"/>
      <c r="G657" s="95"/>
      <c r="H657" s="93"/>
      <c r="I657" s="93"/>
      <c r="J657" s="93"/>
    </row>
    <row r="658" ht="29.25" customHeight="1">
      <c r="A658" s="93"/>
      <c r="B658" s="95"/>
      <c r="C658" s="93"/>
      <c r="D658" s="93"/>
      <c r="E658" s="93"/>
      <c r="F658" s="93"/>
      <c r="G658" s="95"/>
      <c r="H658" s="93"/>
      <c r="I658" s="93"/>
      <c r="J658" s="93"/>
    </row>
    <row r="659" ht="29.25" customHeight="1">
      <c r="A659" s="93"/>
      <c r="B659" s="95"/>
      <c r="C659" s="93"/>
      <c r="D659" s="93"/>
      <c r="E659" s="93"/>
      <c r="F659" s="93"/>
      <c r="G659" s="95"/>
      <c r="H659" s="93"/>
      <c r="I659" s="93"/>
      <c r="J659" s="93"/>
    </row>
    <row r="660" ht="29.25" customHeight="1">
      <c r="A660" s="93"/>
      <c r="B660" s="95"/>
      <c r="C660" s="93"/>
      <c r="D660" s="93"/>
      <c r="E660" s="93"/>
      <c r="F660" s="93"/>
      <c r="G660" s="95"/>
      <c r="H660" s="93"/>
      <c r="I660" s="93"/>
      <c r="J660" s="93"/>
    </row>
    <row r="661" ht="29.25" customHeight="1">
      <c r="A661" s="93"/>
      <c r="B661" s="95"/>
      <c r="C661" s="93"/>
      <c r="D661" s="93"/>
      <c r="E661" s="93"/>
      <c r="F661" s="93"/>
      <c r="G661" s="95"/>
      <c r="H661" s="93"/>
      <c r="I661" s="93"/>
      <c r="J661" s="93"/>
    </row>
    <row r="662" ht="29.25" customHeight="1">
      <c r="A662" s="93"/>
      <c r="B662" s="95"/>
      <c r="C662" s="93"/>
      <c r="D662" s="93"/>
      <c r="E662" s="93"/>
      <c r="F662" s="93"/>
      <c r="G662" s="95"/>
      <c r="H662" s="93"/>
      <c r="I662" s="93"/>
      <c r="J662" s="93"/>
    </row>
    <row r="663" ht="29.25" customHeight="1">
      <c r="A663" s="93"/>
      <c r="B663" s="95"/>
      <c r="C663" s="93"/>
      <c r="D663" s="93"/>
      <c r="E663" s="93"/>
      <c r="F663" s="93"/>
      <c r="G663" s="95"/>
      <c r="H663" s="93"/>
      <c r="I663" s="93"/>
      <c r="J663" s="93"/>
    </row>
    <row r="664" ht="29.25" customHeight="1">
      <c r="A664" s="93"/>
      <c r="B664" s="95"/>
      <c r="C664" s="93"/>
      <c r="D664" s="93"/>
      <c r="E664" s="93"/>
      <c r="F664" s="93"/>
      <c r="G664" s="95"/>
      <c r="H664" s="93"/>
      <c r="I664" s="93"/>
      <c r="J664" s="93"/>
    </row>
    <row r="665" ht="29.25" customHeight="1">
      <c r="A665" s="93"/>
      <c r="B665" s="95"/>
      <c r="C665" s="93"/>
      <c r="D665" s="93"/>
      <c r="E665" s="93"/>
      <c r="F665" s="93"/>
      <c r="G665" s="95"/>
      <c r="H665" s="93"/>
      <c r="I665" s="93"/>
      <c r="J665" s="93"/>
    </row>
    <row r="666" ht="29.25" customHeight="1">
      <c r="A666" s="93"/>
      <c r="B666" s="95"/>
      <c r="C666" s="93"/>
      <c r="D666" s="93"/>
      <c r="E666" s="93"/>
      <c r="F666" s="93"/>
      <c r="G666" s="95"/>
      <c r="H666" s="93"/>
      <c r="I666" s="93"/>
      <c r="J666" s="93"/>
    </row>
    <row r="667" ht="29.25" customHeight="1">
      <c r="A667" s="93"/>
      <c r="B667" s="95"/>
      <c r="C667" s="93"/>
      <c r="D667" s="93"/>
      <c r="E667" s="93"/>
      <c r="F667" s="93"/>
      <c r="G667" s="95"/>
      <c r="H667" s="93"/>
      <c r="I667" s="93"/>
      <c r="J667" s="93"/>
    </row>
    <row r="668" ht="29.25" customHeight="1">
      <c r="A668" s="93"/>
      <c r="B668" s="95"/>
      <c r="C668" s="93"/>
      <c r="D668" s="93"/>
      <c r="E668" s="93"/>
      <c r="F668" s="93"/>
      <c r="G668" s="95"/>
      <c r="H668" s="93"/>
      <c r="I668" s="93"/>
      <c r="J668" s="93"/>
    </row>
    <row r="669" ht="29.25" customHeight="1">
      <c r="A669" s="93"/>
      <c r="B669" s="95"/>
      <c r="C669" s="93"/>
      <c r="D669" s="93"/>
      <c r="E669" s="93"/>
      <c r="F669" s="93"/>
      <c r="G669" s="95"/>
      <c r="H669" s="93"/>
      <c r="I669" s="93"/>
      <c r="J669" s="93"/>
    </row>
    <row r="670" ht="29.25" customHeight="1">
      <c r="A670" s="93"/>
      <c r="B670" s="95"/>
      <c r="C670" s="93"/>
      <c r="D670" s="93"/>
      <c r="E670" s="93"/>
      <c r="F670" s="93"/>
      <c r="G670" s="95"/>
      <c r="H670" s="93"/>
      <c r="I670" s="93"/>
      <c r="J670" s="93"/>
    </row>
    <row r="671" ht="29.25" customHeight="1">
      <c r="A671" s="93"/>
      <c r="B671" s="95"/>
      <c r="C671" s="93"/>
      <c r="D671" s="93"/>
      <c r="E671" s="93"/>
      <c r="F671" s="93"/>
      <c r="G671" s="95"/>
      <c r="H671" s="93"/>
      <c r="I671" s="93"/>
      <c r="J671" s="93"/>
    </row>
    <row r="672" ht="29.25" customHeight="1">
      <c r="A672" s="93"/>
      <c r="B672" s="95"/>
      <c r="C672" s="93"/>
      <c r="D672" s="93"/>
      <c r="E672" s="93"/>
      <c r="F672" s="93"/>
      <c r="G672" s="95"/>
      <c r="H672" s="93"/>
      <c r="I672" s="93"/>
      <c r="J672" s="93"/>
    </row>
    <row r="673" ht="29.25" customHeight="1">
      <c r="A673" s="93"/>
      <c r="B673" s="95"/>
      <c r="C673" s="93"/>
      <c r="D673" s="93"/>
      <c r="E673" s="93"/>
      <c r="F673" s="93"/>
      <c r="G673" s="95"/>
      <c r="H673" s="93"/>
      <c r="I673" s="93"/>
      <c r="J673" s="93"/>
    </row>
    <row r="674" ht="29.25" customHeight="1">
      <c r="A674" s="93"/>
      <c r="B674" s="95"/>
      <c r="C674" s="93"/>
      <c r="D674" s="93"/>
      <c r="E674" s="93"/>
      <c r="F674" s="93"/>
      <c r="G674" s="95"/>
      <c r="H674" s="93"/>
      <c r="I674" s="93"/>
      <c r="J674" s="93"/>
    </row>
    <row r="675" ht="29.25" customHeight="1">
      <c r="A675" s="93"/>
      <c r="B675" s="95"/>
      <c r="C675" s="93"/>
      <c r="D675" s="93"/>
      <c r="E675" s="93"/>
      <c r="F675" s="93"/>
      <c r="G675" s="95"/>
      <c r="H675" s="93"/>
      <c r="I675" s="93"/>
      <c r="J675" s="93"/>
    </row>
    <row r="676" ht="29.25" customHeight="1">
      <c r="A676" s="93"/>
      <c r="B676" s="95"/>
      <c r="C676" s="93"/>
      <c r="D676" s="93"/>
      <c r="E676" s="93"/>
      <c r="F676" s="93"/>
      <c r="G676" s="95"/>
      <c r="H676" s="93"/>
      <c r="I676" s="93"/>
      <c r="J676" s="93"/>
    </row>
    <row r="677" ht="29.25" customHeight="1">
      <c r="A677" s="93"/>
      <c r="B677" s="95"/>
      <c r="C677" s="93"/>
      <c r="D677" s="93"/>
      <c r="E677" s="93"/>
      <c r="F677" s="93"/>
      <c r="G677" s="95"/>
      <c r="H677" s="93"/>
      <c r="I677" s="93"/>
      <c r="J677" s="93"/>
    </row>
    <row r="678" ht="29.25" customHeight="1">
      <c r="A678" s="93"/>
      <c r="B678" s="95"/>
      <c r="C678" s="93"/>
      <c r="D678" s="93"/>
      <c r="E678" s="93"/>
      <c r="F678" s="93"/>
      <c r="G678" s="95"/>
      <c r="H678" s="93"/>
      <c r="I678" s="93"/>
      <c r="J678" s="93"/>
    </row>
    <row r="679" ht="29.25" customHeight="1">
      <c r="A679" s="93"/>
      <c r="B679" s="95"/>
      <c r="C679" s="93"/>
      <c r="D679" s="93"/>
      <c r="E679" s="93"/>
      <c r="F679" s="93"/>
      <c r="G679" s="95"/>
      <c r="H679" s="93"/>
      <c r="I679" s="93"/>
      <c r="J679" s="93"/>
    </row>
    <row r="680" ht="29.25" customHeight="1">
      <c r="A680" s="93"/>
      <c r="B680" s="95"/>
      <c r="C680" s="93"/>
      <c r="D680" s="93"/>
      <c r="E680" s="93"/>
      <c r="F680" s="93"/>
      <c r="G680" s="95"/>
      <c r="H680" s="93"/>
      <c r="I680" s="93"/>
      <c r="J680" s="93"/>
    </row>
    <row r="681" ht="29.25" customHeight="1">
      <c r="A681" s="93"/>
      <c r="B681" s="95"/>
      <c r="C681" s="93"/>
      <c r="D681" s="93"/>
      <c r="E681" s="93"/>
      <c r="F681" s="93"/>
      <c r="G681" s="95"/>
      <c r="H681" s="93"/>
      <c r="I681" s="93"/>
      <c r="J681" s="93"/>
    </row>
    <row r="682" ht="29.25" customHeight="1">
      <c r="A682" s="93"/>
      <c r="B682" s="95"/>
      <c r="C682" s="93"/>
      <c r="D682" s="93"/>
      <c r="E682" s="93"/>
      <c r="F682" s="93"/>
      <c r="G682" s="95"/>
      <c r="H682" s="93"/>
      <c r="I682" s="93"/>
      <c r="J682" s="93"/>
    </row>
    <row r="683" ht="29.25" customHeight="1">
      <c r="A683" s="93"/>
      <c r="B683" s="95"/>
      <c r="C683" s="93"/>
      <c r="D683" s="93"/>
      <c r="E683" s="93"/>
      <c r="F683" s="93"/>
      <c r="G683" s="95"/>
      <c r="H683" s="93"/>
      <c r="I683" s="93"/>
      <c r="J683" s="93"/>
    </row>
    <row r="684" ht="29.25" customHeight="1">
      <c r="A684" s="93"/>
      <c r="B684" s="95"/>
      <c r="C684" s="93"/>
      <c r="D684" s="93"/>
      <c r="E684" s="93"/>
      <c r="F684" s="93"/>
      <c r="G684" s="95"/>
      <c r="H684" s="93"/>
      <c r="I684" s="93"/>
      <c r="J684" s="93"/>
    </row>
    <row r="685" ht="29.25" customHeight="1">
      <c r="A685" s="93"/>
      <c r="B685" s="95"/>
      <c r="C685" s="93"/>
      <c r="D685" s="93"/>
      <c r="E685" s="93"/>
      <c r="F685" s="93"/>
      <c r="G685" s="95"/>
      <c r="H685" s="93"/>
      <c r="I685" s="93"/>
      <c r="J685" s="93"/>
    </row>
    <row r="686" ht="29.25" customHeight="1">
      <c r="A686" s="93"/>
      <c r="B686" s="95"/>
      <c r="C686" s="93"/>
      <c r="D686" s="93"/>
      <c r="E686" s="93"/>
      <c r="F686" s="93"/>
      <c r="G686" s="95"/>
      <c r="H686" s="93"/>
      <c r="I686" s="93"/>
      <c r="J686" s="93"/>
    </row>
    <row r="687" ht="29.25" customHeight="1">
      <c r="A687" s="93"/>
      <c r="B687" s="95"/>
      <c r="C687" s="93"/>
      <c r="D687" s="93"/>
      <c r="E687" s="93"/>
      <c r="F687" s="93"/>
      <c r="G687" s="95"/>
      <c r="H687" s="93"/>
      <c r="I687" s="93"/>
      <c r="J687" s="93"/>
    </row>
    <row r="688" ht="29.25" customHeight="1">
      <c r="A688" s="93"/>
      <c r="B688" s="95"/>
      <c r="C688" s="93"/>
      <c r="D688" s="93"/>
      <c r="E688" s="93"/>
      <c r="F688" s="93"/>
      <c r="G688" s="95"/>
      <c r="H688" s="93"/>
      <c r="I688" s="93"/>
      <c r="J688" s="93"/>
    </row>
    <row r="689" ht="29.25" customHeight="1">
      <c r="A689" s="93"/>
      <c r="B689" s="95"/>
      <c r="C689" s="93"/>
      <c r="D689" s="93"/>
      <c r="E689" s="93"/>
      <c r="F689" s="93"/>
      <c r="G689" s="95"/>
      <c r="H689" s="93"/>
      <c r="I689" s="93"/>
      <c r="J689" s="93"/>
    </row>
    <row r="690" ht="29.25" customHeight="1">
      <c r="A690" s="93"/>
      <c r="B690" s="95"/>
      <c r="C690" s="93"/>
      <c r="D690" s="93"/>
      <c r="E690" s="93"/>
      <c r="F690" s="93"/>
      <c r="G690" s="95"/>
      <c r="H690" s="93"/>
      <c r="I690" s="93"/>
      <c r="J690" s="93"/>
    </row>
    <row r="691" ht="29.25" customHeight="1">
      <c r="A691" s="93"/>
      <c r="B691" s="95"/>
      <c r="C691" s="93"/>
      <c r="D691" s="93"/>
      <c r="E691" s="93"/>
      <c r="F691" s="93"/>
      <c r="G691" s="95"/>
      <c r="H691" s="93"/>
      <c r="I691" s="93"/>
      <c r="J691" s="93"/>
    </row>
    <row r="692" ht="29.25" customHeight="1">
      <c r="A692" s="93"/>
      <c r="B692" s="95"/>
      <c r="C692" s="93"/>
      <c r="D692" s="93"/>
      <c r="E692" s="93"/>
      <c r="F692" s="93"/>
      <c r="G692" s="95"/>
      <c r="H692" s="93"/>
      <c r="I692" s="93"/>
      <c r="J692" s="93"/>
    </row>
    <row r="693" ht="29.25" customHeight="1">
      <c r="A693" s="93"/>
      <c r="B693" s="95"/>
      <c r="C693" s="93"/>
      <c r="D693" s="93"/>
      <c r="E693" s="93"/>
      <c r="F693" s="93"/>
      <c r="G693" s="95"/>
      <c r="H693" s="93"/>
      <c r="I693" s="93"/>
      <c r="J693" s="93"/>
    </row>
    <row r="694" ht="29.25" customHeight="1">
      <c r="A694" s="93"/>
      <c r="B694" s="95"/>
      <c r="C694" s="93"/>
      <c r="D694" s="93"/>
      <c r="E694" s="93"/>
      <c r="F694" s="93"/>
      <c r="G694" s="95"/>
      <c r="H694" s="93"/>
      <c r="I694" s="93"/>
      <c r="J694" s="93"/>
    </row>
    <row r="695" ht="29.25" customHeight="1">
      <c r="A695" s="93"/>
      <c r="B695" s="95"/>
      <c r="C695" s="93"/>
      <c r="D695" s="93"/>
      <c r="E695" s="93"/>
      <c r="F695" s="93"/>
      <c r="G695" s="95"/>
      <c r="H695" s="93"/>
      <c r="I695" s="93"/>
      <c r="J695" s="93"/>
    </row>
    <row r="696" ht="29.25" customHeight="1">
      <c r="A696" s="93"/>
      <c r="B696" s="95"/>
      <c r="C696" s="93"/>
      <c r="D696" s="93"/>
      <c r="E696" s="93"/>
      <c r="F696" s="93"/>
      <c r="G696" s="95"/>
      <c r="H696" s="93"/>
      <c r="I696" s="93"/>
      <c r="J696" s="93"/>
    </row>
    <row r="697" ht="29.25" customHeight="1">
      <c r="A697" s="93"/>
      <c r="B697" s="95"/>
      <c r="C697" s="93"/>
      <c r="D697" s="93"/>
      <c r="E697" s="93"/>
      <c r="F697" s="93"/>
      <c r="G697" s="95"/>
      <c r="H697" s="93"/>
      <c r="I697" s="93"/>
      <c r="J697" s="93"/>
    </row>
    <row r="698" ht="29.25" customHeight="1">
      <c r="A698" s="93"/>
      <c r="B698" s="95"/>
      <c r="C698" s="93"/>
      <c r="D698" s="93"/>
      <c r="E698" s="93"/>
      <c r="F698" s="93"/>
      <c r="G698" s="95"/>
      <c r="H698" s="93"/>
      <c r="I698" s="93"/>
      <c r="J698" s="93"/>
    </row>
    <row r="699" ht="29.25" customHeight="1">
      <c r="A699" s="93"/>
      <c r="B699" s="95"/>
      <c r="C699" s="93"/>
      <c r="D699" s="93"/>
      <c r="E699" s="93"/>
      <c r="F699" s="93"/>
      <c r="G699" s="95"/>
      <c r="H699" s="93"/>
      <c r="I699" s="93"/>
      <c r="J699" s="93"/>
    </row>
    <row r="700" ht="29.25" customHeight="1">
      <c r="A700" s="93"/>
      <c r="B700" s="95"/>
      <c r="C700" s="93"/>
      <c r="D700" s="93"/>
      <c r="E700" s="93"/>
      <c r="F700" s="93"/>
      <c r="G700" s="95"/>
      <c r="H700" s="93"/>
      <c r="I700" s="93"/>
      <c r="J700" s="93"/>
    </row>
    <row r="701" ht="29.25" customHeight="1">
      <c r="A701" s="93"/>
      <c r="B701" s="95"/>
      <c r="C701" s="93"/>
      <c r="D701" s="93"/>
      <c r="E701" s="93"/>
      <c r="F701" s="93"/>
      <c r="G701" s="95"/>
      <c r="H701" s="93"/>
      <c r="I701" s="93"/>
      <c r="J701" s="93"/>
    </row>
    <row r="702" ht="29.25" customHeight="1">
      <c r="A702" s="93"/>
      <c r="B702" s="95"/>
      <c r="C702" s="93"/>
      <c r="D702" s="93"/>
      <c r="E702" s="93"/>
      <c r="F702" s="93"/>
      <c r="G702" s="95"/>
      <c r="H702" s="93"/>
      <c r="I702" s="93"/>
      <c r="J702" s="93"/>
    </row>
    <row r="703" ht="29.25" customHeight="1">
      <c r="A703" s="93"/>
      <c r="B703" s="95"/>
      <c r="C703" s="93"/>
      <c r="D703" s="93"/>
      <c r="E703" s="93"/>
      <c r="F703" s="93"/>
      <c r="G703" s="95"/>
      <c r="H703" s="93"/>
      <c r="I703" s="93"/>
      <c r="J703" s="93"/>
    </row>
    <row r="704" ht="29.25" customHeight="1">
      <c r="A704" s="93"/>
      <c r="B704" s="95"/>
      <c r="C704" s="93"/>
      <c r="D704" s="93"/>
      <c r="E704" s="93"/>
      <c r="F704" s="93"/>
      <c r="G704" s="95"/>
      <c r="H704" s="93"/>
      <c r="I704" s="93"/>
      <c r="J704" s="93"/>
    </row>
    <row r="705" ht="29.25" customHeight="1">
      <c r="A705" s="93"/>
      <c r="B705" s="95"/>
      <c r="C705" s="93"/>
      <c r="D705" s="93"/>
      <c r="E705" s="93"/>
      <c r="F705" s="93"/>
      <c r="G705" s="95"/>
      <c r="H705" s="93"/>
      <c r="I705" s="93"/>
      <c r="J705" s="93"/>
    </row>
    <row r="706" ht="29.25" customHeight="1">
      <c r="A706" s="93"/>
      <c r="B706" s="95"/>
      <c r="C706" s="93"/>
      <c r="D706" s="93"/>
      <c r="E706" s="93"/>
      <c r="F706" s="93"/>
      <c r="G706" s="95"/>
      <c r="H706" s="93"/>
      <c r="I706" s="93"/>
      <c r="J706" s="93"/>
    </row>
    <row r="707" ht="29.25" customHeight="1">
      <c r="A707" s="93"/>
      <c r="B707" s="95"/>
      <c r="C707" s="93"/>
      <c r="D707" s="93"/>
      <c r="E707" s="93"/>
      <c r="F707" s="93"/>
      <c r="G707" s="95"/>
      <c r="H707" s="93"/>
      <c r="I707" s="93"/>
      <c r="J707" s="93"/>
    </row>
    <row r="708" ht="29.25" customHeight="1">
      <c r="A708" s="93"/>
      <c r="B708" s="95"/>
      <c r="C708" s="93"/>
      <c r="D708" s="93"/>
      <c r="E708" s="93"/>
      <c r="F708" s="93"/>
      <c r="G708" s="95"/>
      <c r="H708" s="93"/>
      <c r="I708" s="93"/>
      <c r="J708" s="93"/>
    </row>
    <row r="709" ht="29.25" customHeight="1">
      <c r="A709" s="93"/>
      <c r="B709" s="95"/>
      <c r="C709" s="93"/>
      <c r="D709" s="93"/>
      <c r="E709" s="93"/>
      <c r="F709" s="93"/>
      <c r="G709" s="95"/>
      <c r="H709" s="93"/>
      <c r="I709" s="93"/>
      <c r="J709" s="93"/>
    </row>
    <row r="710" ht="29.25" customHeight="1">
      <c r="A710" s="93"/>
      <c r="B710" s="95"/>
      <c r="C710" s="93"/>
      <c r="D710" s="93"/>
      <c r="E710" s="93"/>
      <c r="F710" s="93"/>
      <c r="G710" s="95"/>
      <c r="H710" s="93"/>
      <c r="I710" s="93"/>
      <c r="J710" s="93"/>
    </row>
    <row r="711" ht="29.25" customHeight="1">
      <c r="A711" s="93"/>
      <c r="B711" s="95"/>
      <c r="C711" s="93"/>
      <c r="D711" s="93"/>
      <c r="E711" s="93"/>
      <c r="F711" s="93"/>
      <c r="G711" s="95"/>
      <c r="H711" s="93"/>
      <c r="I711" s="93"/>
      <c r="J711" s="93"/>
    </row>
    <row r="712" ht="29.25" customHeight="1">
      <c r="A712" s="93"/>
      <c r="B712" s="95"/>
      <c r="C712" s="93"/>
      <c r="D712" s="93"/>
      <c r="E712" s="93"/>
      <c r="F712" s="93"/>
      <c r="G712" s="95"/>
      <c r="H712" s="93"/>
      <c r="I712" s="93"/>
      <c r="J712" s="93"/>
    </row>
    <row r="713" ht="29.25" customHeight="1">
      <c r="A713" s="93"/>
      <c r="B713" s="95"/>
      <c r="C713" s="93"/>
      <c r="D713" s="93"/>
      <c r="E713" s="93"/>
      <c r="F713" s="93"/>
      <c r="G713" s="95"/>
      <c r="H713" s="93"/>
      <c r="I713" s="93"/>
      <c r="J713" s="93"/>
    </row>
    <row r="714" ht="29.25" customHeight="1">
      <c r="A714" s="93"/>
      <c r="B714" s="95"/>
      <c r="C714" s="93"/>
      <c r="D714" s="93"/>
      <c r="E714" s="93"/>
      <c r="F714" s="93"/>
      <c r="G714" s="95"/>
      <c r="H714" s="93"/>
      <c r="I714" s="93"/>
      <c r="J714" s="93"/>
    </row>
    <row r="715" ht="29.25" customHeight="1">
      <c r="A715" s="93"/>
      <c r="B715" s="95"/>
      <c r="C715" s="93"/>
      <c r="D715" s="93"/>
      <c r="E715" s="93"/>
      <c r="F715" s="93"/>
      <c r="G715" s="95"/>
      <c r="H715" s="93"/>
      <c r="I715" s="93"/>
      <c r="J715" s="93"/>
    </row>
    <row r="716" ht="29.25" customHeight="1">
      <c r="A716" s="93"/>
      <c r="B716" s="95"/>
      <c r="C716" s="93"/>
      <c r="D716" s="93"/>
      <c r="E716" s="93"/>
      <c r="F716" s="93"/>
      <c r="G716" s="95"/>
      <c r="H716" s="93"/>
      <c r="I716" s="93"/>
      <c r="J716" s="93"/>
    </row>
    <row r="717" ht="29.25" customHeight="1">
      <c r="A717" s="93"/>
      <c r="B717" s="95"/>
      <c r="C717" s="93"/>
      <c r="D717" s="93"/>
      <c r="E717" s="93"/>
      <c r="F717" s="93"/>
      <c r="G717" s="95"/>
      <c r="H717" s="93"/>
      <c r="I717" s="93"/>
      <c r="J717" s="93"/>
    </row>
    <row r="718" ht="29.25" customHeight="1">
      <c r="A718" s="93"/>
      <c r="B718" s="95"/>
      <c r="C718" s="93"/>
      <c r="D718" s="93"/>
      <c r="E718" s="93"/>
      <c r="F718" s="93"/>
      <c r="G718" s="95"/>
      <c r="H718" s="93"/>
      <c r="I718" s="93"/>
      <c r="J718" s="93"/>
    </row>
    <row r="719" ht="29.25" customHeight="1">
      <c r="A719" s="93"/>
      <c r="B719" s="95"/>
      <c r="C719" s="93"/>
      <c r="D719" s="93"/>
      <c r="E719" s="93"/>
      <c r="F719" s="93"/>
      <c r="G719" s="95"/>
      <c r="H719" s="93"/>
      <c r="I719" s="93"/>
      <c r="J719" s="93"/>
    </row>
    <row r="720" ht="29.25" customHeight="1">
      <c r="A720" s="93"/>
      <c r="B720" s="95"/>
      <c r="C720" s="93"/>
      <c r="D720" s="93"/>
      <c r="E720" s="93"/>
      <c r="F720" s="93"/>
      <c r="G720" s="95"/>
      <c r="H720" s="93"/>
      <c r="I720" s="93"/>
      <c r="J720" s="93"/>
    </row>
    <row r="721" ht="29.25" customHeight="1">
      <c r="A721" s="93"/>
      <c r="B721" s="95"/>
      <c r="C721" s="93"/>
      <c r="D721" s="93"/>
      <c r="E721" s="93"/>
      <c r="F721" s="93"/>
      <c r="G721" s="95"/>
      <c r="H721" s="93"/>
      <c r="I721" s="93"/>
      <c r="J721" s="93"/>
    </row>
    <row r="722" ht="29.25" customHeight="1">
      <c r="A722" s="93"/>
      <c r="B722" s="95"/>
      <c r="C722" s="93"/>
      <c r="D722" s="93"/>
      <c r="E722" s="93"/>
      <c r="F722" s="93"/>
      <c r="G722" s="95"/>
      <c r="H722" s="93"/>
      <c r="I722" s="93"/>
      <c r="J722" s="93"/>
    </row>
    <row r="723" ht="29.25" customHeight="1">
      <c r="A723" s="93"/>
      <c r="B723" s="95"/>
      <c r="C723" s="93"/>
      <c r="D723" s="93"/>
      <c r="E723" s="93"/>
      <c r="F723" s="93"/>
      <c r="G723" s="95"/>
      <c r="H723" s="93"/>
      <c r="I723" s="93"/>
      <c r="J723" s="93"/>
    </row>
    <row r="724" ht="29.25" customHeight="1">
      <c r="A724" s="93"/>
      <c r="B724" s="95"/>
      <c r="C724" s="93"/>
      <c r="D724" s="93"/>
      <c r="E724" s="93"/>
      <c r="F724" s="93"/>
      <c r="G724" s="95"/>
      <c r="H724" s="93"/>
      <c r="I724" s="93"/>
      <c r="J724" s="93"/>
    </row>
    <row r="725" ht="29.25" customHeight="1">
      <c r="A725" s="93"/>
      <c r="B725" s="95"/>
      <c r="C725" s="93"/>
      <c r="D725" s="93"/>
      <c r="E725" s="93"/>
      <c r="F725" s="93"/>
      <c r="G725" s="95"/>
      <c r="H725" s="93"/>
      <c r="I725" s="93"/>
      <c r="J725" s="93"/>
    </row>
    <row r="726" ht="29.25" customHeight="1">
      <c r="A726" s="93"/>
      <c r="B726" s="95"/>
      <c r="C726" s="93"/>
      <c r="D726" s="93"/>
      <c r="E726" s="93"/>
      <c r="F726" s="93"/>
      <c r="G726" s="95"/>
      <c r="H726" s="93"/>
      <c r="I726" s="93"/>
      <c r="J726" s="93"/>
    </row>
    <row r="727" ht="29.25" customHeight="1">
      <c r="A727" s="93"/>
      <c r="B727" s="95"/>
      <c r="C727" s="93"/>
      <c r="D727" s="93"/>
      <c r="E727" s="93"/>
      <c r="F727" s="93"/>
      <c r="G727" s="95"/>
      <c r="H727" s="93"/>
      <c r="I727" s="93"/>
      <c r="J727" s="93"/>
    </row>
    <row r="728" ht="29.25" customHeight="1">
      <c r="A728" s="93"/>
      <c r="B728" s="95"/>
      <c r="C728" s="93"/>
      <c r="D728" s="93"/>
      <c r="E728" s="93"/>
      <c r="F728" s="93"/>
      <c r="G728" s="95"/>
      <c r="H728" s="93"/>
      <c r="I728" s="93"/>
      <c r="J728" s="93"/>
    </row>
    <row r="729" ht="29.25" customHeight="1">
      <c r="A729" s="93"/>
      <c r="B729" s="95"/>
      <c r="C729" s="93"/>
      <c r="D729" s="93"/>
      <c r="E729" s="93"/>
      <c r="F729" s="93"/>
      <c r="G729" s="95"/>
      <c r="H729" s="93"/>
      <c r="I729" s="93"/>
      <c r="J729" s="93"/>
    </row>
    <row r="730" ht="29.25" customHeight="1">
      <c r="A730" s="93"/>
      <c r="B730" s="95"/>
      <c r="C730" s="93"/>
      <c r="D730" s="93"/>
      <c r="E730" s="93"/>
      <c r="F730" s="93"/>
      <c r="G730" s="95"/>
      <c r="H730" s="93"/>
      <c r="I730" s="93"/>
      <c r="J730" s="93"/>
    </row>
    <row r="731" ht="29.25" customHeight="1">
      <c r="A731" s="93"/>
      <c r="B731" s="95"/>
      <c r="C731" s="93"/>
      <c r="D731" s="93"/>
      <c r="E731" s="93"/>
      <c r="F731" s="93"/>
      <c r="G731" s="95"/>
      <c r="H731" s="93"/>
      <c r="I731" s="93"/>
      <c r="J731" s="93"/>
    </row>
    <row r="732" ht="29.25" customHeight="1">
      <c r="A732" s="93"/>
      <c r="B732" s="95"/>
      <c r="C732" s="93"/>
      <c r="D732" s="93"/>
      <c r="E732" s="93"/>
      <c r="F732" s="93"/>
      <c r="G732" s="95"/>
      <c r="H732" s="93"/>
      <c r="I732" s="93"/>
      <c r="J732" s="93"/>
    </row>
    <row r="733" ht="29.25" customHeight="1">
      <c r="A733" s="93"/>
      <c r="B733" s="95"/>
      <c r="C733" s="93"/>
      <c r="D733" s="93"/>
      <c r="E733" s="93"/>
      <c r="F733" s="93"/>
      <c r="G733" s="95"/>
      <c r="H733" s="93"/>
      <c r="I733" s="93"/>
      <c r="J733" s="93"/>
    </row>
    <row r="734" ht="29.25" customHeight="1">
      <c r="A734" s="93"/>
      <c r="B734" s="95"/>
      <c r="C734" s="93"/>
      <c r="D734" s="93"/>
      <c r="E734" s="93"/>
      <c r="F734" s="93"/>
      <c r="G734" s="95"/>
      <c r="H734" s="93"/>
      <c r="I734" s="93"/>
      <c r="J734" s="93"/>
    </row>
    <row r="735" ht="29.25" customHeight="1">
      <c r="A735" s="93"/>
      <c r="B735" s="95"/>
      <c r="C735" s="93"/>
      <c r="D735" s="93"/>
      <c r="E735" s="93"/>
      <c r="F735" s="93"/>
      <c r="G735" s="95"/>
      <c r="H735" s="93"/>
      <c r="I735" s="93"/>
      <c r="J735" s="93"/>
    </row>
    <row r="736" ht="29.25" customHeight="1">
      <c r="A736" s="93"/>
      <c r="B736" s="95"/>
      <c r="C736" s="93"/>
      <c r="D736" s="93"/>
      <c r="E736" s="93"/>
      <c r="F736" s="93"/>
      <c r="G736" s="95"/>
      <c r="H736" s="93"/>
      <c r="I736" s="93"/>
      <c r="J736" s="93"/>
    </row>
    <row r="737" ht="29.25" customHeight="1">
      <c r="A737" s="93"/>
      <c r="B737" s="95"/>
      <c r="C737" s="93"/>
      <c r="D737" s="93"/>
      <c r="E737" s="93"/>
      <c r="F737" s="93"/>
      <c r="G737" s="95"/>
      <c r="H737" s="93"/>
      <c r="I737" s="93"/>
      <c r="J737" s="93"/>
    </row>
    <row r="738" ht="29.25" customHeight="1">
      <c r="A738" s="93"/>
      <c r="B738" s="95"/>
      <c r="C738" s="93"/>
      <c r="D738" s="93"/>
      <c r="E738" s="93"/>
      <c r="F738" s="93"/>
      <c r="G738" s="95"/>
      <c r="H738" s="93"/>
      <c r="I738" s="93"/>
      <c r="J738" s="93"/>
    </row>
    <row r="739" ht="29.25" customHeight="1">
      <c r="A739" s="93"/>
      <c r="B739" s="95"/>
      <c r="C739" s="93"/>
      <c r="D739" s="93"/>
      <c r="E739" s="93"/>
      <c r="F739" s="93"/>
      <c r="G739" s="95"/>
      <c r="H739" s="93"/>
      <c r="I739" s="93"/>
      <c r="J739" s="93"/>
    </row>
    <row r="740" ht="29.25" customHeight="1">
      <c r="A740" s="93"/>
      <c r="B740" s="95"/>
      <c r="C740" s="93"/>
      <c r="D740" s="93"/>
      <c r="E740" s="93"/>
      <c r="F740" s="93"/>
      <c r="G740" s="95"/>
      <c r="H740" s="93"/>
      <c r="I740" s="93"/>
      <c r="J740" s="93"/>
    </row>
    <row r="741" ht="29.25" customHeight="1">
      <c r="A741" s="93"/>
      <c r="B741" s="95"/>
      <c r="C741" s="93"/>
      <c r="D741" s="93"/>
      <c r="E741" s="93"/>
      <c r="F741" s="93"/>
      <c r="G741" s="95"/>
      <c r="H741" s="93"/>
      <c r="I741" s="93"/>
      <c r="J741" s="93"/>
    </row>
    <row r="742" ht="29.25" customHeight="1">
      <c r="A742" s="93"/>
      <c r="B742" s="95"/>
      <c r="C742" s="93"/>
      <c r="D742" s="93"/>
      <c r="E742" s="93"/>
      <c r="F742" s="93"/>
      <c r="G742" s="95"/>
      <c r="H742" s="93"/>
      <c r="I742" s="93"/>
      <c r="J742" s="93"/>
    </row>
    <row r="743" ht="29.25" customHeight="1">
      <c r="A743" s="93"/>
      <c r="B743" s="95"/>
      <c r="C743" s="93"/>
      <c r="D743" s="93"/>
      <c r="E743" s="93"/>
      <c r="F743" s="93"/>
      <c r="G743" s="95"/>
      <c r="H743" s="93"/>
      <c r="I743" s="93"/>
      <c r="J743" s="93"/>
    </row>
    <row r="744" ht="29.25" customHeight="1">
      <c r="A744" s="93"/>
      <c r="B744" s="95"/>
      <c r="C744" s="93"/>
      <c r="D744" s="93"/>
      <c r="E744" s="93"/>
      <c r="F744" s="93"/>
      <c r="G744" s="95"/>
      <c r="H744" s="93"/>
      <c r="I744" s="93"/>
      <c r="J744" s="93"/>
    </row>
    <row r="745" ht="29.25" customHeight="1">
      <c r="A745" s="93"/>
      <c r="B745" s="95"/>
      <c r="C745" s="93"/>
      <c r="D745" s="93"/>
      <c r="E745" s="93"/>
      <c r="F745" s="93"/>
      <c r="G745" s="95"/>
      <c r="H745" s="93"/>
      <c r="I745" s="93"/>
      <c r="J745" s="93"/>
    </row>
    <row r="746" ht="29.25" customHeight="1">
      <c r="A746" s="93"/>
      <c r="B746" s="95"/>
      <c r="C746" s="93"/>
      <c r="D746" s="93"/>
      <c r="E746" s="93"/>
      <c r="F746" s="93"/>
      <c r="G746" s="95"/>
      <c r="H746" s="93"/>
      <c r="I746" s="93"/>
      <c r="J746" s="93"/>
    </row>
    <row r="747" ht="29.25" customHeight="1">
      <c r="A747" s="93"/>
      <c r="B747" s="95"/>
      <c r="C747" s="93"/>
      <c r="D747" s="93"/>
      <c r="E747" s="93"/>
      <c r="F747" s="93"/>
      <c r="G747" s="95"/>
      <c r="H747" s="93"/>
      <c r="I747" s="93"/>
      <c r="J747" s="93"/>
    </row>
    <row r="748" ht="29.25" customHeight="1">
      <c r="A748" s="93"/>
      <c r="B748" s="95"/>
      <c r="C748" s="93"/>
      <c r="D748" s="93"/>
      <c r="E748" s="93"/>
      <c r="F748" s="93"/>
      <c r="G748" s="95"/>
      <c r="H748" s="93"/>
      <c r="I748" s="93"/>
      <c r="J748" s="93"/>
    </row>
    <row r="749" ht="29.25" customHeight="1">
      <c r="A749" s="93"/>
      <c r="B749" s="95"/>
      <c r="C749" s="93"/>
      <c r="D749" s="93"/>
      <c r="E749" s="93"/>
      <c r="F749" s="93"/>
      <c r="G749" s="95"/>
      <c r="H749" s="93"/>
      <c r="I749" s="93"/>
      <c r="J749" s="93"/>
    </row>
    <row r="750" ht="29.25" customHeight="1">
      <c r="A750" s="93"/>
      <c r="B750" s="95"/>
      <c r="C750" s="93"/>
      <c r="D750" s="93"/>
      <c r="E750" s="93"/>
      <c r="F750" s="93"/>
      <c r="G750" s="95"/>
      <c r="H750" s="93"/>
      <c r="I750" s="93"/>
      <c r="J750" s="93"/>
    </row>
    <row r="751" ht="29.25" customHeight="1">
      <c r="A751" s="93"/>
      <c r="B751" s="95"/>
      <c r="C751" s="93"/>
      <c r="D751" s="93"/>
      <c r="E751" s="93"/>
      <c r="F751" s="93"/>
      <c r="G751" s="95"/>
      <c r="H751" s="93"/>
      <c r="I751" s="93"/>
      <c r="J751" s="93"/>
    </row>
    <row r="752" ht="29.25" customHeight="1">
      <c r="A752" s="93"/>
      <c r="B752" s="95"/>
      <c r="C752" s="93"/>
      <c r="D752" s="93"/>
      <c r="E752" s="93"/>
      <c r="F752" s="93"/>
      <c r="G752" s="95"/>
      <c r="H752" s="93"/>
      <c r="I752" s="93"/>
      <c r="J752" s="93"/>
    </row>
    <row r="753" ht="29.25" customHeight="1">
      <c r="A753" s="93"/>
      <c r="B753" s="95"/>
      <c r="C753" s="93"/>
      <c r="D753" s="93"/>
      <c r="E753" s="93"/>
      <c r="F753" s="93"/>
      <c r="G753" s="95"/>
      <c r="H753" s="93"/>
      <c r="I753" s="93"/>
      <c r="J753" s="93"/>
    </row>
    <row r="754" ht="29.25" customHeight="1">
      <c r="A754" s="93"/>
      <c r="B754" s="95"/>
      <c r="C754" s="93"/>
      <c r="D754" s="93"/>
      <c r="E754" s="93"/>
      <c r="F754" s="93"/>
      <c r="G754" s="95"/>
      <c r="H754" s="93"/>
      <c r="I754" s="93"/>
      <c r="J754" s="93"/>
    </row>
    <row r="755" ht="29.25" customHeight="1">
      <c r="A755" s="93"/>
      <c r="B755" s="95"/>
      <c r="C755" s="93"/>
      <c r="D755" s="93"/>
      <c r="E755" s="93"/>
      <c r="F755" s="93"/>
      <c r="G755" s="95"/>
      <c r="H755" s="93"/>
      <c r="I755" s="93"/>
      <c r="J755" s="93"/>
    </row>
    <row r="756" ht="29.25" customHeight="1">
      <c r="A756" s="93"/>
      <c r="B756" s="95"/>
      <c r="C756" s="93"/>
      <c r="D756" s="93"/>
      <c r="E756" s="93"/>
      <c r="F756" s="93"/>
      <c r="G756" s="95"/>
      <c r="H756" s="93"/>
      <c r="I756" s="93"/>
      <c r="J756" s="93"/>
    </row>
    <row r="757" ht="29.25" customHeight="1">
      <c r="A757" s="93"/>
      <c r="B757" s="95"/>
      <c r="C757" s="93"/>
      <c r="D757" s="93"/>
      <c r="E757" s="93"/>
      <c r="F757" s="93"/>
      <c r="G757" s="95"/>
      <c r="H757" s="93"/>
      <c r="I757" s="93"/>
      <c r="J757" s="93"/>
    </row>
    <row r="758" ht="29.25" customHeight="1">
      <c r="A758" s="93"/>
      <c r="B758" s="95"/>
      <c r="C758" s="93"/>
      <c r="D758" s="93"/>
      <c r="E758" s="93"/>
      <c r="F758" s="93"/>
      <c r="G758" s="95"/>
      <c r="H758" s="93"/>
      <c r="I758" s="93"/>
      <c r="J758" s="93"/>
    </row>
    <row r="759" ht="29.25" customHeight="1">
      <c r="A759" s="93"/>
      <c r="B759" s="95"/>
      <c r="C759" s="93"/>
      <c r="D759" s="93"/>
      <c r="E759" s="93"/>
      <c r="F759" s="93"/>
      <c r="G759" s="95"/>
      <c r="H759" s="93"/>
      <c r="I759" s="93"/>
      <c r="J759" s="93"/>
    </row>
    <row r="760" ht="29.25" customHeight="1">
      <c r="A760" s="93"/>
      <c r="B760" s="95"/>
      <c r="C760" s="93"/>
      <c r="D760" s="93"/>
      <c r="E760" s="93"/>
      <c r="F760" s="93"/>
      <c r="G760" s="95"/>
      <c r="H760" s="93"/>
      <c r="I760" s="93"/>
      <c r="J760" s="93"/>
    </row>
    <row r="761" ht="29.25" customHeight="1">
      <c r="A761" s="93"/>
      <c r="B761" s="95"/>
      <c r="C761" s="93"/>
      <c r="D761" s="93"/>
      <c r="E761" s="93"/>
      <c r="F761" s="93"/>
      <c r="G761" s="95"/>
      <c r="H761" s="93"/>
      <c r="I761" s="93"/>
      <c r="J761" s="93"/>
    </row>
    <row r="762" ht="29.25" customHeight="1">
      <c r="A762" s="93"/>
      <c r="B762" s="95"/>
      <c r="C762" s="93"/>
      <c r="D762" s="93"/>
      <c r="E762" s="93"/>
      <c r="F762" s="93"/>
      <c r="G762" s="95"/>
      <c r="H762" s="93"/>
      <c r="I762" s="93"/>
      <c r="J762" s="93"/>
    </row>
    <row r="763" ht="29.25" customHeight="1">
      <c r="A763" s="93"/>
      <c r="B763" s="95"/>
      <c r="C763" s="93"/>
      <c r="D763" s="93"/>
      <c r="E763" s="93"/>
      <c r="F763" s="93"/>
      <c r="G763" s="95"/>
      <c r="H763" s="93"/>
      <c r="I763" s="93"/>
      <c r="J763" s="93"/>
    </row>
    <row r="764" ht="29.25" customHeight="1">
      <c r="A764" s="93"/>
      <c r="B764" s="95"/>
      <c r="C764" s="93"/>
      <c r="D764" s="93"/>
      <c r="E764" s="93"/>
      <c r="F764" s="93"/>
      <c r="G764" s="95"/>
      <c r="H764" s="93"/>
      <c r="I764" s="93"/>
      <c r="J764" s="93"/>
    </row>
    <row r="765" ht="29.25" customHeight="1">
      <c r="A765" s="93"/>
      <c r="B765" s="95"/>
      <c r="C765" s="93"/>
      <c r="D765" s="93"/>
      <c r="E765" s="93"/>
      <c r="F765" s="93"/>
      <c r="G765" s="95"/>
      <c r="H765" s="93"/>
      <c r="I765" s="93"/>
      <c r="J765" s="93"/>
    </row>
    <row r="766" ht="29.25" customHeight="1">
      <c r="A766" s="93"/>
      <c r="B766" s="95"/>
      <c r="C766" s="93"/>
      <c r="D766" s="93"/>
      <c r="E766" s="93"/>
      <c r="F766" s="93"/>
      <c r="G766" s="95"/>
      <c r="H766" s="93"/>
      <c r="I766" s="93"/>
      <c r="J766" s="93"/>
    </row>
    <row r="767" ht="29.25" customHeight="1">
      <c r="A767" s="93"/>
      <c r="B767" s="95"/>
      <c r="C767" s="93"/>
      <c r="D767" s="93"/>
      <c r="E767" s="93"/>
      <c r="F767" s="93"/>
      <c r="G767" s="95"/>
      <c r="H767" s="93"/>
      <c r="I767" s="93"/>
      <c r="J767" s="93"/>
    </row>
    <row r="768" ht="29.25" customHeight="1">
      <c r="A768" s="93"/>
      <c r="B768" s="95"/>
      <c r="C768" s="93"/>
      <c r="D768" s="93"/>
      <c r="E768" s="93"/>
      <c r="F768" s="93"/>
      <c r="G768" s="95"/>
      <c r="H768" s="93"/>
      <c r="I768" s="93"/>
      <c r="J768" s="93"/>
    </row>
    <row r="769" ht="29.25" customHeight="1">
      <c r="A769" s="93"/>
      <c r="B769" s="95"/>
      <c r="C769" s="93"/>
      <c r="D769" s="93"/>
      <c r="E769" s="93"/>
      <c r="F769" s="93"/>
      <c r="G769" s="95"/>
      <c r="H769" s="93"/>
      <c r="I769" s="93"/>
      <c r="J769" s="93"/>
    </row>
    <row r="770" ht="29.25" customHeight="1">
      <c r="A770" s="93"/>
      <c r="B770" s="95"/>
      <c r="C770" s="93"/>
      <c r="D770" s="93"/>
      <c r="E770" s="93"/>
      <c r="F770" s="93"/>
      <c r="G770" s="95"/>
      <c r="H770" s="93"/>
      <c r="I770" s="93"/>
      <c r="J770" s="93"/>
    </row>
    <row r="771" ht="29.25" customHeight="1">
      <c r="A771" s="93"/>
      <c r="B771" s="95"/>
      <c r="C771" s="93"/>
      <c r="D771" s="93"/>
      <c r="E771" s="93"/>
      <c r="F771" s="93"/>
      <c r="G771" s="95"/>
      <c r="H771" s="93"/>
      <c r="I771" s="93"/>
      <c r="J771" s="93"/>
    </row>
    <row r="772" ht="29.25" customHeight="1">
      <c r="A772" s="93"/>
      <c r="B772" s="95"/>
      <c r="C772" s="93"/>
      <c r="D772" s="93"/>
      <c r="E772" s="93"/>
      <c r="F772" s="93"/>
      <c r="G772" s="95"/>
      <c r="H772" s="93"/>
      <c r="I772" s="93"/>
      <c r="J772" s="93"/>
    </row>
    <row r="773" ht="29.25" customHeight="1">
      <c r="A773" s="93"/>
      <c r="B773" s="95"/>
      <c r="C773" s="93"/>
      <c r="D773" s="93"/>
      <c r="E773" s="93"/>
      <c r="F773" s="93"/>
      <c r="G773" s="95"/>
      <c r="H773" s="93"/>
      <c r="I773" s="93"/>
      <c r="J773" s="93"/>
    </row>
    <row r="774" ht="29.25" customHeight="1">
      <c r="A774" s="93"/>
      <c r="B774" s="95"/>
      <c r="C774" s="93"/>
      <c r="D774" s="93"/>
      <c r="E774" s="93"/>
      <c r="F774" s="93"/>
      <c r="G774" s="95"/>
      <c r="H774" s="93"/>
      <c r="I774" s="93"/>
      <c r="J774" s="93"/>
    </row>
    <row r="775" ht="29.25" customHeight="1">
      <c r="A775" s="93"/>
      <c r="B775" s="95"/>
      <c r="C775" s="93"/>
      <c r="D775" s="93"/>
      <c r="E775" s="93"/>
      <c r="F775" s="93"/>
      <c r="G775" s="95"/>
      <c r="H775" s="93"/>
      <c r="I775" s="93"/>
      <c r="J775" s="93"/>
    </row>
    <row r="776" ht="29.25" customHeight="1">
      <c r="A776" s="93"/>
      <c r="B776" s="95"/>
      <c r="C776" s="93"/>
      <c r="D776" s="93"/>
      <c r="E776" s="93"/>
      <c r="F776" s="93"/>
      <c r="G776" s="95"/>
      <c r="H776" s="93"/>
      <c r="I776" s="93"/>
      <c r="J776" s="93"/>
    </row>
    <row r="777" ht="29.25" customHeight="1">
      <c r="A777" s="93"/>
      <c r="B777" s="95"/>
      <c r="C777" s="93"/>
      <c r="D777" s="93"/>
      <c r="E777" s="93"/>
      <c r="F777" s="93"/>
      <c r="G777" s="95"/>
      <c r="H777" s="93"/>
      <c r="I777" s="93"/>
      <c r="J777" s="93"/>
    </row>
    <row r="778" ht="29.25" customHeight="1">
      <c r="A778" s="93"/>
      <c r="B778" s="95"/>
      <c r="C778" s="93"/>
      <c r="D778" s="93"/>
      <c r="E778" s="93"/>
      <c r="F778" s="93"/>
      <c r="G778" s="95"/>
      <c r="H778" s="93"/>
      <c r="I778" s="93"/>
      <c r="J778" s="93"/>
    </row>
    <row r="779" ht="29.25" customHeight="1">
      <c r="A779" s="93"/>
      <c r="B779" s="95"/>
      <c r="C779" s="93"/>
      <c r="D779" s="93"/>
      <c r="E779" s="93"/>
      <c r="F779" s="93"/>
      <c r="G779" s="95"/>
      <c r="H779" s="93"/>
      <c r="I779" s="93"/>
      <c r="J779" s="93"/>
    </row>
    <row r="780" ht="29.25" customHeight="1">
      <c r="A780" s="93"/>
      <c r="B780" s="95"/>
      <c r="C780" s="93"/>
      <c r="D780" s="93"/>
      <c r="E780" s="93"/>
      <c r="F780" s="93"/>
      <c r="G780" s="95"/>
      <c r="H780" s="93"/>
      <c r="I780" s="93"/>
      <c r="J780" s="93"/>
    </row>
    <row r="781" ht="29.25" customHeight="1">
      <c r="A781" s="93"/>
      <c r="B781" s="95"/>
      <c r="C781" s="93"/>
      <c r="D781" s="93"/>
      <c r="E781" s="93"/>
      <c r="F781" s="93"/>
      <c r="G781" s="95"/>
      <c r="H781" s="93"/>
      <c r="I781" s="93"/>
      <c r="J781" s="93"/>
    </row>
    <row r="782" ht="29.25" customHeight="1">
      <c r="A782" s="93"/>
      <c r="B782" s="95"/>
      <c r="C782" s="93"/>
      <c r="D782" s="93"/>
      <c r="E782" s="93"/>
      <c r="F782" s="93"/>
      <c r="G782" s="95"/>
      <c r="H782" s="93"/>
      <c r="I782" s="93"/>
      <c r="J782" s="93"/>
    </row>
    <row r="783" ht="29.25" customHeight="1">
      <c r="A783" s="93"/>
      <c r="B783" s="95"/>
      <c r="C783" s="93"/>
      <c r="D783" s="93"/>
      <c r="E783" s="93"/>
      <c r="F783" s="93"/>
      <c r="G783" s="95"/>
      <c r="H783" s="93"/>
      <c r="I783" s="93"/>
      <c r="J783" s="93"/>
    </row>
    <row r="784" ht="29.25" customHeight="1">
      <c r="A784" s="93"/>
      <c r="B784" s="95"/>
      <c r="C784" s="93"/>
      <c r="D784" s="93"/>
      <c r="E784" s="93"/>
      <c r="F784" s="93"/>
      <c r="G784" s="95"/>
      <c r="H784" s="93"/>
      <c r="I784" s="93"/>
      <c r="J784" s="93"/>
    </row>
    <row r="785" ht="29.25" customHeight="1">
      <c r="A785" s="93"/>
      <c r="B785" s="95"/>
      <c r="C785" s="93"/>
      <c r="D785" s="93"/>
      <c r="E785" s="93"/>
      <c r="F785" s="93"/>
      <c r="G785" s="95"/>
      <c r="H785" s="93"/>
      <c r="I785" s="93"/>
      <c r="J785" s="93"/>
    </row>
    <row r="786" ht="29.25" customHeight="1">
      <c r="A786" s="93"/>
      <c r="B786" s="95"/>
      <c r="C786" s="93"/>
      <c r="D786" s="93"/>
      <c r="E786" s="93"/>
      <c r="F786" s="93"/>
      <c r="G786" s="95"/>
      <c r="H786" s="93"/>
      <c r="I786" s="93"/>
      <c r="J786" s="93"/>
    </row>
    <row r="787" ht="29.25" customHeight="1">
      <c r="A787" s="93"/>
      <c r="B787" s="95"/>
      <c r="C787" s="93"/>
      <c r="D787" s="93"/>
      <c r="E787" s="93"/>
      <c r="F787" s="93"/>
      <c r="G787" s="95"/>
      <c r="H787" s="93"/>
      <c r="I787" s="93"/>
      <c r="J787" s="93"/>
    </row>
    <row r="788" ht="29.25" customHeight="1">
      <c r="A788" s="93"/>
      <c r="B788" s="95"/>
      <c r="C788" s="93"/>
      <c r="D788" s="93"/>
      <c r="E788" s="93"/>
      <c r="F788" s="93"/>
      <c r="G788" s="95"/>
      <c r="H788" s="93"/>
      <c r="I788" s="93"/>
      <c r="J788" s="93"/>
    </row>
    <row r="789" ht="29.25" customHeight="1">
      <c r="A789" s="93"/>
      <c r="B789" s="95"/>
      <c r="C789" s="93"/>
      <c r="D789" s="93"/>
      <c r="E789" s="93"/>
      <c r="F789" s="93"/>
      <c r="G789" s="95"/>
      <c r="H789" s="93"/>
      <c r="I789" s="93"/>
      <c r="J789" s="93"/>
    </row>
    <row r="790" ht="29.25" customHeight="1">
      <c r="A790" s="93"/>
      <c r="B790" s="95"/>
      <c r="C790" s="93"/>
      <c r="D790" s="93"/>
      <c r="E790" s="93"/>
      <c r="F790" s="93"/>
      <c r="G790" s="95"/>
      <c r="H790" s="93"/>
      <c r="I790" s="93"/>
      <c r="J790" s="93"/>
    </row>
    <row r="791" ht="29.25" customHeight="1">
      <c r="A791" s="93"/>
      <c r="B791" s="95"/>
      <c r="C791" s="93"/>
      <c r="D791" s="93"/>
      <c r="E791" s="93"/>
      <c r="F791" s="93"/>
      <c r="G791" s="95"/>
      <c r="H791" s="93"/>
      <c r="I791" s="93"/>
      <c r="J791" s="93"/>
    </row>
    <row r="792" ht="29.25" customHeight="1">
      <c r="A792" s="93"/>
      <c r="B792" s="95"/>
      <c r="C792" s="93"/>
      <c r="D792" s="93"/>
      <c r="E792" s="93"/>
      <c r="F792" s="93"/>
      <c r="G792" s="95"/>
      <c r="H792" s="93"/>
      <c r="I792" s="93"/>
      <c r="J792" s="93"/>
    </row>
    <row r="793" ht="29.25" customHeight="1">
      <c r="A793" s="93"/>
      <c r="B793" s="95"/>
      <c r="C793" s="93"/>
      <c r="D793" s="93"/>
      <c r="E793" s="93"/>
      <c r="F793" s="93"/>
      <c r="G793" s="95"/>
      <c r="H793" s="93"/>
      <c r="I793" s="93"/>
      <c r="J793" s="93"/>
    </row>
    <row r="794" ht="29.25" customHeight="1">
      <c r="A794" s="93"/>
      <c r="B794" s="95"/>
      <c r="C794" s="93"/>
      <c r="D794" s="93"/>
      <c r="E794" s="93"/>
      <c r="F794" s="93"/>
      <c r="G794" s="95"/>
      <c r="H794" s="93"/>
      <c r="I794" s="93"/>
      <c r="J794" s="93"/>
    </row>
    <row r="795" ht="29.25" customHeight="1">
      <c r="A795" s="93"/>
      <c r="B795" s="95"/>
      <c r="C795" s="93"/>
      <c r="D795" s="93"/>
      <c r="E795" s="93"/>
      <c r="F795" s="93"/>
      <c r="G795" s="95"/>
      <c r="H795" s="93"/>
      <c r="I795" s="93"/>
      <c r="J795" s="93"/>
    </row>
    <row r="796" ht="29.25" customHeight="1">
      <c r="A796" s="93"/>
      <c r="B796" s="95"/>
      <c r="C796" s="93"/>
      <c r="D796" s="93"/>
      <c r="E796" s="93"/>
      <c r="F796" s="93"/>
      <c r="G796" s="95"/>
      <c r="H796" s="93"/>
      <c r="I796" s="93"/>
      <c r="J796" s="93"/>
    </row>
    <row r="797" ht="29.25" customHeight="1">
      <c r="A797" s="93"/>
      <c r="B797" s="95"/>
      <c r="C797" s="93"/>
      <c r="D797" s="93"/>
      <c r="E797" s="93"/>
      <c r="F797" s="93"/>
      <c r="G797" s="95"/>
      <c r="H797" s="93"/>
      <c r="I797" s="93"/>
      <c r="J797" s="93"/>
    </row>
    <row r="798" ht="29.25" customHeight="1">
      <c r="A798" s="93"/>
      <c r="B798" s="95"/>
      <c r="C798" s="93"/>
      <c r="D798" s="93"/>
      <c r="E798" s="93"/>
      <c r="F798" s="93"/>
      <c r="G798" s="95"/>
      <c r="H798" s="93"/>
      <c r="I798" s="93"/>
      <c r="J798" s="93"/>
    </row>
    <row r="799" ht="29.25" customHeight="1">
      <c r="A799" s="93"/>
      <c r="B799" s="95"/>
      <c r="C799" s="93"/>
      <c r="D799" s="93"/>
      <c r="E799" s="93"/>
      <c r="F799" s="93"/>
      <c r="G799" s="95"/>
      <c r="H799" s="93"/>
      <c r="I799" s="93"/>
      <c r="J799" s="93"/>
    </row>
    <row r="800" ht="29.25" customHeight="1">
      <c r="A800" s="93"/>
      <c r="B800" s="95"/>
      <c r="C800" s="93"/>
      <c r="D800" s="93"/>
      <c r="E800" s="93"/>
      <c r="F800" s="93"/>
      <c r="G800" s="95"/>
      <c r="H800" s="93"/>
      <c r="I800" s="93"/>
      <c r="J800" s="93"/>
    </row>
    <row r="801" ht="29.25" customHeight="1">
      <c r="A801" s="93"/>
      <c r="B801" s="95"/>
      <c r="C801" s="93"/>
      <c r="D801" s="93"/>
      <c r="E801" s="93"/>
      <c r="F801" s="93"/>
      <c r="G801" s="95"/>
      <c r="H801" s="93"/>
      <c r="I801" s="93"/>
      <c r="J801" s="93"/>
    </row>
    <row r="802" ht="29.25" customHeight="1">
      <c r="A802" s="93"/>
      <c r="B802" s="95"/>
      <c r="C802" s="93"/>
      <c r="D802" s="93"/>
      <c r="E802" s="93"/>
      <c r="F802" s="93"/>
      <c r="G802" s="95"/>
      <c r="H802" s="93"/>
      <c r="I802" s="93"/>
      <c r="J802" s="93"/>
    </row>
    <row r="803" ht="29.25" customHeight="1">
      <c r="A803" s="93"/>
      <c r="B803" s="95"/>
      <c r="C803" s="93"/>
      <c r="D803" s="93"/>
      <c r="E803" s="93"/>
      <c r="F803" s="93"/>
      <c r="G803" s="95"/>
      <c r="H803" s="93"/>
      <c r="I803" s="93"/>
      <c r="J803" s="93"/>
    </row>
    <row r="804" ht="29.25" customHeight="1">
      <c r="A804" s="93"/>
      <c r="B804" s="95"/>
      <c r="C804" s="93"/>
      <c r="D804" s="93"/>
      <c r="E804" s="93"/>
      <c r="F804" s="93"/>
      <c r="G804" s="95"/>
      <c r="H804" s="93"/>
      <c r="I804" s="93"/>
      <c r="J804" s="93"/>
    </row>
    <row r="805" ht="29.25" customHeight="1">
      <c r="A805" s="93"/>
      <c r="B805" s="95"/>
      <c r="C805" s="93"/>
      <c r="D805" s="93"/>
      <c r="E805" s="93"/>
      <c r="F805" s="93"/>
      <c r="G805" s="95"/>
      <c r="H805" s="93"/>
      <c r="I805" s="93"/>
      <c r="J805" s="93"/>
    </row>
    <row r="806" ht="29.25" customHeight="1">
      <c r="A806" s="93"/>
      <c r="B806" s="95"/>
      <c r="C806" s="93"/>
      <c r="D806" s="93"/>
      <c r="E806" s="93"/>
      <c r="F806" s="93"/>
      <c r="G806" s="95"/>
      <c r="H806" s="93"/>
      <c r="I806" s="93"/>
      <c r="J806" s="93"/>
    </row>
    <row r="807" ht="29.25" customHeight="1">
      <c r="A807" s="93"/>
      <c r="B807" s="95"/>
      <c r="C807" s="93"/>
      <c r="D807" s="93"/>
      <c r="E807" s="93"/>
      <c r="F807" s="93"/>
      <c r="G807" s="95"/>
      <c r="H807" s="93"/>
      <c r="I807" s="93"/>
      <c r="J807" s="93"/>
    </row>
    <row r="808" ht="29.25" customHeight="1">
      <c r="A808" s="93"/>
      <c r="B808" s="95"/>
      <c r="C808" s="93"/>
      <c r="D808" s="93"/>
      <c r="E808" s="93"/>
      <c r="F808" s="93"/>
      <c r="G808" s="95"/>
      <c r="H808" s="93"/>
      <c r="I808" s="93"/>
      <c r="J808" s="93"/>
    </row>
    <row r="809" ht="29.25" customHeight="1">
      <c r="A809" s="93"/>
      <c r="B809" s="95"/>
      <c r="C809" s="93"/>
      <c r="D809" s="93"/>
      <c r="E809" s="93"/>
      <c r="F809" s="93"/>
      <c r="G809" s="95"/>
      <c r="H809" s="93"/>
      <c r="I809" s="93"/>
      <c r="J809" s="93"/>
    </row>
    <row r="810" ht="29.25" customHeight="1">
      <c r="A810" s="93"/>
      <c r="B810" s="95"/>
      <c r="C810" s="93"/>
      <c r="D810" s="93"/>
      <c r="E810" s="93"/>
      <c r="F810" s="93"/>
      <c r="G810" s="95"/>
      <c r="H810" s="93"/>
      <c r="I810" s="93"/>
      <c r="J810" s="93"/>
    </row>
    <row r="811" ht="29.25" customHeight="1">
      <c r="A811" s="93"/>
      <c r="B811" s="95"/>
      <c r="C811" s="93"/>
      <c r="D811" s="93"/>
      <c r="E811" s="93"/>
      <c r="F811" s="93"/>
      <c r="G811" s="95"/>
      <c r="H811" s="93"/>
      <c r="I811" s="93"/>
      <c r="J811" s="93"/>
    </row>
    <row r="812" ht="29.25" customHeight="1">
      <c r="A812" s="93"/>
      <c r="B812" s="95"/>
      <c r="C812" s="93"/>
      <c r="D812" s="93"/>
      <c r="E812" s="93"/>
      <c r="F812" s="93"/>
      <c r="G812" s="95"/>
      <c r="H812" s="93"/>
      <c r="I812" s="93"/>
      <c r="J812" s="93"/>
    </row>
    <row r="813" ht="29.25" customHeight="1">
      <c r="A813" s="93"/>
      <c r="B813" s="95"/>
      <c r="C813" s="93"/>
      <c r="D813" s="93"/>
      <c r="E813" s="93"/>
      <c r="F813" s="93"/>
      <c r="G813" s="95"/>
      <c r="H813" s="93"/>
      <c r="I813" s="93"/>
      <c r="J813" s="93"/>
    </row>
    <row r="814" ht="29.25" customHeight="1">
      <c r="A814" s="93"/>
      <c r="B814" s="95"/>
      <c r="C814" s="93"/>
      <c r="D814" s="93"/>
      <c r="E814" s="93"/>
      <c r="F814" s="93"/>
      <c r="G814" s="95"/>
      <c r="H814" s="93"/>
      <c r="I814" s="93"/>
      <c r="J814" s="93"/>
    </row>
    <row r="815" ht="29.25" customHeight="1">
      <c r="A815" s="93"/>
      <c r="B815" s="95"/>
      <c r="C815" s="93"/>
      <c r="D815" s="93"/>
      <c r="E815" s="93"/>
      <c r="F815" s="93"/>
      <c r="G815" s="95"/>
      <c r="H815" s="93"/>
      <c r="I815" s="93"/>
      <c r="J815" s="93"/>
    </row>
    <row r="816" ht="29.25" customHeight="1">
      <c r="A816" s="93"/>
      <c r="B816" s="95"/>
      <c r="C816" s="93"/>
      <c r="D816" s="93"/>
      <c r="E816" s="93"/>
      <c r="F816" s="93"/>
      <c r="G816" s="95"/>
      <c r="H816" s="93"/>
      <c r="I816" s="93"/>
      <c r="J816" s="93"/>
    </row>
    <row r="817" ht="29.25" customHeight="1">
      <c r="A817" s="93"/>
      <c r="B817" s="95"/>
      <c r="C817" s="93"/>
      <c r="D817" s="93"/>
      <c r="E817" s="93"/>
      <c r="F817" s="93"/>
      <c r="G817" s="95"/>
      <c r="H817" s="93"/>
      <c r="I817" s="93"/>
      <c r="J817" s="93"/>
    </row>
    <row r="818" ht="29.25" customHeight="1">
      <c r="A818" s="93"/>
      <c r="B818" s="95"/>
      <c r="C818" s="93"/>
      <c r="D818" s="93"/>
      <c r="E818" s="93"/>
      <c r="F818" s="93"/>
      <c r="G818" s="95"/>
      <c r="H818" s="93"/>
      <c r="I818" s="93"/>
      <c r="J818" s="93"/>
    </row>
    <row r="819" ht="29.25" customHeight="1">
      <c r="A819" s="93"/>
      <c r="B819" s="95"/>
      <c r="C819" s="93"/>
      <c r="D819" s="93"/>
      <c r="E819" s="93"/>
      <c r="F819" s="93"/>
      <c r="G819" s="95"/>
      <c r="H819" s="93"/>
      <c r="I819" s="93"/>
      <c r="J819" s="93"/>
    </row>
    <row r="820" ht="29.25" customHeight="1">
      <c r="A820" s="93"/>
      <c r="B820" s="95"/>
      <c r="C820" s="93"/>
      <c r="D820" s="93"/>
      <c r="E820" s="93"/>
      <c r="F820" s="93"/>
      <c r="G820" s="95"/>
      <c r="H820" s="93"/>
      <c r="I820" s="93"/>
      <c r="J820" s="93"/>
    </row>
    <row r="821" ht="29.25" customHeight="1">
      <c r="A821" s="93"/>
      <c r="B821" s="95"/>
      <c r="C821" s="93"/>
      <c r="D821" s="93"/>
      <c r="E821" s="93"/>
      <c r="F821" s="93"/>
      <c r="G821" s="95"/>
      <c r="H821" s="93"/>
      <c r="I821" s="93"/>
      <c r="J821" s="93"/>
    </row>
    <row r="822" ht="29.25" customHeight="1">
      <c r="A822" s="93"/>
      <c r="B822" s="95"/>
      <c r="C822" s="93"/>
      <c r="D822" s="93"/>
      <c r="E822" s="93"/>
      <c r="F822" s="93"/>
      <c r="G822" s="95"/>
      <c r="H822" s="93"/>
      <c r="I822" s="93"/>
      <c r="J822" s="93"/>
    </row>
    <row r="823" ht="29.25" customHeight="1">
      <c r="A823" s="93"/>
      <c r="B823" s="95"/>
      <c r="C823" s="93"/>
      <c r="D823" s="93"/>
      <c r="E823" s="93"/>
      <c r="F823" s="93"/>
      <c r="G823" s="95"/>
      <c r="H823" s="93"/>
      <c r="I823" s="93"/>
      <c r="J823" s="93"/>
    </row>
    <row r="824" ht="29.25" customHeight="1">
      <c r="A824" s="93"/>
      <c r="B824" s="95"/>
      <c r="C824" s="93"/>
      <c r="D824" s="93"/>
      <c r="E824" s="93"/>
      <c r="F824" s="93"/>
      <c r="G824" s="95"/>
      <c r="H824" s="93"/>
      <c r="I824" s="93"/>
      <c r="J824" s="93"/>
    </row>
    <row r="825" ht="29.25" customHeight="1">
      <c r="A825" s="93"/>
      <c r="B825" s="95"/>
      <c r="C825" s="93"/>
      <c r="D825" s="93"/>
      <c r="E825" s="93"/>
      <c r="F825" s="93"/>
      <c r="G825" s="95"/>
      <c r="H825" s="93"/>
      <c r="I825" s="93"/>
      <c r="J825" s="93"/>
    </row>
    <row r="826" ht="29.25" customHeight="1">
      <c r="A826" s="93"/>
      <c r="B826" s="95"/>
      <c r="C826" s="93"/>
      <c r="D826" s="93"/>
      <c r="E826" s="93"/>
      <c r="F826" s="93"/>
      <c r="G826" s="95"/>
      <c r="H826" s="93"/>
      <c r="I826" s="93"/>
      <c r="J826" s="93"/>
    </row>
    <row r="827" ht="29.25" customHeight="1">
      <c r="A827" s="93"/>
      <c r="B827" s="95"/>
      <c r="C827" s="93"/>
      <c r="D827" s="93"/>
      <c r="E827" s="93"/>
      <c r="F827" s="93"/>
      <c r="G827" s="95"/>
      <c r="H827" s="93"/>
      <c r="I827" s="93"/>
      <c r="J827" s="93"/>
    </row>
    <row r="828" ht="29.25" customHeight="1">
      <c r="A828" s="93"/>
      <c r="B828" s="95"/>
      <c r="C828" s="93"/>
      <c r="D828" s="93"/>
      <c r="E828" s="93"/>
      <c r="F828" s="93"/>
      <c r="G828" s="95"/>
      <c r="H828" s="93"/>
      <c r="I828" s="93"/>
      <c r="J828" s="93"/>
    </row>
    <row r="829" ht="29.25" customHeight="1">
      <c r="A829" s="93"/>
      <c r="B829" s="95"/>
      <c r="C829" s="93"/>
      <c r="D829" s="93"/>
      <c r="E829" s="93"/>
      <c r="F829" s="93"/>
      <c r="G829" s="95"/>
      <c r="H829" s="93"/>
      <c r="I829" s="93"/>
      <c r="J829" s="93"/>
    </row>
    <row r="830" ht="29.25" customHeight="1">
      <c r="A830" s="93"/>
      <c r="B830" s="95"/>
      <c r="C830" s="93"/>
      <c r="D830" s="93"/>
      <c r="E830" s="93"/>
      <c r="F830" s="93"/>
      <c r="G830" s="95"/>
      <c r="H830" s="93"/>
      <c r="I830" s="93"/>
      <c r="J830" s="93"/>
    </row>
    <row r="831" ht="29.25" customHeight="1">
      <c r="A831" s="93"/>
      <c r="B831" s="95"/>
      <c r="C831" s="93"/>
      <c r="D831" s="93"/>
      <c r="E831" s="93"/>
      <c r="F831" s="93"/>
      <c r="G831" s="95"/>
      <c r="H831" s="93"/>
      <c r="I831" s="93"/>
      <c r="J831" s="93"/>
    </row>
    <row r="832" ht="29.25" customHeight="1">
      <c r="A832" s="93"/>
      <c r="B832" s="95"/>
      <c r="C832" s="93"/>
      <c r="D832" s="93"/>
      <c r="E832" s="93"/>
      <c r="F832" s="93"/>
      <c r="G832" s="95"/>
      <c r="H832" s="93"/>
      <c r="I832" s="93"/>
      <c r="J832" s="93"/>
    </row>
    <row r="833" ht="29.25" customHeight="1">
      <c r="A833" s="93"/>
      <c r="B833" s="95"/>
      <c r="C833" s="93"/>
      <c r="D833" s="93"/>
      <c r="E833" s="93"/>
      <c r="F833" s="93"/>
      <c r="G833" s="95"/>
      <c r="H833" s="93"/>
      <c r="I833" s="93"/>
      <c r="J833" s="93"/>
    </row>
    <row r="834" ht="29.25" customHeight="1">
      <c r="A834" s="93"/>
      <c r="B834" s="95"/>
      <c r="C834" s="93"/>
      <c r="D834" s="93"/>
      <c r="E834" s="93"/>
      <c r="F834" s="93"/>
      <c r="G834" s="95"/>
      <c r="H834" s="93"/>
      <c r="I834" s="93"/>
      <c r="J834" s="93"/>
    </row>
    <row r="835" ht="29.25" customHeight="1">
      <c r="A835" s="93"/>
      <c r="B835" s="95"/>
      <c r="C835" s="93"/>
      <c r="D835" s="93"/>
      <c r="E835" s="93"/>
      <c r="F835" s="93"/>
      <c r="G835" s="95"/>
      <c r="H835" s="93"/>
      <c r="I835" s="93"/>
      <c r="J835" s="93"/>
    </row>
    <row r="836" ht="29.25" customHeight="1">
      <c r="A836" s="93"/>
      <c r="B836" s="95"/>
      <c r="C836" s="93"/>
      <c r="D836" s="93"/>
      <c r="E836" s="93"/>
      <c r="F836" s="93"/>
      <c r="G836" s="95"/>
      <c r="H836" s="93"/>
      <c r="I836" s="93"/>
      <c r="J836" s="93"/>
    </row>
    <row r="837" ht="29.25" customHeight="1">
      <c r="A837" s="93"/>
      <c r="B837" s="95"/>
      <c r="C837" s="93"/>
      <c r="D837" s="93"/>
      <c r="E837" s="93"/>
      <c r="F837" s="93"/>
      <c r="G837" s="95"/>
      <c r="H837" s="93"/>
      <c r="I837" s="93"/>
      <c r="J837" s="93"/>
    </row>
    <row r="838" ht="29.25" customHeight="1">
      <c r="A838" s="93"/>
      <c r="B838" s="95"/>
      <c r="C838" s="93"/>
      <c r="D838" s="93"/>
      <c r="E838" s="93"/>
      <c r="F838" s="93"/>
      <c r="G838" s="95"/>
      <c r="H838" s="93"/>
      <c r="I838" s="93"/>
      <c r="J838" s="93"/>
    </row>
    <row r="839" ht="29.25" customHeight="1">
      <c r="A839" s="93"/>
      <c r="B839" s="95"/>
      <c r="C839" s="93"/>
      <c r="D839" s="93"/>
      <c r="E839" s="93"/>
      <c r="F839" s="93"/>
      <c r="G839" s="95"/>
      <c r="H839" s="93"/>
      <c r="I839" s="93"/>
      <c r="J839" s="93"/>
    </row>
    <row r="840" ht="29.25" customHeight="1">
      <c r="A840" s="93"/>
      <c r="B840" s="95"/>
      <c r="C840" s="93"/>
      <c r="D840" s="93"/>
      <c r="E840" s="93"/>
      <c r="F840" s="93"/>
      <c r="G840" s="95"/>
      <c r="H840" s="93"/>
      <c r="I840" s="93"/>
      <c r="J840" s="93"/>
    </row>
    <row r="841" ht="29.25" customHeight="1">
      <c r="A841" s="93"/>
      <c r="B841" s="95"/>
      <c r="C841" s="93"/>
      <c r="D841" s="93"/>
      <c r="E841" s="93"/>
      <c r="F841" s="93"/>
      <c r="G841" s="95"/>
      <c r="H841" s="93"/>
      <c r="I841" s="93"/>
      <c r="J841" s="93"/>
    </row>
    <row r="842" ht="29.25" customHeight="1">
      <c r="A842" s="93"/>
      <c r="B842" s="95"/>
      <c r="C842" s="93"/>
      <c r="D842" s="93"/>
      <c r="E842" s="93"/>
      <c r="F842" s="93"/>
      <c r="G842" s="95"/>
      <c r="H842" s="93"/>
      <c r="I842" s="93"/>
      <c r="J842" s="93"/>
    </row>
    <row r="843" ht="29.25" customHeight="1">
      <c r="A843" s="93"/>
      <c r="B843" s="95"/>
      <c r="C843" s="93"/>
      <c r="D843" s="93"/>
      <c r="E843" s="93"/>
      <c r="F843" s="93"/>
      <c r="G843" s="95"/>
      <c r="H843" s="93"/>
      <c r="I843" s="93"/>
      <c r="J843" s="93"/>
    </row>
    <row r="844" ht="29.25" customHeight="1">
      <c r="A844" s="93"/>
      <c r="B844" s="95"/>
      <c r="C844" s="93"/>
      <c r="D844" s="93"/>
      <c r="E844" s="93"/>
      <c r="F844" s="93"/>
      <c r="G844" s="95"/>
      <c r="H844" s="93"/>
      <c r="I844" s="93"/>
      <c r="J844" s="93"/>
    </row>
    <row r="845" ht="29.25" customHeight="1">
      <c r="A845" s="93"/>
      <c r="B845" s="95"/>
      <c r="C845" s="93"/>
      <c r="D845" s="93"/>
      <c r="E845" s="93"/>
      <c r="F845" s="93"/>
      <c r="G845" s="95"/>
      <c r="H845" s="93"/>
      <c r="I845" s="93"/>
      <c r="J845" s="93"/>
    </row>
    <row r="846" ht="29.25" customHeight="1">
      <c r="A846" s="93"/>
      <c r="B846" s="95"/>
      <c r="C846" s="93"/>
      <c r="D846" s="93"/>
      <c r="E846" s="93"/>
      <c r="F846" s="93"/>
      <c r="G846" s="95"/>
      <c r="H846" s="93"/>
      <c r="I846" s="93"/>
      <c r="J846" s="93"/>
    </row>
    <row r="847" ht="29.25" customHeight="1">
      <c r="A847" s="93"/>
      <c r="B847" s="95"/>
      <c r="C847" s="93"/>
      <c r="D847" s="93"/>
      <c r="E847" s="93"/>
      <c r="F847" s="93"/>
      <c r="G847" s="95"/>
      <c r="H847" s="93"/>
      <c r="I847" s="93"/>
      <c r="J847" s="93"/>
    </row>
    <row r="848" ht="29.25" customHeight="1">
      <c r="A848" s="93"/>
      <c r="B848" s="95"/>
      <c r="C848" s="93"/>
      <c r="D848" s="93"/>
      <c r="E848" s="93"/>
      <c r="F848" s="93"/>
      <c r="G848" s="95"/>
      <c r="H848" s="93"/>
      <c r="I848" s="93"/>
      <c r="J848" s="93"/>
    </row>
    <row r="849" ht="29.25" customHeight="1">
      <c r="A849" s="93"/>
      <c r="B849" s="95"/>
      <c r="C849" s="93"/>
      <c r="D849" s="93"/>
      <c r="E849" s="93"/>
      <c r="F849" s="93"/>
      <c r="G849" s="95"/>
      <c r="H849" s="93"/>
      <c r="I849" s="93"/>
      <c r="J849" s="93"/>
    </row>
    <row r="850" ht="29.25" customHeight="1">
      <c r="A850" s="93"/>
      <c r="B850" s="95"/>
      <c r="C850" s="93"/>
      <c r="D850" s="93"/>
      <c r="E850" s="93"/>
      <c r="F850" s="93"/>
      <c r="G850" s="95"/>
      <c r="H850" s="93"/>
      <c r="I850" s="93"/>
      <c r="J850" s="93"/>
    </row>
    <row r="851" ht="29.25" customHeight="1">
      <c r="A851" s="93"/>
      <c r="B851" s="95"/>
      <c r="C851" s="93"/>
      <c r="D851" s="93"/>
      <c r="E851" s="93"/>
      <c r="F851" s="93"/>
      <c r="G851" s="95"/>
      <c r="H851" s="93"/>
      <c r="I851" s="93"/>
      <c r="J851" s="93"/>
    </row>
    <row r="852" ht="29.25" customHeight="1">
      <c r="A852" s="93"/>
      <c r="B852" s="95"/>
      <c r="C852" s="93"/>
      <c r="D852" s="93"/>
      <c r="E852" s="93"/>
      <c r="F852" s="93"/>
      <c r="G852" s="95"/>
      <c r="H852" s="93"/>
      <c r="I852" s="93"/>
      <c r="J852" s="93"/>
    </row>
    <row r="853" ht="29.25" customHeight="1">
      <c r="A853" s="93"/>
      <c r="B853" s="95"/>
      <c r="C853" s="93"/>
      <c r="D853" s="93"/>
      <c r="E853" s="93"/>
      <c r="F853" s="93"/>
      <c r="G853" s="95"/>
      <c r="H853" s="93"/>
      <c r="I853" s="93"/>
      <c r="J853" s="93"/>
    </row>
    <row r="854" ht="29.25" customHeight="1">
      <c r="A854" s="93"/>
      <c r="B854" s="95"/>
      <c r="C854" s="93"/>
      <c r="D854" s="93"/>
      <c r="E854" s="93"/>
      <c r="F854" s="93"/>
      <c r="G854" s="95"/>
      <c r="H854" s="93"/>
      <c r="I854" s="93"/>
      <c r="J854" s="93"/>
    </row>
    <row r="855" ht="29.25" customHeight="1">
      <c r="A855" s="93"/>
      <c r="B855" s="95"/>
      <c r="C855" s="93"/>
      <c r="D855" s="93"/>
      <c r="E855" s="93"/>
      <c r="F855" s="93"/>
      <c r="G855" s="95"/>
      <c r="H855" s="93"/>
      <c r="I855" s="93"/>
      <c r="J855" s="93"/>
    </row>
    <row r="856" ht="29.25" customHeight="1">
      <c r="A856" s="93"/>
      <c r="B856" s="95"/>
      <c r="C856" s="93"/>
      <c r="D856" s="93"/>
      <c r="E856" s="93"/>
      <c r="F856" s="93"/>
      <c r="G856" s="95"/>
      <c r="H856" s="93"/>
      <c r="I856" s="93"/>
      <c r="J856" s="93"/>
    </row>
    <row r="857" ht="29.25" customHeight="1">
      <c r="A857" s="93"/>
      <c r="B857" s="95"/>
      <c r="C857" s="93"/>
      <c r="D857" s="93"/>
      <c r="E857" s="93"/>
      <c r="F857" s="93"/>
      <c r="G857" s="95"/>
      <c r="H857" s="93"/>
      <c r="I857" s="93"/>
      <c r="J857" s="93"/>
    </row>
    <row r="858" ht="29.25" customHeight="1">
      <c r="A858" s="93"/>
      <c r="B858" s="95"/>
      <c r="C858" s="93"/>
      <c r="D858" s="93"/>
      <c r="E858" s="93"/>
      <c r="F858" s="93"/>
      <c r="G858" s="95"/>
      <c r="H858" s="93"/>
      <c r="I858" s="93"/>
      <c r="J858" s="93"/>
    </row>
    <row r="859" ht="29.25" customHeight="1">
      <c r="A859" s="93"/>
      <c r="B859" s="95"/>
      <c r="C859" s="93"/>
      <c r="D859" s="93"/>
      <c r="E859" s="93"/>
      <c r="F859" s="93"/>
      <c r="G859" s="95"/>
      <c r="H859" s="93"/>
      <c r="I859" s="93"/>
      <c r="J859" s="93"/>
    </row>
    <row r="860" ht="29.25" customHeight="1">
      <c r="A860" s="93"/>
      <c r="B860" s="95"/>
      <c r="C860" s="93"/>
      <c r="D860" s="93"/>
      <c r="E860" s="93"/>
      <c r="F860" s="93"/>
      <c r="G860" s="95"/>
      <c r="H860" s="93"/>
      <c r="I860" s="93"/>
      <c r="J860" s="93"/>
    </row>
    <row r="861" ht="29.25" customHeight="1">
      <c r="A861" s="93"/>
      <c r="B861" s="95"/>
      <c r="C861" s="93"/>
      <c r="D861" s="93"/>
      <c r="E861" s="93"/>
      <c r="F861" s="93"/>
      <c r="G861" s="95"/>
      <c r="H861" s="93"/>
      <c r="I861" s="93"/>
      <c r="J861" s="93"/>
    </row>
    <row r="862" ht="29.25" customHeight="1">
      <c r="A862" s="93"/>
      <c r="B862" s="95"/>
      <c r="C862" s="93"/>
      <c r="D862" s="93"/>
      <c r="E862" s="93"/>
      <c r="F862" s="93"/>
      <c r="G862" s="95"/>
      <c r="H862" s="93"/>
      <c r="I862" s="93"/>
      <c r="J862" s="93"/>
    </row>
    <row r="863" ht="29.25" customHeight="1">
      <c r="A863" s="93"/>
      <c r="B863" s="95"/>
      <c r="C863" s="93"/>
      <c r="D863" s="93"/>
      <c r="E863" s="93"/>
      <c r="F863" s="93"/>
      <c r="G863" s="95"/>
      <c r="H863" s="93"/>
      <c r="I863" s="93"/>
      <c r="J863" s="93"/>
    </row>
    <row r="864" ht="29.25" customHeight="1">
      <c r="A864" s="93"/>
      <c r="B864" s="95"/>
      <c r="C864" s="93"/>
      <c r="D864" s="93"/>
      <c r="E864" s="93"/>
      <c r="F864" s="93"/>
      <c r="G864" s="95"/>
      <c r="H864" s="93"/>
      <c r="I864" s="93"/>
      <c r="J864" s="93"/>
    </row>
    <row r="865" ht="29.25" customHeight="1">
      <c r="A865" s="93"/>
      <c r="B865" s="95"/>
      <c r="C865" s="93"/>
      <c r="D865" s="93"/>
      <c r="E865" s="93"/>
      <c r="F865" s="93"/>
      <c r="G865" s="95"/>
      <c r="H865" s="93"/>
      <c r="I865" s="93"/>
      <c r="J865" s="93"/>
    </row>
    <row r="866" ht="29.25" customHeight="1">
      <c r="A866" s="93"/>
      <c r="B866" s="95"/>
      <c r="C866" s="93"/>
      <c r="D866" s="93"/>
      <c r="E866" s="93"/>
      <c r="F866" s="93"/>
      <c r="G866" s="95"/>
      <c r="H866" s="93"/>
      <c r="I866" s="93"/>
      <c r="J866" s="93"/>
    </row>
    <row r="867" ht="29.25" customHeight="1">
      <c r="A867" s="93"/>
      <c r="B867" s="95"/>
      <c r="C867" s="93"/>
      <c r="D867" s="93"/>
      <c r="E867" s="93"/>
      <c r="F867" s="93"/>
      <c r="G867" s="95"/>
      <c r="H867" s="93"/>
      <c r="I867" s="93"/>
      <c r="J867" s="93"/>
    </row>
    <row r="868" ht="29.25" customHeight="1">
      <c r="A868" s="93"/>
      <c r="B868" s="95"/>
      <c r="C868" s="93"/>
      <c r="D868" s="93"/>
      <c r="E868" s="93"/>
      <c r="F868" s="93"/>
      <c r="G868" s="95"/>
      <c r="H868" s="93"/>
      <c r="I868" s="93"/>
      <c r="J868" s="93"/>
    </row>
    <row r="869" ht="29.25" customHeight="1">
      <c r="A869" s="93"/>
      <c r="B869" s="95"/>
      <c r="C869" s="93"/>
      <c r="D869" s="93"/>
      <c r="E869" s="93"/>
      <c r="F869" s="93"/>
      <c r="G869" s="95"/>
      <c r="H869" s="93"/>
      <c r="I869" s="93"/>
      <c r="J869" s="93"/>
    </row>
    <row r="870" ht="29.25" customHeight="1">
      <c r="A870" s="93"/>
      <c r="B870" s="95"/>
      <c r="C870" s="93"/>
      <c r="D870" s="93"/>
      <c r="E870" s="93"/>
      <c r="F870" s="93"/>
      <c r="G870" s="95"/>
      <c r="H870" s="93"/>
      <c r="I870" s="93"/>
      <c r="J870" s="93"/>
    </row>
    <row r="871" ht="29.25" customHeight="1">
      <c r="A871" s="93"/>
      <c r="B871" s="95"/>
      <c r="C871" s="93"/>
      <c r="D871" s="93"/>
      <c r="E871" s="93"/>
      <c r="F871" s="93"/>
      <c r="G871" s="95"/>
      <c r="H871" s="93"/>
      <c r="I871" s="93"/>
      <c r="J871" s="93"/>
    </row>
    <row r="872" ht="29.25" customHeight="1">
      <c r="A872" s="93"/>
      <c r="B872" s="95"/>
      <c r="C872" s="93"/>
      <c r="D872" s="93"/>
      <c r="E872" s="93"/>
      <c r="F872" s="93"/>
      <c r="G872" s="95"/>
      <c r="H872" s="93"/>
      <c r="I872" s="93"/>
      <c r="J872" s="93"/>
    </row>
    <row r="873" ht="29.25" customHeight="1">
      <c r="A873" s="93"/>
      <c r="B873" s="95"/>
      <c r="C873" s="93"/>
      <c r="D873" s="93"/>
      <c r="E873" s="93"/>
      <c r="F873" s="93"/>
      <c r="G873" s="95"/>
      <c r="H873" s="93"/>
      <c r="I873" s="93"/>
      <c r="J873" s="93"/>
    </row>
    <row r="874" ht="29.25" customHeight="1">
      <c r="A874" s="93"/>
      <c r="B874" s="95"/>
      <c r="C874" s="93"/>
      <c r="D874" s="93"/>
      <c r="E874" s="93"/>
      <c r="F874" s="93"/>
      <c r="G874" s="95"/>
      <c r="H874" s="93"/>
      <c r="I874" s="93"/>
      <c r="J874" s="93"/>
    </row>
    <row r="875" ht="29.25" customHeight="1">
      <c r="A875" s="93"/>
      <c r="B875" s="95"/>
      <c r="C875" s="93"/>
      <c r="D875" s="93"/>
      <c r="E875" s="93"/>
      <c r="F875" s="93"/>
      <c r="G875" s="95"/>
      <c r="H875" s="93"/>
      <c r="I875" s="93"/>
      <c r="J875" s="93"/>
    </row>
    <row r="876" ht="29.25" customHeight="1">
      <c r="A876" s="93"/>
      <c r="B876" s="95"/>
      <c r="C876" s="93"/>
      <c r="D876" s="93"/>
      <c r="E876" s="93"/>
      <c r="F876" s="93"/>
      <c r="G876" s="95"/>
      <c r="H876" s="93"/>
      <c r="I876" s="93"/>
      <c r="J876" s="93"/>
    </row>
    <row r="877" ht="29.25" customHeight="1">
      <c r="A877" s="93"/>
      <c r="B877" s="95"/>
      <c r="C877" s="93"/>
      <c r="D877" s="93"/>
      <c r="E877" s="93"/>
      <c r="F877" s="93"/>
      <c r="G877" s="95"/>
      <c r="H877" s="93"/>
      <c r="I877" s="93"/>
      <c r="J877" s="93"/>
    </row>
    <row r="878" ht="29.25" customHeight="1">
      <c r="A878" s="93"/>
      <c r="B878" s="95"/>
      <c r="C878" s="93"/>
      <c r="D878" s="93"/>
      <c r="E878" s="93"/>
      <c r="F878" s="93"/>
      <c r="G878" s="95"/>
      <c r="H878" s="93"/>
      <c r="I878" s="93"/>
      <c r="J878" s="93"/>
    </row>
    <row r="879" ht="29.25" customHeight="1">
      <c r="A879" s="93"/>
      <c r="B879" s="95"/>
      <c r="C879" s="93"/>
      <c r="D879" s="93"/>
      <c r="E879" s="93"/>
      <c r="F879" s="93"/>
      <c r="G879" s="95"/>
      <c r="H879" s="93"/>
      <c r="I879" s="93"/>
      <c r="J879" s="93"/>
    </row>
    <row r="880" ht="29.25" customHeight="1">
      <c r="A880" s="93"/>
      <c r="B880" s="95"/>
      <c r="C880" s="93"/>
      <c r="D880" s="93"/>
      <c r="E880" s="93"/>
      <c r="F880" s="93"/>
      <c r="G880" s="95"/>
      <c r="H880" s="93"/>
      <c r="I880" s="93"/>
      <c r="J880" s="93"/>
    </row>
    <row r="881" ht="29.25" customHeight="1">
      <c r="A881" s="93"/>
      <c r="B881" s="95"/>
      <c r="C881" s="93"/>
      <c r="D881" s="93"/>
      <c r="E881" s="93"/>
      <c r="F881" s="93"/>
      <c r="G881" s="95"/>
      <c r="H881" s="93"/>
      <c r="I881" s="93"/>
      <c r="J881" s="93"/>
    </row>
    <row r="882" ht="29.25" customHeight="1">
      <c r="A882" s="93"/>
      <c r="B882" s="95"/>
      <c r="C882" s="93"/>
      <c r="D882" s="93"/>
      <c r="E882" s="93"/>
      <c r="F882" s="93"/>
      <c r="G882" s="95"/>
      <c r="H882" s="93"/>
      <c r="I882" s="93"/>
      <c r="J882" s="93"/>
    </row>
    <row r="883" ht="29.25" customHeight="1">
      <c r="A883" s="93"/>
      <c r="B883" s="95"/>
      <c r="C883" s="93"/>
      <c r="D883" s="93"/>
      <c r="E883" s="93"/>
      <c r="F883" s="93"/>
      <c r="G883" s="95"/>
      <c r="H883" s="93"/>
      <c r="I883" s="93"/>
      <c r="J883" s="93"/>
    </row>
    <row r="884" ht="29.25" customHeight="1">
      <c r="A884" s="93"/>
      <c r="B884" s="95"/>
      <c r="C884" s="93"/>
      <c r="D884" s="93"/>
      <c r="E884" s="93"/>
      <c r="F884" s="93"/>
      <c r="G884" s="95"/>
      <c r="H884" s="93"/>
      <c r="I884" s="93"/>
      <c r="J884" s="93"/>
    </row>
    <row r="885" ht="29.25" customHeight="1">
      <c r="A885" s="93"/>
      <c r="B885" s="95"/>
      <c r="C885" s="93"/>
      <c r="D885" s="93"/>
      <c r="E885" s="93"/>
      <c r="F885" s="93"/>
      <c r="G885" s="95"/>
      <c r="H885" s="93"/>
      <c r="I885" s="93"/>
      <c r="J885" s="93"/>
    </row>
    <row r="886" ht="29.25" customHeight="1">
      <c r="A886" s="93"/>
      <c r="B886" s="95"/>
      <c r="C886" s="93"/>
      <c r="D886" s="93"/>
      <c r="E886" s="93"/>
      <c r="F886" s="93"/>
      <c r="G886" s="95"/>
      <c r="H886" s="93"/>
      <c r="I886" s="93"/>
      <c r="J886" s="93"/>
    </row>
    <row r="887" ht="29.25" customHeight="1">
      <c r="A887" s="93"/>
      <c r="B887" s="95"/>
      <c r="C887" s="93"/>
      <c r="D887" s="93"/>
      <c r="E887" s="93"/>
      <c r="F887" s="93"/>
      <c r="G887" s="95"/>
      <c r="H887" s="93"/>
      <c r="I887" s="93"/>
      <c r="J887" s="93"/>
    </row>
    <row r="888" ht="29.25" customHeight="1">
      <c r="A888" s="93"/>
      <c r="B888" s="95"/>
      <c r="C888" s="93"/>
      <c r="D888" s="93"/>
      <c r="E888" s="93"/>
      <c r="F888" s="93"/>
      <c r="G888" s="95"/>
      <c r="H888" s="93"/>
      <c r="I888" s="93"/>
      <c r="J888" s="93"/>
    </row>
    <row r="889" ht="29.25" customHeight="1">
      <c r="A889" s="93"/>
      <c r="B889" s="95"/>
      <c r="C889" s="93"/>
      <c r="D889" s="93"/>
      <c r="E889" s="93"/>
      <c r="F889" s="93"/>
      <c r="G889" s="95"/>
      <c r="H889" s="93"/>
      <c r="I889" s="93"/>
      <c r="J889" s="93"/>
    </row>
    <row r="890" ht="29.25" customHeight="1">
      <c r="A890" s="93"/>
      <c r="B890" s="95"/>
      <c r="C890" s="93"/>
      <c r="D890" s="93"/>
      <c r="E890" s="93"/>
      <c r="F890" s="93"/>
      <c r="G890" s="95"/>
      <c r="H890" s="93"/>
      <c r="I890" s="93"/>
      <c r="J890" s="93"/>
    </row>
    <row r="891" ht="29.25" customHeight="1">
      <c r="A891" s="93"/>
      <c r="B891" s="95"/>
      <c r="C891" s="93"/>
      <c r="D891" s="93"/>
      <c r="E891" s="93"/>
      <c r="F891" s="93"/>
      <c r="G891" s="95"/>
      <c r="H891" s="93"/>
      <c r="I891" s="93"/>
      <c r="J891" s="93"/>
    </row>
    <row r="892" ht="29.25" customHeight="1">
      <c r="A892" s="93"/>
      <c r="B892" s="95"/>
      <c r="C892" s="93"/>
      <c r="D892" s="93"/>
      <c r="E892" s="93"/>
      <c r="F892" s="93"/>
      <c r="G892" s="95"/>
      <c r="H892" s="93"/>
      <c r="I892" s="93"/>
      <c r="J892" s="93"/>
    </row>
    <row r="893" ht="29.25" customHeight="1">
      <c r="A893" s="93"/>
      <c r="B893" s="95"/>
      <c r="C893" s="93"/>
      <c r="D893" s="93"/>
      <c r="E893" s="93"/>
      <c r="F893" s="93"/>
      <c r="G893" s="95"/>
      <c r="H893" s="93"/>
      <c r="I893" s="93"/>
      <c r="J893" s="93"/>
    </row>
    <row r="894" ht="29.25" customHeight="1">
      <c r="A894" s="93"/>
      <c r="B894" s="95"/>
      <c r="C894" s="93"/>
      <c r="D894" s="93"/>
      <c r="E894" s="93"/>
      <c r="F894" s="93"/>
      <c r="G894" s="95"/>
      <c r="H894" s="93"/>
      <c r="I894" s="93"/>
      <c r="J894" s="93"/>
    </row>
    <row r="895" ht="29.25" customHeight="1">
      <c r="A895" s="93"/>
      <c r="B895" s="95"/>
      <c r="C895" s="93"/>
      <c r="D895" s="93"/>
      <c r="E895" s="93"/>
      <c r="F895" s="93"/>
      <c r="G895" s="95"/>
      <c r="H895" s="93"/>
      <c r="I895" s="93"/>
      <c r="J895" s="93"/>
    </row>
    <row r="896" ht="29.25" customHeight="1">
      <c r="A896" s="93"/>
      <c r="B896" s="95"/>
      <c r="C896" s="93"/>
      <c r="D896" s="93"/>
      <c r="E896" s="93"/>
      <c r="F896" s="93"/>
      <c r="G896" s="95"/>
      <c r="H896" s="93"/>
      <c r="I896" s="93"/>
      <c r="J896" s="93"/>
    </row>
    <row r="897" ht="29.25" customHeight="1">
      <c r="A897" s="93"/>
      <c r="B897" s="95"/>
      <c r="C897" s="93"/>
      <c r="D897" s="93"/>
      <c r="E897" s="93"/>
      <c r="F897" s="93"/>
      <c r="G897" s="95"/>
      <c r="H897" s="93"/>
      <c r="I897" s="93"/>
      <c r="J897" s="93"/>
    </row>
    <row r="898" ht="29.25" customHeight="1">
      <c r="A898" s="93"/>
      <c r="B898" s="95"/>
      <c r="C898" s="93"/>
      <c r="D898" s="93"/>
      <c r="E898" s="93"/>
      <c r="F898" s="93"/>
      <c r="G898" s="95"/>
      <c r="H898" s="93"/>
      <c r="I898" s="93"/>
      <c r="J898" s="93"/>
    </row>
    <row r="899" ht="29.25" customHeight="1">
      <c r="A899" s="93"/>
      <c r="B899" s="95"/>
      <c r="C899" s="93"/>
      <c r="D899" s="93"/>
      <c r="E899" s="93"/>
      <c r="F899" s="93"/>
      <c r="G899" s="95"/>
      <c r="H899" s="93"/>
      <c r="I899" s="93"/>
      <c r="J899" s="93"/>
    </row>
    <row r="900" ht="29.25" customHeight="1">
      <c r="A900" s="93"/>
      <c r="B900" s="95"/>
      <c r="C900" s="93"/>
      <c r="D900" s="93"/>
      <c r="E900" s="93"/>
      <c r="F900" s="93"/>
      <c r="G900" s="95"/>
      <c r="H900" s="93"/>
      <c r="I900" s="93"/>
      <c r="J900" s="93"/>
    </row>
    <row r="901" ht="29.25" customHeight="1">
      <c r="A901" s="93"/>
      <c r="B901" s="95"/>
      <c r="C901" s="93"/>
      <c r="D901" s="93"/>
      <c r="E901" s="93"/>
      <c r="F901" s="93"/>
      <c r="G901" s="95"/>
      <c r="H901" s="93"/>
      <c r="I901" s="93"/>
      <c r="J901" s="93"/>
    </row>
    <row r="902" ht="29.25" customHeight="1">
      <c r="A902" s="93"/>
      <c r="B902" s="95"/>
      <c r="C902" s="93"/>
      <c r="D902" s="93"/>
      <c r="E902" s="93"/>
      <c r="F902" s="93"/>
      <c r="G902" s="95"/>
      <c r="H902" s="93"/>
      <c r="I902" s="93"/>
      <c r="J902" s="93"/>
    </row>
    <row r="903" ht="29.25" customHeight="1">
      <c r="A903" s="93"/>
      <c r="B903" s="95"/>
      <c r="C903" s="93"/>
      <c r="D903" s="93"/>
      <c r="E903" s="93"/>
      <c r="F903" s="93"/>
      <c r="G903" s="95"/>
      <c r="H903" s="93"/>
      <c r="I903" s="93"/>
      <c r="J903" s="93"/>
    </row>
    <row r="904" ht="29.25" customHeight="1">
      <c r="A904" s="93"/>
      <c r="B904" s="95"/>
      <c r="C904" s="93"/>
      <c r="D904" s="93"/>
      <c r="E904" s="93"/>
      <c r="F904" s="93"/>
      <c r="G904" s="95"/>
      <c r="H904" s="93"/>
      <c r="I904" s="93"/>
      <c r="J904" s="93"/>
    </row>
    <row r="905" ht="29.25" customHeight="1">
      <c r="A905" s="93"/>
      <c r="B905" s="95"/>
      <c r="C905" s="93"/>
      <c r="D905" s="93"/>
      <c r="E905" s="93"/>
      <c r="F905" s="93"/>
      <c r="G905" s="95"/>
      <c r="H905" s="93"/>
      <c r="I905" s="93"/>
      <c r="J905" s="93"/>
    </row>
    <row r="906" ht="29.25" customHeight="1">
      <c r="A906" s="93"/>
      <c r="B906" s="95"/>
      <c r="C906" s="93"/>
      <c r="D906" s="93"/>
      <c r="E906" s="93"/>
      <c r="F906" s="93"/>
      <c r="G906" s="95"/>
      <c r="H906" s="93"/>
      <c r="I906" s="93"/>
      <c r="J906" s="93"/>
    </row>
    <row r="907" ht="29.25" customHeight="1">
      <c r="A907" s="93"/>
      <c r="B907" s="95"/>
      <c r="C907" s="93"/>
      <c r="D907" s="93"/>
      <c r="E907" s="93"/>
      <c r="F907" s="93"/>
      <c r="G907" s="95"/>
      <c r="H907" s="93"/>
      <c r="I907" s="93"/>
      <c r="J907" s="93"/>
    </row>
    <row r="908" ht="29.25" customHeight="1">
      <c r="A908" s="93"/>
      <c r="B908" s="95"/>
      <c r="C908" s="93"/>
      <c r="D908" s="93"/>
      <c r="E908" s="93"/>
      <c r="F908" s="93"/>
      <c r="G908" s="95"/>
      <c r="H908" s="93"/>
      <c r="I908" s="93"/>
      <c r="J908" s="93"/>
    </row>
    <row r="909" ht="29.25" customHeight="1">
      <c r="A909" s="93"/>
      <c r="B909" s="95"/>
      <c r="C909" s="93"/>
      <c r="D909" s="93"/>
      <c r="E909" s="93"/>
      <c r="F909" s="93"/>
      <c r="G909" s="95"/>
      <c r="H909" s="93"/>
      <c r="I909" s="93"/>
      <c r="J909" s="93"/>
    </row>
    <row r="910" ht="29.25" customHeight="1">
      <c r="A910" s="93"/>
      <c r="B910" s="95"/>
      <c r="C910" s="93"/>
      <c r="D910" s="93"/>
      <c r="E910" s="93"/>
      <c r="F910" s="93"/>
      <c r="G910" s="95"/>
      <c r="H910" s="93"/>
      <c r="I910" s="93"/>
      <c r="J910" s="93"/>
    </row>
    <row r="911" ht="29.25" customHeight="1">
      <c r="A911" s="93"/>
      <c r="B911" s="95"/>
      <c r="C911" s="93"/>
      <c r="D911" s="93"/>
      <c r="E911" s="93"/>
      <c r="F911" s="93"/>
      <c r="G911" s="95"/>
      <c r="H911" s="93"/>
      <c r="I911" s="93"/>
      <c r="J911" s="93"/>
    </row>
    <row r="912" ht="29.25" customHeight="1">
      <c r="A912" s="93"/>
      <c r="B912" s="95"/>
      <c r="C912" s="93"/>
      <c r="D912" s="93"/>
      <c r="E912" s="93"/>
      <c r="F912" s="93"/>
      <c r="G912" s="95"/>
      <c r="H912" s="93"/>
      <c r="I912" s="93"/>
      <c r="J912" s="93"/>
    </row>
    <row r="913" ht="29.25" customHeight="1">
      <c r="A913" s="93"/>
      <c r="B913" s="95"/>
      <c r="C913" s="93"/>
      <c r="D913" s="93"/>
      <c r="E913" s="93"/>
      <c r="F913" s="93"/>
      <c r="G913" s="95"/>
      <c r="H913" s="93"/>
      <c r="I913" s="93"/>
      <c r="J913" s="93"/>
    </row>
    <row r="914" ht="29.25" customHeight="1">
      <c r="A914" s="93"/>
      <c r="B914" s="95"/>
      <c r="C914" s="93"/>
      <c r="D914" s="93"/>
      <c r="E914" s="93"/>
      <c r="F914" s="93"/>
      <c r="G914" s="95"/>
      <c r="H914" s="93"/>
      <c r="I914" s="93"/>
      <c r="J914" s="93"/>
    </row>
    <row r="915" ht="29.25" customHeight="1">
      <c r="A915" s="93"/>
      <c r="B915" s="95"/>
      <c r="C915" s="93"/>
      <c r="D915" s="93"/>
      <c r="E915" s="93"/>
      <c r="F915" s="93"/>
      <c r="G915" s="95"/>
      <c r="H915" s="93"/>
      <c r="I915" s="93"/>
      <c r="J915" s="93"/>
    </row>
    <row r="916" ht="29.25" customHeight="1">
      <c r="A916" s="93"/>
      <c r="B916" s="95"/>
      <c r="C916" s="93"/>
      <c r="D916" s="93"/>
      <c r="E916" s="93"/>
      <c r="F916" s="93"/>
      <c r="G916" s="95"/>
      <c r="H916" s="93"/>
      <c r="I916" s="93"/>
      <c r="J916" s="93"/>
    </row>
    <row r="917" ht="29.25" customHeight="1">
      <c r="A917" s="93"/>
      <c r="B917" s="95"/>
      <c r="C917" s="93"/>
      <c r="D917" s="93"/>
      <c r="E917" s="93"/>
      <c r="F917" s="93"/>
      <c r="G917" s="95"/>
      <c r="H917" s="93"/>
      <c r="I917" s="93"/>
      <c r="J917" s="93"/>
    </row>
    <row r="918" ht="29.25" customHeight="1">
      <c r="A918" s="93"/>
      <c r="B918" s="95"/>
      <c r="C918" s="93"/>
      <c r="D918" s="93"/>
      <c r="E918" s="93"/>
      <c r="F918" s="93"/>
      <c r="G918" s="95"/>
      <c r="H918" s="93"/>
      <c r="I918" s="93"/>
      <c r="J918" s="93"/>
    </row>
    <row r="919" ht="29.25" customHeight="1">
      <c r="A919" s="93"/>
      <c r="B919" s="95"/>
      <c r="C919" s="93"/>
      <c r="D919" s="93"/>
      <c r="E919" s="93"/>
      <c r="F919" s="93"/>
      <c r="G919" s="95"/>
      <c r="H919" s="93"/>
      <c r="I919" s="93"/>
      <c r="J919" s="93"/>
    </row>
    <row r="920" ht="29.25" customHeight="1">
      <c r="A920" s="93"/>
      <c r="B920" s="95"/>
      <c r="C920" s="93"/>
      <c r="D920" s="93"/>
      <c r="E920" s="93"/>
      <c r="F920" s="93"/>
      <c r="G920" s="95"/>
      <c r="H920" s="93"/>
      <c r="I920" s="93"/>
      <c r="J920" s="93"/>
    </row>
    <row r="921" ht="29.25" customHeight="1">
      <c r="A921" s="93"/>
      <c r="B921" s="95"/>
      <c r="C921" s="93"/>
      <c r="D921" s="93"/>
      <c r="E921" s="93"/>
      <c r="F921" s="93"/>
      <c r="G921" s="95"/>
      <c r="H921" s="93"/>
      <c r="I921" s="93"/>
      <c r="J921" s="93"/>
    </row>
    <row r="922" ht="29.25" customHeight="1">
      <c r="A922" s="93"/>
      <c r="B922" s="95"/>
      <c r="C922" s="93"/>
      <c r="D922" s="93"/>
      <c r="E922" s="93"/>
      <c r="F922" s="93"/>
      <c r="G922" s="95"/>
      <c r="H922" s="93"/>
      <c r="I922" s="93"/>
      <c r="J922" s="93"/>
    </row>
    <row r="923" ht="29.25" customHeight="1">
      <c r="A923" s="93"/>
      <c r="B923" s="95"/>
      <c r="C923" s="93"/>
      <c r="D923" s="93"/>
      <c r="E923" s="93"/>
      <c r="F923" s="93"/>
      <c r="G923" s="95"/>
      <c r="H923" s="93"/>
      <c r="I923" s="93"/>
      <c r="J923" s="93"/>
    </row>
    <row r="924" ht="29.25" customHeight="1">
      <c r="A924" s="93"/>
      <c r="B924" s="95"/>
      <c r="C924" s="93"/>
      <c r="D924" s="93"/>
      <c r="E924" s="93"/>
      <c r="F924" s="93"/>
      <c r="G924" s="95"/>
      <c r="H924" s="93"/>
      <c r="I924" s="93"/>
      <c r="J924" s="93"/>
    </row>
    <row r="925" ht="29.25" customHeight="1">
      <c r="A925" s="93"/>
      <c r="B925" s="95"/>
      <c r="C925" s="93"/>
      <c r="D925" s="93"/>
      <c r="E925" s="93"/>
      <c r="F925" s="93"/>
      <c r="G925" s="95"/>
      <c r="H925" s="93"/>
      <c r="I925" s="93"/>
      <c r="J925" s="93"/>
    </row>
    <row r="926" ht="29.25" customHeight="1">
      <c r="A926" s="93"/>
      <c r="B926" s="95"/>
      <c r="C926" s="93"/>
      <c r="D926" s="93"/>
      <c r="E926" s="93"/>
      <c r="F926" s="93"/>
      <c r="G926" s="95"/>
      <c r="H926" s="93"/>
      <c r="I926" s="93"/>
      <c r="J926" s="93"/>
    </row>
    <row r="927" ht="29.25" customHeight="1">
      <c r="A927" s="93"/>
      <c r="B927" s="95"/>
      <c r="C927" s="93"/>
      <c r="D927" s="93"/>
      <c r="E927" s="93"/>
      <c r="F927" s="93"/>
      <c r="G927" s="95"/>
      <c r="H927" s="93"/>
      <c r="I927" s="93"/>
      <c r="J927" s="93"/>
    </row>
    <row r="928" ht="29.25" customHeight="1">
      <c r="A928" s="93"/>
      <c r="B928" s="95"/>
      <c r="C928" s="93"/>
      <c r="D928" s="93"/>
      <c r="E928" s="93"/>
      <c r="F928" s="93"/>
      <c r="G928" s="95"/>
      <c r="H928" s="93"/>
      <c r="I928" s="93"/>
      <c r="J928" s="93"/>
    </row>
    <row r="929" ht="29.25" customHeight="1">
      <c r="A929" s="93"/>
      <c r="B929" s="95"/>
      <c r="C929" s="93"/>
      <c r="D929" s="93"/>
      <c r="E929" s="93"/>
      <c r="F929" s="93"/>
      <c r="G929" s="95"/>
      <c r="H929" s="93"/>
      <c r="I929" s="93"/>
      <c r="J929" s="93"/>
    </row>
    <row r="930" ht="29.25" customHeight="1">
      <c r="A930" s="93"/>
      <c r="B930" s="95"/>
      <c r="C930" s="93"/>
      <c r="D930" s="93"/>
      <c r="E930" s="93"/>
      <c r="F930" s="93"/>
      <c r="G930" s="95"/>
      <c r="H930" s="93"/>
      <c r="I930" s="93"/>
      <c r="J930" s="93"/>
    </row>
    <row r="931" ht="29.25" customHeight="1">
      <c r="A931" s="93"/>
      <c r="B931" s="95"/>
      <c r="C931" s="93"/>
      <c r="D931" s="93"/>
      <c r="E931" s="93"/>
      <c r="F931" s="93"/>
      <c r="G931" s="95"/>
      <c r="H931" s="93"/>
      <c r="I931" s="93"/>
      <c r="J931" s="93"/>
    </row>
    <row r="932" ht="29.25" customHeight="1">
      <c r="A932" s="93"/>
      <c r="B932" s="95"/>
      <c r="C932" s="93"/>
      <c r="D932" s="93"/>
      <c r="E932" s="93"/>
      <c r="F932" s="93"/>
      <c r="G932" s="95"/>
      <c r="H932" s="93"/>
      <c r="I932" s="93"/>
      <c r="J932" s="93"/>
    </row>
    <row r="933" ht="29.25" customHeight="1">
      <c r="A933" s="93"/>
      <c r="B933" s="95"/>
      <c r="C933" s="93"/>
      <c r="D933" s="93"/>
      <c r="E933" s="93"/>
      <c r="F933" s="93"/>
      <c r="G933" s="95"/>
      <c r="H933" s="93"/>
      <c r="I933" s="93"/>
      <c r="J933" s="93"/>
    </row>
    <row r="934" ht="29.25" customHeight="1">
      <c r="A934" s="93"/>
      <c r="B934" s="95"/>
      <c r="C934" s="93"/>
      <c r="D934" s="93"/>
      <c r="E934" s="93"/>
      <c r="F934" s="93"/>
      <c r="G934" s="95"/>
      <c r="H934" s="93"/>
      <c r="I934" s="93"/>
      <c r="J934" s="93"/>
    </row>
    <row r="935" ht="29.25" customHeight="1">
      <c r="A935" s="93"/>
      <c r="B935" s="95"/>
      <c r="C935" s="93"/>
      <c r="D935" s="93"/>
      <c r="E935" s="93"/>
      <c r="F935" s="93"/>
      <c r="G935" s="95"/>
      <c r="H935" s="93"/>
      <c r="I935" s="93"/>
      <c r="J935" s="93"/>
    </row>
    <row r="936" ht="29.25" customHeight="1">
      <c r="A936" s="93"/>
      <c r="B936" s="95"/>
      <c r="C936" s="93"/>
      <c r="D936" s="93"/>
      <c r="E936" s="93"/>
      <c r="F936" s="93"/>
      <c r="G936" s="95"/>
      <c r="H936" s="93"/>
      <c r="I936" s="93"/>
      <c r="J936" s="93"/>
    </row>
    <row r="937" ht="29.25" customHeight="1">
      <c r="A937" s="93"/>
      <c r="B937" s="95"/>
      <c r="C937" s="93"/>
      <c r="D937" s="93"/>
      <c r="E937" s="93"/>
      <c r="F937" s="93"/>
      <c r="G937" s="95"/>
      <c r="H937" s="93"/>
      <c r="I937" s="93"/>
      <c r="J937" s="93"/>
    </row>
    <row r="938" ht="29.25" customHeight="1">
      <c r="A938" s="93"/>
      <c r="B938" s="95"/>
      <c r="C938" s="93"/>
      <c r="D938" s="93"/>
      <c r="E938" s="93"/>
      <c r="F938" s="93"/>
      <c r="G938" s="95"/>
      <c r="H938" s="93"/>
      <c r="I938" s="93"/>
      <c r="J938" s="93"/>
    </row>
    <row r="939" ht="29.25" customHeight="1">
      <c r="A939" s="93"/>
      <c r="B939" s="95"/>
      <c r="C939" s="93"/>
      <c r="D939" s="93"/>
      <c r="E939" s="93"/>
      <c r="F939" s="93"/>
      <c r="G939" s="95"/>
      <c r="H939" s="93"/>
      <c r="I939" s="93"/>
      <c r="J939" s="93"/>
    </row>
    <row r="940" ht="29.25" customHeight="1">
      <c r="A940" s="93"/>
      <c r="B940" s="95"/>
      <c r="C940" s="93"/>
      <c r="D940" s="93"/>
      <c r="E940" s="93"/>
      <c r="F940" s="93"/>
      <c r="G940" s="95"/>
      <c r="H940" s="93"/>
      <c r="I940" s="93"/>
      <c r="J940" s="93"/>
    </row>
    <row r="941" ht="29.25" customHeight="1">
      <c r="A941" s="93"/>
      <c r="B941" s="95"/>
      <c r="C941" s="93"/>
      <c r="D941" s="93"/>
      <c r="E941" s="93"/>
      <c r="F941" s="93"/>
      <c r="G941" s="95"/>
      <c r="H941" s="93"/>
      <c r="I941" s="93"/>
      <c r="J941" s="93"/>
    </row>
    <row r="942" ht="29.25" customHeight="1">
      <c r="A942" s="93"/>
      <c r="B942" s="95"/>
      <c r="C942" s="93"/>
      <c r="D942" s="93"/>
      <c r="E942" s="93"/>
      <c r="F942" s="93"/>
      <c r="G942" s="95"/>
      <c r="H942" s="93"/>
      <c r="I942" s="93"/>
      <c r="J942" s="93"/>
    </row>
    <row r="943" ht="29.25" customHeight="1">
      <c r="A943" s="93"/>
      <c r="B943" s="95"/>
      <c r="C943" s="93"/>
      <c r="D943" s="93"/>
      <c r="E943" s="93"/>
      <c r="F943" s="93"/>
      <c r="G943" s="95"/>
      <c r="H943" s="93"/>
      <c r="I943" s="93"/>
      <c r="J943" s="93"/>
    </row>
    <row r="944" ht="29.25" customHeight="1">
      <c r="A944" s="93"/>
      <c r="B944" s="95"/>
      <c r="C944" s="93"/>
      <c r="D944" s="93"/>
      <c r="E944" s="93"/>
      <c r="F944" s="93"/>
      <c r="G944" s="95"/>
      <c r="H944" s="93"/>
      <c r="I944" s="93"/>
      <c r="J944" s="93"/>
    </row>
    <row r="945" ht="29.25" customHeight="1">
      <c r="A945" s="93"/>
      <c r="B945" s="95"/>
      <c r="C945" s="93"/>
      <c r="D945" s="93"/>
      <c r="E945" s="93"/>
      <c r="F945" s="93"/>
      <c r="G945" s="95"/>
      <c r="H945" s="93"/>
      <c r="I945" s="93"/>
      <c r="J945" s="93"/>
    </row>
    <row r="946" ht="29.25" customHeight="1">
      <c r="A946" s="93"/>
      <c r="B946" s="95"/>
      <c r="C946" s="93"/>
      <c r="D946" s="93"/>
      <c r="E946" s="93"/>
      <c r="F946" s="93"/>
      <c r="G946" s="95"/>
      <c r="H946" s="93"/>
      <c r="I946" s="93"/>
      <c r="J946" s="93"/>
    </row>
    <row r="947" ht="29.25" customHeight="1">
      <c r="A947" s="93"/>
      <c r="B947" s="95"/>
      <c r="C947" s="93"/>
      <c r="D947" s="93"/>
      <c r="E947" s="93"/>
      <c r="F947" s="93"/>
      <c r="G947" s="95"/>
      <c r="H947" s="93"/>
      <c r="I947" s="93"/>
      <c r="J947" s="93"/>
    </row>
    <row r="948" ht="29.25" customHeight="1">
      <c r="A948" s="93"/>
      <c r="B948" s="95"/>
      <c r="C948" s="93"/>
      <c r="D948" s="93"/>
      <c r="E948" s="93"/>
      <c r="F948" s="93"/>
      <c r="G948" s="95"/>
      <c r="H948" s="93"/>
      <c r="I948" s="93"/>
      <c r="J948" s="93"/>
    </row>
    <row r="949" ht="29.25" customHeight="1">
      <c r="A949" s="93"/>
      <c r="B949" s="95"/>
      <c r="C949" s="93"/>
      <c r="D949" s="93"/>
      <c r="E949" s="93"/>
      <c r="F949" s="93"/>
      <c r="G949" s="95"/>
      <c r="H949" s="93"/>
      <c r="I949" s="93"/>
      <c r="J949" s="93"/>
    </row>
    <row r="950" ht="29.25" customHeight="1">
      <c r="A950" s="93"/>
      <c r="B950" s="95"/>
      <c r="C950" s="93"/>
      <c r="D950" s="93"/>
      <c r="E950" s="93"/>
      <c r="F950" s="93"/>
      <c r="G950" s="95"/>
      <c r="H950" s="93"/>
      <c r="I950" s="93"/>
      <c r="J950" s="93"/>
    </row>
    <row r="951" ht="29.25" customHeight="1">
      <c r="A951" s="93"/>
      <c r="B951" s="95"/>
      <c r="C951" s="93"/>
      <c r="D951" s="93"/>
      <c r="E951" s="93"/>
      <c r="F951" s="93"/>
      <c r="G951" s="95"/>
      <c r="H951" s="93"/>
      <c r="I951" s="93"/>
      <c r="J951" s="93"/>
    </row>
    <row r="952" ht="29.25" customHeight="1">
      <c r="A952" s="93"/>
      <c r="B952" s="95"/>
      <c r="C952" s="93"/>
      <c r="D952" s="93"/>
      <c r="E952" s="93"/>
      <c r="F952" s="93"/>
      <c r="G952" s="95"/>
      <c r="H952" s="93"/>
      <c r="I952" s="93"/>
      <c r="J952" s="93"/>
    </row>
    <row r="953" ht="29.25" customHeight="1">
      <c r="A953" s="93"/>
      <c r="B953" s="95"/>
      <c r="C953" s="93"/>
      <c r="D953" s="93"/>
      <c r="E953" s="93"/>
      <c r="F953" s="93"/>
      <c r="G953" s="95"/>
      <c r="H953" s="93"/>
      <c r="I953" s="93"/>
      <c r="J953" s="93"/>
    </row>
    <row r="954" ht="29.25" customHeight="1">
      <c r="A954" s="93"/>
      <c r="B954" s="95"/>
      <c r="C954" s="93"/>
      <c r="D954" s="93"/>
      <c r="E954" s="93"/>
      <c r="F954" s="93"/>
      <c r="G954" s="95"/>
      <c r="H954" s="93"/>
      <c r="I954" s="93"/>
      <c r="J954" s="93"/>
    </row>
    <row r="955" ht="29.25" customHeight="1">
      <c r="A955" s="93"/>
      <c r="B955" s="95"/>
      <c r="C955" s="93"/>
      <c r="D955" s="93"/>
      <c r="E955" s="93"/>
      <c r="F955" s="93"/>
      <c r="G955" s="95"/>
      <c r="H955" s="93"/>
      <c r="I955" s="93"/>
      <c r="J955" s="93"/>
    </row>
    <row r="956" ht="29.25" customHeight="1">
      <c r="A956" s="93"/>
      <c r="B956" s="95"/>
      <c r="C956" s="93"/>
      <c r="D956" s="93"/>
      <c r="E956" s="93"/>
      <c r="F956" s="93"/>
      <c r="G956" s="95"/>
      <c r="H956" s="93"/>
      <c r="I956" s="93"/>
      <c r="J956" s="93"/>
    </row>
    <row r="957" ht="29.25" customHeight="1">
      <c r="A957" s="93"/>
      <c r="B957" s="95"/>
      <c r="C957" s="93"/>
      <c r="D957" s="93"/>
      <c r="E957" s="93"/>
      <c r="F957" s="93"/>
      <c r="G957" s="95"/>
      <c r="H957" s="93"/>
      <c r="I957" s="93"/>
      <c r="J957" s="93"/>
    </row>
    <row r="958" ht="29.25" customHeight="1">
      <c r="A958" s="93"/>
      <c r="B958" s="95"/>
      <c r="C958" s="93"/>
      <c r="D958" s="93"/>
      <c r="E958" s="93"/>
      <c r="F958" s="93"/>
      <c r="G958" s="95"/>
      <c r="H958" s="93"/>
      <c r="I958" s="93"/>
      <c r="J958" s="93"/>
    </row>
    <row r="959" ht="29.25" customHeight="1">
      <c r="A959" s="93"/>
      <c r="B959" s="95"/>
      <c r="C959" s="93"/>
      <c r="D959" s="93"/>
      <c r="E959" s="93"/>
      <c r="F959" s="93"/>
      <c r="G959" s="95"/>
      <c r="H959" s="93"/>
      <c r="I959" s="93"/>
      <c r="J959" s="93"/>
    </row>
    <row r="960" ht="29.25" customHeight="1">
      <c r="A960" s="93"/>
      <c r="B960" s="95"/>
      <c r="C960" s="93"/>
      <c r="D960" s="93"/>
      <c r="E960" s="93"/>
      <c r="F960" s="93"/>
      <c r="G960" s="95"/>
      <c r="H960" s="93"/>
      <c r="I960" s="93"/>
      <c r="J960" s="93"/>
    </row>
    <row r="961" ht="29.25" customHeight="1">
      <c r="A961" s="93"/>
      <c r="B961" s="95"/>
      <c r="C961" s="93"/>
      <c r="D961" s="93"/>
      <c r="E961" s="93"/>
      <c r="F961" s="93"/>
      <c r="G961" s="95"/>
      <c r="H961" s="93"/>
      <c r="I961" s="93"/>
      <c r="J961" s="93"/>
    </row>
    <row r="962" ht="29.25" customHeight="1">
      <c r="A962" s="93"/>
      <c r="B962" s="95"/>
      <c r="C962" s="93"/>
      <c r="D962" s="93"/>
      <c r="E962" s="93"/>
      <c r="F962" s="93"/>
      <c r="G962" s="95"/>
      <c r="H962" s="93"/>
      <c r="I962" s="93"/>
      <c r="J962" s="93"/>
    </row>
    <row r="963" ht="29.25" customHeight="1">
      <c r="A963" s="93"/>
      <c r="B963" s="95"/>
      <c r="C963" s="93"/>
      <c r="D963" s="93"/>
      <c r="E963" s="93"/>
      <c r="F963" s="93"/>
      <c r="G963" s="95"/>
      <c r="H963" s="93"/>
      <c r="I963" s="93"/>
      <c r="J963" s="93"/>
    </row>
    <row r="964" ht="29.25" customHeight="1">
      <c r="A964" s="93"/>
      <c r="B964" s="95"/>
      <c r="C964" s="93"/>
      <c r="D964" s="93"/>
      <c r="E964" s="93"/>
      <c r="F964" s="93"/>
      <c r="G964" s="95"/>
      <c r="H964" s="93"/>
      <c r="I964" s="93"/>
      <c r="J964" s="93"/>
    </row>
    <row r="965" ht="29.25" customHeight="1">
      <c r="A965" s="93"/>
      <c r="B965" s="95"/>
      <c r="C965" s="93"/>
      <c r="D965" s="93"/>
      <c r="E965" s="93"/>
      <c r="F965" s="93"/>
      <c r="G965" s="95"/>
      <c r="H965" s="93"/>
      <c r="I965" s="93"/>
      <c r="J965" s="93"/>
    </row>
    <row r="966" ht="29.25" customHeight="1">
      <c r="A966" s="93"/>
      <c r="B966" s="95"/>
      <c r="C966" s="93"/>
      <c r="D966" s="93"/>
      <c r="E966" s="93"/>
      <c r="F966" s="93"/>
      <c r="G966" s="95"/>
      <c r="H966" s="93"/>
      <c r="I966" s="93"/>
      <c r="J966" s="93"/>
    </row>
    <row r="967" ht="29.25" customHeight="1">
      <c r="A967" s="93"/>
      <c r="B967" s="95"/>
      <c r="C967" s="93"/>
      <c r="D967" s="93"/>
      <c r="E967" s="93"/>
      <c r="F967" s="93"/>
      <c r="G967" s="95"/>
      <c r="H967" s="93"/>
      <c r="I967" s="93"/>
      <c r="J967" s="93"/>
    </row>
    <row r="968" ht="29.25" customHeight="1">
      <c r="A968" s="93"/>
      <c r="B968" s="95"/>
      <c r="C968" s="93"/>
      <c r="D968" s="93"/>
      <c r="E968" s="93"/>
      <c r="F968" s="93"/>
      <c r="G968" s="95"/>
      <c r="H968" s="93"/>
      <c r="I968" s="93"/>
      <c r="J968" s="93"/>
    </row>
    <row r="969" ht="29.25" customHeight="1">
      <c r="A969" s="93"/>
      <c r="B969" s="95"/>
      <c r="C969" s="93"/>
      <c r="D969" s="93"/>
      <c r="E969" s="93"/>
      <c r="F969" s="93"/>
      <c r="G969" s="95"/>
      <c r="H969" s="93"/>
      <c r="I969" s="93"/>
      <c r="J969" s="93"/>
    </row>
    <row r="970" ht="29.25" customHeight="1">
      <c r="A970" s="93"/>
      <c r="B970" s="95"/>
      <c r="C970" s="93"/>
      <c r="D970" s="93"/>
      <c r="E970" s="93"/>
      <c r="F970" s="93"/>
      <c r="G970" s="95"/>
      <c r="H970" s="93"/>
      <c r="I970" s="93"/>
      <c r="J970" s="93"/>
    </row>
    <row r="971" ht="29.25" customHeight="1">
      <c r="A971" s="93"/>
      <c r="B971" s="95"/>
      <c r="C971" s="93"/>
      <c r="D971" s="93"/>
      <c r="E971" s="93"/>
      <c r="F971" s="93"/>
      <c r="G971" s="95"/>
      <c r="H971" s="93"/>
      <c r="I971" s="93"/>
      <c r="J971" s="93"/>
    </row>
    <row r="972" ht="29.25" customHeight="1">
      <c r="A972" s="93"/>
      <c r="B972" s="95"/>
      <c r="C972" s="93"/>
      <c r="D972" s="93"/>
      <c r="E972" s="93"/>
      <c r="F972" s="93"/>
      <c r="G972" s="95"/>
      <c r="H972" s="93"/>
      <c r="I972" s="93"/>
      <c r="J972" s="93"/>
    </row>
    <row r="973" ht="29.25" customHeight="1">
      <c r="A973" s="93"/>
      <c r="B973" s="95"/>
      <c r="C973" s="93"/>
      <c r="D973" s="93"/>
      <c r="E973" s="93"/>
      <c r="F973" s="93"/>
      <c r="G973" s="95"/>
      <c r="H973" s="93"/>
      <c r="I973" s="93"/>
      <c r="J973" s="93"/>
    </row>
    <row r="974" ht="29.25" customHeight="1">
      <c r="A974" s="93"/>
      <c r="B974" s="95"/>
      <c r="C974" s="93"/>
      <c r="D974" s="93"/>
      <c r="E974" s="93"/>
      <c r="F974" s="93"/>
      <c r="G974" s="95"/>
      <c r="H974" s="93"/>
      <c r="I974" s="93"/>
      <c r="J974" s="93"/>
    </row>
    <row r="975" ht="29.25" customHeight="1">
      <c r="A975" s="93"/>
      <c r="B975" s="95"/>
      <c r="C975" s="93"/>
      <c r="D975" s="93"/>
      <c r="E975" s="93"/>
      <c r="F975" s="93"/>
      <c r="G975" s="95"/>
      <c r="H975" s="93"/>
      <c r="I975" s="93"/>
      <c r="J975" s="93"/>
    </row>
    <row r="976" ht="29.25" customHeight="1">
      <c r="A976" s="93"/>
      <c r="B976" s="95"/>
      <c r="C976" s="93"/>
      <c r="D976" s="93"/>
      <c r="E976" s="93"/>
      <c r="F976" s="93"/>
      <c r="G976" s="95"/>
      <c r="H976" s="93"/>
      <c r="I976" s="93"/>
      <c r="J976" s="93"/>
    </row>
    <row r="977" ht="29.25" customHeight="1">
      <c r="A977" s="93"/>
      <c r="B977" s="95"/>
      <c r="C977" s="93"/>
      <c r="D977" s="93"/>
      <c r="E977" s="93"/>
      <c r="F977" s="93"/>
      <c r="G977" s="95"/>
      <c r="H977" s="93"/>
      <c r="I977" s="93"/>
      <c r="J977" s="93"/>
    </row>
    <row r="978" ht="29.25" customHeight="1">
      <c r="A978" s="93"/>
      <c r="B978" s="95"/>
      <c r="C978" s="93"/>
      <c r="D978" s="93"/>
      <c r="E978" s="93"/>
      <c r="F978" s="93"/>
      <c r="G978" s="95"/>
      <c r="H978" s="93"/>
      <c r="I978" s="93"/>
      <c r="J978" s="93"/>
    </row>
    <row r="979" ht="29.25" customHeight="1">
      <c r="A979" s="93"/>
      <c r="B979" s="95"/>
      <c r="C979" s="93"/>
      <c r="D979" s="93"/>
      <c r="E979" s="93"/>
      <c r="F979" s="93"/>
      <c r="G979" s="95"/>
      <c r="H979" s="93"/>
      <c r="I979" s="93"/>
      <c r="J979" s="93"/>
    </row>
    <row r="980" ht="29.25" customHeight="1">
      <c r="A980" s="93"/>
      <c r="B980" s="95"/>
      <c r="C980" s="93"/>
      <c r="D980" s="93"/>
      <c r="E980" s="93"/>
      <c r="F980" s="93"/>
      <c r="G980" s="95"/>
      <c r="H980" s="93"/>
      <c r="I980" s="93"/>
      <c r="J980" s="93"/>
    </row>
    <row r="981" ht="29.25" customHeight="1">
      <c r="A981" s="93"/>
      <c r="B981" s="95"/>
      <c r="C981" s="93"/>
      <c r="D981" s="93"/>
      <c r="E981" s="93"/>
      <c r="F981" s="93"/>
      <c r="G981" s="95"/>
      <c r="H981" s="93"/>
      <c r="I981" s="93"/>
      <c r="J981" s="93"/>
    </row>
    <row r="982" ht="29.25" customHeight="1">
      <c r="A982" s="93"/>
      <c r="B982" s="95"/>
      <c r="C982" s="93"/>
      <c r="D982" s="93"/>
      <c r="E982" s="93"/>
      <c r="F982" s="93"/>
      <c r="G982" s="95"/>
      <c r="H982" s="93"/>
      <c r="I982" s="93"/>
      <c r="J982" s="93"/>
    </row>
    <row r="983" ht="29.25" customHeight="1">
      <c r="A983" s="93"/>
      <c r="B983" s="95"/>
      <c r="C983" s="93"/>
      <c r="D983" s="93"/>
      <c r="E983" s="93"/>
      <c r="F983" s="93"/>
      <c r="G983" s="95"/>
      <c r="H983" s="93"/>
      <c r="I983" s="93"/>
      <c r="J983" s="93"/>
    </row>
    <row r="984" ht="29.25" customHeight="1">
      <c r="A984" s="93"/>
      <c r="B984" s="95"/>
      <c r="C984" s="93"/>
      <c r="D984" s="93"/>
      <c r="E984" s="93"/>
      <c r="F984" s="93"/>
      <c r="G984" s="95"/>
      <c r="H984" s="93"/>
      <c r="I984" s="93"/>
      <c r="J984" s="93"/>
    </row>
    <row r="985" ht="29.25" customHeight="1">
      <c r="A985" s="93"/>
      <c r="B985" s="95"/>
      <c r="C985" s="93"/>
      <c r="D985" s="93"/>
      <c r="E985" s="93"/>
      <c r="F985" s="93"/>
      <c r="G985" s="95"/>
      <c r="H985" s="93"/>
      <c r="I985" s="93"/>
      <c r="J985" s="93"/>
    </row>
    <row r="986" ht="29.25" customHeight="1">
      <c r="A986" s="93"/>
      <c r="B986" s="95"/>
      <c r="C986" s="93"/>
      <c r="D986" s="93"/>
      <c r="E986" s="93"/>
      <c r="F986" s="93"/>
      <c r="G986" s="95"/>
      <c r="H986" s="93"/>
      <c r="I986" s="93"/>
      <c r="J986" s="93"/>
    </row>
    <row r="987" ht="29.25" customHeight="1">
      <c r="A987" s="93"/>
      <c r="B987" s="95"/>
      <c r="C987" s="93"/>
      <c r="D987" s="93"/>
      <c r="E987" s="93"/>
      <c r="F987" s="93"/>
      <c r="G987" s="95"/>
      <c r="H987" s="93"/>
      <c r="I987" s="93"/>
      <c r="J987" s="93"/>
    </row>
    <row r="988" ht="29.25" customHeight="1">
      <c r="A988" s="93"/>
      <c r="B988" s="95"/>
      <c r="C988" s="93"/>
      <c r="D988" s="93"/>
      <c r="E988" s="93"/>
      <c r="F988" s="93"/>
      <c r="G988" s="95"/>
      <c r="H988" s="93"/>
      <c r="I988" s="93"/>
      <c r="J988" s="93"/>
    </row>
    <row r="989" ht="29.25" customHeight="1">
      <c r="A989" s="93"/>
      <c r="B989" s="95"/>
      <c r="C989" s="93"/>
      <c r="D989" s="93"/>
      <c r="E989" s="93"/>
      <c r="F989" s="93"/>
      <c r="G989" s="95"/>
      <c r="H989" s="93"/>
      <c r="I989" s="93"/>
      <c r="J989" s="93"/>
    </row>
    <row r="990" ht="29.25" customHeight="1">
      <c r="A990" s="93"/>
      <c r="B990" s="95"/>
      <c r="C990" s="93"/>
      <c r="D990" s="93"/>
      <c r="E990" s="93"/>
      <c r="F990" s="93"/>
      <c r="G990" s="95"/>
      <c r="H990" s="93"/>
      <c r="I990" s="93"/>
      <c r="J990" s="93"/>
    </row>
    <row r="991" ht="29.25" customHeight="1">
      <c r="A991" s="93"/>
      <c r="B991" s="95"/>
      <c r="C991" s="93"/>
      <c r="D991" s="93"/>
      <c r="E991" s="93"/>
      <c r="F991" s="93"/>
      <c r="G991" s="95"/>
      <c r="H991" s="93"/>
      <c r="I991" s="93"/>
      <c r="J991" s="93"/>
    </row>
    <row r="992" ht="29.25" customHeight="1">
      <c r="A992" s="93"/>
      <c r="B992" s="95"/>
      <c r="C992" s="93"/>
      <c r="D992" s="93"/>
      <c r="E992" s="93"/>
      <c r="F992" s="93"/>
      <c r="G992" s="95"/>
      <c r="H992" s="93"/>
      <c r="I992" s="93"/>
      <c r="J992" s="93"/>
    </row>
    <row r="993" ht="29.25" customHeight="1">
      <c r="A993" s="93"/>
      <c r="B993" s="95"/>
      <c r="C993" s="93"/>
      <c r="D993" s="93"/>
      <c r="E993" s="93"/>
      <c r="F993" s="93"/>
      <c r="G993" s="95"/>
      <c r="H993" s="93"/>
      <c r="I993" s="93"/>
      <c r="J993" s="93"/>
    </row>
    <row r="994" ht="29.25" customHeight="1">
      <c r="A994" s="93"/>
      <c r="B994" s="95"/>
      <c r="C994" s="93"/>
      <c r="D994" s="93"/>
      <c r="E994" s="93"/>
      <c r="F994" s="93"/>
      <c r="G994" s="95"/>
      <c r="H994" s="93"/>
      <c r="I994" s="93"/>
      <c r="J994" s="93"/>
    </row>
    <row r="995" ht="29.25" customHeight="1">
      <c r="A995" s="93"/>
      <c r="B995" s="95"/>
      <c r="C995" s="93"/>
      <c r="D995" s="93"/>
      <c r="E995" s="93"/>
      <c r="F995" s="93"/>
      <c r="G995" s="95"/>
      <c r="H995" s="93"/>
      <c r="I995" s="93"/>
      <c r="J995" s="93"/>
    </row>
    <row r="996" ht="29.25" customHeight="1">
      <c r="A996" s="93"/>
      <c r="B996" s="95"/>
      <c r="C996" s="93"/>
      <c r="D996" s="93"/>
      <c r="E996" s="93"/>
      <c r="F996" s="93"/>
      <c r="G996" s="95"/>
      <c r="H996" s="93"/>
      <c r="I996" s="93"/>
      <c r="J996" s="93"/>
    </row>
    <row r="997" ht="29.25" customHeight="1">
      <c r="A997" s="93"/>
      <c r="B997" s="95"/>
      <c r="C997" s="93"/>
      <c r="D997" s="93"/>
      <c r="E997" s="93"/>
      <c r="F997" s="93"/>
      <c r="G997" s="95"/>
      <c r="H997" s="93"/>
      <c r="I997" s="93"/>
      <c r="J997" s="93"/>
    </row>
    <row r="998" ht="29.25" customHeight="1">
      <c r="A998" s="93"/>
      <c r="B998" s="95"/>
      <c r="C998" s="93"/>
      <c r="D998" s="93"/>
      <c r="E998" s="93"/>
      <c r="F998" s="93"/>
      <c r="G998" s="95"/>
      <c r="H998" s="93"/>
      <c r="I998" s="93"/>
      <c r="J998" s="93"/>
    </row>
    <row r="999" ht="29.25" customHeight="1">
      <c r="A999" s="93"/>
      <c r="B999" s="95"/>
      <c r="C999" s="93"/>
      <c r="D999" s="93"/>
      <c r="E999" s="93"/>
      <c r="F999" s="93"/>
      <c r="G999" s="95"/>
      <c r="H999" s="93"/>
      <c r="I999" s="93"/>
      <c r="J999" s="93"/>
    </row>
    <row r="1000" ht="29.25" customHeight="1">
      <c r="A1000" s="93"/>
      <c r="B1000" s="95"/>
      <c r="C1000" s="93"/>
      <c r="D1000" s="93"/>
      <c r="E1000" s="93"/>
      <c r="F1000" s="93"/>
      <c r="G1000" s="95"/>
      <c r="H1000" s="93"/>
      <c r="I1000" s="93"/>
      <c r="J1000" s="93"/>
    </row>
    <row r="1001" ht="29.25" customHeight="1">
      <c r="A1001" s="93"/>
      <c r="B1001" s="95"/>
      <c r="C1001" s="93"/>
      <c r="D1001" s="93"/>
      <c r="E1001" s="93"/>
      <c r="F1001" s="93"/>
      <c r="G1001" s="95"/>
      <c r="H1001" s="93"/>
      <c r="I1001" s="93"/>
      <c r="J1001" s="93"/>
    </row>
    <row r="1002" ht="29.25" customHeight="1">
      <c r="A1002" s="93"/>
      <c r="B1002" s="95"/>
      <c r="C1002" s="93"/>
      <c r="D1002" s="93"/>
      <c r="E1002" s="93"/>
      <c r="F1002" s="93"/>
      <c r="G1002" s="95"/>
      <c r="H1002" s="93"/>
      <c r="I1002" s="93"/>
      <c r="J1002" s="93"/>
    </row>
    <row r="1003" ht="29.25" customHeight="1">
      <c r="A1003" s="93"/>
      <c r="B1003" s="95"/>
      <c r="C1003" s="93"/>
      <c r="D1003" s="93"/>
      <c r="E1003" s="93"/>
      <c r="F1003" s="93"/>
      <c r="G1003" s="95"/>
      <c r="H1003" s="93"/>
      <c r="I1003" s="93"/>
      <c r="J1003" s="93"/>
    </row>
  </sheetData>
  <mergeCells count="13">
    <mergeCell ref="F9:F13"/>
    <mergeCell ref="F14:F18"/>
    <mergeCell ref="F4:F8"/>
    <mergeCell ref="F19:F23"/>
    <mergeCell ref="A25:A29"/>
    <mergeCell ref="F25:F29"/>
    <mergeCell ref="A1:J1"/>
    <mergeCell ref="A2:E2"/>
    <mergeCell ref="F2:J2"/>
    <mergeCell ref="A4:A8"/>
    <mergeCell ref="A9:A13"/>
    <mergeCell ref="A14:A18"/>
    <mergeCell ref="A19:A23"/>
  </mergeCells>
  <hyperlinks>
    <hyperlink r:id="rId2" ref="A4"/>
    <hyperlink r:id="rId3" ref="B4"/>
    <hyperlink r:id="rId4" location="gid=100946231" ref="E4"/>
    <hyperlink r:id="rId5" ref="F4"/>
    <hyperlink r:id="rId6" ref="G4"/>
    <hyperlink r:id="rId7" location="gid=976341501" ref="J4"/>
    <hyperlink r:id="rId8" ref="B5"/>
    <hyperlink r:id="rId9" location="gid=1156348890" ref="E5"/>
    <hyperlink r:id="rId10" ref="G5"/>
    <hyperlink r:id="rId11" location="gid=643375664" ref="J5"/>
    <hyperlink r:id="rId12" ref="B6"/>
    <hyperlink r:id="rId13" location="gid=1199324024" ref="E6"/>
    <hyperlink r:id="rId14" ref="G6"/>
    <hyperlink r:id="rId15" location="gid=1199324024" ref="J6"/>
    <hyperlink r:id="rId16" ref="B7"/>
    <hyperlink r:id="rId17" location="gid=2011687524" ref="E7"/>
    <hyperlink r:id="rId18" ref="G7"/>
    <hyperlink r:id="rId19" location="gid=2011687524" ref="J7"/>
    <hyperlink r:id="rId20" ref="B8"/>
    <hyperlink r:id="rId21" location="gid=1263441864" ref="E8"/>
    <hyperlink r:id="rId22" ref="G8"/>
    <hyperlink r:id="rId23" location="gid=1791570470" ref="J8"/>
    <hyperlink r:id="rId24" ref="A9"/>
    <hyperlink r:id="rId25" ref="B9"/>
    <hyperlink r:id="rId26" location="gid=1004369347" ref="E9"/>
    <hyperlink r:id="rId27" ref="F9"/>
    <hyperlink r:id="rId28" ref="G9"/>
    <hyperlink r:id="rId29" location="gid=1771386835" ref="J9"/>
    <hyperlink r:id="rId30" ref="B10"/>
    <hyperlink r:id="rId31" location="gid=1861498868" ref="E10"/>
    <hyperlink r:id="rId32" ref="G10"/>
    <hyperlink r:id="rId33" location="gid=1909678374" ref="J10"/>
    <hyperlink r:id="rId34" ref="B11"/>
    <hyperlink r:id="rId35" location="gid=372529563" ref="E11"/>
    <hyperlink r:id="rId36" ref="G11"/>
    <hyperlink r:id="rId37" location="gid=315300912" ref="J11"/>
    <hyperlink r:id="rId38" ref="B12"/>
    <hyperlink r:id="rId39" location="gid=1663422420" ref="E12"/>
    <hyperlink r:id="rId40" ref="G12"/>
    <hyperlink r:id="rId41" location="gid=1795574099" ref="J12"/>
    <hyperlink r:id="rId42" ref="B13"/>
    <hyperlink r:id="rId43" location="gid=1263441864" ref="E13"/>
    <hyperlink r:id="rId44" ref="G13"/>
    <hyperlink r:id="rId45" location="gid=835282101" ref="J13"/>
    <hyperlink r:id="rId46" ref="A14"/>
    <hyperlink r:id="rId47" ref="B14"/>
    <hyperlink r:id="rId48" location="gid=1019807666" ref="E14"/>
    <hyperlink r:id="rId49" ref="F14"/>
    <hyperlink r:id="rId50" ref="G14"/>
    <hyperlink r:id="rId51" location="gid=923100225" ref="J14"/>
    <hyperlink r:id="rId52" ref="B15"/>
    <hyperlink r:id="rId53" location="gid=1564462514" ref="E15"/>
    <hyperlink r:id="rId54" ref="G15"/>
    <hyperlink r:id="rId55" location="gid=1277786324" ref="J15"/>
    <hyperlink r:id="rId56" ref="B16"/>
    <hyperlink r:id="rId57" location="gid=553921902" ref="E16"/>
    <hyperlink r:id="rId58" ref="G16"/>
    <hyperlink r:id="rId59" location="gid=1849632331" ref="J16"/>
    <hyperlink r:id="rId60" ref="B17"/>
    <hyperlink r:id="rId61" location="gid=2145974480" ref="E17"/>
    <hyperlink r:id="rId62" ref="G17"/>
    <hyperlink r:id="rId63" location="gid=1352376620" ref="J17"/>
    <hyperlink r:id="rId64" ref="B18"/>
    <hyperlink r:id="rId65" location="gid=1434495124" ref="E18"/>
    <hyperlink r:id="rId66" location="responses" ref="G18"/>
    <hyperlink r:id="rId67" location="gid=796476088" ref="J18"/>
    <hyperlink r:id="rId68" ref="A19"/>
    <hyperlink r:id="rId69" ref="B19"/>
    <hyperlink r:id="rId70" location="gid=731565695" ref="E19"/>
    <hyperlink r:id="rId71" ref="F19"/>
    <hyperlink r:id="rId72" ref="G19"/>
    <hyperlink r:id="rId73" location="gid=1312841166" ref="J19"/>
    <hyperlink r:id="rId74" ref="B20"/>
    <hyperlink r:id="rId75" location="gid=1775566294" ref="E20"/>
    <hyperlink r:id="rId76" ref="G20"/>
    <hyperlink r:id="rId77" location="gid=102018454" ref="J20"/>
    <hyperlink r:id="rId78" ref="B21"/>
    <hyperlink r:id="rId79" location="gid=244277627" ref="E21"/>
    <hyperlink r:id="rId80" ref="G21"/>
    <hyperlink r:id="rId81" location="gid=969014190" ref="J21"/>
    <hyperlink r:id="rId82" ref="B22"/>
    <hyperlink r:id="rId83" location="gid=777646664" ref="E22"/>
    <hyperlink r:id="rId84" ref="G22"/>
    <hyperlink r:id="rId85" location="gid=1438041027" ref="J22"/>
    <hyperlink r:id="rId86" ref="B23"/>
    <hyperlink r:id="rId87" location="gid=20404890" ref="E23"/>
    <hyperlink r:id="rId88" ref="G23"/>
    <hyperlink r:id="rId89" location="gid=1990111402" ref="J23"/>
    <hyperlink r:id="rId90" ref="A25"/>
    <hyperlink r:id="rId91" location="responses" ref="B25"/>
    <hyperlink r:id="rId92" location="gid=147593900" ref="E25"/>
    <hyperlink r:id="rId93" ref="F25"/>
    <hyperlink r:id="rId94" location="settings" ref="G25"/>
    <hyperlink r:id="rId95" location="gid=1135761601" ref="J25"/>
    <hyperlink r:id="rId96" location="settings" ref="B26"/>
    <hyperlink r:id="rId97" location="gid=44944987" ref="E26"/>
    <hyperlink r:id="rId98" location="settings" ref="G26"/>
    <hyperlink r:id="rId99" location="gid=816328279" ref="J26"/>
    <hyperlink r:id="rId100" location="settings" ref="B27"/>
    <hyperlink r:id="rId101" location="gid=98273372" ref="E27"/>
    <hyperlink r:id="rId102" location="settings" ref="G27"/>
    <hyperlink r:id="rId103" location="gid=1031325025" ref="J27"/>
    <hyperlink r:id="rId104" location="responses" ref="B28"/>
    <hyperlink r:id="rId105" location="gid=50002726" ref="E28"/>
    <hyperlink r:id="rId106" location="responses" ref="G28"/>
    <hyperlink r:id="rId107" location="gid=1738475719" ref="J28"/>
    <hyperlink r:id="rId108" location="settings" ref="B29"/>
    <hyperlink r:id="rId109" location="gid=208575235" ref="E29"/>
    <hyperlink r:id="rId110" location="responses" ref="G29"/>
    <hyperlink r:id="rId111" location="gid=823418763" ref="J29"/>
  </hyperlinks>
  <drawing r:id="rId112"/>
  <legacyDrawing r:id="rId11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464</v>
      </c>
      <c r="B1" s="39" t="s">
        <v>465</v>
      </c>
      <c r="C1" s="39" t="s">
        <v>466</v>
      </c>
      <c r="D1" s="39" t="s">
        <v>467</v>
      </c>
      <c r="E1" s="39" t="s">
        <v>468</v>
      </c>
      <c r="F1" s="39" t="s">
        <v>469</v>
      </c>
      <c r="G1" s="39" t="s">
        <v>2043</v>
      </c>
      <c r="H1" s="39" t="s">
        <v>2044</v>
      </c>
      <c r="I1" s="39" t="s">
        <v>2045</v>
      </c>
      <c r="J1" s="39" t="s">
        <v>2046</v>
      </c>
      <c r="K1" s="39" t="s">
        <v>2047</v>
      </c>
      <c r="L1" s="39" t="s">
        <v>2048</v>
      </c>
      <c r="M1" s="39" t="s">
        <v>2049</v>
      </c>
      <c r="N1" s="39" t="s">
        <v>2050</v>
      </c>
      <c r="O1" s="39" t="s">
        <v>2051</v>
      </c>
      <c r="P1" s="39" t="s">
        <v>485</v>
      </c>
      <c r="Q1" s="39" t="s">
        <v>486</v>
      </c>
      <c r="R1" s="63"/>
      <c r="S1" s="63"/>
      <c r="T1" s="63"/>
      <c r="U1" s="63"/>
      <c r="V1" s="63"/>
      <c r="W1" s="63"/>
      <c r="X1" s="63"/>
      <c r="Y1" s="63"/>
      <c r="Z1" s="63"/>
    </row>
    <row r="2">
      <c r="A2" s="39" t="s">
        <v>487</v>
      </c>
      <c r="B2" s="63"/>
      <c r="C2" s="63"/>
      <c r="D2" s="63"/>
      <c r="E2" s="63"/>
      <c r="F2" s="63"/>
      <c r="G2" s="39">
        <v>100.0</v>
      </c>
      <c r="H2" s="39">
        <v>100.0</v>
      </c>
      <c r="I2" s="39">
        <v>40.0</v>
      </c>
      <c r="J2" s="39">
        <v>9.0</v>
      </c>
      <c r="K2" s="39">
        <v>40.0</v>
      </c>
      <c r="L2" s="39">
        <v>30.0</v>
      </c>
      <c r="M2" s="39">
        <v>20.0</v>
      </c>
      <c r="N2" s="39">
        <v>50.0</v>
      </c>
      <c r="O2" s="39">
        <v>45.0</v>
      </c>
      <c r="P2" s="39">
        <v>12.0</v>
      </c>
      <c r="Q2" s="39">
        <v>20.0</v>
      </c>
      <c r="R2" s="63"/>
      <c r="S2" s="63"/>
      <c r="T2" s="63"/>
      <c r="U2" s="63"/>
      <c r="V2" s="63"/>
      <c r="W2" s="63"/>
      <c r="X2" s="63"/>
      <c r="Y2" s="63"/>
      <c r="Z2" s="63"/>
    </row>
    <row r="3">
      <c r="A3" s="39" t="s">
        <v>488</v>
      </c>
      <c r="B3" s="39">
        <v>40851.0</v>
      </c>
      <c r="C3" s="39" t="s">
        <v>489</v>
      </c>
      <c r="D3" s="39" t="s">
        <v>447</v>
      </c>
      <c r="E3" s="39" t="s">
        <v>490</v>
      </c>
      <c r="F3" s="39" t="s">
        <v>491</v>
      </c>
      <c r="G3" s="39">
        <v>100.0</v>
      </c>
      <c r="H3" s="39">
        <v>100.0</v>
      </c>
      <c r="I3" s="39">
        <v>0.0</v>
      </c>
      <c r="J3" s="39">
        <v>0.0</v>
      </c>
      <c r="K3" s="39">
        <v>0.0</v>
      </c>
      <c r="L3" s="39">
        <v>0.0</v>
      </c>
      <c r="M3" s="39">
        <v>20.0</v>
      </c>
      <c r="N3" s="39">
        <v>50.0</v>
      </c>
      <c r="O3" s="39">
        <v>45.0</v>
      </c>
      <c r="P3" s="39">
        <v>12.0</v>
      </c>
      <c r="Q3" s="39">
        <v>20.0</v>
      </c>
      <c r="R3" s="63"/>
      <c r="S3" s="63"/>
      <c r="T3" s="63"/>
      <c r="U3" s="63"/>
      <c r="V3" s="63"/>
      <c r="W3" s="63"/>
      <c r="X3" s="63"/>
      <c r="Y3" s="63"/>
      <c r="Z3" s="63"/>
    </row>
    <row r="4">
      <c r="A4" s="39" t="s">
        <v>492</v>
      </c>
      <c r="B4" s="39">
        <v>48568.0</v>
      </c>
      <c r="C4" s="39" t="s">
        <v>493</v>
      </c>
      <c r="D4" s="39" t="s">
        <v>254</v>
      </c>
      <c r="E4" s="39" t="s">
        <v>494</v>
      </c>
      <c r="F4" s="39" t="s">
        <v>491</v>
      </c>
      <c r="G4" s="39">
        <v>100.0</v>
      </c>
      <c r="H4" s="39">
        <v>100.0</v>
      </c>
      <c r="I4" s="39">
        <v>22.0</v>
      </c>
      <c r="J4" s="39">
        <v>0.0</v>
      </c>
      <c r="K4" s="39">
        <v>35.0</v>
      </c>
      <c r="L4" s="39">
        <v>0.0</v>
      </c>
      <c r="M4" s="39">
        <v>20.0</v>
      </c>
      <c r="N4" s="39">
        <v>50.0</v>
      </c>
      <c r="O4" s="39">
        <v>45.0</v>
      </c>
      <c r="P4" s="39">
        <v>12.0</v>
      </c>
      <c r="Q4" s="39">
        <v>20.0</v>
      </c>
      <c r="R4" s="63"/>
      <c r="S4" s="63"/>
      <c r="T4" s="63"/>
      <c r="U4" s="63"/>
      <c r="V4" s="63"/>
      <c r="W4" s="63"/>
      <c r="X4" s="63"/>
      <c r="Y4" s="63"/>
      <c r="Z4" s="63"/>
    </row>
    <row r="5">
      <c r="A5" s="39" t="s">
        <v>495</v>
      </c>
      <c r="B5" s="39">
        <v>25786.0</v>
      </c>
      <c r="C5" s="39" t="s">
        <v>496</v>
      </c>
      <c r="D5" s="39" t="s">
        <v>255</v>
      </c>
      <c r="E5" s="39" t="s">
        <v>497</v>
      </c>
      <c r="F5" s="39" t="s">
        <v>491</v>
      </c>
      <c r="G5" s="39">
        <v>100.0</v>
      </c>
      <c r="H5" s="39">
        <v>100.0</v>
      </c>
      <c r="I5" s="39">
        <v>0.0</v>
      </c>
      <c r="J5" s="39">
        <v>0.0</v>
      </c>
      <c r="K5" s="39">
        <v>0.0</v>
      </c>
      <c r="L5" s="39">
        <v>0.0</v>
      </c>
      <c r="M5" s="39">
        <v>20.0</v>
      </c>
      <c r="N5" s="39">
        <v>50.0</v>
      </c>
      <c r="O5" s="39">
        <v>45.0</v>
      </c>
      <c r="P5" s="39">
        <v>12.0</v>
      </c>
      <c r="Q5" s="39">
        <v>20.0</v>
      </c>
      <c r="R5" s="63"/>
      <c r="S5" s="63"/>
      <c r="T5" s="63"/>
      <c r="U5" s="63"/>
      <c r="V5" s="63"/>
      <c r="W5" s="63"/>
      <c r="X5" s="63"/>
      <c r="Y5" s="63"/>
      <c r="Z5" s="63"/>
    </row>
    <row r="6">
      <c r="A6" s="39" t="s">
        <v>498</v>
      </c>
      <c r="B6" s="39">
        <v>48539.0</v>
      </c>
      <c r="C6" s="39" t="s">
        <v>499</v>
      </c>
      <c r="D6" s="39" t="s">
        <v>256</v>
      </c>
      <c r="E6" s="39" t="s">
        <v>500</v>
      </c>
      <c r="F6" s="39" t="s">
        <v>501</v>
      </c>
      <c r="G6" s="39">
        <v>100.0</v>
      </c>
      <c r="H6" s="39">
        <v>100.0</v>
      </c>
      <c r="I6" s="39">
        <v>0.0</v>
      </c>
      <c r="J6" s="39">
        <v>0.0</v>
      </c>
      <c r="K6" s="39">
        <v>0.0</v>
      </c>
      <c r="L6" s="39">
        <v>30.0</v>
      </c>
      <c r="M6" s="39">
        <v>20.0</v>
      </c>
      <c r="N6" s="39">
        <v>50.0</v>
      </c>
      <c r="O6" s="39">
        <v>45.0</v>
      </c>
      <c r="P6" s="39">
        <v>12.0</v>
      </c>
      <c r="Q6" s="39">
        <v>20.0</v>
      </c>
      <c r="R6" s="63"/>
      <c r="S6" s="63"/>
      <c r="T6" s="63"/>
      <c r="U6" s="63"/>
      <c r="V6" s="63"/>
      <c r="W6" s="63"/>
      <c r="X6" s="63"/>
      <c r="Y6" s="63"/>
      <c r="Z6" s="63"/>
    </row>
    <row r="7">
      <c r="A7" s="39" t="s">
        <v>502</v>
      </c>
      <c r="B7" s="39">
        <v>75657.0</v>
      </c>
      <c r="C7" s="39" t="s">
        <v>503</v>
      </c>
      <c r="D7" s="39" t="s">
        <v>257</v>
      </c>
      <c r="E7" s="39" t="s">
        <v>504</v>
      </c>
      <c r="F7" s="39" t="s">
        <v>505</v>
      </c>
      <c r="G7" s="39">
        <v>100.0</v>
      </c>
      <c r="H7" s="39">
        <v>100.0</v>
      </c>
      <c r="I7" s="39">
        <v>0.0</v>
      </c>
      <c r="J7" s="39">
        <v>0.0</v>
      </c>
      <c r="K7" s="39">
        <v>0.0</v>
      </c>
      <c r="L7" s="39">
        <v>30.0</v>
      </c>
      <c r="M7" s="39">
        <v>20.0</v>
      </c>
      <c r="N7" s="39">
        <v>50.0</v>
      </c>
      <c r="O7" s="39">
        <v>45.0</v>
      </c>
      <c r="P7" s="39">
        <v>12.0</v>
      </c>
      <c r="Q7" s="39">
        <v>20.0</v>
      </c>
      <c r="R7" s="63"/>
      <c r="S7" s="63"/>
      <c r="T7" s="63"/>
      <c r="U7" s="63"/>
      <c r="V7" s="63"/>
      <c r="W7" s="63"/>
      <c r="X7" s="63"/>
      <c r="Y7" s="63"/>
      <c r="Z7" s="63"/>
    </row>
    <row r="8">
      <c r="A8" s="39" t="s">
        <v>506</v>
      </c>
      <c r="B8" s="39">
        <v>25895.0</v>
      </c>
      <c r="C8" s="39" t="s">
        <v>507</v>
      </c>
      <c r="D8" s="39" t="s">
        <v>258</v>
      </c>
      <c r="E8" s="39" t="s">
        <v>508</v>
      </c>
      <c r="F8" s="39" t="s">
        <v>501</v>
      </c>
      <c r="G8" s="39">
        <v>100.0</v>
      </c>
      <c r="H8" s="39">
        <v>100.0</v>
      </c>
      <c r="I8" s="39">
        <v>18.0</v>
      </c>
      <c r="J8" s="39">
        <v>0.0</v>
      </c>
      <c r="K8" s="39">
        <v>40.0</v>
      </c>
      <c r="L8" s="39">
        <v>30.0</v>
      </c>
      <c r="M8" s="39">
        <v>20.0</v>
      </c>
      <c r="N8" s="39">
        <v>50.0</v>
      </c>
      <c r="O8" s="39">
        <v>45.0</v>
      </c>
      <c r="P8" s="39">
        <v>12.0</v>
      </c>
      <c r="Q8" s="39">
        <v>20.0</v>
      </c>
      <c r="R8" s="63"/>
      <c r="S8" s="63"/>
      <c r="T8" s="63"/>
      <c r="U8" s="63"/>
      <c r="V8" s="63"/>
      <c r="W8" s="63"/>
      <c r="X8" s="63"/>
      <c r="Y8" s="63"/>
      <c r="Z8" s="63"/>
    </row>
    <row r="9">
      <c r="A9" s="39" t="s">
        <v>509</v>
      </c>
      <c r="B9" s="39">
        <v>48480.0</v>
      </c>
      <c r="C9" s="39" t="s">
        <v>510</v>
      </c>
      <c r="D9" s="39" t="s">
        <v>259</v>
      </c>
      <c r="E9" s="39" t="s">
        <v>511</v>
      </c>
      <c r="F9" s="39" t="s">
        <v>491</v>
      </c>
      <c r="G9" s="39">
        <v>100.0</v>
      </c>
      <c r="H9" s="39">
        <v>100.0</v>
      </c>
      <c r="I9" s="39">
        <v>27.0</v>
      </c>
      <c r="J9" s="39">
        <v>0.0</v>
      </c>
      <c r="K9" s="39">
        <v>30.0</v>
      </c>
      <c r="L9" s="39">
        <v>30.0</v>
      </c>
      <c r="M9" s="39">
        <v>20.0</v>
      </c>
      <c r="N9" s="39">
        <v>50.0</v>
      </c>
      <c r="O9" s="39">
        <v>45.0</v>
      </c>
      <c r="P9" s="39">
        <v>12.0</v>
      </c>
      <c r="Q9" s="39">
        <v>20.0</v>
      </c>
      <c r="R9" s="63"/>
      <c r="S9" s="63"/>
      <c r="T9" s="63"/>
      <c r="U9" s="63"/>
      <c r="V9" s="63"/>
      <c r="W9" s="63"/>
      <c r="X9" s="63"/>
      <c r="Y9" s="63"/>
      <c r="Z9" s="63"/>
    </row>
    <row r="10">
      <c r="A10" s="39" t="s">
        <v>512</v>
      </c>
      <c r="B10" s="39">
        <v>25898.0</v>
      </c>
      <c r="C10" s="39" t="s">
        <v>513</v>
      </c>
      <c r="D10" s="39" t="s">
        <v>260</v>
      </c>
      <c r="E10" s="39" t="s">
        <v>514</v>
      </c>
      <c r="F10" s="39" t="s">
        <v>501</v>
      </c>
      <c r="G10" s="39">
        <v>100.0</v>
      </c>
      <c r="H10" s="39">
        <v>100.0</v>
      </c>
      <c r="I10" s="39">
        <v>23.0</v>
      </c>
      <c r="J10" s="39">
        <v>9.0</v>
      </c>
      <c r="K10" s="39">
        <v>40.0</v>
      </c>
      <c r="L10" s="39">
        <v>30.0</v>
      </c>
      <c r="M10" s="39">
        <v>20.0</v>
      </c>
      <c r="N10" s="39">
        <v>50.0</v>
      </c>
      <c r="O10" s="39">
        <v>45.0</v>
      </c>
      <c r="P10" s="39">
        <v>12.0</v>
      </c>
      <c r="Q10" s="39">
        <v>20.0</v>
      </c>
      <c r="R10" s="63"/>
      <c r="S10" s="63"/>
      <c r="T10" s="63"/>
      <c r="U10" s="63"/>
      <c r="V10" s="63"/>
      <c r="W10" s="63"/>
      <c r="X10" s="63"/>
      <c r="Y10" s="63"/>
      <c r="Z10" s="63"/>
    </row>
    <row r="11">
      <c r="A11" s="39" t="s">
        <v>515</v>
      </c>
      <c r="B11" s="39">
        <v>25704.0</v>
      </c>
      <c r="C11" s="39" t="s">
        <v>516</v>
      </c>
      <c r="D11" s="39" t="s">
        <v>261</v>
      </c>
      <c r="E11" s="39" t="s">
        <v>517</v>
      </c>
      <c r="F11" s="39" t="s">
        <v>501</v>
      </c>
      <c r="G11" s="39">
        <v>100.0</v>
      </c>
      <c r="H11" s="39">
        <v>100.0</v>
      </c>
      <c r="I11" s="39">
        <v>0.0</v>
      </c>
      <c r="J11" s="39">
        <v>0.0</v>
      </c>
      <c r="K11" s="39">
        <v>0.0</v>
      </c>
      <c r="L11" s="39">
        <v>30.0</v>
      </c>
      <c r="M11" s="39">
        <v>20.0</v>
      </c>
      <c r="N11" s="39">
        <v>50.0</v>
      </c>
      <c r="O11" s="39">
        <v>45.0</v>
      </c>
      <c r="P11" s="39">
        <v>12.0</v>
      </c>
      <c r="Q11" s="39">
        <v>20.0</v>
      </c>
      <c r="R11" s="63"/>
      <c r="S11" s="63"/>
      <c r="T11" s="63"/>
      <c r="U11" s="63"/>
      <c r="V11" s="63"/>
      <c r="W11" s="63"/>
      <c r="X11" s="63"/>
      <c r="Y11" s="63"/>
      <c r="Z11" s="63"/>
    </row>
    <row r="12">
      <c r="A12" s="39" t="s">
        <v>518</v>
      </c>
      <c r="B12" s="39">
        <v>25545.0</v>
      </c>
      <c r="C12" s="39" t="s">
        <v>519</v>
      </c>
      <c r="D12" s="39" t="s">
        <v>262</v>
      </c>
      <c r="E12" s="39" t="s">
        <v>520</v>
      </c>
      <c r="F12" s="39" t="s">
        <v>505</v>
      </c>
      <c r="G12" s="39">
        <v>100.0</v>
      </c>
      <c r="H12" s="39">
        <v>100.0</v>
      </c>
      <c r="I12" s="39">
        <v>27.0</v>
      </c>
      <c r="J12" s="39">
        <v>0.0</v>
      </c>
      <c r="K12" s="39">
        <v>0.0</v>
      </c>
      <c r="L12" s="39">
        <v>30.0</v>
      </c>
      <c r="M12" s="39">
        <v>20.0</v>
      </c>
      <c r="N12" s="39">
        <v>50.0</v>
      </c>
      <c r="O12" s="39">
        <v>45.0</v>
      </c>
      <c r="P12" s="39">
        <v>12.0</v>
      </c>
      <c r="Q12" s="39">
        <v>20.0</v>
      </c>
      <c r="R12" s="63"/>
      <c r="S12" s="63"/>
      <c r="T12" s="63"/>
      <c r="U12" s="63"/>
      <c r="V12" s="63"/>
      <c r="W12" s="63"/>
      <c r="X12" s="63"/>
      <c r="Y12" s="63"/>
      <c r="Z12" s="63"/>
    </row>
    <row r="13">
      <c r="A13" s="39" t="s">
        <v>521</v>
      </c>
      <c r="B13" s="39">
        <v>25718.0</v>
      </c>
      <c r="C13" s="39" t="s">
        <v>522</v>
      </c>
      <c r="D13" s="39" t="s">
        <v>263</v>
      </c>
      <c r="E13" s="39" t="s">
        <v>523</v>
      </c>
      <c r="F13" s="39" t="s">
        <v>501</v>
      </c>
      <c r="G13" s="39">
        <v>100.0</v>
      </c>
      <c r="H13" s="39">
        <v>100.0</v>
      </c>
      <c r="I13" s="39">
        <v>0.0</v>
      </c>
      <c r="J13" s="39">
        <v>0.0</v>
      </c>
      <c r="K13" s="39">
        <v>40.0</v>
      </c>
      <c r="L13" s="39">
        <v>30.0</v>
      </c>
      <c r="M13" s="39">
        <v>20.0</v>
      </c>
      <c r="N13" s="39">
        <v>50.0</v>
      </c>
      <c r="O13" s="39">
        <v>45.0</v>
      </c>
      <c r="P13" s="39">
        <v>12.0</v>
      </c>
      <c r="Q13" s="39">
        <v>20.0</v>
      </c>
      <c r="R13" s="63"/>
      <c r="S13" s="63"/>
      <c r="T13" s="63"/>
      <c r="U13" s="63"/>
      <c r="V13" s="63"/>
      <c r="W13" s="63"/>
      <c r="X13" s="63"/>
      <c r="Y13" s="63"/>
      <c r="Z13" s="63"/>
    </row>
    <row r="14">
      <c r="A14" s="39" t="s">
        <v>524</v>
      </c>
      <c r="B14" s="39">
        <v>40843.0</v>
      </c>
      <c r="C14" s="39" t="s">
        <v>525</v>
      </c>
      <c r="D14" s="39" t="s">
        <v>264</v>
      </c>
      <c r="E14" s="39" t="s">
        <v>526</v>
      </c>
      <c r="F14" s="39" t="s">
        <v>505</v>
      </c>
      <c r="G14" s="39">
        <v>100.0</v>
      </c>
      <c r="H14" s="39">
        <v>100.0</v>
      </c>
      <c r="I14" s="39">
        <v>0.0</v>
      </c>
      <c r="J14" s="39">
        <v>0.0</v>
      </c>
      <c r="K14" s="39">
        <v>0.0</v>
      </c>
      <c r="L14" s="39">
        <v>0.0</v>
      </c>
      <c r="M14" s="39">
        <v>20.0</v>
      </c>
      <c r="N14" s="39">
        <v>50.0</v>
      </c>
      <c r="O14" s="39">
        <v>45.0</v>
      </c>
      <c r="P14" s="39">
        <v>12.0</v>
      </c>
      <c r="Q14" s="39">
        <v>20.0</v>
      </c>
      <c r="R14" s="63"/>
      <c r="S14" s="63"/>
      <c r="T14" s="63"/>
      <c r="U14" s="63"/>
      <c r="V14" s="63"/>
      <c r="W14" s="63"/>
      <c r="X14" s="63"/>
      <c r="Y14" s="63"/>
      <c r="Z14" s="63"/>
    </row>
    <row r="15">
      <c r="A15" s="39" t="s">
        <v>527</v>
      </c>
      <c r="B15" s="39">
        <v>25899.0</v>
      </c>
      <c r="C15" s="39" t="s">
        <v>528</v>
      </c>
      <c r="D15" s="39" t="s">
        <v>265</v>
      </c>
      <c r="E15" s="39" t="s">
        <v>529</v>
      </c>
      <c r="F15" s="39" t="s">
        <v>501</v>
      </c>
      <c r="G15" s="39">
        <v>100.0</v>
      </c>
      <c r="H15" s="39">
        <v>100.0</v>
      </c>
      <c r="I15" s="39">
        <v>0.0</v>
      </c>
      <c r="J15" s="39">
        <v>0.0</v>
      </c>
      <c r="K15" s="39">
        <v>40.0</v>
      </c>
      <c r="L15" s="39">
        <v>0.0</v>
      </c>
      <c r="M15" s="39">
        <v>20.0</v>
      </c>
      <c r="N15" s="39">
        <v>50.0</v>
      </c>
      <c r="O15" s="39">
        <v>45.0</v>
      </c>
      <c r="P15" s="39">
        <v>12.0</v>
      </c>
      <c r="Q15" s="39">
        <v>20.0</v>
      </c>
      <c r="R15" s="63"/>
      <c r="S15" s="63"/>
      <c r="T15" s="63"/>
      <c r="U15" s="63"/>
      <c r="V15" s="63"/>
      <c r="W15" s="63"/>
      <c r="X15" s="63"/>
      <c r="Y15" s="63"/>
      <c r="Z15" s="63"/>
    </row>
    <row r="16">
      <c r="A16" s="39" t="s">
        <v>530</v>
      </c>
      <c r="B16" s="39">
        <v>25901.0</v>
      </c>
      <c r="C16" s="39" t="s">
        <v>531</v>
      </c>
      <c r="D16" s="39" t="s">
        <v>266</v>
      </c>
      <c r="E16" s="39" t="s">
        <v>532</v>
      </c>
      <c r="F16" s="39" t="s">
        <v>501</v>
      </c>
      <c r="G16" s="39">
        <v>100.0</v>
      </c>
      <c r="H16" s="39">
        <v>100.0</v>
      </c>
      <c r="I16" s="39">
        <v>0.0</v>
      </c>
      <c r="J16" s="39">
        <v>0.0</v>
      </c>
      <c r="K16" s="39">
        <v>0.0</v>
      </c>
      <c r="L16" s="39">
        <v>0.0</v>
      </c>
      <c r="M16" s="39">
        <v>20.0</v>
      </c>
      <c r="N16" s="39">
        <v>50.0</v>
      </c>
      <c r="O16" s="39">
        <v>45.0</v>
      </c>
      <c r="P16" s="39">
        <v>12.0</v>
      </c>
      <c r="Q16" s="39">
        <v>20.0</v>
      </c>
      <c r="R16" s="63"/>
      <c r="S16" s="63"/>
      <c r="T16" s="63"/>
      <c r="U16" s="63"/>
      <c r="V16" s="63"/>
      <c r="W16" s="63"/>
      <c r="X16" s="63"/>
      <c r="Y16" s="63"/>
      <c r="Z16" s="63"/>
    </row>
    <row r="17">
      <c r="A17" s="39" t="s">
        <v>533</v>
      </c>
      <c r="B17" s="39">
        <v>25902.0</v>
      </c>
      <c r="C17" s="39" t="s">
        <v>534</v>
      </c>
      <c r="D17" s="39" t="s">
        <v>267</v>
      </c>
      <c r="E17" s="39" t="s">
        <v>535</v>
      </c>
      <c r="F17" s="39" t="s">
        <v>501</v>
      </c>
      <c r="G17" s="39">
        <v>100.0</v>
      </c>
      <c r="H17" s="39">
        <v>100.0</v>
      </c>
      <c r="I17" s="39">
        <v>0.0</v>
      </c>
      <c r="J17" s="39">
        <v>0.0</v>
      </c>
      <c r="K17" s="39">
        <v>0.0</v>
      </c>
      <c r="L17" s="39">
        <v>0.0</v>
      </c>
      <c r="M17" s="39">
        <v>20.0</v>
      </c>
      <c r="N17" s="39">
        <v>50.0</v>
      </c>
      <c r="O17" s="39">
        <v>45.0</v>
      </c>
      <c r="P17" s="39">
        <v>12.0</v>
      </c>
      <c r="Q17" s="39">
        <v>20.0</v>
      </c>
      <c r="R17" s="63"/>
      <c r="S17" s="63"/>
      <c r="T17" s="63"/>
      <c r="U17" s="63"/>
      <c r="V17" s="63"/>
      <c r="W17" s="63"/>
      <c r="X17" s="63"/>
      <c r="Y17" s="63"/>
      <c r="Z17" s="63"/>
    </row>
    <row r="18">
      <c r="A18" s="39" t="s">
        <v>536</v>
      </c>
      <c r="B18" s="39">
        <v>75715.0</v>
      </c>
      <c r="C18" s="39" t="s">
        <v>537</v>
      </c>
      <c r="D18" s="39" t="s">
        <v>268</v>
      </c>
      <c r="E18" s="39" t="s">
        <v>538</v>
      </c>
      <c r="F18" s="39" t="s">
        <v>501</v>
      </c>
      <c r="G18" s="39">
        <v>100.0</v>
      </c>
      <c r="H18" s="39">
        <v>100.0</v>
      </c>
      <c r="I18" s="39">
        <v>27.0</v>
      </c>
      <c r="J18" s="39">
        <v>0.0</v>
      </c>
      <c r="K18" s="39">
        <v>0.0</v>
      </c>
      <c r="L18" s="39">
        <v>0.0</v>
      </c>
      <c r="M18" s="39">
        <v>20.0</v>
      </c>
      <c r="N18" s="39">
        <v>50.0</v>
      </c>
      <c r="O18" s="39">
        <v>45.0</v>
      </c>
      <c r="P18" s="39">
        <v>12.0</v>
      </c>
      <c r="Q18" s="39">
        <v>20.0</v>
      </c>
      <c r="R18" s="63"/>
      <c r="S18" s="63"/>
      <c r="T18" s="63"/>
      <c r="U18" s="63"/>
      <c r="V18" s="63"/>
      <c r="W18" s="63"/>
      <c r="X18" s="63"/>
      <c r="Y18" s="63"/>
      <c r="Z18" s="63"/>
    </row>
    <row r="19">
      <c r="A19" s="39" t="s">
        <v>539</v>
      </c>
      <c r="B19" s="39">
        <v>75749.0</v>
      </c>
      <c r="C19" s="39" t="s">
        <v>540</v>
      </c>
      <c r="D19" s="39" t="s">
        <v>269</v>
      </c>
      <c r="E19" s="39" t="s">
        <v>541</v>
      </c>
      <c r="F19" s="39" t="s">
        <v>505</v>
      </c>
      <c r="G19" s="39">
        <v>100.0</v>
      </c>
      <c r="H19" s="39">
        <v>100.0</v>
      </c>
      <c r="I19" s="39">
        <v>0.0</v>
      </c>
      <c r="J19" s="39">
        <v>0.0</v>
      </c>
      <c r="K19" s="39">
        <v>0.0</v>
      </c>
      <c r="L19" s="39">
        <v>0.0</v>
      </c>
      <c r="M19" s="39">
        <v>20.0</v>
      </c>
      <c r="N19" s="39">
        <v>50.0</v>
      </c>
      <c r="O19" s="39">
        <v>45.0</v>
      </c>
      <c r="P19" s="39">
        <v>12.0</v>
      </c>
      <c r="Q19" s="39">
        <v>20.0</v>
      </c>
      <c r="R19" s="63"/>
      <c r="S19" s="63"/>
      <c r="T19" s="63"/>
      <c r="U19" s="63"/>
      <c r="V19" s="63"/>
      <c r="W19" s="63"/>
      <c r="X19" s="63"/>
      <c r="Y19" s="63"/>
      <c r="Z19" s="63"/>
    </row>
    <row r="20">
      <c r="A20" s="39" t="s">
        <v>542</v>
      </c>
      <c r="B20" s="39">
        <v>25903.0</v>
      </c>
      <c r="C20" s="39" t="s">
        <v>543</v>
      </c>
      <c r="D20" s="39" t="s">
        <v>270</v>
      </c>
      <c r="E20" s="39" t="s">
        <v>544</v>
      </c>
      <c r="F20" s="39" t="s">
        <v>505</v>
      </c>
      <c r="G20" s="39">
        <v>100.0</v>
      </c>
      <c r="H20" s="39">
        <v>100.0</v>
      </c>
      <c r="I20" s="39">
        <v>0.0</v>
      </c>
      <c r="J20" s="39">
        <v>0.0</v>
      </c>
      <c r="K20" s="39">
        <v>0.0</v>
      </c>
      <c r="L20" s="39">
        <v>0.0</v>
      </c>
      <c r="M20" s="39">
        <v>20.0</v>
      </c>
      <c r="N20" s="39">
        <v>50.0</v>
      </c>
      <c r="O20" s="39">
        <v>45.0</v>
      </c>
      <c r="P20" s="39">
        <v>12.0</v>
      </c>
      <c r="Q20" s="39">
        <v>20.0</v>
      </c>
      <c r="R20" s="63"/>
      <c r="S20" s="63"/>
      <c r="T20" s="63"/>
      <c r="U20" s="63"/>
      <c r="V20" s="63"/>
      <c r="W20" s="63"/>
      <c r="X20" s="63"/>
      <c r="Y20" s="63"/>
      <c r="Z20" s="63"/>
    </row>
    <row r="21">
      <c r="A21" s="39" t="s">
        <v>545</v>
      </c>
      <c r="B21" s="39">
        <v>75707.0</v>
      </c>
      <c r="C21" s="39" t="s">
        <v>546</v>
      </c>
      <c r="D21" s="39" t="s">
        <v>271</v>
      </c>
      <c r="E21" s="39" t="s">
        <v>547</v>
      </c>
      <c r="F21" s="39" t="s">
        <v>501</v>
      </c>
      <c r="G21" s="39">
        <v>100.0</v>
      </c>
      <c r="H21" s="39">
        <v>100.0</v>
      </c>
      <c r="I21" s="39">
        <v>0.0</v>
      </c>
      <c r="J21" s="39">
        <v>0.0</v>
      </c>
      <c r="K21" s="39">
        <v>0.0</v>
      </c>
      <c r="L21" s="39">
        <v>0.0</v>
      </c>
      <c r="M21" s="39">
        <v>20.0</v>
      </c>
      <c r="N21" s="39">
        <v>50.0</v>
      </c>
      <c r="O21" s="39">
        <v>45.0</v>
      </c>
      <c r="P21" s="39">
        <v>12.0</v>
      </c>
      <c r="Q21" s="39">
        <v>20.0</v>
      </c>
      <c r="R21" s="63"/>
      <c r="S21" s="63"/>
      <c r="T21" s="63"/>
      <c r="U21" s="63"/>
      <c r="V21" s="63"/>
      <c r="W21" s="63"/>
      <c r="X21" s="63"/>
      <c r="Y21" s="63"/>
      <c r="Z21" s="63"/>
    </row>
    <row r="22">
      <c r="A22" s="39" t="s">
        <v>548</v>
      </c>
      <c r="B22" s="39">
        <v>48574.0</v>
      </c>
      <c r="C22" s="39" t="s">
        <v>549</v>
      </c>
      <c r="D22" s="39" t="s">
        <v>272</v>
      </c>
      <c r="E22" s="39" t="s">
        <v>550</v>
      </c>
      <c r="F22" s="39" t="s">
        <v>491</v>
      </c>
      <c r="G22" s="39">
        <v>100.0</v>
      </c>
      <c r="H22" s="39">
        <v>100.0</v>
      </c>
      <c r="I22" s="39">
        <v>18.0</v>
      </c>
      <c r="J22" s="39">
        <v>0.0</v>
      </c>
      <c r="K22" s="39">
        <v>0.0</v>
      </c>
      <c r="L22" s="39">
        <v>30.0</v>
      </c>
      <c r="M22" s="39">
        <v>20.0</v>
      </c>
      <c r="N22" s="39">
        <v>50.0</v>
      </c>
      <c r="O22" s="39">
        <v>45.0</v>
      </c>
      <c r="P22" s="39">
        <v>12.0</v>
      </c>
      <c r="Q22" s="39">
        <v>20.0</v>
      </c>
      <c r="R22" s="63"/>
      <c r="S22" s="63"/>
      <c r="T22" s="63"/>
      <c r="U22" s="63"/>
      <c r="V22" s="63"/>
      <c r="W22" s="63"/>
      <c r="X22" s="63"/>
      <c r="Y22" s="63"/>
      <c r="Z22" s="63"/>
    </row>
    <row r="23">
      <c r="A23" s="39" t="s">
        <v>551</v>
      </c>
      <c r="B23" s="39">
        <v>48572.0</v>
      </c>
      <c r="C23" s="39" t="s">
        <v>552</v>
      </c>
      <c r="D23" s="39" t="s">
        <v>273</v>
      </c>
      <c r="E23" s="39" t="s">
        <v>553</v>
      </c>
      <c r="F23" s="39" t="s">
        <v>491</v>
      </c>
      <c r="G23" s="39">
        <v>100.0</v>
      </c>
      <c r="H23" s="39">
        <v>100.0</v>
      </c>
      <c r="I23" s="39">
        <v>33.0</v>
      </c>
      <c r="J23" s="39">
        <v>9.0</v>
      </c>
      <c r="K23" s="39">
        <v>40.0</v>
      </c>
      <c r="L23" s="39">
        <v>0.0</v>
      </c>
      <c r="M23" s="39">
        <v>20.0</v>
      </c>
      <c r="N23" s="39">
        <v>50.0</v>
      </c>
      <c r="O23" s="39">
        <v>45.0</v>
      </c>
      <c r="P23" s="39">
        <v>12.0</v>
      </c>
      <c r="Q23" s="39">
        <v>20.0</v>
      </c>
      <c r="R23" s="63"/>
      <c r="S23" s="63"/>
      <c r="T23" s="63"/>
      <c r="U23" s="63"/>
      <c r="V23" s="63"/>
      <c r="W23" s="63"/>
      <c r="X23" s="63"/>
      <c r="Y23" s="63"/>
      <c r="Z23" s="63"/>
    </row>
    <row r="24">
      <c r="A24" s="39" t="s">
        <v>554</v>
      </c>
      <c r="B24" s="39">
        <v>25723.0</v>
      </c>
      <c r="C24" s="39" t="s">
        <v>555</v>
      </c>
      <c r="D24" s="39" t="s">
        <v>274</v>
      </c>
      <c r="E24" s="39" t="s">
        <v>556</v>
      </c>
      <c r="F24" s="39" t="s">
        <v>491</v>
      </c>
      <c r="G24" s="39">
        <v>100.0</v>
      </c>
      <c r="H24" s="39">
        <v>100.0</v>
      </c>
      <c r="I24" s="39">
        <v>0.0</v>
      </c>
      <c r="J24" s="39">
        <v>0.0</v>
      </c>
      <c r="K24" s="39">
        <v>0.0</v>
      </c>
      <c r="L24" s="39">
        <v>0.0</v>
      </c>
      <c r="M24" s="39">
        <v>20.0</v>
      </c>
      <c r="N24" s="39">
        <v>50.0</v>
      </c>
      <c r="O24" s="39">
        <v>45.0</v>
      </c>
      <c r="P24" s="39">
        <v>12.0</v>
      </c>
      <c r="Q24" s="39">
        <v>20.0</v>
      </c>
      <c r="R24" s="63"/>
      <c r="S24" s="63"/>
      <c r="T24" s="63"/>
      <c r="U24" s="63"/>
      <c r="V24" s="63"/>
      <c r="W24" s="63"/>
      <c r="X24" s="63"/>
      <c r="Y24" s="63"/>
      <c r="Z24" s="63"/>
    </row>
    <row r="25">
      <c r="A25" s="39" t="s">
        <v>557</v>
      </c>
      <c r="B25" s="39">
        <v>25753.0</v>
      </c>
      <c r="C25" s="39" t="s">
        <v>558</v>
      </c>
      <c r="D25" s="39" t="s">
        <v>275</v>
      </c>
      <c r="E25" s="39" t="s">
        <v>559</v>
      </c>
      <c r="F25" s="39" t="s">
        <v>505</v>
      </c>
      <c r="G25" s="39">
        <v>100.0</v>
      </c>
      <c r="H25" s="39">
        <v>100.0</v>
      </c>
      <c r="I25" s="39">
        <v>0.0</v>
      </c>
      <c r="J25" s="39">
        <v>0.0</v>
      </c>
      <c r="K25" s="39">
        <v>0.0</v>
      </c>
      <c r="L25" s="39">
        <v>0.0</v>
      </c>
      <c r="M25" s="39">
        <v>20.0</v>
      </c>
      <c r="N25" s="39">
        <v>50.0</v>
      </c>
      <c r="O25" s="39">
        <v>45.0</v>
      </c>
      <c r="P25" s="39">
        <v>12.0</v>
      </c>
      <c r="Q25" s="39">
        <v>20.0</v>
      </c>
      <c r="R25" s="63"/>
      <c r="S25" s="63"/>
      <c r="T25" s="63"/>
      <c r="U25" s="63"/>
      <c r="V25" s="63"/>
      <c r="W25" s="63"/>
      <c r="X25" s="63"/>
      <c r="Y25" s="63"/>
      <c r="Z25" s="63"/>
    </row>
    <row r="26">
      <c r="A26" s="39" t="s">
        <v>560</v>
      </c>
      <c r="B26" s="39">
        <v>75696.0</v>
      </c>
      <c r="C26" s="39" t="s">
        <v>561</v>
      </c>
      <c r="D26" s="39" t="s">
        <v>276</v>
      </c>
      <c r="E26" s="39" t="s">
        <v>562</v>
      </c>
      <c r="F26" s="39" t="s">
        <v>505</v>
      </c>
      <c r="G26" s="39">
        <v>100.0</v>
      </c>
      <c r="H26" s="39">
        <v>100.0</v>
      </c>
      <c r="I26" s="39">
        <v>0.0</v>
      </c>
      <c r="J26" s="39">
        <v>0.0</v>
      </c>
      <c r="K26" s="39">
        <v>0.0</v>
      </c>
      <c r="L26" s="39">
        <v>0.0</v>
      </c>
      <c r="M26" s="39">
        <v>20.0</v>
      </c>
      <c r="N26" s="39">
        <v>50.0</v>
      </c>
      <c r="O26" s="39">
        <v>45.0</v>
      </c>
      <c r="P26" s="39">
        <v>12.0</v>
      </c>
      <c r="Q26" s="39">
        <v>20.0</v>
      </c>
      <c r="R26" s="63"/>
      <c r="S26" s="63"/>
      <c r="T26" s="63"/>
      <c r="U26" s="63"/>
      <c r="V26" s="63"/>
      <c r="W26" s="63"/>
      <c r="X26" s="63"/>
      <c r="Y26" s="63"/>
      <c r="Z26" s="63"/>
    </row>
    <row r="27">
      <c r="A27" s="39" t="s">
        <v>563</v>
      </c>
      <c r="B27" s="39">
        <v>25743.0</v>
      </c>
      <c r="C27" s="39" t="s">
        <v>564</v>
      </c>
      <c r="D27" s="39" t="s">
        <v>277</v>
      </c>
      <c r="E27" s="39" t="s">
        <v>565</v>
      </c>
      <c r="F27" s="39" t="s">
        <v>505</v>
      </c>
      <c r="G27" s="39">
        <v>100.0</v>
      </c>
      <c r="H27" s="39">
        <v>100.0</v>
      </c>
      <c r="I27" s="39">
        <v>0.0</v>
      </c>
      <c r="J27" s="39">
        <v>0.0</v>
      </c>
      <c r="K27" s="39">
        <v>0.0</v>
      </c>
      <c r="L27" s="39">
        <v>0.0</v>
      </c>
      <c r="M27" s="39">
        <v>20.0</v>
      </c>
      <c r="N27" s="39">
        <v>50.0</v>
      </c>
      <c r="O27" s="39">
        <v>45.0</v>
      </c>
      <c r="P27" s="39">
        <v>12.0</v>
      </c>
      <c r="Q27" s="39">
        <v>20.0</v>
      </c>
      <c r="R27" s="63"/>
      <c r="S27" s="63"/>
      <c r="T27" s="63"/>
      <c r="U27" s="63"/>
      <c r="V27" s="63"/>
      <c r="W27" s="63"/>
      <c r="X27" s="63"/>
      <c r="Y27" s="63"/>
      <c r="Z27" s="63"/>
    </row>
    <row r="28">
      <c r="A28" s="39" t="s">
        <v>566</v>
      </c>
      <c r="B28" s="39">
        <v>76893.0</v>
      </c>
      <c r="C28" s="39" t="s">
        <v>567</v>
      </c>
      <c r="D28" s="39" t="s">
        <v>278</v>
      </c>
      <c r="E28" s="39" t="s">
        <v>568</v>
      </c>
      <c r="F28" s="39" t="s">
        <v>501</v>
      </c>
      <c r="G28" s="39">
        <v>100.0</v>
      </c>
      <c r="H28" s="39">
        <v>100.0</v>
      </c>
      <c r="I28" s="39">
        <v>0.0</v>
      </c>
      <c r="J28" s="39">
        <v>0.0</v>
      </c>
      <c r="K28" s="39">
        <v>40.0</v>
      </c>
      <c r="L28" s="39">
        <v>30.0</v>
      </c>
      <c r="M28" s="39">
        <v>20.0</v>
      </c>
      <c r="N28" s="39">
        <v>50.0</v>
      </c>
      <c r="O28" s="39">
        <v>45.0</v>
      </c>
      <c r="P28" s="39">
        <v>12.0</v>
      </c>
      <c r="Q28" s="39">
        <v>20.0</v>
      </c>
      <c r="R28" s="63"/>
      <c r="S28" s="63"/>
      <c r="T28" s="63"/>
      <c r="U28" s="63"/>
      <c r="V28" s="63"/>
      <c r="W28" s="63"/>
      <c r="X28" s="63"/>
      <c r="Y28" s="63"/>
      <c r="Z28" s="63"/>
    </row>
    <row r="29">
      <c r="A29" s="39" t="s">
        <v>569</v>
      </c>
      <c r="B29" s="39">
        <v>56254.0</v>
      </c>
      <c r="C29" s="39" t="s">
        <v>570</v>
      </c>
      <c r="D29" s="39" t="s">
        <v>279</v>
      </c>
      <c r="E29" s="39" t="s">
        <v>571</v>
      </c>
      <c r="F29" s="39" t="s">
        <v>491</v>
      </c>
      <c r="G29" s="39">
        <v>100.0</v>
      </c>
      <c r="H29" s="39">
        <v>100.0</v>
      </c>
      <c r="I29" s="39">
        <v>0.0</v>
      </c>
      <c r="J29" s="39">
        <v>0.0</v>
      </c>
      <c r="K29" s="39">
        <v>0.0</v>
      </c>
      <c r="L29" s="39">
        <v>0.0</v>
      </c>
      <c r="M29" s="39">
        <v>20.0</v>
      </c>
      <c r="N29" s="39">
        <v>50.0</v>
      </c>
      <c r="O29" s="39">
        <v>45.0</v>
      </c>
      <c r="P29" s="39">
        <v>12.0</v>
      </c>
      <c r="Q29" s="39">
        <v>20.0</v>
      </c>
      <c r="R29" s="63"/>
      <c r="S29" s="63"/>
      <c r="T29" s="63"/>
      <c r="U29" s="63"/>
      <c r="V29" s="63"/>
      <c r="W29" s="63"/>
      <c r="X29" s="63"/>
      <c r="Y29" s="63"/>
      <c r="Z29" s="63"/>
    </row>
    <row r="30">
      <c r="A30" s="39" t="s">
        <v>572</v>
      </c>
      <c r="B30" s="39">
        <v>25860.0</v>
      </c>
      <c r="C30" s="39" t="s">
        <v>573</v>
      </c>
      <c r="D30" s="39" t="s">
        <v>280</v>
      </c>
      <c r="E30" s="39" t="s">
        <v>574</v>
      </c>
      <c r="F30" s="39" t="s">
        <v>491</v>
      </c>
      <c r="G30" s="39">
        <v>100.0</v>
      </c>
      <c r="H30" s="39">
        <v>100.0</v>
      </c>
      <c r="I30" s="39">
        <v>24.0</v>
      </c>
      <c r="J30" s="39">
        <v>9.0</v>
      </c>
      <c r="K30" s="39">
        <v>25.0</v>
      </c>
      <c r="L30" s="39">
        <v>30.0</v>
      </c>
      <c r="M30" s="39">
        <v>20.0</v>
      </c>
      <c r="N30" s="39">
        <v>50.0</v>
      </c>
      <c r="O30" s="39">
        <v>45.0</v>
      </c>
      <c r="P30" s="39">
        <v>12.0</v>
      </c>
      <c r="Q30" s="39">
        <v>20.0</v>
      </c>
      <c r="R30" s="63"/>
      <c r="S30" s="63"/>
      <c r="T30" s="63"/>
      <c r="U30" s="63"/>
      <c r="V30" s="63"/>
      <c r="W30" s="63"/>
      <c r="X30" s="63"/>
      <c r="Y30" s="63"/>
      <c r="Z30" s="63"/>
    </row>
    <row r="31">
      <c r="A31" s="39" t="s">
        <v>575</v>
      </c>
      <c r="B31" s="39">
        <v>48601.0</v>
      </c>
      <c r="C31" s="39" t="s">
        <v>576</v>
      </c>
      <c r="D31" s="39" t="s">
        <v>281</v>
      </c>
      <c r="E31" s="39" t="s">
        <v>577</v>
      </c>
      <c r="F31" s="39" t="s">
        <v>501</v>
      </c>
      <c r="G31" s="39">
        <v>100.0</v>
      </c>
      <c r="H31" s="39">
        <v>100.0</v>
      </c>
      <c r="I31" s="39">
        <v>0.0</v>
      </c>
      <c r="J31" s="39">
        <v>0.0</v>
      </c>
      <c r="K31" s="39">
        <v>0.0</v>
      </c>
      <c r="L31" s="39">
        <v>30.0</v>
      </c>
      <c r="M31" s="39">
        <v>20.0</v>
      </c>
      <c r="N31" s="39">
        <v>50.0</v>
      </c>
      <c r="O31" s="39">
        <v>45.0</v>
      </c>
      <c r="P31" s="39">
        <v>12.0</v>
      </c>
      <c r="Q31" s="39">
        <v>20.0</v>
      </c>
      <c r="R31" s="63"/>
      <c r="S31" s="63"/>
      <c r="T31" s="63"/>
      <c r="U31" s="63"/>
      <c r="V31" s="63"/>
      <c r="W31" s="63"/>
      <c r="X31" s="63"/>
      <c r="Y31" s="63"/>
      <c r="Z31" s="63"/>
    </row>
    <row r="32">
      <c r="A32" s="39" t="s">
        <v>578</v>
      </c>
      <c r="B32" s="39">
        <v>49607.0</v>
      </c>
      <c r="C32" s="39" t="s">
        <v>579</v>
      </c>
      <c r="D32" s="39" t="s">
        <v>282</v>
      </c>
      <c r="E32" s="39" t="s">
        <v>580</v>
      </c>
      <c r="F32" s="39" t="s">
        <v>505</v>
      </c>
      <c r="G32" s="39">
        <v>100.0</v>
      </c>
      <c r="H32" s="39">
        <v>100.0</v>
      </c>
      <c r="I32" s="39">
        <v>0.0</v>
      </c>
      <c r="J32" s="39">
        <v>0.0</v>
      </c>
      <c r="K32" s="39">
        <v>0.0</v>
      </c>
      <c r="L32" s="63"/>
      <c r="M32" s="39">
        <v>20.0</v>
      </c>
      <c r="N32" s="39">
        <v>50.0</v>
      </c>
      <c r="O32" s="39">
        <v>45.0</v>
      </c>
      <c r="P32" s="39">
        <v>12.0</v>
      </c>
      <c r="Q32" s="39">
        <v>20.0</v>
      </c>
      <c r="R32" s="63"/>
      <c r="S32" s="63"/>
      <c r="T32" s="63"/>
      <c r="U32" s="63"/>
      <c r="V32" s="63"/>
      <c r="W32" s="63"/>
      <c r="X32" s="63"/>
      <c r="Y32" s="63"/>
      <c r="Z32" s="63"/>
    </row>
    <row r="33">
      <c r="A33" s="39" t="s">
        <v>581</v>
      </c>
      <c r="B33" s="39">
        <v>51227.0</v>
      </c>
      <c r="C33" s="39" t="s">
        <v>582</v>
      </c>
      <c r="D33" s="39" t="s">
        <v>283</v>
      </c>
      <c r="E33" s="39" t="s">
        <v>583</v>
      </c>
      <c r="F33" s="39" t="s">
        <v>491</v>
      </c>
      <c r="G33" s="39">
        <v>100.0</v>
      </c>
      <c r="H33" s="39">
        <v>100.0</v>
      </c>
      <c r="I33" s="39">
        <v>27.0</v>
      </c>
      <c r="J33" s="39">
        <v>0.0</v>
      </c>
      <c r="K33" s="39">
        <v>30.0</v>
      </c>
      <c r="L33" s="63"/>
      <c r="M33" s="39">
        <v>20.0</v>
      </c>
      <c r="N33" s="39">
        <v>50.0</v>
      </c>
      <c r="O33" s="39">
        <v>45.0</v>
      </c>
      <c r="P33" s="39">
        <v>12.0</v>
      </c>
      <c r="Q33" s="39">
        <v>20.0</v>
      </c>
      <c r="R33" s="63"/>
      <c r="S33" s="63"/>
      <c r="T33" s="63"/>
      <c r="U33" s="63"/>
      <c r="V33" s="63"/>
      <c r="W33" s="63"/>
      <c r="X33" s="63"/>
      <c r="Y33" s="63"/>
      <c r="Z33" s="63"/>
    </row>
    <row r="34">
      <c r="A34" s="39" t="s">
        <v>584</v>
      </c>
      <c r="B34" s="39">
        <v>76488.0</v>
      </c>
      <c r="C34" s="39" t="s">
        <v>585</v>
      </c>
      <c r="D34" s="39" t="s">
        <v>284</v>
      </c>
      <c r="E34" s="39" t="s">
        <v>586</v>
      </c>
      <c r="F34" s="39" t="s">
        <v>501</v>
      </c>
      <c r="G34" s="39">
        <v>100.0</v>
      </c>
      <c r="H34" s="39">
        <v>100.0</v>
      </c>
      <c r="I34" s="39">
        <v>23.0</v>
      </c>
      <c r="J34" s="39">
        <v>0.0</v>
      </c>
      <c r="K34" s="39">
        <v>0.0</v>
      </c>
      <c r="L34" s="39">
        <v>30.0</v>
      </c>
      <c r="M34" s="39">
        <v>20.0</v>
      </c>
      <c r="N34" s="39">
        <v>50.0</v>
      </c>
      <c r="O34" s="39">
        <v>45.0</v>
      </c>
      <c r="P34" s="39">
        <v>12.0</v>
      </c>
      <c r="Q34" s="39">
        <v>20.0</v>
      </c>
      <c r="R34" s="63"/>
      <c r="S34" s="63"/>
      <c r="T34" s="63"/>
      <c r="U34" s="63"/>
      <c r="V34" s="63"/>
      <c r="W34" s="63"/>
      <c r="X34" s="63"/>
      <c r="Y34" s="63"/>
      <c r="Z34" s="63"/>
    </row>
    <row r="35">
      <c r="A35" s="39" t="s">
        <v>587</v>
      </c>
      <c r="B35" s="39">
        <v>25905.0</v>
      </c>
      <c r="C35" s="39" t="s">
        <v>588</v>
      </c>
      <c r="D35" s="39" t="s">
        <v>285</v>
      </c>
      <c r="E35" s="39" t="s">
        <v>589</v>
      </c>
      <c r="F35" s="39" t="s">
        <v>491</v>
      </c>
      <c r="G35" s="39">
        <v>100.0</v>
      </c>
      <c r="H35" s="39">
        <v>100.0</v>
      </c>
      <c r="I35" s="39">
        <v>24.0</v>
      </c>
      <c r="J35" s="39">
        <v>0.0</v>
      </c>
      <c r="K35" s="39">
        <v>35.0</v>
      </c>
      <c r="L35" s="39">
        <v>0.0</v>
      </c>
      <c r="M35" s="39">
        <v>20.0</v>
      </c>
      <c r="N35" s="39">
        <v>50.0</v>
      </c>
      <c r="O35" s="39">
        <v>45.0</v>
      </c>
      <c r="P35" s="39">
        <v>12.0</v>
      </c>
      <c r="Q35" s="39">
        <v>20.0</v>
      </c>
      <c r="R35" s="63"/>
      <c r="S35" s="63"/>
      <c r="T35" s="63"/>
      <c r="U35" s="63"/>
      <c r="V35" s="63"/>
      <c r="W35" s="63"/>
      <c r="X35" s="63"/>
      <c r="Y35" s="63"/>
      <c r="Z35" s="63"/>
    </row>
    <row r="36">
      <c r="A36" s="39" t="s">
        <v>590</v>
      </c>
      <c r="B36" s="39">
        <v>25906.0</v>
      </c>
      <c r="C36" s="39" t="s">
        <v>591</v>
      </c>
      <c r="D36" s="39" t="s">
        <v>286</v>
      </c>
      <c r="E36" s="39" t="s">
        <v>592</v>
      </c>
      <c r="F36" s="39" t="s">
        <v>501</v>
      </c>
      <c r="G36" s="39">
        <v>100.0</v>
      </c>
      <c r="H36" s="39">
        <v>100.0</v>
      </c>
      <c r="I36" s="39">
        <v>32.0</v>
      </c>
      <c r="J36" s="39">
        <v>0.0</v>
      </c>
      <c r="K36" s="39">
        <v>40.0</v>
      </c>
      <c r="L36" s="39">
        <v>0.0</v>
      </c>
      <c r="M36" s="39">
        <v>20.0</v>
      </c>
      <c r="N36" s="39">
        <v>50.0</v>
      </c>
      <c r="O36" s="39">
        <v>45.0</v>
      </c>
      <c r="P36" s="39">
        <v>12.0</v>
      </c>
      <c r="Q36" s="39">
        <v>20.0</v>
      </c>
      <c r="R36" s="63"/>
      <c r="S36" s="63"/>
      <c r="T36" s="63"/>
      <c r="U36" s="63"/>
      <c r="V36" s="63"/>
      <c r="W36" s="63"/>
      <c r="X36" s="63"/>
      <c r="Y36" s="63"/>
      <c r="Z36" s="63"/>
    </row>
    <row r="37">
      <c r="A37" s="39" t="s">
        <v>593</v>
      </c>
      <c r="B37" s="39">
        <v>75764.0</v>
      </c>
      <c r="C37" s="39" t="s">
        <v>594</v>
      </c>
      <c r="D37" s="39" t="s">
        <v>287</v>
      </c>
      <c r="E37" s="39" t="s">
        <v>595</v>
      </c>
      <c r="F37" s="39" t="s">
        <v>505</v>
      </c>
      <c r="G37" s="39">
        <v>100.0</v>
      </c>
      <c r="H37" s="39">
        <v>100.0</v>
      </c>
      <c r="I37" s="39">
        <v>27.0</v>
      </c>
      <c r="J37" s="39">
        <v>0.0</v>
      </c>
      <c r="K37" s="39">
        <v>0.0</v>
      </c>
      <c r="L37" s="39">
        <v>0.0</v>
      </c>
      <c r="M37" s="39">
        <v>20.0</v>
      </c>
      <c r="N37" s="39">
        <v>50.0</v>
      </c>
      <c r="O37" s="39">
        <v>45.0</v>
      </c>
      <c r="P37" s="39">
        <v>12.0</v>
      </c>
      <c r="Q37" s="39">
        <v>20.0</v>
      </c>
      <c r="R37" s="63"/>
      <c r="S37" s="63"/>
      <c r="T37" s="63"/>
      <c r="U37" s="63"/>
      <c r="V37" s="63"/>
      <c r="W37" s="63"/>
      <c r="X37" s="63"/>
      <c r="Y37" s="63"/>
      <c r="Z37" s="63"/>
    </row>
    <row r="38">
      <c r="A38" s="39" t="s">
        <v>596</v>
      </c>
      <c r="B38" s="39">
        <v>25794.0</v>
      </c>
      <c r="C38" s="39" t="s">
        <v>597</v>
      </c>
      <c r="D38" s="39" t="s">
        <v>288</v>
      </c>
      <c r="E38" s="39" t="s">
        <v>598</v>
      </c>
      <c r="F38" s="39" t="s">
        <v>501</v>
      </c>
      <c r="G38" s="39">
        <v>100.0</v>
      </c>
      <c r="H38" s="39">
        <v>100.0</v>
      </c>
      <c r="I38" s="39">
        <v>32.0</v>
      </c>
      <c r="J38" s="39">
        <v>0.0</v>
      </c>
      <c r="K38" s="39">
        <v>40.0</v>
      </c>
      <c r="L38" s="39">
        <v>30.0</v>
      </c>
      <c r="M38" s="39">
        <v>20.0</v>
      </c>
      <c r="N38" s="39">
        <v>50.0</v>
      </c>
      <c r="O38" s="39">
        <v>45.0</v>
      </c>
      <c r="P38" s="39">
        <v>12.0</v>
      </c>
      <c r="Q38" s="39">
        <v>20.0</v>
      </c>
      <c r="R38" s="63"/>
      <c r="S38" s="63"/>
      <c r="T38" s="63"/>
      <c r="U38" s="63"/>
      <c r="V38" s="63"/>
      <c r="W38" s="63"/>
      <c r="X38" s="63"/>
      <c r="Y38" s="63"/>
      <c r="Z38" s="63"/>
    </row>
    <row r="39">
      <c r="A39" s="39" t="s">
        <v>603</v>
      </c>
      <c r="B39" s="39">
        <v>49608.0</v>
      </c>
      <c r="C39" s="39" t="s">
        <v>604</v>
      </c>
      <c r="D39" s="39" t="s">
        <v>289</v>
      </c>
      <c r="E39" s="39" t="s">
        <v>605</v>
      </c>
      <c r="F39" s="39" t="s">
        <v>491</v>
      </c>
      <c r="G39" s="39">
        <v>100.0</v>
      </c>
      <c r="H39" s="39">
        <v>100.0</v>
      </c>
      <c r="I39" s="39">
        <v>13.0</v>
      </c>
      <c r="J39" s="39">
        <v>0.0</v>
      </c>
      <c r="K39" s="39">
        <v>0.0</v>
      </c>
      <c r="L39" s="39">
        <v>0.0</v>
      </c>
      <c r="M39" s="39">
        <v>20.0</v>
      </c>
      <c r="N39" s="39">
        <v>50.0</v>
      </c>
      <c r="O39" s="39">
        <v>45.0</v>
      </c>
      <c r="P39" s="39">
        <v>12.0</v>
      </c>
      <c r="Q39" s="39">
        <v>20.0</v>
      </c>
      <c r="R39" s="63"/>
      <c r="S39" s="63"/>
      <c r="T39" s="63"/>
      <c r="U39" s="63"/>
      <c r="V39" s="63"/>
      <c r="W39" s="63"/>
      <c r="X39" s="63"/>
      <c r="Y39" s="63"/>
      <c r="Z39" s="63"/>
    </row>
    <row r="40">
      <c r="A40" s="39" t="s">
        <v>606</v>
      </c>
      <c r="B40" s="39">
        <v>48520.0</v>
      </c>
      <c r="C40" s="39" t="s">
        <v>607</v>
      </c>
      <c r="D40" s="39" t="s">
        <v>290</v>
      </c>
      <c r="E40" s="39" t="s">
        <v>608</v>
      </c>
      <c r="F40" s="39" t="s">
        <v>491</v>
      </c>
      <c r="G40" s="39">
        <v>100.0</v>
      </c>
      <c r="H40" s="39">
        <v>100.0</v>
      </c>
      <c r="I40" s="39">
        <v>0.0</v>
      </c>
      <c r="J40" s="39">
        <v>0.0</v>
      </c>
      <c r="K40" s="39">
        <v>0.0</v>
      </c>
      <c r="L40" s="39">
        <v>0.0</v>
      </c>
      <c r="M40" s="39">
        <v>20.0</v>
      </c>
      <c r="N40" s="39">
        <v>50.0</v>
      </c>
      <c r="O40" s="39">
        <v>45.0</v>
      </c>
      <c r="P40" s="39">
        <v>12.0</v>
      </c>
      <c r="Q40" s="39">
        <v>20.0</v>
      </c>
      <c r="R40" s="63"/>
      <c r="S40" s="63"/>
      <c r="T40" s="63"/>
      <c r="U40" s="63"/>
      <c r="V40" s="63"/>
      <c r="W40" s="63"/>
      <c r="X40" s="63"/>
      <c r="Y40" s="63"/>
      <c r="Z40" s="63"/>
    </row>
    <row r="41">
      <c r="A41" s="39" t="s">
        <v>609</v>
      </c>
      <c r="B41" s="39">
        <v>25787.0</v>
      </c>
      <c r="C41" s="39" t="s">
        <v>610</v>
      </c>
      <c r="D41" s="39" t="s">
        <v>611</v>
      </c>
      <c r="E41" s="39" t="s">
        <v>612</v>
      </c>
      <c r="F41" s="39" t="s">
        <v>501</v>
      </c>
      <c r="G41" s="39">
        <v>100.0</v>
      </c>
      <c r="H41" s="39">
        <v>100.0</v>
      </c>
      <c r="I41" s="39">
        <v>18.0</v>
      </c>
      <c r="J41" s="39">
        <v>0.0</v>
      </c>
      <c r="K41" s="39">
        <v>30.0</v>
      </c>
      <c r="L41" s="39">
        <v>0.0</v>
      </c>
      <c r="M41" s="39">
        <v>20.0</v>
      </c>
      <c r="N41" s="39">
        <v>50.0</v>
      </c>
      <c r="O41" s="39">
        <v>45.0</v>
      </c>
      <c r="P41" s="39">
        <v>12.0</v>
      </c>
      <c r="Q41" s="39">
        <v>20.0</v>
      </c>
      <c r="R41" s="63"/>
      <c r="S41" s="63"/>
      <c r="T41" s="63"/>
      <c r="U41" s="63"/>
      <c r="V41" s="63"/>
      <c r="W41" s="63"/>
      <c r="X41" s="63"/>
      <c r="Y41" s="63"/>
      <c r="Z41" s="63"/>
    </row>
    <row r="42">
      <c r="A42" s="39" t="s">
        <v>613</v>
      </c>
      <c r="B42" s="39">
        <v>76491.0</v>
      </c>
      <c r="C42" s="39" t="s">
        <v>614</v>
      </c>
      <c r="D42" s="39" t="s">
        <v>291</v>
      </c>
      <c r="E42" s="39" t="s">
        <v>615</v>
      </c>
      <c r="F42" s="39" t="s">
        <v>505</v>
      </c>
      <c r="G42" s="39">
        <v>100.0</v>
      </c>
      <c r="H42" s="39">
        <v>100.0</v>
      </c>
      <c r="I42" s="39">
        <v>0.0</v>
      </c>
      <c r="J42" s="39">
        <v>0.0</v>
      </c>
      <c r="K42" s="39">
        <v>30.0</v>
      </c>
      <c r="L42" s="39">
        <v>0.0</v>
      </c>
      <c r="M42" s="39">
        <v>20.0</v>
      </c>
      <c r="N42" s="39">
        <v>50.0</v>
      </c>
      <c r="O42" s="39">
        <v>45.0</v>
      </c>
      <c r="P42" s="39">
        <v>12.0</v>
      </c>
      <c r="Q42" s="39">
        <v>20.0</v>
      </c>
      <c r="R42" s="63"/>
      <c r="S42" s="63"/>
      <c r="T42" s="63"/>
      <c r="U42" s="63"/>
      <c r="V42" s="63"/>
      <c r="W42" s="63"/>
      <c r="X42" s="63"/>
      <c r="Y42" s="63"/>
      <c r="Z42" s="63"/>
    </row>
    <row r="43">
      <c r="A43" s="39" t="s">
        <v>616</v>
      </c>
      <c r="B43" s="39">
        <v>25910.0</v>
      </c>
      <c r="C43" s="39" t="s">
        <v>617</v>
      </c>
      <c r="D43" s="39" t="s">
        <v>292</v>
      </c>
      <c r="E43" s="39" t="s">
        <v>618</v>
      </c>
      <c r="F43" s="39" t="s">
        <v>505</v>
      </c>
      <c r="G43" s="39">
        <v>100.0</v>
      </c>
      <c r="H43" s="39">
        <v>100.0</v>
      </c>
      <c r="I43" s="39">
        <v>27.0</v>
      </c>
      <c r="J43" s="39">
        <v>0.0</v>
      </c>
      <c r="K43" s="39">
        <v>0.0</v>
      </c>
      <c r="L43" s="39">
        <v>0.0</v>
      </c>
      <c r="M43" s="39">
        <v>20.0</v>
      </c>
      <c r="N43" s="39">
        <v>50.0</v>
      </c>
      <c r="O43" s="39">
        <v>45.0</v>
      </c>
      <c r="P43" s="39">
        <v>12.0</v>
      </c>
      <c r="Q43" s="39">
        <v>20.0</v>
      </c>
      <c r="R43" s="63"/>
      <c r="S43" s="63"/>
      <c r="T43" s="63"/>
      <c r="U43" s="63"/>
      <c r="V43" s="63"/>
      <c r="W43" s="63"/>
      <c r="X43" s="63"/>
      <c r="Y43" s="63"/>
      <c r="Z43" s="63"/>
    </row>
    <row r="44">
      <c r="A44" s="39" t="s">
        <v>2052</v>
      </c>
      <c r="B44" s="39">
        <v>75763.0</v>
      </c>
      <c r="C44" s="39" t="s">
        <v>2053</v>
      </c>
      <c r="D44" s="39" t="s">
        <v>448</v>
      </c>
      <c r="E44" s="39" t="s">
        <v>2054</v>
      </c>
      <c r="F44" s="39" t="s">
        <v>505</v>
      </c>
      <c r="G44" s="39">
        <v>100.0</v>
      </c>
      <c r="H44" s="39">
        <v>100.0</v>
      </c>
      <c r="I44" s="39">
        <v>0.0</v>
      </c>
      <c r="J44" s="39">
        <v>0.0</v>
      </c>
      <c r="K44" s="39">
        <v>0.0</v>
      </c>
      <c r="L44" s="39">
        <v>30.0</v>
      </c>
      <c r="M44" s="39">
        <v>20.0</v>
      </c>
      <c r="N44" s="39">
        <v>50.0</v>
      </c>
      <c r="O44" s="39">
        <v>45.0</v>
      </c>
      <c r="P44" s="39">
        <v>12.0</v>
      </c>
      <c r="Q44" s="39">
        <v>20.0</v>
      </c>
      <c r="R44" s="63"/>
      <c r="S44" s="63"/>
      <c r="T44" s="63"/>
      <c r="U44" s="63"/>
      <c r="V44" s="63"/>
      <c r="W44" s="63"/>
      <c r="X44" s="63"/>
      <c r="Y44" s="63"/>
      <c r="Z44" s="63"/>
    </row>
    <row r="45">
      <c r="A45" s="39" t="s">
        <v>619</v>
      </c>
      <c r="B45" s="39">
        <v>25574.0</v>
      </c>
      <c r="C45" s="39" t="s">
        <v>620</v>
      </c>
      <c r="D45" s="39" t="s">
        <v>293</v>
      </c>
      <c r="E45" s="39" t="s">
        <v>621</v>
      </c>
      <c r="F45" s="39" t="s">
        <v>501</v>
      </c>
      <c r="G45" s="39">
        <v>100.0</v>
      </c>
      <c r="H45" s="39">
        <v>100.0</v>
      </c>
      <c r="I45" s="39">
        <v>18.0</v>
      </c>
      <c r="J45" s="39">
        <v>0.0</v>
      </c>
      <c r="K45" s="39">
        <v>0.0</v>
      </c>
      <c r="L45" s="39">
        <v>0.0</v>
      </c>
      <c r="M45" s="39">
        <v>20.0</v>
      </c>
      <c r="N45" s="39">
        <v>50.0</v>
      </c>
      <c r="O45" s="39">
        <v>45.0</v>
      </c>
      <c r="P45" s="39">
        <v>12.0</v>
      </c>
      <c r="Q45" s="39">
        <v>20.0</v>
      </c>
      <c r="R45" s="63"/>
      <c r="S45" s="63"/>
      <c r="T45" s="63"/>
      <c r="U45" s="63"/>
      <c r="V45" s="63"/>
      <c r="W45" s="63"/>
      <c r="X45" s="63"/>
      <c r="Y45" s="63"/>
      <c r="Z45" s="63"/>
    </row>
    <row r="46">
      <c r="A46" s="39" t="s">
        <v>622</v>
      </c>
      <c r="B46" s="39">
        <v>25578.0</v>
      </c>
      <c r="C46" s="39" t="s">
        <v>623</v>
      </c>
      <c r="D46" s="39" t="s">
        <v>294</v>
      </c>
      <c r="E46" s="39" t="s">
        <v>624</v>
      </c>
      <c r="F46" s="39" t="s">
        <v>491</v>
      </c>
      <c r="G46" s="39">
        <v>100.0</v>
      </c>
      <c r="H46" s="39">
        <v>100.0</v>
      </c>
      <c r="I46" s="39">
        <v>18.0</v>
      </c>
      <c r="J46" s="39">
        <v>0.0</v>
      </c>
      <c r="K46" s="39">
        <v>35.0</v>
      </c>
      <c r="L46" s="39">
        <v>0.0</v>
      </c>
      <c r="M46" s="39">
        <v>20.0</v>
      </c>
      <c r="N46" s="39">
        <v>50.0</v>
      </c>
      <c r="O46" s="39">
        <v>45.0</v>
      </c>
      <c r="P46" s="39">
        <v>12.0</v>
      </c>
      <c r="Q46" s="39">
        <v>20.0</v>
      </c>
      <c r="R46" s="63"/>
      <c r="S46" s="63"/>
      <c r="T46" s="63"/>
      <c r="U46" s="63"/>
      <c r="V46" s="63"/>
      <c r="W46" s="63"/>
      <c r="X46" s="63"/>
      <c r="Y46" s="63"/>
      <c r="Z46" s="63"/>
    </row>
    <row r="47">
      <c r="A47" s="39" t="s">
        <v>625</v>
      </c>
      <c r="B47" s="39">
        <v>40848.0</v>
      </c>
      <c r="C47" s="39" t="s">
        <v>626</v>
      </c>
      <c r="D47" s="39" t="s">
        <v>295</v>
      </c>
      <c r="E47" s="39" t="s">
        <v>627</v>
      </c>
      <c r="F47" s="39" t="s">
        <v>505</v>
      </c>
      <c r="G47" s="39">
        <v>100.0</v>
      </c>
      <c r="H47" s="39">
        <v>100.0</v>
      </c>
      <c r="I47" s="39">
        <v>27.0</v>
      </c>
      <c r="J47" s="39">
        <v>0.0</v>
      </c>
      <c r="K47" s="39">
        <v>0.0</v>
      </c>
      <c r="L47" s="39">
        <v>0.0</v>
      </c>
      <c r="M47" s="39">
        <v>20.0</v>
      </c>
      <c r="N47" s="39">
        <v>50.0</v>
      </c>
      <c r="O47" s="39">
        <v>45.0</v>
      </c>
      <c r="P47" s="39">
        <v>12.0</v>
      </c>
      <c r="Q47" s="39">
        <v>20.0</v>
      </c>
      <c r="R47" s="63"/>
      <c r="S47" s="63"/>
      <c r="T47" s="63"/>
      <c r="U47" s="63"/>
      <c r="V47" s="63"/>
      <c r="W47" s="63"/>
      <c r="X47" s="63"/>
      <c r="Y47" s="63"/>
      <c r="Z47" s="63"/>
    </row>
    <row r="48">
      <c r="A48" s="39" t="s">
        <v>628</v>
      </c>
      <c r="B48" s="39">
        <v>77252.0</v>
      </c>
      <c r="C48" s="39" t="s">
        <v>629</v>
      </c>
      <c r="D48" s="39" t="s">
        <v>296</v>
      </c>
      <c r="E48" s="39" t="s">
        <v>630</v>
      </c>
      <c r="F48" s="39" t="s">
        <v>505</v>
      </c>
      <c r="G48" s="39">
        <v>100.0</v>
      </c>
      <c r="H48" s="39">
        <v>100.0</v>
      </c>
      <c r="I48" s="39">
        <v>23.0</v>
      </c>
      <c r="J48" s="39">
        <v>0.0</v>
      </c>
      <c r="K48" s="39">
        <v>0.0</v>
      </c>
      <c r="L48" s="39">
        <v>0.0</v>
      </c>
      <c r="M48" s="39">
        <v>20.0</v>
      </c>
      <c r="N48" s="39">
        <v>50.0</v>
      </c>
      <c r="O48" s="39">
        <v>45.0</v>
      </c>
      <c r="P48" s="39">
        <v>12.0</v>
      </c>
      <c r="Q48" s="39">
        <v>20.0</v>
      </c>
      <c r="R48" s="63"/>
      <c r="S48" s="63"/>
      <c r="T48" s="63"/>
      <c r="U48" s="63"/>
      <c r="V48" s="63"/>
      <c r="W48" s="63"/>
      <c r="X48" s="63"/>
      <c r="Y48" s="63"/>
      <c r="Z48" s="63"/>
    </row>
    <row r="49">
      <c r="A49" s="39" t="s">
        <v>631</v>
      </c>
      <c r="B49" s="39">
        <v>48589.0</v>
      </c>
      <c r="C49" s="39" t="s">
        <v>632</v>
      </c>
      <c r="D49" s="39" t="s">
        <v>297</v>
      </c>
      <c r="E49" s="39" t="s">
        <v>633</v>
      </c>
      <c r="F49" s="39" t="s">
        <v>491</v>
      </c>
      <c r="G49" s="39">
        <v>100.0</v>
      </c>
      <c r="H49" s="39">
        <v>100.0</v>
      </c>
      <c r="I49" s="39">
        <v>27.0</v>
      </c>
      <c r="J49" s="39">
        <v>9.0</v>
      </c>
      <c r="K49" s="39">
        <v>35.0</v>
      </c>
      <c r="L49" s="39">
        <v>30.0</v>
      </c>
      <c r="M49" s="39">
        <v>20.0</v>
      </c>
      <c r="N49" s="39">
        <v>50.0</v>
      </c>
      <c r="O49" s="39">
        <v>45.0</v>
      </c>
      <c r="P49" s="39">
        <v>12.0</v>
      </c>
      <c r="Q49" s="39">
        <v>20.0</v>
      </c>
      <c r="R49" s="63"/>
      <c r="S49" s="63"/>
      <c r="T49" s="63"/>
      <c r="U49" s="63"/>
      <c r="V49" s="63"/>
      <c r="W49" s="63"/>
      <c r="X49" s="63"/>
      <c r="Y49" s="63"/>
      <c r="Z49" s="63"/>
    </row>
    <row r="50">
      <c r="A50" s="39" t="s">
        <v>634</v>
      </c>
      <c r="B50" s="39">
        <v>48594.0</v>
      </c>
      <c r="C50" s="39" t="s">
        <v>635</v>
      </c>
      <c r="D50" s="39" t="s">
        <v>298</v>
      </c>
      <c r="E50" s="39" t="s">
        <v>636</v>
      </c>
      <c r="F50" s="39" t="s">
        <v>491</v>
      </c>
      <c r="G50" s="39">
        <v>100.0</v>
      </c>
      <c r="H50" s="39">
        <v>100.0</v>
      </c>
      <c r="I50" s="39">
        <v>0.0</v>
      </c>
      <c r="J50" s="39">
        <v>0.0</v>
      </c>
      <c r="K50" s="39">
        <v>0.0</v>
      </c>
      <c r="L50" s="39">
        <v>0.0</v>
      </c>
      <c r="M50" s="39">
        <v>20.0</v>
      </c>
      <c r="N50" s="39">
        <v>50.0</v>
      </c>
      <c r="O50" s="39">
        <v>45.0</v>
      </c>
      <c r="P50" s="39">
        <v>12.0</v>
      </c>
      <c r="Q50" s="39">
        <v>20.0</v>
      </c>
      <c r="R50" s="63"/>
      <c r="S50" s="63"/>
      <c r="T50" s="63"/>
      <c r="U50" s="63"/>
      <c r="V50" s="63"/>
      <c r="W50" s="63"/>
      <c r="X50" s="63"/>
      <c r="Y50" s="63"/>
      <c r="Z50" s="63"/>
    </row>
    <row r="51">
      <c r="A51" s="39" t="s">
        <v>637</v>
      </c>
      <c r="B51" s="39">
        <v>25692.0</v>
      </c>
      <c r="C51" s="39" t="s">
        <v>638</v>
      </c>
      <c r="D51" s="39" t="s">
        <v>299</v>
      </c>
      <c r="E51" s="39" t="s">
        <v>639</v>
      </c>
      <c r="F51" s="39" t="s">
        <v>505</v>
      </c>
      <c r="G51" s="39">
        <v>100.0</v>
      </c>
      <c r="H51" s="39">
        <v>100.0</v>
      </c>
      <c r="I51" s="39">
        <v>0.0</v>
      </c>
      <c r="J51" s="39">
        <v>0.0</v>
      </c>
      <c r="K51" s="39">
        <v>0.0</v>
      </c>
      <c r="L51" s="39">
        <v>0.0</v>
      </c>
      <c r="M51" s="39">
        <v>20.0</v>
      </c>
      <c r="N51" s="39">
        <v>50.0</v>
      </c>
      <c r="O51" s="39">
        <v>45.0</v>
      </c>
      <c r="P51" s="39">
        <v>12.0</v>
      </c>
      <c r="Q51" s="39">
        <v>20.0</v>
      </c>
      <c r="R51" s="63"/>
      <c r="S51" s="63"/>
      <c r="T51" s="63"/>
      <c r="U51" s="63"/>
      <c r="V51" s="63"/>
      <c r="W51" s="63"/>
      <c r="X51" s="63"/>
      <c r="Y51" s="63"/>
      <c r="Z51" s="63"/>
    </row>
    <row r="52">
      <c r="A52" s="39" t="s">
        <v>640</v>
      </c>
      <c r="B52" s="39">
        <v>48467.0</v>
      </c>
      <c r="C52" s="39" t="s">
        <v>641</v>
      </c>
      <c r="D52" s="39" t="s">
        <v>300</v>
      </c>
      <c r="E52" s="39" t="s">
        <v>642</v>
      </c>
      <c r="F52" s="39" t="s">
        <v>491</v>
      </c>
      <c r="G52" s="39">
        <v>100.0</v>
      </c>
      <c r="H52" s="39">
        <v>100.0</v>
      </c>
      <c r="I52" s="39">
        <v>0.0</v>
      </c>
      <c r="J52" s="39">
        <v>0.0</v>
      </c>
      <c r="K52" s="39">
        <v>0.0</v>
      </c>
      <c r="L52" s="39">
        <v>0.0</v>
      </c>
      <c r="M52" s="39">
        <v>20.0</v>
      </c>
      <c r="N52" s="39">
        <v>50.0</v>
      </c>
      <c r="O52" s="39">
        <v>45.0</v>
      </c>
      <c r="P52" s="39">
        <v>12.0</v>
      </c>
      <c r="Q52" s="39">
        <v>20.0</v>
      </c>
      <c r="R52" s="63"/>
      <c r="S52" s="63"/>
      <c r="T52" s="63"/>
      <c r="U52" s="63"/>
      <c r="V52" s="63"/>
      <c r="W52" s="63"/>
      <c r="X52" s="63"/>
      <c r="Y52" s="63"/>
      <c r="Z52" s="63"/>
    </row>
    <row r="53">
      <c r="A53" s="39" t="s">
        <v>643</v>
      </c>
      <c r="B53" s="39">
        <v>48596.0</v>
      </c>
      <c r="C53" s="39" t="s">
        <v>644</v>
      </c>
      <c r="D53" s="39" t="s">
        <v>301</v>
      </c>
      <c r="E53" s="39" t="s">
        <v>645</v>
      </c>
      <c r="F53" s="39" t="s">
        <v>491</v>
      </c>
      <c r="G53" s="39">
        <v>100.0</v>
      </c>
      <c r="H53" s="39">
        <v>100.0</v>
      </c>
      <c r="I53" s="39">
        <v>0.0</v>
      </c>
      <c r="J53" s="39">
        <v>0.0</v>
      </c>
      <c r="K53" s="39">
        <v>0.0</v>
      </c>
      <c r="L53" s="39">
        <v>0.0</v>
      </c>
      <c r="M53" s="39">
        <v>20.0</v>
      </c>
      <c r="N53" s="39">
        <v>50.0</v>
      </c>
      <c r="O53" s="39">
        <v>45.0</v>
      </c>
      <c r="P53" s="39">
        <v>12.0</v>
      </c>
      <c r="Q53" s="39">
        <v>20.0</v>
      </c>
      <c r="R53" s="63"/>
      <c r="S53" s="63"/>
      <c r="T53" s="63"/>
      <c r="U53" s="63"/>
      <c r="V53" s="63"/>
      <c r="W53" s="63"/>
      <c r="X53" s="63"/>
      <c r="Y53" s="63"/>
      <c r="Z53" s="63"/>
    </row>
    <row r="54">
      <c r="A54" s="39" t="s">
        <v>646</v>
      </c>
      <c r="B54" s="39">
        <v>48558.0</v>
      </c>
      <c r="C54" s="39" t="s">
        <v>647</v>
      </c>
      <c r="D54" s="39" t="s">
        <v>302</v>
      </c>
      <c r="E54" s="39" t="s">
        <v>648</v>
      </c>
      <c r="F54" s="39" t="s">
        <v>491</v>
      </c>
      <c r="G54" s="39">
        <v>100.0</v>
      </c>
      <c r="H54" s="39">
        <v>100.0</v>
      </c>
      <c r="I54" s="39">
        <v>33.0</v>
      </c>
      <c r="J54" s="39">
        <v>0.0</v>
      </c>
      <c r="K54" s="39">
        <v>35.0</v>
      </c>
      <c r="L54" s="39">
        <v>0.0</v>
      </c>
      <c r="M54" s="39">
        <v>20.0</v>
      </c>
      <c r="N54" s="39">
        <v>50.0</v>
      </c>
      <c r="O54" s="39">
        <v>45.0</v>
      </c>
      <c r="P54" s="39">
        <v>12.0</v>
      </c>
      <c r="Q54" s="39">
        <v>20.0</v>
      </c>
      <c r="R54" s="63"/>
      <c r="S54" s="63"/>
      <c r="T54" s="63"/>
      <c r="U54" s="63"/>
      <c r="V54" s="63"/>
      <c r="W54" s="63"/>
      <c r="X54" s="63"/>
      <c r="Y54" s="63"/>
      <c r="Z54" s="63"/>
    </row>
    <row r="55">
      <c r="A55" s="39" t="s">
        <v>649</v>
      </c>
      <c r="B55" s="39">
        <v>75767.0</v>
      </c>
      <c r="C55" s="39" t="s">
        <v>650</v>
      </c>
      <c r="D55" s="39" t="s">
        <v>303</v>
      </c>
      <c r="E55" s="39" t="s">
        <v>651</v>
      </c>
      <c r="F55" s="39" t="s">
        <v>491</v>
      </c>
      <c r="G55" s="39">
        <v>100.0</v>
      </c>
      <c r="H55" s="39">
        <v>100.0</v>
      </c>
      <c r="I55" s="39">
        <v>0.0</v>
      </c>
      <c r="J55" s="39">
        <v>0.0</v>
      </c>
      <c r="K55" s="39">
        <v>0.0</v>
      </c>
      <c r="L55" s="39">
        <v>0.0</v>
      </c>
      <c r="M55" s="39">
        <v>20.0</v>
      </c>
      <c r="N55" s="39">
        <v>50.0</v>
      </c>
      <c r="O55" s="39">
        <v>45.0</v>
      </c>
      <c r="P55" s="39">
        <v>12.0</v>
      </c>
      <c r="Q55" s="39">
        <v>20.0</v>
      </c>
      <c r="R55" s="63"/>
      <c r="S55" s="63"/>
      <c r="T55" s="63"/>
      <c r="U55" s="63"/>
      <c r="V55" s="63"/>
      <c r="W55" s="63"/>
      <c r="X55" s="63"/>
      <c r="Y55" s="63"/>
      <c r="Z55" s="63"/>
    </row>
    <row r="56">
      <c r="A56" s="39" t="s">
        <v>652</v>
      </c>
      <c r="B56" s="39">
        <v>25919.0</v>
      </c>
      <c r="C56" s="39" t="s">
        <v>653</v>
      </c>
      <c r="D56" s="39" t="s">
        <v>304</v>
      </c>
      <c r="E56" s="39" t="s">
        <v>654</v>
      </c>
      <c r="F56" s="39" t="s">
        <v>501</v>
      </c>
      <c r="G56" s="39">
        <v>100.0</v>
      </c>
      <c r="H56" s="39">
        <v>100.0</v>
      </c>
      <c r="I56" s="39">
        <v>18.0</v>
      </c>
      <c r="J56" s="39">
        <v>0.0</v>
      </c>
      <c r="K56" s="39">
        <v>0.0</v>
      </c>
      <c r="L56" s="39">
        <v>30.0</v>
      </c>
      <c r="M56" s="39">
        <v>20.0</v>
      </c>
      <c r="N56" s="39">
        <v>50.0</v>
      </c>
      <c r="O56" s="39">
        <v>45.0</v>
      </c>
      <c r="P56" s="39">
        <v>12.0</v>
      </c>
      <c r="Q56" s="39">
        <v>20.0</v>
      </c>
      <c r="R56" s="63"/>
      <c r="S56" s="63"/>
      <c r="T56" s="63"/>
      <c r="U56" s="63"/>
      <c r="V56" s="63"/>
      <c r="W56" s="63"/>
      <c r="X56" s="63"/>
      <c r="Y56" s="63"/>
      <c r="Z56" s="63"/>
    </row>
    <row r="57">
      <c r="A57" s="39" t="s">
        <v>655</v>
      </c>
      <c r="B57" s="39">
        <v>25590.0</v>
      </c>
      <c r="C57" s="39" t="s">
        <v>656</v>
      </c>
      <c r="D57" s="39" t="s">
        <v>305</v>
      </c>
      <c r="E57" s="39" t="s">
        <v>657</v>
      </c>
      <c r="F57" s="39" t="s">
        <v>491</v>
      </c>
      <c r="G57" s="39">
        <v>100.0</v>
      </c>
      <c r="H57" s="39">
        <v>100.0</v>
      </c>
      <c r="I57" s="39">
        <v>19.0</v>
      </c>
      <c r="J57" s="39">
        <v>0.0</v>
      </c>
      <c r="K57" s="39">
        <v>0.0</v>
      </c>
      <c r="L57" s="39">
        <v>0.0</v>
      </c>
      <c r="M57" s="39">
        <v>20.0</v>
      </c>
      <c r="N57" s="39">
        <v>50.0</v>
      </c>
      <c r="O57" s="39">
        <v>45.0</v>
      </c>
      <c r="P57" s="39">
        <v>12.0</v>
      </c>
      <c r="Q57" s="39">
        <v>20.0</v>
      </c>
      <c r="R57" s="63"/>
      <c r="S57" s="63"/>
      <c r="T57" s="63"/>
      <c r="U57" s="63"/>
      <c r="V57" s="63"/>
      <c r="W57" s="63"/>
      <c r="X57" s="63"/>
      <c r="Y57" s="63"/>
      <c r="Z57" s="63"/>
    </row>
    <row r="58">
      <c r="A58" s="39" t="s">
        <v>658</v>
      </c>
      <c r="B58" s="39">
        <v>25790.0</v>
      </c>
      <c r="C58" s="39" t="s">
        <v>659</v>
      </c>
      <c r="D58" s="39" t="s">
        <v>306</v>
      </c>
      <c r="E58" s="39" t="s">
        <v>660</v>
      </c>
      <c r="F58" s="39" t="s">
        <v>505</v>
      </c>
      <c r="G58" s="39">
        <v>100.0</v>
      </c>
      <c r="H58" s="39">
        <v>100.0</v>
      </c>
      <c r="I58" s="39">
        <v>27.0</v>
      </c>
      <c r="J58" s="39">
        <v>0.0</v>
      </c>
      <c r="K58" s="39">
        <v>0.0</v>
      </c>
      <c r="L58" s="39">
        <v>0.0</v>
      </c>
      <c r="M58" s="39">
        <v>20.0</v>
      </c>
      <c r="N58" s="39">
        <v>50.0</v>
      </c>
      <c r="O58" s="39">
        <v>45.0</v>
      </c>
      <c r="P58" s="39">
        <v>12.0</v>
      </c>
      <c r="Q58" s="39">
        <v>20.0</v>
      </c>
      <c r="R58" s="63"/>
      <c r="S58" s="63"/>
      <c r="T58" s="63"/>
      <c r="U58" s="63"/>
      <c r="V58" s="63"/>
      <c r="W58" s="63"/>
      <c r="X58" s="63"/>
      <c r="Y58" s="63"/>
      <c r="Z58" s="63"/>
    </row>
    <row r="59">
      <c r="A59" s="39" t="s">
        <v>661</v>
      </c>
      <c r="B59" s="39">
        <v>75701.0</v>
      </c>
      <c r="C59" s="39" t="s">
        <v>662</v>
      </c>
      <c r="D59" s="39" t="s">
        <v>307</v>
      </c>
      <c r="E59" s="39" t="s">
        <v>663</v>
      </c>
      <c r="F59" s="39" t="s">
        <v>501</v>
      </c>
      <c r="G59" s="39">
        <v>100.0</v>
      </c>
      <c r="H59" s="39">
        <v>100.0</v>
      </c>
      <c r="I59" s="39">
        <v>23.0</v>
      </c>
      <c r="J59" s="39">
        <v>0.0</v>
      </c>
      <c r="K59" s="39">
        <v>0.0</v>
      </c>
      <c r="L59" s="39">
        <v>30.0</v>
      </c>
      <c r="M59" s="39">
        <v>20.0</v>
      </c>
      <c r="N59" s="39">
        <v>50.0</v>
      </c>
      <c r="O59" s="39">
        <v>45.0</v>
      </c>
      <c r="P59" s="39">
        <v>12.0</v>
      </c>
      <c r="Q59" s="39">
        <v>20.0</v>
      </c>
      <c r="R59" s="63"/>
      <c r="S59" s="63"/>
      <c r="T59" s="63"/>
      <c r="U59" s="63"/>
      <c r="V59" s="63"/>
      <c r="W59" s="63"/>
      <c r="X59" s="63"/>
      <c r="Y59" s="63"/>
      <c r="Z59" s="63"/>
    </row>
    <row r="60">
      <c r="A60" s="39" t="s">
        <v>664</v>
      </c>
      <c r="B60" s="39">
        <v>25492.0</v>
      </c>
      <c r="C60" s="39" t="s">
        <v>665</v>
      </c>
      <c r="D60" s="39" t="s">
        <v>308</v>
      </c>
      <c r="E60" s="39" t="s">
        <v>666</v>
      </c>
      <c r="F60" s="39" t="s">
        <v>505</v>
      </c>
      <c r="G60" s="39">
        <v>100.0</v>
      </c>
      <c r="H60" s="39">
        <v>100.0</v>
      </c>
      <c r="I60" s="39">
        <v>0.0</v>
      </c>
      <c r="J60" s="39">
        <v>0.0</v>
      </c>
      <c r="K60" s="39">
        <v>0.0</v>
      </c>
      <c r="L60" s="39">
        <v>0.0</v>
      </c>
      <c r="M60" s="39">
        <v>20.0</v>
      </c>
      <c r="N60" s="39">
        <v>50.0</v>
      </c>
      <c r="O60" s="39">
        <v>45.0</v>
      </c>
      <c r="P60" s="39">
        <v>12.0</v>
      </c>
      <c r="Q60" s="39">
        <v>20.0</v>
      </c>
      <c r="R60" s="63"/>
      <c r="S60" s="63"/>
      <c r="T60" s="63"/>
      <c r="U60" s="63"/>
      <c r="V60" s="63"/>
      <c r="W60" s="63"/>
      <c r="X60" s="63"/>
      <c r="Y60" s="63"/>
      <c r="Z60" s="63"/>
    </row>
    <row r="61">
      <c r="A61" s="39" t="s">
        <v>667</v>
      </c>
      <c r="B61" s="39">
        <v>25507.0</v>
      </c>
      <c r="C61" s="39" t="s">
        <v>668</v>
      </c>
      <c r="D61" s="39" t="s">
        <v>309</v>
      </c>
      <c r="E61" s="39" t="s">
        <v>669</v>
      </c>
      <c r="F61" s="39" t="s">
        <v>501</v>
      </c>
      <c r="G61" s="39">
        <v>100.0</v>
      </c>
      <c r="H61" s="39">
        <v>100.0</v>
      </c>
      <c r="I61" s="39">
        <v>0.0</v>
      </c>
      <c r="J61" s="39">
        <v>0.0</v>
      </c>
      <c r="K61" s="39">
        <v>0.0</v>
      </c>
      <c r="L61" s="39">
        <v>0.0</v>
      </c>
      <c r="M61" s="39">
        <v>20.0</v>
      </c>
      <c r="N61" s="39">
        <v>50.0</v>
      </c>
      <c r="O61" s="39">
        <v>45.0</v>
      </c>
      <c r="P61" s="39">
        <v>12.0</v>
      </c>
      <c r="Q61" s="39">
        <v>20.0</v>
      </c>
      <c r="R61" s="63"/>
      <c r="S61" s="63"/>
      <c r="T61" s="63"/>
      <c r="U61" s="63"/>
      <c r="V61" s="63"/>
      <c r="W61" s="63"/>
      <c r="X61" s="63"/>
      <c r="Y61" s="63"/>
      <c r="Z61" s="63"/>
    </row>
    <row r="62">
      <c r="A62" s="39" t="s">
        <v>670</v>
      </c>
      <c r="B62" s="39">
        <v>25676.0</v>
      </c>
      <c r="C62" s="39" t="s">
        <v>671</v>
      </c>
      <c r="D62" s="39" t="s">
        <v>310</v>
      </c>
      <c r="E62" s="39" t="s">
        <v>672</v>
      </c>
      <c r="F62" s="39" t="s">
        <v>505</v>
      </c>
      <c r="G62" s="39">
        <v>100.0</v>
      </c>
      <c r="H62" s="39">
        <v>100.0</v>
      </c>
      <c r="I62" s="39">
        <v>0.0</v>
      </c>
      <c r="J62" s="39">
        <v>0.0</v>
      </c>
      <c r="K62" s="39">
        <v>0.0</v>
      </c>
      <c r="L62" s="39">
        <v>0.0</v>
      </c>
      <c r="M62" s="39">
        <v>20.0</v>
      </c>
      <c r="N62" s="39">
        <v>50.0</v>
      </c>
      <c r="O62" s="39">
        <v>45.0</v>
      </c>
      <c r="P62" s="39">
        <v>12.0</v>
      </c>
      <c r="Q62" s="39">
        <v>20.0</v>
      </c>
      <c r="R62" s="63"/>
      <c r="S62" s="63"/>
      <c r="T62" s="63"/>
      <c r="U62" s="63"/>
      <c r="V62" s="63"/>
      <c r="W62" s="63"/>
      <c r="X62" s="63"/>
      <c r="Y62" s="63"/>
      <c r="Z62" s="63"/>
    </row>
    <row r="63">
      <c r="A63" s="39" t="s">
        <v>673</v>
      </c>
      <c r="B63" s="39">
        <v>25826.0</v>
      </c>
      <c r="C63" s="39" t="s">
        <v>674</v>
      </c>
      <c r="D63" s="39" t="s">
        <v>311</v>
      </c>
      <c r="E63" s="39" t="s">
        <v>675</v>
      </c>
      <c r="F63" s="39" t="s">
        <v>491</v>
      </c>
      <c r="G63" s="39">
        <v>100.0</v>
      </c>
      <c r="H63" s="39">
        <v>100.0</v>
      </c>
      <c r="I63" s="39">
        <v>0.0</v>
      </c>
      <c r="J63" s="39">
        <v>0.0</v>
      </c>
      <c r="K63" s="39">
        <v>35.0</v>
      </c>
      <c r="L63" s="39">
        <v>30.0</v>
      </c>
      <c r="M63" s="39">
        <v>20.0</v>
      </c>
      <c r="N63" s="39">
        <v>50.0</v>
      </c>
      <c r="O63" s="39">
        <v>45.0</v>
      </c>
      <c r="P63" s="39">
        <v>12.0</v>
      </c>
      <c r="Q63" s="39">
        <v>20.0</v>
      </c>
      <c r="R63" s="63"/>
      <c r="S63" s="63"/>
      <c r="T63" s="63"/>
      <c r="U63" s="63"/>
      <c r="V63" s="63"/>
      <c r="W63" s="63"/>
      <c r="X63" s="63"/>
      <c r="Y63" s="63"/>
      <c r="Z63" s="63"/>
    </row>
    <row r="64">
      <c r="A64" s="39" t="s">
        <v>676</v>
      </c>
      <c r="B64" s="39">
        <v>75769.0</v>
      </c>
      <c r="C64" s="39" t="s">
        <v>677</v>
      </c>
      <c r="D64" s="39" t="s">
        <v>312</v>
      </c>
      <c r="E64" s="39" t="s">
        <v>678</v>
      </c>
      <c r="F64" s="39" t="s">
        <v>505</v>
      </c>
      <c r="G64" s="39">
        <v>100.0</v>
      </c>
      <c r="H64" s="39">
        <v>100.0</v>
      </c>
      <c r="I64" s="39">
        <v>0.0</v>
      </c>
      <c r="J64" s="39">
        <v>0.0</v>
      </c>
      <c r="K64" s="39">
        <v>0.0</v>
      </c>
      <c r="L64" s="39">
        <v>0.0</v>
      </c>
      <c r="M64" s="39">
        <v>20.0</v>
      </c>
      <c r="N64" s="39">
        <v>50.0</v>
      </c>
      <c r="O64" s="39">
        <v>45.0</v>
      </c>
      <c r="P64" s="39">
        <v>12.0</v>
      </c>
      <c r="Q64" s="39">
        <v>20.0</v>
      </c>
      <c r="R64" s="63"/>
      <c r="S64" s="63"/>
      <c r="T64" s="63"/>
      <c r="U64" s="63"/>
      <c r="V64" s="63"/>
      <c r="W64" s="63"/>
      <c r="X64" s="63"/>
      <c r="Y64" s="63"/>
      <c r="Z64" s="63"/>
    </row>
    <row r="65">
      <c r="A65" s="39" t="s">
        <v>679</v>
      </c>
      <c r="B65" s="39">
        <v>25893.0</v>
      </c>
      <c r="C65" s="39" t="s">
        <v>680</v>
      </c>
      <c r="D65" s="39" t="s">
        <v>313</v>
      </c>
      <c r="E65" s="39" t="s">
        <v>681</v>
      </c>
      <c r="F65" s="39" t="s">
        <v>501</v>
      </c>
      <c r="G65" s="39">
        <v>100.0</v>
      </c>
      <c r="H65" s="39">
        <v>100.0</v>
      </c>
      <c r="I65" s="39">
        <v>27.0</v>
      </c>
      <c r="J65" s="39">
        <v>0.0</v>
      </c>
      <c r="K65" s="39">
        <v>0.0</v>
      </c>
      <c r="L65" s="39">
        <v>0.0</v>
      </c>
      <c r="M65" s="39">
        <v>20.0</v>
      </c>
      <c r="N65" s="39">
        <v>50.0</v>
      </c>
      <c r="O65" s="39">
        <v>45.0</v>
      </c>
      <c r="P65" s="39">
        <v>12.0</v>
      </c>
      <c r="Q65" s="39">
        <v>20.0</v>
      </c>
      <c r="R65" s="63"/>
      <c r="S65" s="63"/>
      <c r="T65" s="63"/>
      <c r="U65" s="63"/>
      <c r="V65" s="63"/>
      <c r="W65" s="63"/>
      <c r="X65" s="63"/>
      <c r="Y65" s="63"/>
      <c r="Z65" s="63"/>
    </row>
    <row r="66">
      <c r="A66" s="39" t="s">
        <v>682</v>
      </c>
      <c r="B66" s="39">
        <v>25626.0</v>
      </c>
      <c r="C66" s="39" t="s">
        <v>683</v>
      </c>
      <c r="D66" s="39" t="s">
        <v>314</v>
      </c>
      <c r="E66" s="39" t="s">
        <v>684</v>
      </c>
      <c r="F66" s="39" t="s">
        <v>491</v>
      </c>
      <c r="G66" s="39">
        <v>100.0</v>
      </c>
      <c r="H66" s="39">
        <v>100.0</v>
      </c>
      <c r="I66" s="39">
        <v>0.0</v>
      </c>
      <c r="J66" s="39">
        <v>0.0</v>
      </c>
      <c r="K66" s="39">
        <v>0.0</v>
      </c>
      <c r="L66" s="39">
        <v>0.0</v>
      </c>
      <c r="M66" s="39">
        <v>20.0</v>
      </c>
      <c r="N66" s="39">
        <v>50.0</v>
      </c>
      <c r="O66" s="39">
        <v>45.0</v>
      </c>
      <c r="P66" s="39">
        <v>12.0</v>
      </c>
      <c r="Q66" s="39">
        <v>20.0</v>
      </c>
      <c r="R66" s="63"/>
      <c r="S66" s="63"/>
      <c r="T66" s="63"/>
      <c r="U66" s="63"/>
      <c r="V66" s="63"/>
      <c r="W66" s="63"/>
      <c r="X66" s="63"/>
      <c r="Y66" s="63"/>
      <c r="Z66" s="63"/>
    </row>
    <row r="67">
      <c r="A67" s="39" t="s">
        <v>685</v>
      </c>
      <c r="B67" s="39">
        <v>48526.0</v>
      </c>
      <c r="C67" s="39" t="s">
        <v>686</v>
      </c>
      <c r="D67" s="39" t="s">
        <v>315</v>
      </c>
      <c r="E67" s="39" t="s">
        <v>687</v>
      </c>
      <c r="F67" s="39" t="s">
        <v>501</v>
      </c>
      <c r="G67" s="39">
        <v>100.0</v>
      </c>
      <c r="H67" s="39">
        <v>100.0</v>
      </c>
      <c r="I67" s="39">
        <v>0.0</v>
      </c>
      <c r="J67" s="39">
        <v>0.0</v>
      </c>
      <c r="K67" s="39">
        <v>40.0</v>
      </c>
      <c r="L67" s="39">
        <v>0.0</v>
      </c>
      <c r="M67" s="39">
        <v>20.0</v>
      </c>
      <c r="N67" s="39">
        <v>50.0</v>
      </c>
      <c r="O67" s="39">
        <v>45.0</v>
      </c>
      <c r="P67" s="39">
        <v>12.0</v>
      </c>
      <c r="Q67" s="39">
        <v>20.0</v>
      </c>
      <c r="R67" s="63"/>
      <c r="S67" s="63"/>
      <c r="T67" s="63"/>
      <c r="U67" s="63"/>
      <c r="V67" s="63"/>
      <c r="W67" s="63"/>
      <c r="X67" s="63"/>
      <c r="Y67" s="63"/>
      <c r="Z67" s="63"/>
    </row>
    <row r="68">
      <c r="A68" s="39" t="s">
        <v>688</v>
      </c>
      <c r="B68" s="39">
        <v>75710.0</v>
      </c>
      <c r="C68" s="39" t="s">
        <v>689</v>
      </c>
      <c r="D68" s="39" t="s">
        <v>316</v>
      </c>
      <c r="E68" s="39" t="s">
        <v>690</v>
      </c>
      <c r="F68" s="39" t="s">
        <v>505</v>
      </c>
      <c r="G68" s="39">
        <v>100.0</v>
      </c>
      <c r="H68" s="39">
        <v>100.0</v>
      </c>
      <c r="I68" s="39">
        <v>32.0</v>
      </c>
      <c r="J68" s="39">
        <v>0.0</v>
      </c>
      <c r="K68" s="39">
        <v>30.0</v>
      </c>
      <c r="L68" s="39">
        <v>30.0</v>
      </c>
      <c r="M68" s="39">
        <v>20.0</v>
      </c>
      <c r="N68" s="39">
        <v>50.0</v>
      </c>
      <c r="O68" s="39">
        <v>45.0</v>
      </c>
      <c r="P68" s="39">
        <v>12.0</v>
      </c>
      <c r="Q68" s="39">
        <v>20.0</v>
      </c>
      <c r="R68" s="63"/>
      <c r="S68" s="63"/>
      <c r="T68" s="63"/>
      <c r="U68" s="63"/>
      <c r="V68" s="63"/>
      <c r="W68" s="63"/>
      <c r="X68" s="63"/>
      <c r="Y68" s="63"/>
      <c r="Z68" s="63"/>
    </row>
    <row r="69">
      <c r="A69" s="39" t="s">
        <v>691</v>
      </c>
      <c r="B69" s="39">
        <v>52288.0</v>
      </c>
      <c r="C69" s="39" t="s">
        <v>692</v>
      </c>
      <c r="D69" s="39" t="s">
        <v>317</v>
      </c>
      <c r="E69" s="39" t="s">
        <v>693</v>
      </c>
      <c r="F69" s="39" t="s">
        <v>505</v>
      </c>
      <c r="G69" s="39">
        <v>100.0</v>
      </c>
      <c r="H69" s="39">
        <v>100.0</v>
      </c>
      <c r="I69" s="39">
        <v>27.0</v>
      </c>
      <c r="J69" s="39">
        <v>0.0</v>
      </c>
      <c r="K69" s="39">
        <v>0.0</v>
      </c>
      <c r="L69" s="39">
        <v>0.0</v>
      </c>
      <c r="M69" s="39">
        <v>20.0</v>
      </c>
      <c r="N69" s="39">
        <v>50.0</v>
      </c>
      <c r="O69" s="39">
        <v>45.0</v>
      </c>
      <c r="P69" s="39">
        <v>12.0</v>
      </c>
      <c r="Q69" s="39">
        <v>20.0</v>
      </c>
      <c r="R69" s="63"/>
      <c r="S69" s="63"/>
      <c r="T69" s="63"/>
      <c r="U69" s="63"/>
      <c r="V69" s="63"/>
      <c r="W69" s="63"/>
      <c r="X69" s="63"/>
      <c r="Y69" s="63"/>
      <c r="Z69" s="63"/>
    </row>
    <row r="70">
      <c r="A70" s="39" t="s">
        <v>694</v>
      </c>
      <c r="B70" s="39">
        <v>25633.0</v>
      </c>
      <c r="C70" s="39" t="s">
        <v>695</v>
      </c>
      <c r="D70" s="39" t="s">
        <v>318</v>
      </c>
      <c r="E70" s="39" t="s">
        <v>696</v>
      </c>
      <c r="F70" s="39" t="s">
        <v>491</v>
      </c>
      <c r="G70" s="39">
        <v>100.0</v>
      </c>
      <c r="H70" s="39">
        <v>100.0</v>
      </c>
      <c r="I70" s="39">
        <v>18.0</v>
      </c>
      <c r="J70" s="39">
        <v>9.0</v>
      </c>
      <c r="K70" s="39">
        <v>0.0</v>
      </c>
      <c r="L70" s="39">
        <v>0.0</v>
      </c>
      <c r="M70" s="39">
        <v>20.0</v>
      </c>
      <c r="N70" s="39">
        <v>50.0</v>
      </c>
      <c r="O70" s="39">
        <v>45.0</v>
      </c>
      <c r="P70" s="39">
        <v>12.0</v>
      </c>
      <c r="Q70" s="39">
        <v>20.0</v>
      </c>
      <c r="R70" s="63"/>
      <c r="S70" s="63"/>
      <c r="T70" s="63"/>
      <c r="U70" s="63"/>
      <c r="V70" s="63"/>
      <c r="W70" s="63"/>
      <c r="X70" s="63"/>
      <c r="Y70" s="63"/>
      <c r="Z70" s="63"/>
    </row>
    <row r="71">
      <c r="A71" s="39" t="s">
        <v>697</v>
      </c>
      <c r="B71" s="39">
        <v>74891.0</v>
      </c>
      <c r="C71" s="63"/>
      <c r="D71" s="39" t="s">
        <v>2055</v>
      </c>
      <c r="E71" s="63"/>
      <c r="F71" s="39" t="s">
        <v>699</v>
      </c>
      <c r="G71" s="39">
        <v>100.0</v>
      </c>
      <c r="H71" s="39">
        <v>100.0</v>
      </c>
      <c r="I71" s="39">
        <v>40.0</v>
      </c>
      <c r="J71" s="39">
        <v>9.0</v>
      </c>
      <c r="K71" s="39">
        <v>40.0</v>
      </c>
      <c r="L71" s="39">
        <v>30.0</v>
      </c>
      <c r="M71" s="39">
        <v>20.0</v>
      </c>
      <c r="N71" s="39">
        <v>50.0</v>
      </c>
      <c r="O71" s="39">
        <v>45.0</v>
      </c>
      <c r="P71" s="39">
        <v>12.0</v>
      </c>
      <c r="Q71" s="39">
        <v>20.0</v>
      </c>
      <c r="R71" s="63"/>
      <c r="S71" s="63"/>
      <c r="T71" s="63"/>
      <c r="U71" s="63"/>
      <c r="V71" s="63"/>
      <c r="W71" s="63"/>
      <c r="X71" s="63"/>
      <c r="Y71" s="63"/>
      <c r="Z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4.88"/>
    <col customWidth="1" min="3" max="3" width="6.13"/>
    <col customWidth="1" min="4" max="4" width="7.88"/>
    <col customWidth="1" min="5" max="5" width="4.63"/>
    <col customWidth="1" min="6" max="6" width="10.13"/>
    <col customWidth="1" min="7" max="7" width="5.0"/>
    <col customWidth="1" min="8" max="8" width="15.75"/>
    <col customWidth="1" min="9" max="9" width="15.63"/>
    <col customWidth="1" min="10" max="10" width="12.5"/>
    <col customWidth="1" min="11" max="11" width="12.75"/>
    <col customWidth="1" min="12" max="12" width="12.63"/>
    <col customWidth="1" min="13" max="14" width="12.75"/>
    <col customWidth="1" min="15" max="16" width="12.63"/>
    <col customWidth="1" min="17" max="18" width="12.75"/>
    <col customWidth="1" min="19" max="19" width="14.63"/>
    <col customWidth="1" min="20" max="20" width="14.25"/>
    <col customWidth="1" min="21" max="21" width="14.38"/>
    <col customWidth="1" min="22" max="24" width="12.75"/>
    <col customWidth="1" min="25" max="25" width="12.63"/>
    <col customWidth="1" min="26" max="26" width="12.75"/>
    <col customWidth="1" min="27" max="27" width="12.63"/>
    <col customWidth="1" min="28" max="30" width="12.75"/>
    <col customWidth="1" min="31" max="32" width="12.63"/>
    <col customWidth="1" min="33" max="33" width="12.75"/>
    <col customWidth="1" min="34" max="34" width="14.88"/>
    <col customWidth="1" min="35" max="35" width="12.75"/>
    <col customWidth="1" min="36" max="37" width="12.63"/>
    <col customWidth="1" min="38" max="40" width="12.75"/>
    <col customWidth="1" min="41" max="41" width="12.63"/>
  </cols>
  <sheetData>
    <row r="1">
      <c r="A1" s="96" t="s">
        <v>2056</v>
      </c>
      <c r="B1" s="96" t="s">
        <v>2057</v>
      </c>
      <c r="C1" s="96" t="s">
        <v>39</v>
      </c>
      <c r="D1" s="96" t="s">
        <v>2058</v>
      </c>
      <c r="E1" s="96" t="s">
        <v>40</v>
      </c>
      <c r="F1" s="96" t="s">
        <v>2059</v>
      </c>
      <c r="G1" s="96" t="s">
        <v>2060</v>
      </c>
      <c r="H1" s="96" t="s">
        <v>2061</v>
      </c>
      <c r="I1" s="96" t="s">
        <v>2062</v>
      </c>
      <c r="J1" s="96" t="s">
        <v>2063</v>
      </c>
      <c r="K1" s="96" t="s">
        <v>2064</v>
      </c>
      <c r="L1" s="96" t="s">
        <v>2065</v>
      </c>
      <c r="M1" s="96" t="s">
        <v>2066</v>
      </c>
      <c r="N1" s="96" t="s">
        <v>2067</v>
      </c>
      <c r="O1" s="96" t="s">
        <v>2068</v>
      </c>
      <c r="P1" s="96" t="s">
        <v>2069</v>
      </c>
      <c r="Q1" s="96" t="s">
        <v>2070</v>
      </c>
      <c r="R1" s="96" t="s">
        <v>2071</v>
      </c>
      <c r="S1" s="96" t="s">
        <v>2072</v>
      </c>
      <c r="T1" s="96" t="s">
        <v>2073</v>
      </c>
      <c r="U1" s="96" t="s">
        <v>2074</v>
      </c>
      <c r="V1" s="96" t="s">
        <v>2075</v>
      </c>
      <c r="W1" s="96" t="s">
        <v>2076</v>
      </c>
      <c r="X1" s="96" t="s">
        <v>2077</v>
      </c>
      <c r="Y1" s="96" t="s">
        <v>2078</v>
      </c>
      <c r="Z1" s="96" t="s">
        <v>2079</v>
      </c>
      <c r="AA1" s="96" t="s">
        <v>2080</v>
      </c>
      <c r="AB1" s="96" t="s">
        <v>2081</v>
      </c>
      <c r="AC1" s="96" t="s">
        <v>2082</v>
      </c>
      <c r="AD1" s="96" t="s">
        <v>2083</v>
      </c>
      <c r="AE1" s="96" t="s">
        <v>2084</v>
      </c>
      <c r="AF1" s="96" t="s">
        <v>2085</v>
      </c>
      <c r="AG1" s="96" t="s">
        <v>2086</v>
      </c>
      <c r="AH1" s="96" t="s">
        <v>2087</v>
      </c>
      <c r="AI1" s="96" t="s">
        <v>2088</v>
      </c>
      <c r="AJ1" s="96" t="s">
        <v>2089</v>
      </c>
      <c r="AK1" s="96" t="s">
        <v>2090</v>
      </c>
      <c r="AL1" s="96" t="s">
        <v>2091</v>
      </c>
      <c r="AM1" s="96" t="s">
        <v>2092</v>
      </c>
      <c r="AN1" s="96" t="s">
        <v>2093</v>
      </c>
      <c r="AO1" s="96" t="s">
        <v>2094</v>
      </c>
    </row>
    <row r="2">
      <c r="A2" s="97">
        <v>45915.0</v>
      </c>
      <c r="B2" s="98" t="s">
        <v>2095</v>
      </c>
      <c r="C2" s="98">
        <v>7.0</v>
      </c>
      <c r="D2" s="98">
        <v>75.0</v>
      </c>
      <c r="E2" s="98">
        <v>7.1</v>
      </c>
      <c r="F2" s="98" t="s">
        <v>2096</v>
      </c>
      <c r="G2" s="98">
        <v>2.0</v>
      </c>
      <c r="H2" s="98" t="s">
        <v>2097</v>
      </c>
      <c r="I2" s="98" t="s">
        <v>2098</v>
      </c>
      <c r="J2" s="98" t="s">
        <v>2099</v>
      </c>
      <c r="K2" s="98" t="s">
        <v>2100</v>
      </c>
      <c r="L2" s="98" t="s">
        <v>2101</v>
      </c>
      <c r="M2" s="98" t="s">
        <v>2102</v>
      </c>
      <c r="N2" s="98" t="s">
        <v>2103</v>
      </c>
      <c r="O2" s="98" t="s">
        <v>2104</v>
      </c>
      <c r="P2" s="98" t="s">
        <v>2105</v>
      </c>
      <c r="Q2" s="98" t="s">
        <v>2106</v>
      </c>
      <c r="R2" s="98" t="s">
        <v>2107</v>
      </c>
      <c r="S2" s="98" t="s">
        <v>2108</v>
      </c>
      <c r="T2" s="98" t="s">
        <v>2109</v>
      </c>
      <c r="U2" s="98" t="s">
        <v>2110</v>
      </c>
      <c r="V2" s="98" t="s">
        <v>2111</v>
      </c>
      <c r="W2" s="98" t="s">
        <v>2112</v>
      </c>
      <c r="X2" s="98" t="s">
        <v>2113</v>
      </c>
      <c r="Y2" s="98" t="s">
        <v>2114</v>
      </c>
      <c r="Z2" s="98" t="s">
        <v>2115</v>
      </c>
      <c r="AA2" s="98" t="s">
        <v>2116</v>
      </c>
      <c r="AB2" s="98" t="s">
        <v>2117</v>
      </c>
      <c r="AC2" s="98" t="s">
        <v>2118</v>
      </c>
      <c r="AD2" s="98" t="s">
        <v>2119</v>
      </c>
      <c r="AE2" s="98" t="s">
        <v>2120</v>
      </c>
      <c r="AF2" s="98" t="s">
        <v>2121</v>
      </c>
      <c r="AG2" s="98" t="s">
        <v>2122</v>
      </c>
      <c r="AH2" s="98" t="s">
        <v>2123</v>
      </c>
      <c r="AI2" s="98" t="s">
        <v>2124</v>
      </c>
      <c r="AJ2" s="98" t="s">
        <v>2125</v>
      </c>
      <c r="AK2" s="98" t="s">
        <v>2126</v>
      </c>
      <c r="AL2" s="98" t="s">
        <v>2127</v>
      </c>
      <c r="AM2" s="98" t="s">
        <v>2128</v>
      </c>
      <c r="AN2" s="98" t="s">
        <v>2129</v>
      </c>
      <c r="AO2" s="98" t="s">
        <v>2130</v>
      </c>
    </row>
    <row r="3">
      <c r="A3" s="97">
        <v>45916.0</v>
      </c>
      <c r="B3" s="98" t="s">
        <v>2131</v>
      </c>
      <c r="C3" s="98">
        <v>8.0</v>
      </c>
      <c r="D3" s="98">
        <v>75.0</v>
      </c>
      <c r="E3" s="98">
        <v>8.2</v>
      </c>
      <c r="F3" s="98" t="s">
        <v>2132</v>
      </c>
      <c r="G3" s="98">
        <v>3.0</v>
      </c>
      <c r="H3" s="98" t="s">
        <v>2133</v>
      </c>
      <c r="I3" s="98" t="s">
        <v>2134</v>
      </c>
      <c r="J3" s="98" t="s">
        <v>2135</v>
      </c>
      <c r="K3" s="98" t="s">
        <v>2136</v>
      </c>
      <c r="L3" s="98" t="s">
        <v>2137</v>
      </c>
      <c r="M3" s="98" t="s">
        <v>2138</v>
      </c>
      <c r="N3" s="98" t="s">
        <v>2139</v>
      </c>
      <c r="O3" s="98" t="s">
        <v>2140</v>
      </c>
      <c r="P3" s="98" t="s">
        <v>2141</v>
      </c>
      <c r="Q3" s="98" t="s">
        <v>2142</v>
      </c>
      <c r="R3" s="98" t="s">
        <v>2143</v>
      </c>
      <c r="S3" s="98" t="s">
        <v>2144</v>
      </c>
      <c r="T3" s="98" t="s">
        <v>2145</v>
      </c>
      <c r="U3" s="98" t="s">
        <v>2146</v>
      </c>
      <c r="V3" s="98" t="s">
        <v>2147</v>
      </c>
      <c r="W3" s="98" t="s">
        <v>2148</v>
      </c>
      <c r="X3" s="98" t="s">
        <v>2149</v>
      </c>
      <c r="Y3" s="98" t="s">
        <v>2150</v>
      </c>
      <c r="Z3" s="98" t="s">
        <v>2151</v>
      </c>
      <c r="AA3" s="98" t="s">
        <v>2152</v>
      </c>
      <c r="AB3" s="98" t="s">
        <v>2153</v>
      </c>
      <c r="AC3" s="98" t="s">
        <v>2154</v>
      </c>
      <c r="AD3" s="98" t="s">
        <v>2155</v>
      </c>
      <c r="AE3" s="98" t="s">
        <v>2156</v>
      </c>
      <c r="AF3" s="98" t="s">
        <v>2157</v>
      </c>
      <c r="AG3" s="98" t="s">
        <v>2158</v>
      </c>
      <c r="AH3" s="98" t="s">
        <v>2159</v>
      </c>
      <c r="AI3" s="98" t="s">
        <v>2160</v>
      </c>
      <c r="AJ3" s="98" t="s">
        <v>2161</v>
      </c>
      <c r="AK3" s="98" t="s">
        <v>2162</v>
      </c>
      <c r="AL3" s="98" t="s">
        <v>2163</v>
      </c>
      <c r="AM3" s="98" t="s">
        <v>2164</v>
      </c>
      <c r="AN3" s="98" t="s">
        <v>2165</v>
      </c>
      <c r="AO3" s="98" t="s">
        <v>2166</v>
      </c>
    </row>
    <row r="4">
      <c r="A4" s="97">
        <v>45917.0</v>
      </c>
      <c r="B4" s="98" t="s">
        <v>2167</v>
      </c>
      <c r="C4" s="98">
        <v>7.0</v>
      </c>
      <c r="D4" s="98">
        <v>45.0</v>
      </c>
      <c r="E4" s="98">
        <v>7.1</v>
      </c>
      <c r="F4" s="98" t="s">
        <v>2096</v>
      </c>
      <c r="G4" s="98">
        <v>2.0</v>
      </c>
      <c r="H4" s="98" t="s">
        <v>2168</v>
      </c>
      <c r="I4" s="98" t="s">
        <v>2169</v>
      </c>
      <c r="J4" s="98" t="s">
        <v>2170</v>
      </c>
      <c r="K4" s="98" t="s">
        <v>2171</v>
      </c>
      <c r="L4" s="98" t="s">
        <v>2172</v>
      </c>
      <c r="M4" s="98" t="s">
        <v>2173</v>
      </c>
      <c r="N4" s="98" t="s">
        <v>2174</v>
      </c>
      <c r="O4" s="98" t="s">
        <v>2175</v>
      </c>
      <c r="P4" s="98" t="s">
        <v>2176</v>
      </c>
      <c r="Q4" s="98" t="s">
        <v>2177</v>
      </c>
      <c r="R4" s="98" t="s">
        <v>2178</v>
      </c>
      <c r="S4" s="98" t="s">
        <v>2179</v>
      </c>
      <c r="T4" s="98" t="s">
        <v>2180</v>
      </c>
      <c r="U4" s="98" t="s">
        <v>2181</v>
      </c>
      <c r="V4" s="98" t="s">
        <v>2182</v>
      </c>
      <c r="W4" s="98" t="s">
        <v>2183</v>
      </c>
      <c r="X4" s="98" t="s">
        <v>2184</v>
      </c>
      <c r="Y4" s="98" t="s">
        <v>2185</v>
      </c>
      <c r="Z4" s="98" t="s">
        <v>2186</v>
      </c>
      <c r="AA4" s="98" t="s">
        <v>2187</v>
      </c>
      <c r="AB4" s="98" t="s">
        <v>2188</v>
      </c>
      <c r="AC4" s="98" t="s">
        <v>2189</v>
      </c>
      <c r="AD4" s="98" t="s">
        <v>2190</v>
      </c>
      <c r="AE4" s="98" t="s">
        <v>2191</v>
      </c>
      <c r="AF4" s="98" t="s">
        <v>2192</v>
      </c>
      <c r="AG4" s="98" t="s">
        <v>2193</v>
      </c>
      <c r="AH4" s="98" t="s">
        <v>2194</v>
      </c>
      <c r="AI4" s="98" t="s">
        <v>2195</v>
      </c>
      <c r="AJ4" s="98" t="s">
        <v>2196</v>
      </c>
      <c r="AK4" s="98" t="s">
        <v>2197</v>
      </c>
      <c r="AL4" s="98" t="s">
        <v>2198</v>
      </c>
      <c r="AM4" s="98" t="s">
        <v>2199</v>
      </c>
      <c r="AN4" s="98" t="s">
        <v>2200</v>
      </c>
      <c r="AO4" s="98" t="s">
        <v>2201</v>
      </c>
    </row>
    <row r="5">
      <c r="A5" s="97">
        <v>45918.0</v>
      </c>
      <c r="B5" s="98" t="s">
        <v>2202</v>
      </c>
      <c r="C5" s="98">
        <v>7.0</v>
      </c>
      <c r="D5" s="98">
        <v>75.0</v>
      </c>
      <c r="E5" s="98">
        <v>7.1</v>
      </c>
      <c r="F5" s="98" t="s">
        <v>2203</v>
      </c>
      <c r="G5" s="98">
        <v>3.0</v>
      </c>
      <c r="H5" s="98" t="s">
        <v>2204</v>
      </c>
      <c r="I5" s="98" t="s">
        <v>2205</v>
      </c>
      <c r="J5" s="98" t="s">
        <v>2206</v>
      </c>
      <c r="K5" s="98" t="s">
        <v>2207</v>
      </c>
      <c r="L5" s="98" t="s">
        <v>2208</v>
      </c>
      <c r="M5" s="98" t="s">
        <v>2209</v>
      </c>
      <c r="N5" s="98" t="s">
        <v>2210</v>
      </c>
      <c r="O5" s="98" t="s">
        <v>2211</v>
      </c>
      <c r="P5" s="98" t="s">
        <v>2212</v>
      </c>
      <c r="Q5" s="98" t="s">
        <v>2213</v>
      </c>
      <c r="R5" s="98" t="s">
        <v>2214</v>
      </c>
      <c r="S5" s="98" t="s">
        <v>2215</v>
      </c>
      <c r="T5" s="98" t="s">
        <v>2216</v>
      </c>
      <c r="U5" s="98" t="s">
        <v>2217</v>
      </c>
      <c r="V5" s="98" t="s">
        <v>2218</v>
      </c>
      <c r="W5" s="98" t="s">
        <v>2219</v>
      </c>
      <c r="X5" s="98" t="s">
        <v>2220</v>
      </c>
      <c r="Y5" s="98" t="s">
        <v>2221</v>
      </c>
      <c r="Z5" s="98" t="s">
        <v>2222</v>
      </c>
      <c r="AA5" s="98" t="s">
        <v>2223</v>
      </c>
      <c r="AB5" s="98" t="s">
        <v>2224</v>
      </c>
      <c r="AC5" s="98" t="s">
        <v>2225</v>
      </c>
      <c r="AD5" s="98" t="s">
        <v>2226</v>
      </c>
      <c r="AE5" s="98" t="s">
        <v>2227</v>
      </c>
      <c r="AF5" s="98" t="s">
        <v>2228</v>
      </c>
      <c r="AG5" s="98" t="s">
        <v>2229</v>
      </c>
      <c r="AH5" s="98" t="s">
        <v>2230</v>
      </c>
      <c r="AI5" s="98" t="s">
        <v>2231</v>
      </c>
      <c r="AJ5" s="98" t="s">
        <v>2232</v>
      </c>
      <c r="AK5" s="98" t="s">
        <v>2233</v>
      </c>
      <c r="AL5" s="98" t="s">
        <v>2234</v>
      </c>
      <c r="AM5" s="98" t="s">
        <v>2235</v>
      </c>
      <c r="AN5" s="98" t="s">
        <v>2236</v>
      </c>
      <c r="AO5" s="98" t="s">
        <v>2237</v>
      </c>
    </row>
    <row r="6">
      <c r="A6" s="97">
        <v>45919.0</v>
      </c>
      <c r="B6" s="98" t="s">
        <v>2238</v>
      </c>
      <c r="C6" s="98">
        <v>8.0</v>
      </c>
      <c r="D6" s="98">
        <v>75.0</v>
      </c>
      <c r="E6" s="98">
        <v>8.2</v>
      </c>
      <c r="F6" s="98" t="s">
        <v>2239</v>
      </c>
      <c r="G6" s="98">
        <v>3.0</v>
      </c>
      <c r="H6" s="98" t="s">
        <v>2240</v>
      </c>
      <c r="I6" s="98" t="s">
        <v>2241</v>
      </c>
      <c r="J6" s="98" t="s">
        <v>2242</v>
      </c>
      <c r="K6" s="98" t="s">
        <v>2243</v>
      </c>
      <c r="L6" s="98" t="s">
        <v>2244</v>
      </c>
      <c r="M6" s="98" t="s">
        <v>2245</v>
      </c>
      <c r="N6" s="98" t="s">
        <v>2246</v>
      </c>
      <c r="O6" s="98" t="s">
        <v>2247</v>
      </c>
      <c r="P6" s="98" t="s">
        <v>2248</v>
      </c>
      <c r="Q6" s="98" t="s">
        <v>2249</v>
      </c>
      <c r="R6" s="98" t="s">
        <v>2250</v>
      </c>
      <c r="S6" s="98" t="s">
        <v>2251</v>
      </c>
      <c r="T6" s="98" t="s">
        <v>2252</v>
      </c>
      <c r="U6" s="98" t="s">
        <v>2253</v>
      </c>
      <c r="V6" s="98" t="s">
        <v>2254</v>
      </c>
      <c r="W6" s="98" t="s">
        <v>2255</v>
      </c>
      <c r="X6" s="98" t="s">
        <v>2256</v>
      </c>
      <c r="Y6" s="98" t="s">
        <v>2257</v>
      </c>
      <c r="Z6" s="98" t="s">
        <v>2258</v>
      </c>
      <c r="AA6" s="98" t="s">
        <v>2259</v>
      </c>
      <c r="AB6" s="98" t="s">
        <v>2260</v>
      </c>
      <c r="AC6" s="98" t="s">
        <v>2261</v>
      </c>
      <c r="AD6" s="98" t="s">
        <v>2262</v>
      </c>
      <c r="AE6" s="98" t="s">
        <v>2263</v>
      </c>
      <c r="AF6" s="98" t="s">
        <v>2264</v>
      </c>
      <c r="AG6" s="98" t="s">
        <v>2265</v>
      </c>
      <c r="AH6" s="98" t="s">
        <v>2266</v>
      </c>
      <c r="AI6" s="98" t="s">
        <v>2267</v>
      </c>
      <c r="AJ6" s="98" t="s">
        <v>2268</v>
      </c>
      <c r="AK6" s="98" t="s">
        <v>2269</v>
      </c>
      <c r="AL6" s="98" t="s">
        <v>2270</v>
      </c>
      <c r="AM6" s="98" t="s">
        <v>2271</v>
      </c>
      <c r="AN6" s="98" t="s">
        <v>2272</v>
      </c>
      <c r="AO6" s="98" t="s">
        <v>2273</v>
      </c>
    </row>
    <row r="7">
      <c r="A7" s="97">
        <v>45922.0</v>
      </c>
      <c r="B7" s="98" t="s">
        <v>2095</v>
      </c>
      <c r="C7" s="98">
        <v>8.0</v>
      </c>
      <c r="D7" s="98">
        <v>75.0</v>
      </c>
      <c r="E7" s="98">
        <v>8.2</v>
      </c>
      <c r="F7" s="98" t="s">
        <v>2239</v>
      </c>
      <c r="G7" s="98">
        <v>4.0</v>
      </c>
      <c r="H7" s="98" t="s">
        <v>2274</v>
      </c>
      <c r="I7" s="98" t="s">
        <v>2275</v>
      </c>
      <c r="J7" s="98" t="s">
        <v>2276</v>
      </c>
      <c r="K7" s="98" t="s">
        <v>2277</v>
      </c>
      <c r="L7" s="98" t="s">
        <v>2278</v>
      </c>
      <c r="M7" s="98" t="s">
        <v>2279</v>
      </c>
      <c r="N7" s="98" t="s">
        <v>2280</v>
      </c>
      <c r="O7" s="98" t="s">
        <v>2281</v>
      </c>
      <c r="P7" s="98" t="s">
        <v>2282</v>
      </c>
      <c r="Q7" s="98" t="s">
        <v>2283</v>
      </c>
      <c r="R7" s="98" t="s">
        <v>2284</v>
      </c>
      <c r="S7" s="98" t="s">
        <v>2285</v>
      </c>
      <c r="T7" s="98" t="s">
        <v>2286</v>
      </c>
      <c r="U7" s="98" t="s">
        <v>2287</v>
      </c>
      <c r="V7" s="98" t="s">
        <v>2288</v>
      </c>
      <c r="W7" s="98" t="s">
        <v>2289</v>
      </c>
      <c r="X7" s="98" t="s">
        <v>2290</v>
      </c>
      <c r="Y7" s="98" t="s">
        <v>2291</v>
      </c>
      <c r="Z7" s="98" t="s">
        <v>2292</v>
      </c>
      <c r="AA7" s="98" t="s">
        <v>2293</v>
      </c>
      <c r="AB7" s="98" t="s">
        <v>2294</v>
      </c>
      <c r="AC7" s="98" t="s">
        <v>2295</v>
      </c>
      <c r="AD7" s="98" t="s">
        <v>2296</v>
      </c>
      <c r="AE7" s="98" t="s">
        <v>2297</v>
      </c>
      <c r="AF7" s="98" t="s">
        <v>2298</v>
      </c>
      <c r="AG7" s="98" t="s">
        <v>2299</v>
      </c>
      <c r="AH7" s="98" t="s">
        <v>2300</v>
      </c>
      <c r="AI7" s="98" t="s">
        <v>2301</v>
      </c>
      <c r="AJ7" s="98" t="s">
        <v>2302</v>
      </c>
      <c r="AK7" s="98" t="s">
        <v>2303</v>
      </c>
      <c r="AL7" s="98" t="s">
        <v>2304</v>
      </c>
      <c r="AM7" s="98" t="s">
        <v>2305</v>
      </c>
      <c r="AN7" s="98" t="s">
        <v>2306</v>
      </c>
      <c r="AO7" s="98" t="s">
        <v>2307</v>
      </c>
    </row>
    <row r="8">
      <c r="A8" s="97">
        <v>45923.0</v>
      </c>
      <c r="B8" s="98" t="s">
        <v>2131</v>
      </c>
      <c r="C8" s="98">
        <v>7.0</v>
      </c>
      <c r="D8" s="98">
        <v>75.0</v>
      </c>
      <c r="E8" s="98">
        <v>7.1</v>
      </c>
      <c r="F8" s="98" t="s">
        <v>2203</v>
      </c>
      <c r="G8" s="98">
        <v>4.0</v>
      </c>
      <c r="H8" s="98" t="s">
        <v>2308</v>
      </c>
      <c r="I8" s="98" t="s">
        <v>2309</v>
      </c>
      <c r="J8" s="98" t="s">
        <v>2310</v>
      </c>
      <c r="K8" s="98" t="s">
        <v>2311</v>
      </c>
      <c r="L8" s="98" t="s">
        <v>2312</v>
      </c>
      <c r="M8" s="98" t="s">
        <v>2313</v>
      </c>
      <c r="N8" s="98" t="s">
        <v>2314</v>
      </c>
      <c r="O8" s="98" t="s">
        <v>2315</v>
      </c>
      <c r="P8" s="98" t="s">
        <v>2316</v>
      </c>
      <c r="Q8" s="98" t="s">
        <v>2317</v>
      </c>
      <c r="R8" s="98" t="s">
        <v>2318</v>
      </c>
      <c r="S8" s="98" t="s">
        <v>2319</v>
      </c>
      <c r="T8" s="98" t="s">
        <v>2320</v>
      </c>
      <c r="U8" s="98" t="s">
        <v>2321</v>
      </c>
      <c r="V8" s="98" t="s">
        <v>2322</v>
      </c>
      <c r="W8" s="98" t="s">
        <v>2323</v>
      </c>
      <c r="X8" s="98" t="s">
        <v>2324</v>
      </c>
      <c r="Y8" s="98" t="s">
        <v>2325</v>
      </c>
      <c r="Z8" s="98" t="s">
        <v>2326</v>
      </c>
      <c r="AA8" s="98" t="s">
        <v>2327</v>
      </c>
      <c r="AB8" s="98" t="s">
        <v>2328</v>
      </c>
      <c r="AC8" s="98" t="s">
        <v>2329</v>
      </c>
      <c r="AD8" s="98" t="s">
        <v>2330</v>
      </c>
      <c r="AE8" s="98" t="s">
        <v>2331</v>
      </c>
      <c r="AF8" s="98" t="s">
        <v>2332</v>
      </c>
      <c r="AG8" s="98" t="s">
        <v>2333</v>
      </c>
      <c r="AH8" s="98" t="s">
        <v>2334</v>
      </c>
      <c r="AI8" s="98" t="s">
        <v>2335</v>
      </c>
      <c r="AJ8" s="98" t="s">
        <v>2336</v>
      </c>
      <c r="AK8" s="98" t="s">
        <v>2337</v>
      </c>
      <c r="AL8" s="98" t="s">
        <v>2338</v>
      </c>
      <c r="AM8" s="98" t="s">
        <v>2339</v>
      </c>
      <c r="AN8" s="98" t="s">
        <v>2272</v>
      </c>
      <c r="AO8" s="98" t="s">
        <v>2340</v>
      </c>
    </row>
    <row r="9">
      <c r="A9" s="97">
        <v>45924.0</v>
      </c>
      <c r="B9" s="98" t="s">
        <v>2167</v>
      </c>
      <c r="C9" s="98">
        <v>8.0</v>
      </c>
      <c r="D9" s="98">
        <v>45.0</v>
      </c>
      <c r="E9" s="98">
        <v>8.2</v>
      </c>
      <c r="F9" s="98" t="s">
        <v>2341</v>
      </c>
      <c r="G9" s="98">
        <v>2.0</v>
      </c>
      <c r="H9" s="98" t="s">
        <v>2342</v>
      </c>
      <c r="I9" s="98" t="s">
        <v>2343</v>
      </c>
      <c r="J9" s="98" t="s">
        <v>2344</v>
      </c>
      <c r="K9" s="98" t="s">
        <v>2345</v>
      </c>
      <c r="L9" s="98" t="s">
        <v>2346</v>
      </c>
      <c r="M9" s="98" t="s">
        <v>2347</v>
      </c>
      <c r="N9" s="98" t="s">
        <v>2348</v>
      </c>
      <c r="O9" s="98" t="s">
        <v>2349</v>
      </c>
      <c r="P9" s="98" t="s">
        <v>2350</v>
      </c>
      <c r="Q9" s="98" t="s">
        <v>2351</v>
      </c>
      <c r="R9" s="98" t="s">
        <v>2352</v>
      </c>
      <c r="S9" s="98" t="s">
        <v>2353</v>
      </c>
      <c r="T9" s="98" t="s">
        <v>2354</v>
      </c>
      <c r="U9" s="98" t="s">
        <v>2355</v>
      </c>
      <c r="V9" s="98" t="s">
        <v>2356</v>
      </c>
      <c r="W9" s="98" t="s">
        <v>2357</v>
      </c>
      <c r="X9" s="98" t="s">
        <v>2358</v>
      </c>
      <c r="Y9" s="98" t="s">
        <v>2359</v>
      </c>
      <c r="Z9" s="98" t="s">
        <v>2360</v>
      </c>
      <c r="AA9" s="98" t="s">
        <v>2361</v>
      </c>
      <c r="AB9" s="98" t="s">
        <v>2362</v>
      </c>
      <c r="AC9" s="98" t="s">
        <v>2363</v>
      </c>
      <c r="AD9" s="98" t="s">
        <v>2364</v>
      </c>
      <c r="AE9" s="98" t="s">
        <v>2365</v>
      </c>
      <c r="AF9" s="98" t="s">
        <v>2366</v>
      </c>
      <c r="AG9" s="98" t="s">
        <v>2367</v>
      </c>
      <c r="AH9" s="98" t="s">
        <v>2368</v>
      </c>
      <c r="AI9" s="98" t="s">
        <v>2369</v>
      </c>
      <c r="AJ9" s="98" t="s">
        <v>2370</v>
      </c>
      <c r="AK9" s="98" t="s">
        <v>2371</v>
      </c>
      <c r="AL9" s="98" t="s">
        <v>2372</v>
      </c>
      <c r="AM9" s="98" t="s">
        <v>2373</v>
      </c>
      <c r="AN9" s="98" t="s">
        <v>2374</v>
      </c>
      <c r="AO9" s="98" t="s">
        <v>2375</v>
      </c>
    </row>
    <row r="10">
      <c r="A10" s="97">
        <v>45925.0</v>
      </c>
      <c r="B10" s="98" t="s">
        <v>2202</v>
      </c>
      <c r="C10" s="98">
        <v>7.0</v>
      </c>
      <c r="D10" s="98">
        <v>75.0</v>
      </c>
      <c r="E10" s="98">
        <v>7.1</v>
      </c>
      <c r="F10" s="98" t="s">
        <v>2376</v>
      </c>
      <c r="G10" s="98">
        <v>3.0</v>
      </c>
      <c r="H10" s="98" t="s">
        <v>2377</v>
      </c>
      <c r="I10" s="98" t="s">
        <v>2378</v>
      </c>
      <c r="J10" s="98" t="s">
        <v>2379</v>
      </c>
      <c r="K10" s="98" t="s">
        <v>2380</v>
      </c>
      <c r="L10" s="98" t="s">
        <v>2381</v>
      </c>
      <c r="M10" s="98" t="s">
        <v>2382</v>
      </c>
      <c r="N10" s="98" t="s">
        <v>2383</v>
      </c>
      <c r="O10" s="98" t="s">
        <v>2384</v>
      </c>
      <c r="P10" s="98" t="s">
        <v>2385</v>
      </c>
      <c r="Q10" s="98" t="s">
        <v>2386</v>
      </c>
      <c r="R10" s="98" t="s">
        <v>2387</v>
      </c>
      <c r="S10" s="98" t="s">
        <v>2388</v>
      </c>
      <c r="T10" s="98" t="s">
        <v>2389</v>
      </c>
      <c r="U10" s="98" t="s">
        <v>2390</v>
      </c>
      <c r="V10" s="98" t="s">
        <v>2391</v>
      </c>
      <c r="W10" s="98" t="s">
        <v>2392</v>
      </c>
      <c r="X10" s="98" t="s">
        <v>2393</v>
      </c>
      <c r="Y10" s="98" t="s">
        <v>2394</v>
      </c>
      <c r="Z10" s="98" t="s">
        <v>2395</v>
      </c>
      <c r="AA10" s="98" t="s">
        <v>2396</v>
      </c>
      <c r="AB10" s="98" t="s">
        <v>2397</v>
      </c>
      <c r="AC10" s="98" t="s">
        <v>2398</v>
      </c>
      <c r="AD10" s="98" t="s">
        <v>2399</v>
      </c>
      <c r="AE10" s="98" t="s">
        <v>2400</v>
      </c>
      <c r="AF10" s="98" t="s">
        <v>2401</v>
      </c>
      <c r="AG10" s="98" t="s">
        <v>2402</v>
      </c>
      <c r="AH10" s="98" t="s">
        <v>2403</v>
      </c>
      <c r="AI10" s="98" t="s">
        <v>2404</v>
      </c>
      <c r="AJ10" s="98" t="s">
        <v>2405</v>
      </c>
      <c r="AK10" s="98" t="s">
        <v>2406</v>
      </c>
      <c r="AL10" s="98" t="s">
        <v>2407</v>
      </c>
      <c r="AM10" s="98" t="s">
        <v>2408</v>
      </c>
      <c r="AN10" s="98" t="s">
        <v>2409</v>
      </c>
      <c r="AO10" s="98" t="s">
        <v>2410</v>
      </c>
    </row>
    <row r="11">
      <c r="A11" s="97">
        <v>45926.0</v>
      </c>
      <c r="B11" s="98" t="s">
        <v>2238</v>
      </c>
      <c r="C11" s="98">
        <v>8.0</v>
      </c>
      <c r="D11" s="98">
        <v>75.0</v>
      </c>
      <c r="E11" s="98">
        <v>8.2</v>
      </c>
      <c r="F11" s="98" t="s">
        <v>2341</v>
      </c>
      <c r="G11" s="98">
        <v>3.0</v>
      </c>
      <c r="H11" s="98" t="s">
        <v>2411</v>
      </c>
      <c r="I11" s="98" t="s">
        <v>2412</v>
      </c>
      <c r="J11" s="98" t="s">
        <v>2413</v>
      </c>
      <c r="K11" s="98" t="s">
        <v>2414</v>
      </c>
      <c r="L11" s="98" t="s">
        <v>2415</v>
      </c>
      <c r="M11" s="98" t="s">
        <v>2416</v>
      </c>
      <c r="N11" s="98" t="s">
        <v>2417</v>
      </c>
      <c r="O11" s="98" t="s">
        <v>2418</v>
      </c>
      <c r="P11" s="98" t="s">
        <v>2419</v>
      </c>
      <c r="Q11" s="98" t="s">
        <v>2420</v>
      </c>
      <c r="R11" s="98" t="s">
        <v>2421</v>
      </c>
      <c r="S11" s="98" t="s">
        <v>2422</v>
      </c>
      <c r="T11" s="98" t="s">
        <v>2423</v>
      </c>
      <c r="U11" s="98" t="s">
        <v>2424</v>
      </c>
      <c r="V11" s="98" t="s">
        <v>2425</v>
      </c>
      <c r="W11" s="98" t="s">
        <v>2426</v>
      </c>
      <c r="X11" s="98" t="s">
        <v>2427</v>
      </c>
      <c r="Y11" s="98" t="s">
        <v>2428</v>
      </c>
      <c r="Z11" s="98" t="s">
        <v>2429</v>
      </c>
      <c r="AA11" s="98" t="s">
        <v>2430</v>
      </c>
      <c r="AB11" s="98" t="s">
        <v>2431</v>
      </c>
      <c r="AC11" s="98" t="s">
        <v>2432</v>
      </c>
      <c r="AD11" s="98" t="s">
        <v>2433</v>
      </c>
      <c r="AE11" s="98" t="s">
        <v>2434</v>
      </c>
      <c r="AF11" s="98" t="s">
        <v>2435</v>
      </c>
      <c r="AG11" s="98" t="s">
        <v>2436</v>
      </c>
      <c r="AH11" s="98" t="s">
        <v>2437</v>
      </c>
      <c r="AI11" s="98" t="s">
        <v>2438</v>
      </c>
      <c r="AJ11" s="98" t="s">
        <v>2439</v>
      </c>
      <c r="AK11" s="98" t="s">
        <v>2440</v>
      </c>
      <c r="AL11" s="98" t="s">
        <v>2441</v>
      </c>
      <c r="AM11" s="98" t="s">
        <v>2442</v>
      </c>
      <c r="AN11" s="98" t="s">
        <v>2443</v>
      </c>
      <c r="AO11" s="98" t="s">
        <v>2444</v>
      </c>
    </row>
    <row r="12">
      <c r="A12" s="97">
        <v>45929.0</v>
      </c>
      <c r="B12" s="98" t="s">
        <v>2095</v>
      </c>
      <c r="C12" s="98">
        <v>7.0</v>
      </c>
      <c r="D12" s="98">
        <v>75.0</v>
      </c>
      <c r="E12" s="98">
        <v>7.1</v>
      </c>
      <c r="F12" s="98" t="s">
        <v>2376</v>
      </c>
      <c r="G12" s="98">
        <v>4.0</v>
      </c>
      <c r="H12" s="98" t="s">
        <v>2445</v>
      </c>
      <c r="I12" s="98" t="s">
        <v>2446</v>
      </c>
      <c r="J12" s="98" t="s">
        <v>2447</v>
      </c>
      <c r="K12" s="98" t="s">
        <v>2448</v>
      </c>
      <c r="L12" s="98" t="s">
        <v>2449</v>
      </c>
      <c r="M12" s="98" t="s">
        <v>2450</v>
      </c>
      <c r="N12" s="98" t="s">
        <v>2451</v>
      </c>
      <c r="O12" s="98" t="s">
        <v>2452</v>
      </c>
      <c r="P12" s="98" t="s">
        <v>2453</v>
      </c>
      <c r="Q12" s="98" t="s">
        <v>2454</v>
      </c>
      <c r="R12" s="98" t="s">
        <v>2455</v>
      </c>
      <c r="S12" s="98" t="s">
        <v>2456</v>
      </c>
      <c r="T12" s="98" t="s">
        <v>2457</v>
      </c>
      <c r="U12" s="98" t="s">
        <v>2458</v>
      </c>
      <c r="V12" s="98" t="s">
        <v>2459</v>
      </c>
      <c r="W12" s="98" t="s">
        <v>2460</v>
      </c>
      <c r="X12" s="98" t="s">
        <v>2461</v>
      </c>
      <c r="Y12" s="98" t="s">
        <v>2462</v>
      </c>
      <c r="Z12" s="98" t="s">
        <v>2463</v>
      </c>
      <c r="AA12" s="98" t="s">
        <v>2464</v>
      </c>
      <c r="AB12" s="98" t="s">
        <v>2465</v>
      </c>
      <c r="AC12" s="98" t="s">
        <v>2466</v>
      </c>
      <c r="AD12" s="98" t="s">
        <v>2467</v>
      </c>
      <c r="AE12" s="98" t="s">
        <v>2468</v>
      </c>
      <c r="AF12" s="98" t="s">
        <v>2469</v>
      </c>
      <c r="AG12" s="98" t="s">
        <v>2470</v>
      </c>
      <c r="AH12" s="98" t="s">
        <v>2471</v>
      </c>
      <c r="AI12" s="98" t="s">
        <v>2472</v>
      </c>
      <c r="AJ12" s="98" t="s">
        <v>2473</v>
      </c>
      <c r="AK12" s="98" t="s">
        <v>2474</v>
      </c>
      <c r="AL12" s="98" t="s">
        <v>2475</v>
      </c>
      <c r="AM12" s="98" t="s">
        <v>2476</v>
      </c>
      <c r="AN12" s="98" t="s">
        <v>2477</v>
      </c>
      <c r="AO12" s="98" t="s">
        <v>2478</v>
      </c>
    </row>
    <row r="13">
      <c r="A13" s="97">
        <v>45930.0</v>
      </c>
      <c r="B13" s="98" t="s">
        <v>2131</v>
      </c>
      <c r="C13" s="98">
        <v>8.0</v>
      </c>
      <c r="D13" s="98">
        <v>75.0</v>
      </c>
      <c r="E13" s="98">
        <v>8.2</v>
      </c>
      <c r="F13" s="98" t="s">
        <v>2479</v>
      </c>
      <c r="G13" s="98">
        <v>3.0</v>
      </c>
      <c r="H13" s="98" t="s">
        <v>2480</v>
      </c>
      <c r="I13" s="98" t="s">
        <v>2481</v>
      </c>
      <c r="J13" s="98" t="s">
        <v>2482</v>
      </c>
      <c r="K13" s="98" t="s">
        <v>2483</v>
      </c>
      <c r="L13" s="98" t="s">
        <v>2484</v>
      </c>
      <c r="M13" s="98" t="s">
        <v>2485</v>
      </c>
      <c r="N13" s="98" t="s">
        <v>2486</v>
      </c>
      <c r="O13" s="98" t="s">
        <v>2487</v>
      </c>
      <c r="P13" s="98" t="s">
        <v>2488</v>
      </c>
      <c r="Q13" s="98" t="s">
        <v>2489</v>
      </c>
      <c r="R13" s="98" t="s">
        <v>2490</v>
      </c>
      <c r="S13" s="98" t="s">
        <v>2491</v>
      </c>
      <c r="T13" s="98" t="s">
        <v>2492</v>
      </c>
      <c r="U13" s="98" t="s">
        <v>2493</v>
      </c>
      <c r="V13" s="98" t="s">
        <v>2494</v>
      </c>
      <c r="W13" s="98" t="s">
        <v>2495</v>
      </c>
      <c r="X13" s="98" t="s">
        <v>2496</v>
      </c>
      <c r="Y13" s="98" t="s">
        <v>2497</v>
      </c>
      <c r="Z13" s="98" t="s">
        <v>2498</v>
      </c>
      <c r="AA13" s="98" t="s">
        <v>2499</v>
      </c>
      <c r="AB13" s="98" t="s">
        <v>2500</v>
      </c>
      <c r="AC13" s="98" t="s">
        <v>2501</v>
      </c>
      <c r="AD13" s="98" t="s">
        <v>2502</v>
      </c>
      <c r="AE13" s="98" t="s">
        <v>2503</v>
      </c>
      <c r="AF13" s="98" t="s">
        <v>2504</v>
      </c>
      <c r="AG13" s="98" t="s">
        <v>2505</v>
      </c>
      <c r="AH13" s="98" t="s">
        <v>2506</v>
      </c>
      <c r="AI13" s="98" t="s">
        <v>2507</v>
      </c>
      <c r="AJ13" s="98" t="s">
        <v>2508</v>
      </c>
      <c r="AK13" s="98" t="s">
        <v>2509</v>
      </c>
      <c r="AL13" s="98" t="s">
        <v>2510</v>
      </c>
      <c r="AM13" s="98" t="s">
        <v>2511</v>
      </c>
      <c r="AN13" s="98" t="s">
        <v>2512</v>
      </c>
      <c r="AO13" s="98" t="s">
        <v>2513</v>
      </c>
    </row>
    <row r="14">
      <c r="A14" s="97">
        <v>45931.0</v>
      </c>
      <c r="B14" s="98" t="s">
        <v>2167</v>
      </c>
      <c r="C14" s="98">
        <v>7.0</v>
      </c>
      <c r="D14" s="98">
        <v>45.0</v>
      </c>
      <c r="E14" s="98">
        <v>7.1</v>
      </c>
      <c r="F14" s="98" t="s">
        <v>2514</v>
      </c>
      <c r="G14" s="98">
        <v>2.0</v>
      </c>
      <c r="H14" s="98" t="s">
        <v>2515</v>
      </c>
      <c r="I14" s="98" t="s">
        <v>2516</v>
      </c>
      <c r="J14" s="98" t="s">
        <v>2517</v>
      </c>
      <c r="K14" s="98" t="s">
        <v>2518</v>
      </c>
      <c r="L14" s="98" t="s">
        <v>2519</v>
      </c>
      <c r="M14" s="98" t="s">
        <v>2520</v>
      </c>
      <c r="N14" s="98" t="s">
        <v>2521</v>
      </c>
      <c r="O14" s="98" t="s">
        <v>2522</v>
      </c>
      <c r="P14" s="98" t="s">
        <v>2523</v>
      </c>
      <c r="Q14" s="98" t="s">
        <v>2524</v>
      </c>
      <c r="R14" s="98" t="s">
        <v>2525</v>
      </c>
      <c r="S14" s="98" t="s">
        <v>2526</v>
      </c>
      <c r="T14" s="98" t="s">
        <v>2527</v>
      </c>
      <c r="U14" s="98" t="s">
        <v>2528</v>
      </c>
      <c r="V14" s="98" t="s">
        <v>2529</v>
      </c>
      <c r="W14" s="98" t="s">
        <v>2530</v>
      </c>
      <c r="X14" s="98" t="s">
        <v>2531</v>
      </c>
      <c r="Y14" s="98" t="s">
        <v>2532</v>
      </c>
      <c r="Z14" s="98" t="s">
        <v>2533</v>
      </c>
      <c r="AA14" s="98" t="s">
        <v>2534</v>
      </c>
      <c r="AB14" s="98" t="s">
        <v>2535</v>
      </c>
      <c r="AC14" s="98" t="s">
        <v>2536</v>
      </c>
      <c r="AD14" s="98" t="s">
        <v>2537</v>
      </c>
      <c r="AE14" s="98" t="s">
        <v>2538</v>
      </c>
      <c r="AF14" s="98" t="s">
        <v>2539</v>
      </c>
      <c r="AG14" s="98" t="s">
        <v>2540</v>
      </c>
      <c r="AH14" s="98" t="s">
        <v>2541</v>
      </c>
      <c r="AI14" s="98" t="s">
        <v>2542</v>
      </c>
      <c r="AJ14" s="98" t="s">
        <v>2543</v>
      </c>
      <c r="AK14" s="98" t="s">
        <v>2544</v>
      </c>
      <c r="AL14" s="98" t="s">
        <v>2545</v>
      </c>
      <c r="AM14" s="98" t="s">
        <v>2546</v>
      </c>
      <c r="AN14" s="98" t="s">
        <v>2547</v>
      </c>
      <c r="AO14" s="98" t="s">
        <v>2548</v>
      </c>
    </row>
    <row r="15">
      <c r="A15" s="97">
        <v>45932.0</v>
      </c>
      <c r="B15" s="98" t="s">
        <v>2202</v>
      </c>
      <c r="C15" s="98">
        <v>7.0</v>
      </c>
      <c r="D15" s="98">
        <v>75.0</v>
      </c>
      <c r="E15" s="98">
        <v>7.1</v>
      </c>
      <c r="F15" s="98" t="s">
        <v>2514</v>
      </c>
      <c r="G15" s="98">
        <v>3.0</v>
      </c>
      <c r="H15" s="98" t="s">
        <v>2549</v>
      </c>
      <c r="I15" s="98" t="s">
        <v>2550</v>
      </c>
      <c r="J15" s="98" t="s">
        <v>2551</v>
      </c>
      <c r="K15" s="98" t="s">
        <v>2552</v>
      </c>
      <c r="L15" s="98" t="s">
        <v>2553</v>
      </c>
      <c r="M15" s="98" t="s">
        <v>2554</v>
      </c>
      <c r="N15" s="98" t="s">
        <v>2555</v>
      </c>
      <c r="O15" s="98" t="s">
        <v>2556</v>
      </c>
      <c r="P15" s="98" t="s">
        <v>2557</v>
      </c>
      <c r="Q15" s="98" t="s">
        <v>2558</v>
      </c>
      <c r="R15" s="98" t="s">
        <v>2559</v>
      </c>
      <c r="S15" s="98" t="s">
        <v>2560</v>
      </c>
      <c r="T15" s="98" t="s">
        <v>2561</v>
      </c>
      <c r="U15" s="98" t="s">
        <v>2562</v>
      </c>
      <c r="V15" s="98" t="s">
        <v>2563</v>
      </c>
      <c r="W15" s="98" t="s">
        <v>2564</v>
      </c>
      <c r="X15" s="98" t="s">
        <v>2565</v>
      </c>
      <c r="Y15" s="98" t="s">
        <v>2566</v>
      </c>
      <c r="Z15" s="98" t="s">
        <v>2567</v>
      </c>
      <c r="AA15" s="98" t="s">
        <v>2568</v>
      </c>
      <c r="AB15" s="98" t="s">
        <v>2569</v>
      </c>
      <c r="AC15" s="98" t="s">
        <v>2570</v>
      </c>
      <c r="AD15" s="98" t="s">
        <v>2571</v>
      </c>
      <c r="AE15" s="98" t="s">
        <v>2572</v>
      </c>
      <c r="AF15" s="98" t="s">
        <v>2573</v>
      </c>
      <c r="AG15" s="98" t="s">
        <v>2574</v>
      </c>
      <c r="AH15" s="98" t="s">
        <v>2575</v>
      </c>
      <c r="AI15" s="98" t="s">
        <v>2576</v>
      </c>
      <c r="AJ15" s="98" t="s">
        <v>2577</v>
      </c>
      <c r="AK15" s="98" t="s">
        <v>2578</v>
      </c>
      <c r="AL15" s="98" t="s">
        <v>2579</v>
      </c>
      <c r="AM15" s="98" t="s">
        <v>2580</v>
      </c>
      <c r="AN15" s="98" t="s">
        <v>2581</v>
      </c>
      <c r="AO15" s="98" t="s">
        <v>2582</v>
      </c>
    </row>
    <row r="16">
      <c r="A16" s="97">
        <v>45933.0</v>
      </c>
      <c r="B16" s="98" t="s">
        <v>2238</v>
      </c>
      <c r="C16" s="98">
        <v>8.0</v>
      </c>
      <c r="D16" s="98">
        <v>75.0</v>
      </c>
      <c r="E16" s="98">
        <v>8.2</v>
      </c>
      <c r="F16" s="98" t="s">
        <v>2479</v>
      </c>
      <c r="G16" s="98">
        <v>4.0</v>
      </c>
      <c r="H16" s="98" t="s">
        <v>2583</v>
      </c>
      <c r="I16" s="98" t="s">
        <v>2584</v>
      </c>
      <c r="J16" s="98" t="s">
        <v>2585</v>
      </c>
      <c r="K16" s="98" t="s">
        <v>2586</v>
      </c>
      <c r="L16" s="98" t="s">
        <v>2587</v>
      </c>
      <c r="M16" s="98" t="s">
        <v>2588</v>
      </c>
      <c r="N16" s="98" t="s">
        <v>2589</v>
      </c>
      <c r="O16" s="98" t="s">
        <v>2590</v>
      </c>
      <c r="P16" s="98" t="s">
        <v>2591</v>
      </c>
      <c r="Q16" s="98" t="s">
        <v>2592</v>
      </c>
      <c r="R16" s="98" t="s">
        <v>2593</v>
      </c>
      <c r="S16" s="98" t="s">
        <v>2594</v>
      </c>
      <c r="T16" s="98" t="s">
        <v>2595</v>
      </c>
      <c r="U16" s="98" t="s">
        <v>2596</v>
      </c>
      <c r="V16" s="98" t="s">
        <v>2597</v>
      </c>
      <c r="W16" s="98" t="s">
        <v>2598</v>
      </c>
      <c r="X16" s="98" t="s">
        <v>2599</v>
      </c>
      <c r="Y16" s="98" t="s">
        <v>2600</v>
      </c>
      <c r="Z16" s="98" t="s">
        <v>2601</v>
      </c>
      <c r="AA16" s="98" t="s">
        <v>2602</v>
      </c>
      <c r="AB16" s="98" t="s">
        <v>2603</v>
      </c>
      <c r="AC16" s="98" t="s">
        <v>2604</v>
      </c>
      <c r="AD16" s="98" t="s">
        <v>2605</v>
      </c>
      <c r="AE16" s="98" t="s">
        <v>2606</v>
      </c>
      <c r="AF16" s="98" t="s">
        <v>2607</v>
      </c>
      <c r="AG16" s="98" t="s">
        <v>2608</v>
      </c>
      <c r="AH16" s="98" t="s">
        <v>2609</v>
      </c>
      <c r="AI16" s="98" t="s">
        <v>2610</v>
      </c>
      <c r="AJ16" s="98" t="s">
        <v>2611</v>
      </c>
      <c r="AK16" s="98" t="s">
        <v>2612</v>
      </c>
      <c r="AL16" s="98" t="s">
        <v>2613</v>
      </c>
      <c r="AM16" s="98" t="s">
        <v>2614</v>
      </c>
      <c r="AN16" s="98" t="s">
        <v>2236</v>
      </c>
      <c r="AO16" s="98" t="s">
        <v>2615</v>
      </c>
    </row>
    <row r="17">
      <c r="A17" s="97">
        <v>45936.0</v>
      </c>
      <c r="B17" s="98" t="s">
        <v>2095</v>
      </c>
      <c r="C17" s="98">
        <v>8.0</v>
      </c>
      <c r="D17" s="98">
        <v>75.0</v>
      </c>
      <c r="E17" s="98">
        <v>8.2</v>
      </c>
      <c r="F17" s="98" t="s">
        <v>2616</v>
      </c>
      <c r="G17" s="98">
        <v>3.0</v>
      </c>
      <c r="H17" s="98" t="s">
        <v>2617</v>
      </c>
      <c r="I17" s="98" t="s">
        <v>2618</v>
      </c>
      <c r="J17" s="98" t="s">
        <v>2619</v>
      </c>
      <c r="K17" s="98" t="s">
        <v>2620</v>
      </c>
      <c r="L17" s="98" t="s">
        <v>2621</v>
      </c>
      <c r="M17" s="98" t="s">
        <v>2622</v>
      </c>
      <c r="N17" s="98" t="s">
        <v>2623</v>
      </c>
      <c r="O17" s="98" t="s">
        <v>2624</v>
      </c>
      <c r="P17" s="98" t="s">
        <v>2625</v>
      </c>
      <c r="Q17" s="98" t="s">
        <v>2626</v>
      </c>
      <c r="R17" s="98" t="s">
        <v>2627</v>
      </c>
      <c r="S17" s="98" t="s">
        <v>2628</v>
      </c>
      <c r="T17" s="98" t="s">
        <v>2629</v>
      </c>
      <c r="U17" s="98" t="s">
        <v>2630</v>
      </c>
      <c r="V17" s="98" t="s">
        <v>2631</v>
      </c>
      <c r="W17" s="98" t="s">
        <v>2632</v>
      </c>
      <c r="X17" s="98" t="s">
        <v>2633</v>
      </c>
      <c r="Y17" s="98" t="s">
        <v>2634</v>
      </c>
      <c r="Z17" s="98" t="s">
        <v>2635</v>
      </c>
      <c r="AA17" s="98" t="s">
        <v>2636</v>
      </c>
      <c r="AB17" s="98" t="s">
        <v>2637</v>
      </c>
      <c r="AC17" s="98" t="s">
        <v>2638</v>
      </c>
      <c r="AD17" s="98" t="s">
        <v>2639</v>
      </c>
      <c r="AE17" s="98" t="s">
        <v>2640</v>
      </c>
      <c r="AF17" s="98" t="s">
        <v>2641</v>
      </c>
      <c r="AG17" s="98" t="s">
        <v>2642</v>
      </c>
      <c r="AH17" s="98" t="s">
        <v>2643</v>
      </c>
      <c r="AI17" s="98" t="s">
        <v>2644</v>
      </c>
      <c r="AJ17" s="98" t="s">
        <v>2645</v>
      </c>
      <c r="AK17" s="98" t="s">
        <v>2646</v>
      </c>
      <c r="AL17" s="98" t="s">
        <v>2647</v>
      </c>
      <c r="AM17" s="98" t="s">
        <v>2648</v>
      </c>
      <c r="AN17" s="98" t="s">
        <v>2649</v>
      </c>
      <c r="AO17" s="98" t="s">
        <v>2650</v>
      </c>
    </row>
    <row r="18">
      <c r="A18" s="97">
        <v>45937.0</v>
      </c>
      <c r="B18" s="98" t="s">
        <v>2131</v>
      </c>
      <c r="C18" s="98">
        <v>7.0</v>
      </c>
      <c r="D18" s="98">
        <v>75.0</v>
      </c>
      <c r="E18" s="98">
        <v>7.1</v>
      </c>
      <c r="F18" s="98" t="s">
        <v>2651</v>
      </c>
      <c r="G18" s="98">
        <v>4.0</v>
      </c>
      <c r="H18" s="98" t="s">
        <v>2652</v>
      </c>
      <c r="I18" s="98" t="s">
        <v>2653</v>
      </c>
      <c r="J18" s="98" t="s">
        <v>2654</v>
      </c>
      <c r="K18" s="98" t="s">
        <v>2655</v>
      </c>
      <c r="L18" s="98" t="s">
        <v>2656</v>
      </c>
      <c r="M18" s="98" t="s">
        <v>2657</v>
      </c>
      <c r="N18" s="98" t="s">
        <v>2658</v>
      </c>
      <c r="O18" s="98" t="s">
        <v>2659</v>
      </c>
      <c r="P18" s="98" t="s">
        <v>2660</v>
      </c>
      <c r="Q18" s="98" t="s">
        <v>2661</v>
      </c>
      <c r="R18" s="98" t="s">
        <v>2662</v>
      </c>
      <c r="S18" s="98" t="s">
        <v>2663</v>
      </c>
      <c r="T18" s="98" t="s">
        <v>2664</v>
      </c>
      <c r="U18" s="98" t="s">
        <v>2665</v>
      </c>
      <c r="V18" s="98" t="s">
        <v>2666</v>
      </c>
      <c r="W18" s="98" t="s">
        <v>2667</v>
      </c>
      <c r="X18" s="98" t="s">
        <v>2668</v>
      </c>
      <c r="Y18" s="98" t="s">
        <v>2669</v>
      </c>
      <c r="Z18" s="98" t="s">
        <v>2670</v>
      </c>
      <c r="AA18" s="98" t="s">
        <v>2671</v>
      </c>
      <c r="AB18" s="98" t="s">
        <v>2672</v>
      </c>
      <c r="AC18" s="98" t="s">
        <v>2673</v>
      </c>
      <c r="AD18" s="98" t="s">
        <v>2674</v>
      </c>
      <c r="AE18" s="98" t="s">
        <v>2675</v>
      </c>
      <c r="AF18" s="98" t="s">
        <v>2676</v>
      </c>
      <c r="AG18" s="98" t="s">
        <v>2677</v>
      </c>
      <c r="AH18" s="98" t="s">
        <v>2678</v>
      </c>
      <c r="AI18" s="98" t="s">
        <v>2679</v>
      </c>
      <c r="AJ18" s="98" t="s">
        <v>2680</v>
      </c>
      <c r="AK18" s="98" t="s">
        <v>2681</v>
      </c>
      <c r="AL18" s="98" t="s">
        <v>2682</v>
      </c>
      <c r="AM18" s="98" t="s">
        <v>2683</v>
      </c>
      <c r="AN18" s="98" t="s">
        <v>2684</v>
      </c>
      <c r="AO18" s="98" t="s">
        <v>2685</v>
      </c>
    </row>
    <row r="19">
      <c r="A19" s="97">
        <v>45938.0</v>
      </c>
      <c r="B19" s="98" t="s">
        <v>2167</v>
      </c>
      <c r="C19" s="98">
        <v>8.0</v>
      </c>
      <c r="D19" s="98">
        <v>45.0</v>
      </c>
      <c r="E19" s="98">
        <v>8.2</v>
      </c>
      <c r="F19" s="98" t="s">
        <v>2616</v>
      </c>
      <c r="G19" s="98">
        <v>2.0</v>
      </c>
      <c r="H19" s="98" t="s">
        <v>2686</v>
      </c>
      <c r="I19" s="98" t="s">
        <v>2687</v>
      </c>
      <c r="J19" s="98" t="s">
        <v>2688</v>
      </c>
      <c r="K19" s="98" t="s">
        <v>2689</v>
      </c>
      <c r="L19" s="98" t="s">
        <v>2690</v>
      </c>
      <c r="M19" s="98" t="s">
        <v>2691</v>
      </c>
      <c r="N19" s="98" t="s">
        <v>2692</v>
      </c>
      <c r="O19" s="98" t="s">
        <v>2693</v>
      </c>
      <c r="P19" s="98" t="s">
        <v>2694</v>
      </c>
      <c r="Q19" s="98" t="s">
        <v>2695</v>
      </c>
      <c r="R19" s="98" t="s">
        <v>2696</v>
      </c>
      <c r="S19" s="98" t="s">
        <v>2697</v>
      </c>
      <c r="T19" s="98" t="s">
        <v>2698</v>
      </c>
      <c r="U19" s="98" t="s">
        <v>2699</v>
      </c>
      <c r="V19" s="98" t="s">
        <v>2700</v>
      </c>
      <c r="W19" s="98" t="s">
        <v>2701</v>
      </c>
      <c r="X19" s="98" t="s">
        <v>2702</v>
      </c>
      <c r="Y19" s="98" t="s">
        <v>2703</v>
      </c>
      <c r="Z19" s="98" t="s">
        <v>2704</v>
      </c>
      <c r="AA19" s="98" t="s">
        <v>2705</v>
      </c>
      <c r="AB19" s="98" t="s">
        <v>2706</v>
      </c>
      <c r="AC19" s="98" t="s">
        <v>2707</v>
      </c>
      <c r="AD19" s="98" t="s">
        <v>2708</v>
      </c>
      <c r="AE19" s="98" t="s">
        <v>2709</v>
      </c>
      <c r="AF19" s="98" t="s">
        <v>2710</v>
      </c>
      <c r="AG19" s="98" t="s">
        <v>2711</v>
      </c>
      <c r="AH19" s="98" t="s">
        <v>2712</v>
      </c>
      <c r="AI19" s="98" t="s">
        <v>2713</v>
      </c>
      <c r="AJ19" s="98" t="s">
        <v>2714</v>
      </c>
      <c r="AK19" s="98" t="s">
        <v>2715</v>
      </c>
      <c r="AL19" s="98" t="s">
        <v>2716</v>
      </c>
      <c r="AM19" s="98" t="s">
        <v>2717</v>
      </c>
      <c r="AN19" s="98" t="s">
        <v>2718</v>
      </c>
      <c r="AO19" s="98" t="s">
        <v>2719</v>
      </c>
    </row>
    <row r="20">
      <c r="A20" s="97">
        <v>45939.0</v>
      </c>
      <c r="B20" s="98" t="s">
        <v>2202</v>
      </c>
      <c r="C20" s="98">
        <v>7.0</v>
      </c>
      <c r="D20" s="98">
        <v>75.0</v>
      </c>
      <c r="E20" s="98">
        <v>7.1</v>
      </c>
      <c r="F20" s="98" t="s">
        <v>2720</v>
      </c>
      <c r="G20" s="98">
        <v>4.0</v>
      </c>
      <c r="H20" s="98" t="s">
        <v>2721</v>
      </c>
      <c r="I20" s="98" t="s">
        <v>2722</v>
      </c>
      <c r="J20" s="98" t="s">
        <v>2723</v>
      </c>
      <c r="K20" s="98" t="s">
        <v>2724</v>
      </c>
      <c r="L20" s="98" t="s">
        <v>2725</v>
      </c>
      <c r="M20" s="98" t="s">
        <v>2726</v>
      </c>
      <c r="N20" s="98" t="s">
        <v>2727</v>
      </c>
      <c r="O20" s="98" t="s">
        <v>2728</v>
      </c>
      <c r="P20" s="98" t="s">
        <v>2729</v>
      </c>
      <c r="Q20" s="98" t="s">
        <v>2730</v>
      </c>
      <c r="R20" s="98" t="s">
        <v>2731</v>
      </c>
      <c r="S20" s="98" t="s">
        <v>2732</v>
      </c>
      <c r="T20" s="98" t="s">
        <v>2733</v>
      </c>
      <c r="U20" s="98" t="s">
        <v>2734</v>
      </c>
      <c r="V20" s="98" t="s">
        <v>2735</v>
      </c>
      <c r="W20" s="98" t="s">
        <v>2736</v>
      </c>
      <c r="X20" s="98" t="s">
        <v>2737</v>
      </c>
      <c r="Y20" s="98" t="s">
        <v>2738</v>
      </c>
      <c r="Z20" s="98" t="s">
        <v>2739</v>
      </c>
      <c r="AA20" s="98" t="s">
        <v>2740</v>
      </c>
      <c r="AB20" s="98" t="s">
        <v>2741</v>
      </c>
      <c r="AC20" s="98" t="s">
        <v>2742</v>
      </c>
      <c r="AD20" s="98" t="s">
        <v>2743</v>
      </c>
      <c r="AE20" s="98" t="s">
        <v>2744</v>
      </c>
      <c r="AF20" s="98" t="s">
        <v>2745</v>
      </c>
      <c r="AG20" s="98" t="s">
        <v>2746</v>
      </c>
      <c r="AH20" s="98" t="s">
        <v>2747</v>
      </c>
      <c r="AI20" s="98" t="s">
        <v>2748</v>
      </c>
      <c r="AJ20" s="98" t="s">
        <v>2749</v>
      </c>
      <c r="AK20" s="98" t="s">
        <v>2750</v>
      </c>
      <c r="AL20" s="98" t="s">
        <v>2751</v>
      </c>
      <c r="AM20" s="98" t="s">
        <v>2752</v>
      </c>
      <c r="AN20" s="98" t="s">
        <v>2272</v>
      </c>
      <c r="AO20" s="98" t="s">
        <v>2753</v>
      </c>
    </row>
    <row r="21">
      <c r="A21" s="97">
        <v>45940.0</v>
      </c>
      <c r="B21" s="98" t="s">
        <v>2238</v>
      </c>
      <c r="C21" s="98">
        <v>8.0</v>
      </c>
      <c r="D21" s="98">
        <v>75.0</v>
      </c>
      <c r="E21" s="98">
        <v>8.2</v>
      </c>
      <c r="F21" s="98" t="s">
        <v>457</v>
      </c>
      <c r="G21" s="98">
        <v>3.0</v>
      </c>
      <c r="H21" s="98" t="s">
        <v>2754</v>
      </c>
      <c r="I21" s="98" t="s">
        <v>2755</v>
      </c>
      <c r="J21" s="98" t="s">
        <v>2756</v>
      </c>
      <c r="K21" s="98" t="s">
        <v>2757</v>
      </c>
      <c r="L21" s="98" t="s">
        <v>2758</v>
      </c>
      <c r="M21" s="98" t="s">
        <v>2759</v>
      </c>
      <c r="N21" s="98" t="s">
        <v>2760</v>
      </c>
      <c r="O21" s="98" t="s">
        <v>2761</v>
      </c>
      <c r="P21" s="98" t="s">
        <v>2762</v>
      </c>
      <c r="Q21" s="98" t="s">
        <v>2763</v>
      </c>
      <c r="R21" s="98" t="s">
        <v>2764</v>
      </c>
      <c r="S21" s="98" t="s">
        <v>2765</v>
      </c>
      <c r="T21" s="98" t="s">
        <v>2766</v>
      </c>
      <c r="U21" s="98" t="s">
        <v>2767</v>
      </c>
      <c r="V21" s="98" t="s">
        <v>2768</v>
      </c>
      <c r="W21" s="98" t="s">
        <v>2769</v>
      </c>
      <c r="X21" s="98" t="s">
        <v>2770</v>
      </c>
      <c r="Y21" s="98" t="s">
        <v>2771</v>
      </c>
      <c r="Z21" s="98" t="s">
        <v>2772</v>
      </c>
      <c r="AA21" s="98" t="s">
        <v>2773</v>
      </c>
      <c r="AB21" s="98" t="s">
        <v>2774</v>
      </c>
      <c r="AC21" s="98" t="s">
        <v>2775</v>
      </c>
      <c r="AD21" s="98" t="s">
        <v>2776</v>
      </c>
      <c r="AE21" s="98" t="s">
        <v>2777</v>
      </c>
      <c r="AF21" s="98" t="s">
        <v>2778</v>
      </c>
      <c r="AG21" s="98" t="s">
        <v>2779</v>
      </c>
      <c r="AH21" s="98" t="s">
        <v>2780</v>
      </c>
      <c r="AI21" s="98" t="s">
        <v>2781</v>
      </c>
      <c r="AJ21" s="98" t="s">
        <v>2782</v>
      </c>
      <c r="AK21" s="98" t="s">
        <v>2783</v>
      </c>
      <c r="AL21" s="98" t="s">
        <v>2784</v>
      </c>
      <c r="AM21" s="98" t="s">
        <v>2785</v>
      </c>
      <c r="AN21" s="98" t="s">
        <v>2786</v>
      </c>
      <c r="AO21" s="98" t="s">
        <v>2787</v>
      </c>
    </row>
    <row r="22">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row>
    <row r="23">
      <c r="A23" s="99"/>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row>
    <row r="24">
      <c r="A24" s="99"/>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row>
    <row r="25">
      <c r="A25" s="99"/>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row>
    <row r="26">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row>
    <row r="27">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row>
    <row r="29">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row>
    <row r="32">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row>
    <row r="33">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row>
    <row r="34">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row>
    <row r="35">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row>
    <row r="36">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row>
    <row r="37">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row>
    <row r="38">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c r="AO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c r="AO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c r="AO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c r="AO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c r="AO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c r="AO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c r="AO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c r="AO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c r="AO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c r="AO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c r="AO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c r="AO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c r="AO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c r="AO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c r="AO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c r="AO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c r="AO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c r="AO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c r="AO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c r="AO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c r="AO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c r="AO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c r="AO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c r="AO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c r="AN231" s="99"/>
      <c r="AO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c r="AI232" s="99"/>
      <c r="AJ232" s="99"/>
      <c r="AK232" s="99"/>
      <c r="AL232" s="99"/>
      <c r="AM232" s="99"/>
      <c r="AN232" s="99"/>
      <c r="AO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c r="AI233" s="99"/>
      <c r="AJ233" s="99"/>
      <c r="AK233" s="99"/>
      <c r="AL233" s="99"/>
      <c r="AM233" s="99"/>
      <c r="AN233" s="99"/>
      <c r="AO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c r="AN234" s="99"/>
      <c r="AO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c r="AN235" s="99"/>
      <c r="AO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c r="AO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c r="AN237" s="99"/>
      <c r="AO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c r="AN238" s="99"/>
      <c r="AO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c r="AI239" s="99"/>
      <c r="AJ239" s="99"/>
      <c r="AK239" s="99"/>
      <c r="AL239" s="99"/>
      <c r="AM239" s="99"/>
      <c r="AN239" s="99"/>
      <c r="AO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c r="AI240" s="99"/>
      <c r="AJ240" s="99"/>
      <c r="AK240" s="99"/>
      <c r="AL240" s="99"/>
      <c r="AM240" s="99"/>
      <c r="AN240" s="99"/>
      <c r="AO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c r="AI241" s="99"/>
      <c r="AJ241" s="99"/>
      <c r="AK241" s="99"/>
      <c r="AL241" s="99"/>
      <c r="AM241" s="99"/>
      <c r="AN241" s="99"/>
      <c r="AO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c r="AI242" s="99"/>
      <c r="AJ242" s="99"/>
      <c r="AK242" s="99"/>
      <c r="AL242" s="99"/>
      <c r="AM242" s="99"/>
      <c r="AN242" s="99"/>
      <c r="AO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c r="AI243" s="99"/>
      <c r="AJ243" s="99"/>
      <c r="AK243" s="99"/>
      <c r="AL243" s="99"/>
      <c r="AM243" s="99"/>
      <c r="AN243" s="99"/>
      <c r="AO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c r="AE244" s="99"/>
      <c r="AF244" s="99"/>
      <c r="AG244" s="99"/>
      <c r="AH244" s="99"/>
      <c r="AI244" s="99"/>
      <c r="AJ244" s="99"/>
      <c r="AK244" s="99"/>
      <c r="AL244" s="99"/>
      <c r="AM244" s="99"/>
      <c r="AN244" s="99"/>
      <c r="AO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c r="AH245" s="99"/>
      <c r="AI245" s="99"/>
      <c r="AJ245" s="99"/>
      <c r="AK245" s="99"/>
      <c r="AL245" s="99"/>
      <c r="AM245" s="99"/>
      <c r="AN245" s="99"/>
      <c r="AO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c r="AI246" s="99"/>
      <c r="AJ246" s="99"/>
      <c r="AK246" s="99"/>
      <c r="AL246" s="99"/>
      <c r="AM246" s="99"/>
      <c r="AN246" s="99"/>
      <c r="AO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c r="AE247" s="99"/>
      <c r="AF247" s="99"/>
      <c r="AG247" s="99"/>
      <c r="AH247" s="99"/>
      <c r="AI247" s="99"/>
      <c r="AJ247" s="99"/>
      <c r="AK247" s="99"/>
      <c r="AL247" s="99"/>
      <c r="AM247" s="99"/>
      <c r="AN247" s="99"/>
      <c r="AO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c r="AE248" s="99"/>
      <c r="AF248" s="99"/>
      <c r="AG248" s="99"/>
      <c r="AH248" s="99"/>
      <c r="AI248" s="99"/>
      <c r="AJ248" s="99"/>
      <c r="AK248" s="99"/>
      <c r="AL248" s="99"/>
      <c r="AM248" s="99"/>
      <c r="AN248" s="99"/>
      <c r="AO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c r="AE249" s="99"/>
      <c r="AF249" s="99"/>
      <c r="AG249" s="99"/>
      <c r="AH249" s="99"/>
      <c r="AI249" s="99"/>
      <c r="AJ249" s="99"/>
      <c r="AK249" s="99"/>
      <c r="AL249" s="99"/>
      <c r="AM249" s="99"/>
      <c r="AN249" s="99"/>
      <c r="AO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c r="AI250" s="99"/>
      <c r="AJ250" s="99"/>
      <c r="AK250" s="99"/>
      <c r="AL250" s="99"/>
      <c r="AM250" s="99"/>
      <c r="AN250" s="99"/>
      <c r="AO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c r="AH251" s="99"/>
      <c r="AI251" s="99"/>
      <c r="AJ251" s="99"/>
      <c r="AK251" s="99"/>
      <c r="AL251" s="99"/>
      <c r="AM251" s="99"/>
      <c r="AN251" s="99"/>
      <c r="AO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c r="AI252" s="99"/>
      <c r="AJ252" s="99"/>
      <c r="AK252" s="99"/>
      <c r="AL252" s="99"/>
      <c r="AM252" s="99"/>
      <c r="AN252" s="99"/>
      <c r="AO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c r="AE253" s="99"/>
      <c r="AF253" s="99"/>
      <c r="AG253" s="99"/>
      <c r="AH253" s="99"/>
      <c r="AI253" s="99"/>
      <c r="AJ253" s="99"/>
      <c r="AK253" s="99"/>
      <c r="AL253" s="99"/>
      <c r="AM253" s="99"/>
      <c r="AN253" s="99"/>
      <c r="AO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c r="AI254" s="99"/>
      <c r="AJ254" s="99"/>
      <c r="AK254" s="99"/>
      <c r="AL254" s="99"/>
      <c r="AM254" s="99"/>
      <c r="AN254" s="99"/>
      <c r="AO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c r="AH255" s="99"/>
      <c r="AI255" s="99"/>
      <c r="AJ255" s="99"/>
      <c r="AK255" s="99"/>
      <c r="AL255" s="99"/>
      <c r="AM255" s="99"/>
      <c r="AN255" s="99"/>
      <c r="AO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c r="AH256" s="99"/>
      <c r="AI256" s="99"/>
      <c r="AJ256" s="99"/>
      <c r="AK256" s="99"/>
      <c r="AL256" s="99"/>
      <c r="AM256" s="99"/>
      <c r="AN256" s="99"/>
      <c r="AO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c r="AH257" s="99"/>
      <c r="AI257" s="99"/>
      <c r="AJ257" s="99"/>
      <c r="AK257" s="99"/>
      <c r="AL257" s="99"/>
      <c r="AM257" s="99"/>
      <c r="AN257" s="99"/>
      <c r="AO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c r="AE258" s="99"/>
      <c r="AF258" s="99"/>
      <c r="AG258" s="99"/>
      <c r="AH258" s="99"/>
      <c r="AI258" s="99"/>
      <c r="AJ258" s="99"/>
      <c r="AK258" s="99"/>
      <c r="AL258" s="99"/>
      <c r="AM258" s="99"/>
      <c r="AN258" s="99"/>
      <c r="AO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c r="AI259" s="99"/>
      <c r="AJ259" s="99"/>
      <c r="AK259" s="99"/>
      <c r="AL259" s="99"/>
      <c r="AM259" s="99"/>
      <c r="AN259" s="99"/>
      <c r="AO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c r="AH260" s="99"/>
      <c r="AI260" s="99"/>
      <c r="AJ260" s="99"/>
      <c r="AK260" s="99"/>
      <c r="AL260" s="99"/>
      <c r="AM260" s="99"/>
      <c r="AN260" s="99"/>
      <c r="AO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c r="AH261" s="99"/>
      <c r="AI261" s="99"/>
      <c r="AJ261" s="99"/>
      <c r="AK261" s="99"/>
      <c r="AL261" s="99"/>
      <c r="AM261" s="99"/>
      <c r="AN261" s="99"/>
      <c r="AO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99"/>
      <c r="AI262" s="99"/>
      <c r="AJ262" s="99"/>
      <c r="AK262" s="99"/>
      <c r="AL262" s="99"/>
      <c r="AM262" s="99"/>
      <c r="AN262" s="99"/>
      <c r="AO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c r="AI263" s="99"/>
      <c r="AJ263" s="99"/>
      <c r="AK263" s="99"/>
      <c r="AL263" s="99"/>
      <c r="AM263" s="99"/>
      <c r="AN263" s="99"/>
      <c r="AO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c r="AH264" s="99"/>
      <c r="AI264" s="99"/>
      <c r="AJ264" s="99"/>
      <c r="AK264" s="99"/>
      <c r="AL264" s="99"/>
      <c r="AM264" s="99"/>
      <c r="AN264" s="99"/>
      <c r="AO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99"/>
      <c r="AI265" s="99"/>
      <c r="AJ265" s="99"/>
      <c r="AK265" s="99"/>
      <c r="AL265" s="99"/>
      <c r="AM265" s="99"/>
      <c r="AN265" s="99"/>
      <c r="AO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c r="AH266" s="99"/>
      <c r="AI266" s="99"/>
      <c r="AJ266" s="99"/>
      <c r="AK266" s="99"/>
      <c r="AL266" s="99"/>
      <c r="AM266" s="99"/>
      <c r="AN266" s="99"/>
      <c r="AO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c r="AH267" s="99"/>
      <c r="AI267" s="99"/>
      <c r="AJ267" s="99"/>
      <c r="AK267" s="99"/>
      <c r="AL267" s="99"/>
      <c r="AM267" s="99"/>
      <c r="AN267" s="99"/>
      <c r="AO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c r="AA268" s="99"/>
      <c r="AB268" s="99"/>
      <c r="AC268" s="99"/>
      <c r="AD268" s="99"/>
      <c r="AE268" s="99"/>
      <c r="AF268" s="99"/>
      <c r="AG268" s="99"/>
      <c r="AH268" s="99"/>
      <c r="AI268" s="99"/>
      <c r="AJ268" s="99"/>
      <c r="AK268" s="99"/>
      <c r="AL268" s="99"/>
      <c r="AM268" s="99"/>
      <c r="AN268" s="99"/>
      <c r="AO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c r="AA269" s="99"/>
      <c r="AB269" s="99"/>
      <c r="AC269" s="99"/>
      <c r="AD269" s="99"/>
      <c r="AE269" s="99"/>
      <c r="AF269" s="99"/>
      <c r="AG269" s="99"/>
      <c r="AH269" s="99"/>
      <c r="AI269" s="99"/>
      <c r="AJ269" s="99"/>
      <c r="AK269" s="99"/>
      <c r="AL269" s="99"/>
      <c r="AM269" s="99"/>
      <c r="AN269" s="99"/>
      <c r="AO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c r="AH270" s="99"/>
      <c r="AI270" s="99"/>
      <c r="AJ270" s="99"/>
      <c r="AK270" s="99"/>
      <c r="AL270" s="99"/>
      <c r="AM270" s="99"/>
      <c r="AN270" s="99"/>
      <c r="AO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c r="AA271" s="99"/>
      <c r="AB271" s="99"/>
      <c r="AC271" s="99"/>
      <c r="AD271" s="99"/>
      <c r="AE271" s="99"/>
      <c r="AF271" s="99"/>
      <c r="AG271" s="99"/>
      <c r="AH271" s="99"/>
      <c r="AI271" s="99"/>
      <c r="AJ271" s="99"/>
      <c r="AK271" s="99"/>
      <c r="AL271" s="99"/>
      <c r="AM271" s="99"/>
      <c r="AN271" s="99"/>
      <c r="AO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c r="AA272" s="99"/>
      <c r="AB272" s="99"/>
      <c r="AC272" s="99"/>
      <c r="AD272" s="99"/>
      <c r="AE272" s="99"/>
      <c r="AF272" s="99"/>
      <c r="AG272" s="99"/>
      <c r="AH272" s="99"/>
      <c r="AI272" s="99"/>
      <c r="AJ272" s="99"/>
      <c r="AK272" s="99"/>
      <c r="AL272" s="99"/>
      <c r="AM272" s="99"/>
      <c r="AN272" s="99"/>
      <c r="AO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c r="AH273" s="99"/>
      <c r="AI273" s="99"/>
      <c r="AJ273" s="99"/>
      <c r="AK273" s="99"/>
      <c r="AL273" s="99"/>
      <c r="AM273" s="99"/>
      <c r="AN273" s="99"/>
      <c r="AO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c r="AA274" s="99"/>
      <c r="AB274" s="99"/>
      <c r="AC274" s="99"/>
      <c r="AD274" s="99"/>
      <c r="AE274" s="99"/>
      <c r="AF274" s="99"/>
      <c r="AG274" s="99"/>
      <c r="AH274" s="99"/>
      <c r="AI274" s="99"/>
      <c r="AJ274" s="99"/>
      <c r="AK274" s="99"/>
      <c r="AL274" s="99"/>
      <c r="AM274" s="99"/>
      <c r="AN274" s="99"/>
      <c r="AO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c r="AA275" s="99"/>
      <c r="AB275" s="99"/>
      <c r="AC275" s="99"/>
      <c r="AD275" s="99"/>
      <c r="AE275" s="99"/>
      <c r="AF275" s="99"/>
      <c r="AG275" s="99"/>
      <c r="AH275" s="99"/>
      <c r="AI275" s="99"/>
      <c r="AJ275" s="99"/>
      <c r="AK275" s="99"/>
      <c r="AL275" s="99"/>
      <c r="AM275" s="99"/>
      <c r="AN275" s="99"/>
      <c r="AO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c r="AA276" s="99"/>
      <c r="AB276" s="99"/>
      <c r="AC276" s="99"/>
      <c r="AD276" s="99"/>
      <c r="AE276" s="99"/>
      <c r="AF276" s="99"/>
      <c r="AG276" s="99"/>
      <c r="AH276" s="99"/>
      <c r="AI276" s="99"/>
      <c r="AJ276" s="99"/>
      <c r="AK276" s="99"/>
      <c r="AL276" s="99"/>
      <c r="AM276" s="99"/>
      <c r="AN276" s="99"/>
      <c r="AO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99"/>
      <c r="AE277" s="99"/>
      <c r="AF277" s="99"/>
      <c r="AG277" s="99"/>
      <c r="AH277" s="99"/>
      <c r="AI277" s="99"/>
      <c r="AJ277" s="99"/>
      <c r="AK277" s="99"/>
      <c r="AL277" s="99"/>
      <c r="AM277" s="99"/>
      <c r="AN277" s="99"/>
      <c r="AO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c r="AA278" s="99"/>
      <c r="AB278" s="99"/>
      <c r="AC278" s="99"/>
      <c r="AD278" s="99"/>
      <c r="AE278" s="99"/>
      <c r="AF278" s="99"/>
      <c r="AG278" s="99"/>
      <c r="AH278" s="99"/>
      <c r="AI278" s="99"/>
      <c r="AJ278" s="99"/>
      <c r="AK278" s="99"/>
      <c r="AL278" s="99"/>
      <c r="AM278" s="99"/>
      <c r="AN278" s="99"/>
      <c r="AO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c r="AI279" s="99"/>
      <c r="AJ279" s="99"/>
      <c r="AK279" s="99"/>
      <c r="AL279" s="99"/>
      <c r="AM279" s="99"/>
      <c r="AN279" s="99"/>
      <c r="AO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c r="AA280" s="99"/>
      <c r="AB280" s="99"/>
      <c r="AC280" s="99"/>
      <c r="AD280" s="99"/>
      <c r="AE280" s="99"/>
      <c r="AF280" s="99"/>
      <c r="AG280" s="99"/>
      <c r="AH280" s="99"/>
      <c r="AI280" s="99"/>
      <c r="AJ280" s="99"/>
      <c r="AK280" s="99"/>
      <c r="AL280" s="99"/>
      <c r="AM280" s="99"/>
      <c r="AN280" s="99"/>
      <c r="AO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c r="AG281" s="99"/>
      <c r="AH281" s="99"/>
      <c r="AI281" s="99"/>
      <c r="AJ281" s="99"/>
      <c r="AK281" s="99"/>
      <c r="AL281" s="99"/>
      <c r="AM281" s="99"/>
      <c r="AN281" s="99"/>
      <c r="AO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c r="AC282" s="99"/>
      <c r="AD282" s="99"/>
      <c r="AE282" s="99"/>
      <c r="AF282" s="99"/>
      <c r="AG282" s="99"/>
      <c r="AH282" s="99"/>
      <c r="AI282" s="99"/>
      <c r="AJ282" s="99"/>
      <c r="AK282" s="99"/>
      <c r="AL282" s="99"/>
      <c r="AM282" s="99"/>
      <c r="AN282" s="99"/>
      <c r="AO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c r="AE283" s="99"/>
      <c r="AF283" s="99"/>
      <c r="AG283" s="99"/>
      <c r="AH283" s="99"/>
      <c r="AI283" s="99"/>
      <c r="AJ283" s="99"/>
      <c r="AK283" s="99"/>
      <c r="AL283" s="99"/>
      <c r="AM283" s="99"/>
      <c r="AN283" s="99"/>
      <c r="AO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c r="AA284" s="99"/>
      <c r="AB284" s="99"/>
      <c r="AC284" s="99"/>
      <c r="AD284" s="99"/>
      <c r="AE284" s="99"/>
      <c r="AF284" s="99"/>
      <c r="AG284" s="99"/>
      <c r="AH284" s="99"/>
      <c r="AI284" s="99"/>
      <c r="AJ284" s="99"/>
      <c r="AK284" s="99"/>
      <c r="AL284" s="99"/>
      <c r="AM284" s="99"/>
      <c r="AN284" s="99"/>
      <c r="AO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c r="AE285" s="99"/>
      <c r="AF285" s="99"/>
      <c r="AG285" s="99"/>
      <c r="AH285" s="99"/>
      <c r="AI285" s="99"/>
      <c r="AJ285" s="99"/>
      <c r="AK285" s="99"/>
      <c r="AL285" s="99"/>
      <c r="AM285" s="99"/>
      <c r="AN285" s="99"/>
      <c r="AO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c r="AC286" s="99"/>
      <c r="AD286" s="99"/>
      <c r="AE286" s="99"/>
      <c r="AF286" s="99"/>
      <c r="AG286" s="99"/>
      <c r="AH286" s="99"/>
      <c r="AI286" s="99"/>
      <c r="AJ286" s="99"/>
      <c r="AK286" s="99"/>
      <c r="AL286" s="99"/>
      <c r="AM286" s="99"/>
      <c r="AN286" s="99"/>
      <c r="AO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c r="AC287" s="99"/>
      <c r="AD287" s="99"/>
      <c r="AE287" s="99"/>
      <c r="AF287" s="99"/>
      <c r="AG287" s="99"/>
      <c r="AH287" s="99"/>
      <c r="AI287" s="99"/>
      <c r="AJ287" s="99"/>
      <c r="AK287" s="99"/>
      <c r="AL287" s="99"/>
      <c r="AM287" s="99"/>
      <c r="AN287" s="99"/>
      <c r="AO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c r="AH288" s="99"/>
      <c r="AI288" s="99"/>
      <c r="AJ288" s="99"/>
      <c r="AK288" s="99"/>
      <c r="AL288" s="99"/>
      <c r="AM288" s="99"/>
      <c r="AN288" s="99"/>
      <c r="AO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c r="AC289" s="99"/>
      <c r="AD289" s="99"/>
      <c r="AE289" s="99"/>
      <c r="AF289" s="99"/>
      <c r="AG289" s="99"/>
      <c r="AH289" s="99"/>
      <c r="AI289" s="99"/>
      <c r="AJ289" s="99"/>
      <c r="AK289" s="99"/>
      <c r="AL289" s="99"/>
      <c r="AM289" s="99"/>
      <c r="AN289" s="99"/>
      <c r="AO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c r="AC290" s="99"/>
      <c r="AD290" s="99"/>
      <c r="AE290" s="99"/>
      <c r="AF290" s="99"/>
      <c r="AG290" s="99"/>
      <c r="AH290" s="99"/>
      <c r="AI290" s="99"/>
      <c r="AJ290" s="99"/>
      <c r="AK290" s="99"/>
      <c r="AL290" s="99"/>
      <c r="AM290" s="99"/>
      <c r="AN290" s="99"/>
      <c r="AO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99"/>
      <c r="AI291" s="99"/>
      <c r="AJ291" s="99"/>
      <c r="AK291" s="99"/>
      <c r="AL291" s="99"/>
      <c r="AM291" s="99"/>
      <c r="AN291" s="99"/>
      <c r="AO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c r="AE292" s="99"/>
      <c r="AF292" s="99"/>
      <c r="AG292" s="99"/>
      <c r="AH292" s="99"/>
      <c r="AI292" s="99"/>
      <c r="AJ292" s="99"/>
      <c r="AK292" s="99"/>
      <c r="AL292" s="99"/>
      <c r="AM292" s="99"/>
      <c r="AN292" s="99"/>
      <c r="AO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c r="AC293" s="99"/>
      <c r="AD293" s="99"/>
      <c r="AE293" s="99"/>
      <c r="AF293" s="99"/>
      <c r="AG293" s="99"/>
      <c r="AH293" s="99"/>
      <c r="AI293" s="99"/>
      <c r="AJ293" s="99"/>
      <c r="AK293" s="99"/>
      <c r="AL293" s="99"/>
      <c r="AM293" s="99"/>
      <c r="AN293" s="99"/>
      <c r="AO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c r="AC294" s="99"/>
      <c r="AD294" s="99"/>
      <c r="AE294" s="99"/>
      <c r="AF294" s="99"/>
      <c r="AG294" s="99"/>
      <c r="AH294" s="99"/>
      <c r="AI294" s="99"/>
      <c r="AJ294" s="99"/>
      <c r="AK294" s="99"/>
      <c r="AL294" s="99"/>
      <c r="AM294" s="99"/>
      <c r="AN294" s="99"/>
      <c r="AO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c r="AA295" s="99"/>
      <c r="AB295" s="99"/>
      <c r="AC295" s="99"/>
      <c r="AD295" s="99"/>
      <c r="AE295" s="99"/>
      <c r="AF295" s="99"/>
      <c r="AG295" s="99"/>
      <c r="AH295" s="99"/>
      <c r="AI295" s="99"/>
      <c r="AJ295" s="99"/>
      <c r="AK295" s="99"/>
      <c r="AL295" s="99"/>
      <c r="AM295" s="99"/>
      <c r="AN295" s="99"/>
      <c r="AO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c r="AA296" s="99"/>
      <c r="AB296" s="99"/>
      <c r="AC296" s="99"/>
      <c r="AD296" s="99"/>
      <c r="AE296" s="99"/>
      <c r="AF296" s="99"/>
      <c r="AG296" s="99"/>
      <c r="AH296" s="99"/>
      <c r="AI296" s="99"/>
      <c r="AJ296" s="99"/>
      <c r="AK296" s="99"/>
      <c r="AL296" s="99"/>
      <c r="AM296" s="99"/>
      <c r="AN296" s="99"/>
      <c r="AO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c r="AA297" s="99"/>
      <c r="AB297" s="99"/>
      <c r="AC297" s="99"/>
      <c r="AD297" s="99"/>
      <c r="AE297" s="99"/>
      <c r="AF297" s="99"/>
      <c r="AG297" s="99"/>
      <c r="AH297" s="99"/>
      <c r="AI297" s="99"/>
      <c r="AJ297" s="99"/>
      <c r="AK297" s="99"/>
      <c r="AL297" s="99"/>
      <c r="AM297" s="99"/>
      <c r="AN297" s="99"/>
      <c r="AO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c r="AA298" s="99"/>
      <c r="AB298" s="99"/>
      <c r="AC298" s="99"/>
      <c r="AD298" s="99"/>
      <c r="AE298" s="99"/>
      <c r="AF298" s="99"/>
      <c r="AG298" s="99"/>
      <c r="AH298" s="99"/>
      <c r="AI298" s="99"/>
      <c r="AJ298" s="99"/>
      <c r="AK298" s="99"/>
      <c r="AL298" s="99"/>
      <c r="AM298" s="99"/>
      <c r="AN298" s="99"/>
      <c r="AO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c r="AC299" s="99"/>
      <c r="AD299" s="99"/>
      <c r="AE299" s="99"/>
      <c r="AF299" s="99"/>
      <c r="AG299" s="99"/>
      <c r="AH299" s="99"/>
      <c r="AI299" s="99"/>
      <c r="AJ299" s="99"/>
      <c r="AK299" s="99"/>
      <c r="AL299" s="99"/>
      <c r="AM299" s="99"/>
      <c r="AN299" s="99"/>
      <c r="AO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c r="AA300" s="99"/>
      <c r="AB300" s="99"/>
      <c r="AC300" s="99"/>
      <c r="AD300" s="99"/>
      <c r="AE300" s="99"/>
      <c r="AF300" s="99"/>
      <c r="AG300" s="99"/>
      <c r="AH300" s="99"/>
      <c r="AI300" s="99"/>
      <c r="AJ300" s="99"/>
      <c r="AK300" s="99"/>
      <c r="AL300" s="99"/>
      <c r="AM300" s="99"/>
      <c r="AN300" s="99"/>
      <c r="AO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c r="AA301" s="99"/>
      <c r="AB301" s="99"/>
      <c r="AC301" s="99"/>
      <c r="AD301" s="99"/>
      <c r="AE301" s="99"/>
      <c r="AF301" s="99"/>
      <c r="AG301" s="99"/>
      <c r="AH301" s="99"/>
      <c r="AI301" s="99"/>
      <c r="AJ301" s="99"/>
      <c r="AK301" s="99"/>
      <c r="AL301" s="99"/>
      <c r="AM301" s="99"/>
      <c r="AN301" s="99"/>
      <c r="AO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c r="AA302" s="99"/>
      <c r="AB302" s="99"/>
      <c r="AC302" s="99"/>
      <c r="AD302" s="99"/>
      <c r="AE302" s="99"/>
      <c r="AF302" s="99"/>
      <c r="AG302" s="99"/>
      <c r="AH302" s="99"/>
      <c r="AI302" s="99"/>
      <c r="AJ302" s="99"/>
      <c r="AK302" s="99"/>
      <c r="AL302" s="99"/>
      <c r="AM302" s="99"/>
      <c r="AN302" s="99"/>
      <c r="AO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c r="AA303" s="99"/>
      <c r="AB303" s="99"/>
      <c r="AC303" s="99"/>
      <c r="AD303" s="99"/>
      <c r="AE303" s="99"/>
      <c r="AF303" s="99"/>
      <c r="AG303" s="99"/>
      <c r="AH303" s="99"/>
      <c r="AI303" s="99"/>
      <c r="AJ303" s="99"/>
      <c r="AK303" s="99"/>
      <c r="AL303" s="99"/>
      <c r="AM303" s="99"/>
      <c r="AN303" s="99"/>
      <c r="AO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c r="AA304" s="99"/>
      <c r="AB304" s="99"/>
      <c r="AC304" s="99"/>
      <c r="AD304" s="99"/>
      <c r="AE304" s="99"/>
      <c r="AF304" s="99"/>
      <c r="AG304" s="99"/>
      <c r="AH304" s="99"/>
      <c r="AI304" s="99"/>
      <c r="AJ304" s="99"/>
      <c r="AK304" s="99"/>
      <c r="AL304" s="99"/>
      <c r="AM304" s="99"/>
      <c r="AN304" s="99"/>
      <c r="AO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c r="AA305" s="99"/>
      <c r="AB305" s="99"/>
      <c r="AC305" s="99"/>
      <c r="AD305" s="99"/>
      <c r="AE305" s="99"/>
      <c r="AF305" s="99"/>
      <c r="AG305" s="99"/>
      <c r="AH305" s="99"/>
      <c r="AI305" s="99"/>
      <c r="AJ305" s="99"/>
      <c r="AK305" s="99"/>
      <c r="AL305" s="99"/>
      <c r="AM305" s="99"/>
      <c r="AN305" s="99"/>
      <c r="AO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c r="AA306" s="99"/>
      <c r="AB306" s="99"/>
      <c r="AC306" s="99"/>
      <c r="AD306" s="99"/>
      <c r="AE306" s="99"/>
      <c r="AF306" s="99"/>
      <c r="AG306" s="99"/>
      <c r="AH306" s="99"/>
      <c r="AI306" s="99"/>
      <c r="AJ306" s="99"/>
      <c r="AK306" s="99"/>
      <c r="AL306" s="99"/>
      <c r="AM306" s="99"/>
      <c r="AN306" s="99"/>
      <c r="AO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c r="AA307" s="99"/>
      <c r="AB307" s="99"/>
      <c r="AC307" s="99"/>
      <c r="AD307" s="99"/>
      <c r="AE307" s="99"/>
      <c r="AF307" s="99"/>
      <c r="AG307" s="99"/>
      <c r="AH307" s="99"/>
      <c r="AI307" s="99"/>
      <c r="AJ307" s="99"/>
      <c r="AK307" s="99"/>
      <c r="AL307" s="99"/>
      <c r="AM307" s="99"/>
      <c r="AN307" s="99"/>
      <c r="AO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c r="AA308" s="99"/>
      <c r="AB308" s="99"/>
      <c r="AC308" s="99"/>
      <c r="AD308" s="99"/>
      <c r="AE308" s="99"/>
      <c r="AF308" s="99"/>
      <c r="AG308" s="99"/>
      <c r="AH308" s="99"/>
      <c r="AI308" s="99"/>
      <c r="AJ308" s="99"/>
      <c r="AK308" s="99"/>
      <c r="AL308" s="99"/>
      <c r="AM308" s="99"/>
      <c r="AN308" s="99"/>
      <c r="AO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c r="AA309" s="99"/>
      <c r="AB309" s="99"/>
      <c r="AC309" s="99"/>
      <c r="AD309" s="99"/>
      <c r="AE309" s="99"/>
      <c r="AF309" s="99"/>
      <c r="AG309" s="99"/>
      <c r="AH309" s="99"/>
      <c r="AI309" s="99"/>
      <c r="AJ309" s="99"/>
      <c r="AK309" s="99"/>
      <c r="AL309" s="99"/>
      <c r="AM309" s="99"/>
      <c r="AN309" s="99"/>
      <c r="AO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c r="AA310" s="99"/>
      <c r="AB310" s="99"/>
      <c r="AC310" s="99"/>
      <c r="AD310" s="99"/>
      <c r="AE310" s="99"/>
      <c r="AF310" s="99"/>
      <c r="AG310" s="99"/>
      <c r="AH310" s="99"/>
      <c r="AI310" s="99"/>
      <c r="AJ310" s="99"/>
      <c r="AK310" s="99"/>
      <c r="AL310" s="99"/>
      <c r="AM310" s="99"/>
      <c r="AN310" s="99"/>
      <c r="AO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c r="AA311" s="99"/>
      <c r="AB311" s="99"/>
      <c r="AC311" s="99"/>
      <c r="AD311" s="99"/>
      <c r="AE311" s="99"/>
      <c r="AF311" s="99"/>
      <c r="AG311" s="99"/>
      <c r="AH311" s="99"/>
      <c r="AI311" s="99"/>
      <c r="AJ311" s="99"/>
      <c r="AK311" s="99"/>
      <c r="AL311" s="99"/>
      <c r="AM311" s="99"/>
      <c r="AN311" s="99"/>
      <c r="AO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c r="AA312" s="99"/>
      <c r="AB312" s="99"/>
      <c r="AC312" s="99"/>
      <c r="AD312" s="99"/>
      <c r="AE312" s="99"/>
      <c r="AF312" s="99"/>
      <c r="AG312" s="99"/>
      <c r="AH312" s="99"/>
      <c r="AI312" s="99"/>
      <c r="AJ312" s="99"/>
      <c r="AK312" s="99"/>
      <c r="AL312" s="99"/>
      <c r="AM312" s="99"/>
      <c r="AN312" s="99"/>
      <c r="AO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c r="AA313" s="99"/>
      <c r="AB313" s="99"/>
      <c r="AC313" s="99"/>
      <c r="AD313" s="99"/>
      <c r="AE313" s="99"/>
      <c r="AF313" s="99"/>
      <c r="AG313" s="99"/>
      <c r="AH313" s="99"/>
      <c r="AI313" s="99"/>
      <c r="AJ313" s="99"/>
      <c r="AK313" s="99"/>
      <c r="AL313" s="99"/>
      <c r="AM313" s="99"/>
      <c r="AN313" s="99"/>
      <c r="AO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c r="AA314" s="99"/>
      <c r="AB314" s="99"/>
      <c r="AC314" s="99"/>
      <c r="AD314" s="99"/>
      <c r="AE314" s="99"/>
      <c r="AF314" s="99"/>
      <c r="AG314" s="99"/>
      <c r="AH314" s="99"/>
      <c r="AI314" s="99"/>
      <c r="AJ314" s="99"/>
      <c r="AK314" s="99"/>
      <c r="AL314" s="99"/>
      <c r="AM314" s="99"/>
      <c r="AN314" s="99"/>
      <c r="AO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c r="AA315" s="99"/>
      <c r="AB315" s="99"/>
      <c r="AC315" s="99"/>
      <c r="AD315" s="99"/>
      <c r="AE315" s="99"/>
      <c r="AF315" s="99"/>
      <c r="AG315" s="99"/>
      <c r="AH315" s="99"/>
      <c r="AI315" s="99"/>
      <c r="AJ315" s="99"/>
      <c r="AK315" s="99"/>
      <c r="AL315" s="99"/>
      <c r="AM315" s="99"/>
      <c r="AN315" s="99"/>
      <c r="AO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c r="AA316" s="99"/>
      <c r="AB316" s="99"/>
      <c r="AC316" s="99"/>
      <c r="AD316" s="99"/>
      <c r="AE316" s="99"/>
      <c r="AF316" s="99"/>
      <c r="AG316" s="99"/>
      <c r="AH316" s="99"/>
      <c r="AI316" s="99"/>
      <c r="AJ316" s="99"/>
      <c r="AK316" s="99"/>
      <c r="AL316" s="99"/>
      <c r="AM316" s="99"/>
      <c r="AN316" s="99"/>
      <c r="AO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c r="AA317" s="99"/>
      <c r="AB317" s="99"/>
      <c r="AC317" s="99"/>
      <c r="AD317" s="99"/>
      <c r="AE317" s="99"/>
      <c r="AF317" s="99"/>
      <c r="AG317" s="99"/>
      <c r="AH317" s="99"/>
      <c r="AI317" s="99"/>
      <c r="AJ317" s="99"/>
      <c r="AK317" s="99"/>
      <c r="AL317" s="99"/>
      <c r="AM317" s="99"/>
      <c r="AN317" s="99"/>
      <c r="AO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c r="AA318" s="99"/>
      <c r="AB318" s="99"/>
      <c r="AC318" s="99"/>
      <c r="AD318" s="99"/>
      <c r="AE318" s="99"/>
      <c r="AF318" s="99"/>
      <c r="AG318" s="99"/>
      <c r="AH318" s="99"/>
      <c r="AI318" s="99"/>
      <c r="AJ318" s="99"/>
      <c r="AK318" s="99"/>
      <c r="AL318" s="99"/>
      <c r="AM318" s="99"/>
      <c r="AN318" s="99"/>
      <c r="AO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c r="AA319" s="99"/>
      <c r="AB319" s="99"/>
      <c r="AC319" s="99"/>
      <c r="AD319" s="99"/>
      <c r="AE319" s="99"/>
      <c r="AF319" s="99"/>
      <c r="AG319" s="99"/>
      <c r="AH319" s="99"/>
      <c r="AI319" s="99"/>
      <c r="AJ319" s="99"/>
      <c r="AK319" s="99"/>
      <c r="AL319" s="99"/>
      <c r="AM319" s="99"/>
      <c r="AN319" s="99"/>
      <c r="AO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c r="AA320" s="99"/>
      <c r="AB320" s="99"/>
      <c r="AC320" s="99"/>
      <c r="AD320" s="99"/>
      <c r="AE320" s="99"/>
      <c r="AF320" s="99"/>
      <c r="AG320" s="99"/>
      <c r="AH320" s="99"/>
      <c r="AI320" s="99"/>
      <c r="AJ320" s="99"/>
      <c r="AK320" s="99"/>
      <c r="AL320" s="99"/>
      <c r="AM320" s="99"/>
      <c r="AN320" s="99"/>
      <c r="AO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c r="AA321" s="99"/>
      <c r="AB321" s="99"/>
      <c r="AC321" s="99"/>
      <c r="AD321" s="99"/>
      <c r="AE321" s="99"/>
      <c r="AF321" s="99"/>
      <c r="AG321" s="99"/>
      <c r="AH321" s="99"/>
      <c r="AI321" s="99"/>
      <c r="AJ321" s="99"/>
      <c r="AK321" s="99"/>
      <c r="AL321" s="99"/>
      <c r="AM321" s="99"/>
      <c r="AN321" s="99"/>
      <c r="AO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c r="AA322" s="99"/>
      <c r="AB322" s="99"/>
      <c r="AC322" s="99"/>
      <c r="AD322" s="99"/>
      <c r="AE322" s="99"/>
      <c r="AF322" s="99"/>
      <c r="AG322" s="99"/>
      <c r="AH322" s="99"/>
      <c r="AI322" s="99"/>
      <c r="AJ322" s="99"/>
      <c r="AK322" s="99"/>
      <c r="AL322" s="99"/>
      <c r="AM322" s="99"/>
      <c r="AN322" s="99"/>
      <c r="AO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c r="AA323" s="99"/>
      <c r="AB323" s="99"/>
      <c r="AC323" s="99"/>
      <c r="AD323" s="99"/>
      <c r="AE323" s="99"/>
      <c r="AF323" s="99"/>
      <c r="AG323" s="99"/>
      <c r="AH323" s="99"/>
      <c r="AI323" s="99"/>
      <c r="AJ323" s="99"/>
      <c r="AK323" s="99"/>
      <c r="AL323" s="99"/>
      <c r="AM323" s="99"/>
      <c r="AN323" s="99"/>
      <c r="AO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c r="AA324" s="99"/>
      <c r="AB324" s="99"/>
      <c r="AC324" s="99"/>
      <c r="AD324" s="99"/>
      <c r="AE324" s="99"/>
      <c r="AF324" s="99"/>
      <c r="AG324" s="99"/>
      <c r="AH324" s="99"/>
      <c r="AI324" s="99"/>
      <c r="AJ324" s="99"/>
      <c r="AK324" s="99"/>
      <c r="AL324" s="99"/>
      <c r="AM324" s="99"/>
      <c r="AN324" s="99"/>
      <c r="AO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c r="AA325" s="99"/>
      <c r="AB325" s="99"/>
      <c r="AC325" s="99"/>
      <c r="AD325" s="99"/>
      <c r="AE325" s="99"/>
      <c r="AF325" s="99"/>
      <c r="AG325" s="99"/>
      <c r="AH325" s="99"/>
      <c r="AI325" s="99"/>
      <c r="AJ325" s="99"/>
      <c r="AK325" s="99"/>
      <c r="AL325" s="99"/>
      <c r="AM325" s="99"/>
      <c r="AN325" s="99"/>
      <c r="AO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c r="AA326" s="99"/>
      <c r="AB326" s="99"/>
      <c r="AC326" s="99"/>
      <c r="AD326" s="99"/>
      <c r="AE326" s="99"/>
      <c r="AF326" s="99"/>
      <c r="AG326" s="99"/>
      <c r="AH326" s="99"/>
      <c r="AI326" s="99"/>
      <c r="AJ326" s="99"/>
      <c r="AK326" s="99"/>
      <c r="AL326" s="99"/>
      <c r="AM326" s="99"/>
      <c r="AN326" s="99"/>
      <c r="AO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c r="AA327" s="99"/>
      <c r="AB327" s="99"/>
      <c r="AC327" s="99"/>
      <c r="AD327" s="99"/>
      <c r="AE327" s="99"/>
      <c r="AF327" s="99"/>
      <c r="AG327" s="99"/>
      <c r="AH327" s="99"/>
      <c r="AI327" s="99"/>
      <c r="AJ327" s="99"/>
      <c r="AK327" s="99"/>
      <c r="AL327" s="99"/>
      <c r="AM327" s="99"/>
      <c r="AN327" s="99"/>
      <c r="AO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c r="AA328" s="99"/>
      <c r="AB328" s="99"/>
      <c r="AC328" s="99"/>
      <c r="AD328" s="99"/>
      <c r="AE328" s="99"/>
      <c r="AF328" s="99"/>
      <c r="AG328" s="99"/>
      <c r="AH328" s="99"/>
      <c r="AI328" s="99"/>
      <c r="AJ328" s="99"/>
      <c r="AK328" s="99"/>
      <c r="AL328" s="99"/>
      <c r="AM328" s="99"/>
      <c r="AN328" s="99"/>
      <c r="AO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c r="AA329" s="99"/>
      <c r="AB329" s="99"/>
      <c r="AC329" s="99"/>
      <c r="AD329" s="99"/>
      <c r="AE329" s="99"/>
      <c r="AF329" s="99"/>
      <c r="AG329" s="99"/>
      <c r="AH329" s="99"/>
      <c r="AI329" s="99"/>
      <c r="AJ329" s="99"/>
      <c r="AK329" s="99"/>
      <c r="AL329" s="99"/>
      <c r="AM329" s="99"/>
      <c r="AN329" s="99"/>
      <c r="AO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c r="AA330" s="99"/>
      <c r="AB330" s="99"/>
      <c r="AC330" s="99"/>
      <c r="AD330" s="99"/>
      <c r="AE330" s="99"/>
      <c r="AF330" s="99"/>
      <c r="AG330" s="99"/>
      <c r="AH330" s="99"/>
      <c r="AI330" s="99"/>
      <c r="AJ330" s="99"/>
      <c r="AK330" s="99"/>
      <c r="AL330" s="99"/>
      <c r="AM330" s="99"/>
      <c r="AN330" s="99"/>
      <c r="AO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c r="AA331" s="99"/>
      <c r="AB331" s="99"/>
      <c r="AC331" s="99"/>
      <c r="AD331" s="99"/>
      <c r="AE331" s="99"/>
      <c r="AF331" s="99"/>
      <c r="AG331" s="99"/>
      <c r="AH331" s="99"/>
      <c r="AI331" s="99"/>
      <c r="AJ331" s="99"/>
      <c r="AK331" s="99"/>
      <c r="AL331" s="99"/>
      <c r="AM331" s="99"/>
      <c r="AN331" s="99"/>
      <c r="AO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c r="AA332" s="99"/>
      <c r="AB332" s="99"/>
      <c r="AC332" s="99"/>
      <c r="AD332" s="99"/>
      <c r="AE332" s="99"/>
      <c r="AF332" s="99"/>
      <c r="AG332" s="99"/>
      <c r="AH332" s="99"/>
      <c r="AI332" s="99"/>
      <c r="AJ332" s="99"/>
      <c r="AK332" s="99"/>
      <c r="AL332" s="99"/>
      <c r="AM332" s="99"/>
      <c r="AN332" s="99"/>
      <c r="AO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c r="AA333" s="99"/>
      <c r="AB333" s="99"/>
      <c r="AC333" s="99"/>
      <c r="AD333" s="99"/>
      <c r="AE333" s="99"/>
      <c r="AF333" s="99"/>
      <c r="AG333" s="99"/>
      <c r="AH333" s="99"/>
      <c r="AI333" s="99"/>
      <c r="AJ333" s="99"/>
      <c r="AK333" s="99"/>
      <c r="AL333" s="99"/>
      <c r="AM333" s="99"/>
      <c r="AN333" s="99"/>
      <c r="AO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c r="AA334" s="99"/>
      <c r="AB334" s="99"/>
      <c r="AC334" s="99"/>
      <c r="AD334" s="99"/>
      <c r="AE334" s="99"/>
      <c r="AF334" s="99"/>
      <c r="AG334" s="99"/>
      <c r="AH334" s="99"/>
      <c r="AI334" s="99"/>
      <c r="AJ334" s="99"/>
      <c r="AK334" s="99"/>
      <c r="AL334" s="99"/>
      <c r="AM334" s="99"/>
      <c r="AN334" s="99"/>
      <c r="AO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c r="AA335" s="99"/>
      <c r="AB335" s="99"/>
      <c r="AC335" s="99"/>
      <c r="AD335" s="99"/>
      <c r="AE335" s="99"/>
      <c r="AF335" s="99"/>
      <c r="AG335" s="99"/>
      <c r="AH335" s="99"/>
      <c r="AI335" s="99"/>
      <c r="AJ335" s="99"/>
      <c r="AK335" s="99"/>
      <c r="AL335" s="99"/>
      <c r="AM335" s="99"/>
      <c r="AN335" s="99"/>
      <c r="AO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c r="AA336" s="99"/>
      <c r="AB336" s="99"/>
      <c r="AC336" s="99"/>
      <c r="AD336" s="99"/>
      <c r="AE336" s="99"/>
      <c r="AF336" s="99"/>
      <c r="AG336" s="99"/>
      <c r="AH336" s="99"/>
      <c r="AI336" s="99"/>
      <c r="AJ336" s="99"/>
      <c r="AK336" s="99"/>
      <c r="AL336" s="99"/>
      <c r="AM336" s="99"/>
      <c r="AN336" s="99"/>
      <c r="AO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c r="AA337" s="99"/>
      <c r="AB337" s="99"/>
      <c r="AC337" s="99"/>
      <c r="AD337" s="99"/>
      <c r="AE337" s="99"/>
      <c r="AF337" s="99"/>
      <c r="AG337" s="99"/>
      <c r="AH337" s="99"/>
      <c r="AI337" s="99"/>
      <c r="AJ337" s="99"/>
      <c r="AK337" s="99"/>
      <c r="AL337" s="99"/>
      <c r="AM337" s="99"/>
      <c r="AN337" s="99"/>
      <c r="AO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c r="AA338" s="99"/>
      <c r="AB338" s="99"/>
      <c r="AC338" s="99"/>
      <c r="AD338" s="99"/>
      <c r="AE338" s="99"/>
      <c r="AF338" s="99"/>
      <c r="AG338" s="99"/>
      <c r="AH338" s="99"/>
      <c r="AI338" s="99"/>
      <c r="AJ338" s="99"/>
      <c r="AK338" s="99"/>
      <c r="AL338" s="99"/>
      <c r="AM338" s="99"/>
      <c r="AN338" s="99"/>
      <c r="AO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c r="AA339" s="99"/>
      <c r="AB339" s="99"/>
      <c r="AC339" s="99"/>
      <c r="AD339" s="99"/>
      <c r="AE339" s="99"/>
      <c r="AF339" s="99"/>
      <c r="AG339" s="99"/>
      <c r="AH339" s="99"/>
      <c r="AI339" s="99"/>
      <c r="AJ339" s="99"/>
      <c r="AK339" s="99"/>
      <c r="AL339" s="99"/>
      <c r="AM339" s="99"/>
      <c r="AN339" s="99"/>
      <c r="AO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c r="AA340" s="99"/>
      <c r="AB340" s="99"/>
      <c r="AC340" s="99"/>
      <c r="AD340" s="99"/>
      <c r="AE340" s="99"/>
      <c r="AF340" s="99"/>
      <c r="AG340" s="99"/>
      <c r="AH340" s="99"/>
      <c r="AI340" s="99"/>
      <c r="AJ340" s="99"/>
      <c r="AK340" s="99"/>
      <c r="AL340" s="99"/>
      <c r="AM340" s="99"/>
      <c r="AN340" s="99"/>
      <c r="AO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c r="AA341" s="99"/>
      <c r="AB341" s="99"/>
      <c r="AC341" s="99"/>
      <c r="AD341" s="99"/>
      <c r="AE341" s="99"/>
      <c r="AF341" s="99"/>
      <c r="AG341" s="99"/>
      <c r="AH341" s="99"/>
      <c r="AI341" s="99"/>
      <c r="AJ341" s="99"/>
      <c r="AK341" s="99"/>
      <c r="AL341" s="99"/>
      <c r="AM341" s="99"/>
      <c r="AN341" s="99"/>
      <c r="AO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c r="AA342" s="99"/>
      <c r="AB342" s="99"/>
      <c r="AC342" s="99"/>
      <c r="AD342" s="99"/>
      <c r="AE342" s="99"/>
      <c r="AF342" s="99"/>
      <c r="AG342" s="99"/>
      <c r="AH342" s="99"/>
      <c r="AI342" s="99"/>
      <c r="AJ342" s="99"/>
      <c r="AK342" s="99"/>
      <c r="AL342" s="99"/>
      <c r="AM342" s="99"/>
      <c r="AN342" s="99"/>
      <c r="AO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c r="AA343" s="99"/>
      <c r="AB343" s="99"/>
      <c r="AC343" s="99"/>
      <c r="AD343" s="99"/>
      <c r="AE343" s="99"/>
      <c r="AF343" s="99"/>
      <c r="AG343" s="99"/>
      <c r="AH343" s="99"/>
      <c r="AI343" s="99"/>
      <c r="AJ343" s="99"/>
      <c r="AK343" s="99"/>
      <c r="AL343" s="99"/>
      <c r="AM343" s="99"/>
      <c r="AN343" s="99"/>
      <c r="AO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c r="AA344" s="99"/>
      <c r="AB344" s="99"/>
      <c r="AC344" s="99"/>
      <c r="AD344" s="99"/>
      <c r="AE344" s="99"/>
      <c r="AF344" s="99"/>
      <c r="AG344" s="99"/>
      <c r="AH344" s="99"/>
      <c r="AI344" s="99"/>
      <c r="AJ344" s="99"/>
      <c r="AK344" s="99"/>
      <c r="AL344" s="99"/>
      <c r="AM344" s="99"/>
      <c r="AN344" s="99"/>
      <c r="AO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c r="AA345" s="99"/>
      <c r="AB345" s="99"/>
      <c r="AC345" s="99"/>
      <c r="AD345" s="99"/>
      <c r="AE345" s="99"/>
      <c r="AF345" s="99"/>
      <c r="AG345" s="99"/>
      <c r="AH345" s="99"/>
      <c r="AI345" s="99"/>
      <c r="AJ345" s="99"/>
      <c r="AK345" s="99"/>
      <c r="AL345" s="99"/>
      <c r="AM345" s="99"/>
      <c r="AN345" s="99"/>
      <c r="AO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c r="AA346" s="99"/>
      <c r="AB346" s="99"/>
      <c r="AC346" s="99"/>
      <c r="AD346" s="99"/>
      <c r="AE346" s="99"/>
      <c r="AF346" s="99"/>
      <c r="AG346" s="99"/>
      <c r="AH346" s="99"/>
      <c r="AI346" s="99"/>
      <c r="AJ346" s="99"/>
      <c r="AK346" s="99"/>
      <c r="AL346" s="99"/>
      <c r="AM346" s="99"/>
      <c r="AN346" s="99"/>
      <c r="AO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c r="AA347" s="99"/>
      <c r="AB347" s="99"/>
      <c r="AC347" s="99"/>
      <c r="AD347" s="99"/>
      <c r="AE347" s="99"/>
      <c r="AF347" s="99"/>
      <c r="AG347" s="99"/>
      <c r="AH347" s="99"/>
      <c r="AI347" s="99"/>
      <c r="AJ347" s="99"/>
      <c r="AK347" s="99"/>
      <c r="AL347" s="99"/>
      <c r="AM347" s="99"/>
      <c r="AN347" s="99"/>
      <c r="AO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c r="AC348" s="99"/>
      <c r="AD348" s="99"/>
      <c r="AE348" s="99"/>
      <c r="AF348" s="99"/>
      <c r="AG348" s="99"/>
      <c r="AH348" s="99"/>
      <c r="AI348" s="99"/>
      <c r="AJ348" s="99"/>
      <c r="AK348" s="99"/>
      <c r="AL348" s="99"/>
      <c r="AM348" s="99"/>
      <c r="AN348" s="99"/>
      <c r="AO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c r="AA349" s="99"/>
      <c r="AB349" s="99"/>
      <c r="AC349" s="99"/>
      <c r="AD349" s="99"/>
      <c r="AE349" s="99"/>
      <c r="AF349" s="99"/>
      <c r="AG349" s="99"/>
      <c r="AH349" s="99"/>
      <c r="AI349" s="99"/>
      <c r="AJ349" s="99"/>
      <c r="AK349" s="99"/>
      <c r="AL349" s="99"/>
      <c r="AM349" s="99"/>
      <c r="AN349" s="99"/>
      <c r="AO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c r="AA350" s="99"/>
      <c r="AB350" s="99"/>
      <c r="AC350" s="99"/>
      <c r="AD350" s="99"/>
      <c r="AE350" s="99"/>
      <c r="AF350" s="99"/>
      <c r="AG350" s="99"/>
      <c r="AH350" s="99"/>
      <c r="AI350" s="99"/>
      <c r="AJ350" s="99"/>
      <c r="AK350" s="99"/>
      <c r="AL350" s="99"/>
      <c r="AM350" s="99"/>
      <c r="AN350" s="99"/>
      <c r="AO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c r="AA351" s="99"/>
      <c r="AB351" s="99"/>
      <c r="AC351" s="99"/>
      <c r="AD351" s="99"/>
      <c r="AE351" s="99"/>
      <c r="AF351" s="99"/>
      <c r="AG351" s="99"/>
      <c r="AH351" s="99"/>
      <c r="AI351" s="99"/>
      <c r="AJ351" s="99"/>
      <c r="AK351" s="99"/>
      <c r="AL351" s="99"/>
      <c r="AM351" s="99"/>
      <c r="AN351" s="99"/>
      <c r="AO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c r="AA352" s="99"/>
      <c r="AB352" s="99"/>
      <c r="AC352" s="99"/>
      <c r="AD352" s="99"/>
      <c r="AE352" s="99"/>
      <c r="AF352" s="99"/>
      <c r="AG352" s="99"/>
      <c r="AH352" s="99"/>
      <c r="AI352" s="99"/>
      <c r="AJ352" s="99"/>
      <c r="AK352" s="99"/>
      <c r="AL352" s="99"/>
      <c r="AM352" s="99"/>
      <c r="AN352" s="99"/>
      <c r="AO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c r="AA353" s="99"/>
      <c r="AB353" s="99"/>
      <c r="AC353" s="99"/>
      <c r="AD353" s="99"/>
      <c r="AE353" s="99"/>
      <c r="AF353" s="99"/>
      <c r="AG353" s="99"/>
      <c r="AH353" s="99"/>
      <c r="AI353" s="99"/>
      <c r="AJ353" s="99"/>
      <c r="AK353" s="99"/>
      <c r="AL353" s="99"/>
      <c r="AM353" s="99"/>
      <c r="AN353" s="99"/>
      <c r="AO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c r="AA354" s="99"/>
      <c r="AB354" s="99"/>
      <c r="AC354" s="99"/>
      <c r="AD354" s="99"/>
      <c r="AE354" s="99"/>
      <c r="AF354" s="99"/>
      <c r="AG354" s="99"/>
      <c r="AH354" s="99"/>
      <c r="AI354" s="99"/>
      <c r="AJ354" s="99"/>
      <c r="AK354" s="99"/>
      <c r="AL354" s="99"/>
      <c r="AM354" s="99"/>
      <c r="AN354" s="99"/>
      <c r="AO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c r="AA355" s="99"/>
      <c r="AB355" s="99"/>
      <c r="AC355" s="99"/>
      <c r="AD355" s="99"/>
      <c r="AE355" s="99"/>
      <c r="AF355" s="99"/>
      <c r="AG355" s="99"/>
      <c r="AH355" s="99"/>
      <c r="AI355" s="99"/>
      <c r="AJ355" s="99"/>
      <c r="AK355" s="99"/>
      <c r="AL355" s="99"/>
      <c r="AM355" s="99"/>
      <c r="AN355" s="99"/>
      <c r="AO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c r="AA356" s="99"/>
      <c r="AB356" s="99"/>
      <c r="AC356" s="99"/>
      <c r="AD356" s="99"/>
      <c r="AE356" s="99"/>
      <c r="AF356" s="99"/>
      <c r="AG356" s="99"/>
      <c r="AH356" s="99"/>
      <c r="AI356" s="99"/>
      <c r="AJ356" s="99"/>
      <c r="AK356" s="99"/>
      <c r="AL356" s="99"/>
      <c r="AM356" s="99"/>
      <c r="AN356" s="99"/>
      <c r="AO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c r="AA357" s="99"/>
      <c r="AB357" s="99"/>
      <c r="AC357" s="99"/>
      <c r="AD357" s="99"/>
      <c r="AE357" s="99"/>
      <c r="AF357" s="99"/>
      <c r="AG357" s="99"/>
      <c r="AH357" s="99"/>
      <c r="AI357" s="99"/>
      <c r="AJ357" s="99"/>
      <c r="AK357" s="99"/>
      <c r="AL357" s="99"/>
      <c r="AM357" s="99"/>
      <c r="AN357" s="99"/>
      <c r="AO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c r="AA358" s="99"/>
      <c r="AB358" s="99"/>
      <c r="AC358" s="99"/>
      <c r="AD358" s="99"/>
      <c r="AE358" s="99"/>
      <c r="AF358" s="99"/>
      <c r="AG358" s="99"/>
      <c r="AH358" s="99"/>
      <c r="AI358" s="99"/>
      <c r="AJ358" s="99"/>
      <c r="AK358" s="99"/>
      <c r="AL358" s="99"/>
      <c r="AM358" s="99"/>
      <c r="AN358" s="99"/>
      <c r="AO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c r="AA359" s="99"/>
      <c r="AB359" s="99"/>
      <c r="AC359" s="99"/>
      <c r="AD359" s="99"/>
      <c r="AE359" s="99"/>
      <c r="AF359" s="99"/>
      <c r="AG359" s="99"/>
      <c r="AH359" s="99"/>
      <c r="AI359" s="99"/>
      <c r="AJ359" s="99"/>
      <c r="AK359" s="99"/>
      <c r="AL359" s="99"/>
      <c r="AM359" s="99"/>
      <c r="AN359" s="99"/>
      <c r="AO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c r="AA360" s="99"/>
      <c r="AB360" s="99"/>
      <c r="AC360" s="99"/>
      <c r="AD360" s="99"/>
      <c r="AE360" s="99"/>
      <c r="AF360" s="99"/>
      <c r="AG360" s="99"/>
      <c r="AH360" s="99"/>
      <c r="AI360" s="99"/>
      <c r="AJ360" s="99"/>
      <c r="AK360" s="99"/>
      <c r="AL360" s="99"/>
      <c r="AM360" s="99"/>
      <c r="AN360" s="99"/>
      <c r="AO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c r="AA361" s="99"/>
      <c r="AB361" s="99"/>
      <c r="AC361" s="99"/>
      <c r="AD361" s="99"/>
      <c r="AE361" s="99"/>
      <c r="AF361" s="99"/>
      <c r="AG361" s="99"/>
      <c r="AH361" s="99"/>
      <c r="AI361" s="99"/>
      <c r="AJ361" s="99"/>
      <c r="AK361" s="99"/>
      <c r="AL361" s="99"/>
      <c r="AM361" s="99"/>
      <c r="AN361" s="99"/>
      <c r="AO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c r="AA362" s="99"/>
      <c r="AB362" s="99"/>
      <c r="AC362" s="99"/>
      <c r="AD362" s="99"/>
      <c r="AE362" s="99"/>
      <c r="AF362" s="99"/>
      <c r="AG362" s="99"/>
      <c r="AH362" s="99"/>
      <c r="AI362" s="99"/>
      <c r="AJ362" s="99"/>
      <c r="AK362" s="99"/>
      <c r="AL362" s="99"/>
      <c r="AM362" s="99"/>
      <c r="AN362" s="99"/>
      <c r="AO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c r="AA363" s="99"/>
      <c r="AB363" s="99"/>
      <c r="AC363" s="99"/>
      <c r="AD363" s="99"/>
      <c r="AE363" s="99"/>
      <c r="AF363" s="99"/>
      <c r="AG363" s="99"/>
      <c r="AH363" s="99"/>
      <c r="AI363" s="99"/>
      <c r="AJ363" s="99"/>
      <c r="AK363" s="99"/>
      <c r="AL363" s="99"/>
      <c r="AM363" s="99"/>
      <c r="AN363" s="99"/>
      <c r="AO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c r="AA364" s="99"/>
      <c r="AB364" s="99"/>
      <c r="AC364" s="99"/>
      <c r="AD364" s="99"/>
      <c r="AE364" s="99"/>
      <c r="AF364" s="99"/>
      <c r="AG364" s="99"/>
      <c r="AH364" s="99"/>
      <c r="AI364" s="99"/>
      <c r="AJ364" s="99"/>
      <c r="AK364" s="99"/>
      <c r="AL364" s="99"/>
      <c r="AM364" s="99"/>
      <c r="AN364" s="99"/>
      <c r="AO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c r="AA365" s="99"/>
      <c r="AB365" s="99"/>
      <c r="AC365" s="99"/>
      <c r="AD365" s="99"/>
      <c r="AE365" s="99"/>
      <c r="AF365" s="99"/>
      <c r="AG365" s="99"/>
      <c r="AH365" s="99"/>
      <c r="AI365" s="99"/>
      <c r="AJ365" s="99"/>
      <c r="AK365" s="99"/>
      <c r="AL365" s="99"/>
      <c r="AM365" s="99"/>
      <c r="AN365" s="99"/>
      <c r="AO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c r="AA366" s="99"/>
      <c r="AB366" s="99"/>
      <c r="AC366" s="99"/>
      <c r="AD366" s="99"/>
      <c r="AE366" s="99"/>
      <c r="AF366" s="99"/>
      <c r="AG366" s="99"/>
      <c r="AH366" s="99"/>
      <c r="AI366" s="99"/>
      <c r="AJ366" s="99"/>
      <c r="AK366" s="99"/>
      <c r="AL366" s="99"/>
      <c r="AM366" s="99"/>
      <c r="AN366" s="99"/>
      <c r="AO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c r="AA367" s="99"/>
      <c r="AB367" s="99"/>
      <c r="AC367" s="99"/>
      <c r="AD367" s="99"/>
      <c r="AE367" s="99"/>
      <c r="AF367" s="99"/>
      <c r="AG367" s="99"/>
      <c r="AH367" s="99"/>
      <c r="AI367" s="99"/>
      <c r="AJ367" s="99"/>
      <c r="AK367" s="99"/>
      <c r="AL367" s="99"/>
      <c r="AM367" s="99"/>
      <c r="AN367" s="99"/>
      <c r="AO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c r="AA368" s="99"/>
      <c r="AB368" s="99"/>
      <c r="AC368" s="99"/>
      <c r="AD368" s="99"/>
      <c r="AE368" s="99"/>
      <c r="AF368" s="99"/>
      <c r="AG368" s="99"/>
      <c r="AH368" s="99"/>
      <c r="AI368" s="99"/>
      <c r="AJ368" s="99"/>
      <c r="AK368" s="99"/>
      <c r="AL368" s="99"/>
      <c r="AM368" s="99"/>
      <c r="AN368" s="99"/>
      <c r="AO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c r="AA369" s="99"/>
      <c r="AB369" s="99"/>
      <c r="AC369" s="99"/>
      <c r="AD369" s="99"/>
      <c r="AE369" s="99"/>
      <c r="AF369" s="99"/>
      <c r="AG369" s="99"/>
      <c r="AH369" s="99"/>
      <c r="AI369" s="99"/>
      <c r="AJ369" s="99"/>
      <c r="AK369" s="99"/>
      <c r="AL369" s="99"/>
      <c r="AM369" s="99"/>
      <c r="AN369" s="99"/>
      <c r="AO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c r="AA370" s="99"/>
      <c r="AB370" s="99"/>
      <c r="AC370" s="99"/>
      <c r="AD370" s="99"/>
      <c r="AE370" s="99"/>
      <c r="AF370" s="99"/>
      <c r="AG370" s="99"/>
      <c r="AH370" s="99"/>
      <c r="AI370" s="99"/>
      <c r="AJ370" s="99"/>
      <c r="AK370" s="99"/>
      <c r="AL370" s="99"/>
      <c r="AM370" s="99"/>
      <c r="AN370" s="99"/>
      <c r="AO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c r="AA371" s="99"/>
      <c r="AB371" s="99"/>
      <c r="AC371" s="99"/>
      <c r="AD371" s="99"/>
      <c r="AE371" s="99"/>
      <c r="AF371" s="99"/>
      <c r="AG371" s="99"/>
      <c r="AH371" s="99"/>
      <c r="AI371" s="99"/>
      <c r="AJ371" s="99"/>
      <c r="AK371" s="99"/>
      <c r="AL371" s="99"/>
      <c r="AM371" s="99"/>
      <c r="AN371" s="99"/>
      <c r="AO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c r="AA372" s="99"/>
      <c r="AB372" s="99"/>
      <c r="AC372" s="99"/>
      <c r="AD372" s="99"/>
      <c r="AE372" s="99"/>
      <c r="AF372" s="99"/>
      <c r="AG372" s="99"/>
      <c r="AH372" s="99"/>
      <c r="AI372" s="99"/>
      <c r="AJ372" s="99"/>
      <c r="AK372" s="99"/>
      <c r="AL372" s="99"/>
      <c r="AM372" s="99"/>
      <c r="AN372" s="99"/>
      <c r="AO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c r="AA373" s="99"/>
      <c r="AB373" s="99"/>
      <c r="AC373" s="99"/>
      <c r="AD373" s="99"/>
      <c r="AE373" s="99"/>
      <c r="AF373" s="99"/>
      <c r="AG373" s="99"/>
      <c r="AH373" s="99"/>
      <c r="AI373" s="99"/>
      <c r="AJ373" s="99"/>
      <c r="AK373" s="99"/>
      <c r="AL373" s="99"/>
      <c r="AM373" s="99"/>
      <c r="AN373" s="99"/>
      <c r="AO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c r="AA374" s="99"/>
      <c r="AB374" s="99"/>
      <c r="AC374" s="99"/>
      <c r="AD374" s="99"/>
      <c r="AE374" s="99"/>
      <c r="AF374" s="99"/>
      <c r="AG374" s="99"/>
      <c r="AH374" s="99"/>
      <c r="AI374" s="99"/>
      <c r="AJ374" s="99"/>
      <c r="AK374" s="99"/>
      <c r="AL374" s="99"/>
      <c r="AM374" s="99"/>
      <c r="AN374" s="99"/>
      <c r="AO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99"/>
      <c r="AB375" s="99"/>
      <c r="AC375" s="99"/>
      <c r="AD375" s="99"/>
      <c r="AE375" s="99"/>
      <c r="AF375" s="99"/>
      <c r="AG375" s="99"/>
      <c r="AH375" s="99"/>
      <c r="AI375" s="99"/>
      <c r="AJ375" s="99"/>
      <c r="AK375" s="99"/>
      <c r="AL375" s="99"/>
      <c r="AM375" s="99"/>
      <c r="AN375" s="99"/>
      <c r="AO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c r="AA376" s="99"/>
      <c r="AB376" s="99"/>
      <c r="AC376" s="99"/>
      <c r="AD376" s="99"/>
      <c r="AE376" s="99"/>
      <c r="AF376" s="99"/>
      <c r="AG376" s="99"/>
      <c r="AH376" s="99"/>
      <c r="AI376" s="99"/>
      <c r="AJ376" s="99"/>
      <c r="AK376" s="99"/>
      <c r="AL376" s="99"/>
      <c r="AM376" s="99"/>
      <c r="AN376" s="99"/>
      <c r="AO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c r="AA377" s="99"/>
      <c r="AB377" s="99"/>
      <c r="AC377" s="99"/>
      <c r="AD377" s="99"/>
      <c r="AE377" s="99"/>
      <c r="AF377" s="99"/>
      <c r="AG377" s="99"/>
      <c r="AH377" s="99"/>
      <c r="AI377" s="99"/>
      <c r="AJ377" s="99"/>
      <c r="AK377" s="99"/>
      <c r="AL377" s="99"/>
      <c r="AM377" s="99"/>
      <c r="AN377" s="99"/>
      <c r="AO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c r="AA378" s="99"/>
      <c r="AB378" s="99"/>
      <c r="AC378" s="99"/>
      <c r="AD378" s="99"/>
      <c r="AE378" s="99"/>
      <c r="AF378" s="99"/>
      <c r="AG378" s="99"/>
      <c r="AH378" s="99"/>
      <c r="AI378" s="99"/>
      <c r="AJ378" s="99"/>
      <c r="AK378" s="99"/>
      <c r="AL378" s="99"/>
      <c r="AM378" s="99"/>
      <c r="AN378" s="99"/>
      <c r="AO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c r="AA379" s="99"/>
      <c r="AB379" s="99"/>
      <c r="AC379" s="99"/>
      <c r="AD379" s="99"/>
      <c r="AE379" s="99"/>
      <c r="AF379" s="99"/>
      <c r="AG379" s="99"/>
      <c r="AH379" s="99"/>
      <c r="AI379" s="99"/>
      <c r="AJ379" s="99"/>
      <c r="AK379" s="99"/>
      <c r="AL379" s="99"/>
      <c r="AM379" s="99"/>
      <c r="AN379" s="99"/>
      <c r="AO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c r="AA380" s="99"/>
      <c r="AB380" s="99"/>
      <c r="AC380" s="99"/>
      <c r="AD380" s="99"/>
      <c r="AE380" s="99"/>
      <c r="AF380" s="99"/>
      <c r="AG380" s="99"/>
      <c r="AH380" s="99"/>
      <c r="AI380" s="99"/>
      <c r="AJ380" s="99"/>
      <c r="AK380" s="99"/>
      <c r="AL380" s="99"/>
      <c r="AM380" s="99"/>
      <c r="AN380" s="99"/>
      <c r="AO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c r="AA381" s="99"/>
      <c r="AB381" s="99"/>
      <c r="AC381" s="99"/>
      <c r="AD381" s="99"/>
      <c r="AE381" s="99"/>
      <c r="AF381" s="99"/>
      <c r="AG381" s="99"/>
      <c r="AH381" s="99"/>
      <c r="AI381" s="99"/>
      <c r="AJ381" s="99"/>
      <c r="AK381" s="99"/>
      <c r="AL381" s="99"/>
      <c r="AM381" s="99"/>
      <c r="AN381" s="99"/>
      <c r="AO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c r="AA382" s="99"/>
      <c r="AB382" s="99"/>
      <c r="AC382" s="99"/>
      <c r="AD382" s="99"/>
      <c r="AE382" s="99"/>
      <c r="AF382" s="99"/>
      <c r="AG382" s="99"/>
      <c r="AH382" s="99"/>
      <c r="AI382" s="99"/>
      <c r="AJ382" s="99"/>
      <c r="AK382" s="99"/>
      <c r="AL382" s="99"/>
      <c r="AM382" s="99"/>
      <c r="AN382" s="99"/>
      <c r="AO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c r="AA383" s="99"/>
      <c r="AB383" s="99"/>
      <c r="AC383" s="99"/>
      <c r="AD383" s="99"/>
      <c r="AE383" s="99"/>
      <c r="AF383" s="99"/>
      <c r="AG383" s="99"/>
      <c r="AH383" s="99"/>
      <c r="AI383" s="99"/>
      <c r="AJ383" s="99"/>
      <c r="AK383" s="99"/>
      <c r="AL383" s="99"/>
      <c r="AM383" s="99"/>
      <c r="AN383" s="99"/>
      <c r="AO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c r="AA384" s="99"/>
      <c r="AB384" s="99"/>
      <c r="AC384" s="99"/>
      <c r="AD384" s="99"/>
      <c r="AE384" s="99"/>
      <c r="AF384" s="99"/>
      <c r="AG384" s="99"/>
      <c r="AH384" s="99"/>
      <c r="AI384" s="99"/>
      <c r="AJ384" s="99"/>
      <c r="AK384" s="99"/>
      <c r="AL384" s="99"/>
      <c r="AM384" s="99"/>
      <c r="AN384" s="99"/>
      <c r="AO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c r="AA385" s="99"/>
      <c r="AB385" s="99"/>
      <c r="AC385" s="99"/>
      <c r="AD385" s="99"/>
      <c r="AE385" s="99"/>
      <c r="AF385" s="99"/>
      <c r="AG385" s="99"/>
      <c r="AH385" s="99"/>
      <c r="AI385" s="99"/>
      <c r="AJ385" s="99"/>
      <c r="AK385" s="99"/>
      <c r="AL385" s="99"/>
      <c r="AM385" s="99"/>
      <c r="AN385" s="99"/>
      <c r="AO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c r="AA386" s="99"/>
      <c r="AB386" s="99"/>
      <c r="AC386" s="99"/>
      <c r="AD386" s="99"/>
      <c r="AE386" s="99"/>
      <c r="AF386" s="99"/>
      <c r="AG386" s="99"/>
      <c r="AH386" s="99"/>
      <c r="AI386" s="99"/>
      <c r="AJ386" s="99"/>
      <c r="AK386" s="99"/>
      <c r="AL386" s="99"/>
      <c r="AM386" s="99"/>
      <c r="AN386" s="99"/>
      <c r="AO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c r="AA387" s="99"/>
      <c r="AB387" s="99"/>
      <c r="AC387" s="99"/>
      <c r="AD387" s="99"/>
      <c r="AE387" s="99"/>
      <c r="AF387" s="99"/>
      <c r="AG387" s="99"/>
      <c r="AH387" s="99"/>
      <c r="AI387" s="99"/>
      <c r="AJ387" s="99"/>
      <c r="AK387" s="99"/>
      <c r="AL387" s="99"/>
      <c r="AM387" s="99"/>
      <c r="AN387" s="99"/>
      <c r="AO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c r="AA388" s="99"/>
      <c r="AB388" s="99"/>
      <c r="AC388" s="99"/>
      <c r="AD388" s="99"/>
      <c r="AE388" s="99"/>
      <c r="AF388" s="99"/>
      <c r="AG388" s="99"/>
      <c r="AH388" s="99"/>
      <c r="AI388" s="99"/>
      <c r="AJ388" s="99"/>
      <c r="AK388" s="99"/>
      <c r="AL388" s="99"/>
      <c r="AM388" s="99"/>
      <c r="AN388" s="99"/>
      <c r="AO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c r="AA389" s="99"/>
      <c r="AB389" s="99"/>
      <c r="AC389" s="99"/>
      <c r="AD389" s="99"/>
      <c r="AE389" s="99"/>
      <c r="AF389" s="99"/>
      <c r="AG389" s="99"/>
      <c r="AH389" s="99"/>
      <c r="AI389" s="99"/>
      <c r="AJ389" s="99"/>
      <c r="AK389" s="99"/>
      <c r="AL389" s="99"/>
      <c r="AM389" s="99"/>
      <c r="AN389" s="99"/>
      <c r="AO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c r="AA390" s="99"/>
      <c r="AB390" s="99"/>
      <c r="AC390" s="99"/>
      <c r="AD390" s="99"/>
      <c r="AE390" s="99"/>
      <c r="AF390" s="99"/>
      <c r="AG390" s="99"/>
      <c r="AH390" s="99"/>
      <c r="AI390" s="99"/>
      <c r="AJ390" s="99"/>
      <c r="AK390" s="99"/>
      <c r="AL390" s="99"/>
      <c r="AM390" s="99"/>
      <c r="AN390" s="99"/>
      <c r="AO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c r="AA391" s="99"/>
      <c r="AB391" s="99"/>
      <c r="AC391" s="99"/>
      <c r="AD391" s="99"/>
      <c r="AE391" s="99"/>
      <c r="AF391" s="99"/>
      <c r="AG391" s="99"/>
      <c r="AH391" s="99"/>
      <c r="AI391" s="99"/>
      <c r="AJ391" s="99"/>
      <c r="AK391" s="99"/>
      <c r="AL391" s="99"/>
      <c r="AM391" s="99"/>
      <c r="AN391" s="99"/>
      <c r="AO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c r="AA392" s="99"/>
      <c r="AB392" s="99"/>
      <c r="AC392" s="99"/>
      <c r="AD392" s="99"/>
      <c r="AE392" s="99"/>
      <c r="AF392" s="99"/>
      <c r="AG392" s="99"/>
      <c r="AH392" s="99"/>
      <c r="AI392" s="99"/>
      <c r="AJ392" s="99"/>
      <c r="AK392" s="99"/>
      <c r="AL392" s="99"/>
      <c r="AM392" s="99"/>
      <c r="AN392" s="99"/>
      <c r="AO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c r="AA393" s="99"/>
      <c r="AB393" s="99"/>
      <c r="AC393" s="99"/>
      <c r="AD393" s="99"/>
      <c r="AE393" s="99"/>
      <c r="AF393" s="99"/>
      <c r="AG393" s="99"/>
      <c r="AH393" s="99"/>
      <c r="AI393" s="99"/>
      <c r="AJ393" s="99"/>
      <c r="AK393" s="99"/>
      <c r="AL393" s="99"/>
      <c r="AM393" s="99"/>
      <c r="AN393" s="99"/>
      <c r="AO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c r="AA394" s="99"/>
      <c r="AB394" s="99"/>
      <c r="AC394" s="99"/>
      <c r="AD394" s="99"/>
      <c r="AE394" s="99"/>
      <c r="AF394" s="99"/>
      <c r="AG394" s="99"/>
      <c r="AH394" s="99"/>
      <c r="AI394" s="99"/>
      <c r="AJ394" s="99"/>
      <c r="AK394" s="99"/>
      <c r="AL394" s="99"/>
      <c r="AM394" s="99"/>
      <c r="AN394" s="99"/>
      <c r="AO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c r="AA395" s="99"/>
      <c r="AB395" s="99"/>
      <c r="AC395" s="99"/>
      <c r="AD395" s="99"/>
      <c r="AE395" s="99"/>
      <c r="AF395" s="99"/>
      <c r="AG395" s="99"/>
      <c r="AH395" s="99"/>
      <c r="AI395" s="99"/>
      <c r="AJ395" s="99"/>
      <c r="AK395" s="99"/>
      <c r="AL395" s="99"/>
      <c r="AM395" s="99"/>
      <c r="AN395" s="99"/>
      <c r="AO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c r="AA396" s="99"/>
      <c r="AB396" s="99"/>
      <c r="AC396" s="99"/>
      <c r="AD396" s="99"/>
      <c r="AE396" s="99"/>
      <c r="AF396" s="99"/>
      <c r="AG396" s="99"/>
      <c r="AH396" s="99"/>
      <c r="AI396" s="99"/>
      <c r="AJ396" s="99"/>
      <c r="AK396" s="99"/>
      <c r="AL396" s="99"/>
      <c r="AM396" s="99"/>
      <c r="AN396" s="99"/>
      <c r="AO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c r="AA397" s="99"/>
      <c r="AB397" s="99"/>
      <c r="AC397" s="99"/>
      <c r="AD397" s="99"/>
      <c r="AE397" s="99"/>
      <c r="AF397" s="99"/>
      <c r="AG397" s="99"/>
      <c r="AH397" s="99"/>
      <c r="AI397" s="99"/>
      <c r="AJ397" s="99"/>
      <c r="AK397" s="99"/>
      <c r="AL397" s="99"/>
      <c r="AM397" s="99"/>
      <c r="AN397" s="99"/>
      <c r="AO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c r="AA398" s="99"/>
      <c r="AB398" s="99"/>
      <c r="AC398" s="99"/>
      <c r="AD398" s="99"/>
      <c r="AE398" s="99"/>
      <c r="AF398" s="99"/>
      <c r="AG398" s="99"/>
      <c r="AH398" s="99"/>
      <c r="AI398" s="99"/>
      <c r="AJ398" s="99"/>
      <c r="AK398" s="99"/>
      <c r="AL398" s="99"/>
      <c r="AM398" s="99"/>
      <c r="AN398" s="99"/>
      <c r="AO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c r="AA399" s="99"/>
      <c r="AB399" s="99"/>
      <c r="AC399" s="99"/>
      <c r="AD399" s="99"/>
      <c r="AE399" s="99"/>
      <c r="AF399" s="99"/>
      <c r="AG399" s="99"/>
      <c r="AH399" s="99"/>
      <c r="AI399" s="99"/>
      <c r="AJ399" s="99"/>
      <c r="AK399" s="99"/>
      <c r="AL399" s="99"/>
      <c r="AM399" s="99"/>
      <c r="AN399" s="99"/>
      <c r="AO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c r="AA400" s="99"/>
      <c r="AB400" s="99"/>
      <c r="AC400" s="99"/>
      <c r="AD400" s="99"/>
      <c r="AE400" s="99"/>
      <c r="AF400" s="99"/>
      <c r="AG400" s="99"/>
      <c r="AH400" s="99"/>
      <c r="AI400" s="99"/>
      <c r="AJ400" s="99"/>
      <c r="AK400" s="99"/>
      <c r="AL400" s="99"/>
      <c r="AM400" s="99"/>
      <c r="AN400" s="99"/>
      <c r="AO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c r="AA401" s="99"/>
      <c r="AB401" s="99"/>
      <c r="AC401" s="99"/>
      <c r="AD401" s="99"/>
      <c r="AE401" s="99"/>
      <c r="AF401" s="99"/>
      <c r="AG401" s="99"/>
      <c r="AH401" s="99"/>
      <c r="AI401" s="99"/>
      <c r="AJ401" s="99"/>
      <c r="AK401" s="99"/>
      <c r="AL401" s="99"/>
      <c r="AM401" s="99"/>
      <c r="AN401" s="99"/>
      <c r="AO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c r="AA402" s="99"/>
      <c r="AB402" s="99"/>
      <c r="AC402" s="99"/>
      <c r="AD402" s="99"/>
      <c r="AE402" s="99"/>
      <c r="AF402" s="99"/>
      <c r="AG402" s="99"/>
      <c r="AH402" s="99"/>
      <c r="AI402" s="99"/>
      <c r="AJ402" s="99"/>
      <c r="AK402" s="99"/>
      <c r="AL402" s="99"/>
      <c r="AM402" s="99"/>
      <c r="AN402" s="99"/>
      <c r="AO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99"/>
      <c r="AE403" s="99"/>
      <c r="AF403" s="99"/>
      <c r="AG403" s="99"/>
      <c r="AH403" s="99"/>
      <c r="AI403" s="99"/>
      <c r="AJ403" s="99"/>
      <c r="AK403" s="99"/>
      <c r="AL403" s="99"/>
      <c r="AM403" s="99"/>
      <c r="AN403" s="99"/>
      <c r="AO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c r="AA404" s="99"/>
      <c r="AB404" s="99"/>
      <c r="AC404" s="99"/>
      <c r="AD404" s="99"/>
      <c r="AE404" s="99"/>
      <c r="AF404" s="99"/>
      <c r="AG404" s="99"/>
      <c r="AH404" s="99"/>
      <c r="AI404" s="99"/>
      <c r="AJ404" s="99"/>
      <c r="AK404" s="99"/>
      <c r="AL404" s="99"/>
      <c r="AM404" s="99"/>
      <c r="AN404" s="99"/>
      <c r="AO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c r="AC405" s="99"/>
      <c r="AD405" s="99"/>
      <c r="AE405" s="99"/>
      <c r="AF405" s="99"/>
      <c r="AG405" s="99"/>
      <c r="AH405" s="99"/>
      <c r="AI405" s="99"/>
      <c r="AJ405" s="99"/>
      <c r="AK405" s="99"/>
      <c r="AL405" s="99"/>
      <c r="AM405" s="99"/>
      <c r="AN405" s="99"/>
      <c r="AO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c r="AA406" s="99"/>
      <c r="AB406" s="99"/>
      <c r="AC406" s="99"/>
      <c r="AD406" s="99"/>
      <c r="AE406" s="99"/>
      <c r="AF406" s="99"/>
      <c r="AG406" s="99"/>
      <c r="AH406" s="99"/>
      <c r="AI406" s="99"/>
      <c r="AJ406" s="99"/>
      <c r="AK406" s="99"/>
      <c r="AL406" s="99"/>
      <c r="AM406" s="99"/>
      <c r="AN406" s="99"/>
      <c r="AO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c r="AA407" s="99"/>
      <c r="AB407" s="99"/>
      <c r="AC407" s="99"/>
      <c r="AD407" s="99"/>
      <c r="AE407" s="99"/>
      <c r="AF407" s="99"/>
      <c r="AG407" s="99"/>
      <c r="AH407" s="99"/>
      <c r="AI407" s="99"/>
      <c r="AJ407" s="99"/>
      <c r="AK407" s="99"/>
      <c r="AL407" s="99"/>
      <c r="AM407" s="99"/>
      <c r="AN407" s="99"/>
      <c r="AO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c r="AA408" s="99"/>
      <c r="AB408" s="99"/>
      <c r="AC408" s="99"/>
      <c r="AD408" s="99"/>
      <c r="AE408" s="99"/>
      <c r="AF408" s="99"/>
      <c r="AG408" s="99"/>
      <c r="AH408" s="99"/>
      <c r="AI408" s="99"/>
      <c r="AJ408" s="99"/>
      <c r="AK408" s="99"/>
      <c r="AL408" s="99"/>
      <c r="AM408" s="99"/>
      <c r="AN408" s="99"/>
      <c r="AO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c r="AA409" s="99"/>
      <c r="AB409" s="99"/>
      <c r="AC409" s="99"/>
      <c r="AD409" s="99"/>
      <c r="AE409" s="99"/>
      <c r="AF409" s="99"/>
      <c r="AG409" s="99"/>
      <c r="AH409" s="99"/>
      <c r="AI409" s="99"/>
      <c r="AJ409" s="99"/>
      <c r="AK409" s="99"/>
      <c r="AL409" s="99"/>
      <c r="AM409" s="99"/>
      <c r="AN409" s="99"/>
      <c r="AO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c r="AC410" s="99"/>
      <c r="AD410" s="99"/>
      <c r="AE410" s="99"/>
      <c r="AF410" s="99"/>
      <c r="AG410" s="99"/>
      <c r="AH410" s="99"/>
      <c r="AI410" s="99"/>
      <c r="AJ410" s="99"/>
      <c r="AK410" s="99"/>
      <c r="AL410" s="99"/>
      <c r="AM410" s="99"/>
      <c r="AN410" s="99"/>
      <c r="AO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c r="AA411" s="99"/>
      <c r="AB411" s="99"/>
      <c r="AC411" s="99"/>
      <c r="AD411" s="99"/>
      <c r="AE411" s="99"/>
      <c r="AF411" s="99"/>
      <c r="AG411" s="99"/>
      <c r="AH411" s="99"/>
      <c r="AI411" s="99"/>
      <c r="AJ411" s="99"/>
      <c r="AK411" s="99"/>
      <c r="AL411" s="99"/>
      <c r="AM411" s="99"/>
      <c r="AN411" s="99"/>
      <c r="AO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c r="AA412" s="99"/>
      <c r="AB412" s="99"/>
      <c r="AC412" s="99"/>
      <c r="AD412" s="99"/>
      <c r="AE412" s="99"/>
      <c r="AF412" s="99"/>
      <c r="AG412" s="99"/>
      <c r="AH412" s="99"/>
      <c r="AI412" s="99"/>
      <c r="AJ412" s="99"/>
      <c r="AK412" s="99"/>
      <c r="AL412" s="99"/>
      <c r="AM412" s="99"/>
      <c r="AN412" s="99"/>
      <c r="AO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c r="AA413" s="99"/>
      <c r="AB413" s="99"/>
      <c r="AC413" s="99"/>
      <c r="AD413" s="99"/>
      <c r="AE413" s="99"/>
      <c r="AF413" s="99"/>
      <c r="AG413" s="99"/>
      <c r="AH413" s="99"/>
      <c r="AI413" s="99"/>
      <c r="AJ413" s="99"/>
      <c r="AK413" s="99"/>
      <c r="AL413" s="99"/>
      <c r="AM413" s="99"/>
      <c r="AN413" s="99"/>
      <c r="AO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c r="AA414" s="99"/>
      <c r="AB414" s="99"/>
      <c r="AC414" s="99"/>
      <c r="AD414" s="99"/>
      <c r="AE414" s="99"/>
      <c r="AF414" s="99"/>
      <c r="AG414" s="99"/>
      <c r="AH414" s="99"/>
      <c r="AI414" s="99"/>
      <c r="AJ414" s="99"/>
      <c r="AK414" s="99"/>
      <c r="AL414" s="99"/>
      <c r="AM414" s="99"/>
      <c r="AN414" s="99"/>
      <c r="AO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c r="AA415" s="99"/>
      <c r="AB415" s="99"/>
      <c r="AC415" s="99"/>
      <c r="AD415" s="99"/>
      <c r="AE415" s="99"/>
      <c r="AF415" s="99"/>
      <c r="AG415" s="99"/>
      <c r="AH415" s="99"/>
      <c r="AI415" s="99"/>
      <c r="AJ415" s="99"/>
      <c r="AK415" s="99"/>
      <c r="AL415" s="99"/>
      <c r="AM415" s="99"/>
      <c r="AN415" s="99"/>
      <c r="AO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c r="AA416" s="99"/>
      <c r="AB416" s="99"/>
      <c r="AC416" s="99"/>
      <c r="AD416" s="99"/>
      <c r="AE416" s="99"/>
      <c r="AF416" s="99"/>
      <c r="AG416" s="99"/>
      <c r="AH416" s="99"/>
      <c r="AI416" s="99"/>
      <c r="AJ416" s="99"/>
      <c r="AK416" s="99"/>
      <c r="AL416" s="99"/>
      <c r="AM416" s="99"/>
      <c r="AN416" s="99"/>
      <c r="AO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c r="AA417" s="99"/>
      <c r="AB417" s="99"/>
      <c r="AC417" s="99"/>
      <c r="AD417" s="99"/>
      <c r="AE417" s="99"/>
      <c r="AF417" s="99"/>
      <c r="AG417" s="99"/>
      <c r="AH417" s="99"/>
      <c r="AI417" s="99"/>
      <c r="AJ417" s="99"/>
      <c r="AK417" s="99"/>
      <c r="AL417" s="99"/>
      <c r="AM417" s="99"/>
      <c r="AN417" s="99"/>
      <c r="AO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c r="AA418" s="99"/>
      <c r="AB418" s="99"/>
      <c r="AC418" s="99"/>
      <c r="AD418" s="99"/>
      <c r="AE418" s="99"/>
      <c r="AF418" s="99"/>
      <c r="AG418" s="99"/>
      <c r="AH418" s="99"/>
      <c r="AI418" s="99"/>
      <c r="AJ418" s="99"/>
      <c r="AK418" s="99"/>
      <c r="AL418" s="99"/>
      <c r="AM418" s="99"/>
      <c r="AN418" s="99"/>
      <c r="AO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c r="AA419" s="99"/>
      <c r="AB419" s="99"/>
      <c r="AC419" s="99"/>
      <c r="AD419" s="99"/>
      <c r="AE419" s="99"/>
      <c r="AF419" s="99"/>
      <c r="AG419" s="99"/>
      <c r="AH419" s="99"/>
      <c r="AI419" s="99"/>
      <c r="AJ419" s="99"/>
      <c r="AK419" s="99"/>
      <c r="AL419" s="99"/>
      <c r="AM419" s="99"/>
      <c r="AN419" s="99"/>
      <c r="AO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c r="AA420" s="99"/>
      <c r="AB420" s="99"/>
      <c r="AC420" s="99"/>
      <c r="AD420" s="99"/>
      <c r="AE420" s="99"/>
      <c r="AF420" s="99"/>
      <c r="AG420" s="99"/>
      <c r="AH420" s="99"/>
      <c r="AI420" s="99"/>
      <c r="AJ420" s="99"/>
      <c r="AK420" s="99"/>
      <c r="AL420" s="99"/>
      <c r="AM420" s="99"/>
      <c r="AN420" s="99"/>
      <c r="AO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c r="AA421" s="99"/>
      <c r="AB421" s="99"/>
      <c r="AC421" s="99"/>
      <c r="AD421" s="99"/>
      <c r="AE421" s="99"/>
      <c r="AF421" s="99"/>
      <c r="AG421" s="99"/>
      <c r="AH421" s="99"/>
      <c r="AI421" s="99"/>
      <c r="AJ421" s="99"/>
      <c r="AK421" s="99"/>
      <c r="AL421" s="99"/>
      <c r="AM421" s="99"/>
      <c r="AN421" s="99"/>
      <c r="AO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c r="AA422" s="99"/>
      <c r="AB422" s="99"/>
      <c r="AC422" s="99"/>
      <c r="AD422" s="99"/>
      <c r="AE422" s="99"/>
      <c r="AF422" s="99"/>
      <c r="AG422" s="99"/>
      <c r="AH422" s="99"/>
      <c r="AI422" s="99"/>
      <c r="AJ422" s="99"/>
      <c r="AK422" s="99"/>
      <c r="AL422" s="99"/>
      <c r="AM422" s="99"/>
      <c r="AN422" s="99"/>
      <c r="AO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c r="AA423" s="99"/>
      <c r="AB423" s="99"/>
      <c r="AC423" s="99"/>
      <c r="AD423" s="99"/>
      <c r="AE423" s="99"/>
      <c r="AF423" s="99"/>
      <c r="AG423" s="99"/>
      <c r="AH423" s="99"/>
      <c r="AI423" s="99"/>
      <c r="AJ423" s="99"/>
      <c r="AK423" s="99"/>
      <c r="AL423" s="99"/>
      <c r="AM423" s="99"/>
      <c r="AN423" s="99"/>
      <c r="AO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c r="AA424" s="99"/>
      <c r="AB424" s="99"/>
      <c r="AC424" s="99"/>
      <c r="AD424" s="99"/>
      <c r="AE424" s="99"/>
      <c r="AF424" s="99"/>
      <c r="AG424" s="99"/>
      <c r="AH424" s="99"/>
      <c r="AI424" s="99"/>
      <c r="AJ424" s="99"/>
      <c r="AK424" s="99"/>
      <c r="AL424" s="99"/>
      <c r="AM424" s="99"/>
      <c r="AN424" s="99"/>
      <c r="AO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c r="AA425" s="99"/>
      <c r="AB425" s="99"/>
      <c r="AC425" s="99"/>
      <c r="AD425" s="99"/>
      <c r="AE425" s="99"/>
      <c r="AF425" s="99"/>
      <c r="AG425" s="99"/>
      <c r="AH425" s="99"/>
      <c r="AI425" s="99"/>
      <c r="AJ425" s="99"/>
      <c r="AK425" s="99"/>
      <c r="AL425" s="99"/>
      <c r="AM425" s="99"/>
      <c r="AN425" s="99"/>
      <c r="AO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c r="AA426" s="99"/>
      <c r="AB426" s="99"/>
      <c r="AC426" s="99"/>
      <c r="AD426" s="99"/>
      <c r="AE426" s="99"/>
      <c r="AF426" s="99"/>
      <c r="AG426" s="99"/>
      <c r="AH426" s="99"/>
      <c r="AI426" s="99"/>
      <c r="AJ426" s="99"/>
      <c r="AK426" s="99"/>
      <c r="AL426" s="99"/>
      <c r="AM426" s="99"/>
      <c r="AN426" s="99"/>
      <c r="AO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c r="AA427" s="99"/>
      <c r="AB427" s="99"/>
      <c r="AC427" s="99"/>
      <c r="AD427" s="99"/>
      <c r="AE427" s="99"/>
      <c r="AF427" s="99"/>
      <c r="AG427" s="99"/>
      <c r="AH427" s="99"/>
      <c r="AI427" s="99"/>
      <c r="AJ427" s="99"/>
      <c r="AK427" s="99"/>
      <c r="AL427" s="99"/>
      <c r="AM427" s="99"/>
      <c r="AN427" s="99"/>
      <c r="AO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c r="AA428" s="99"/>
      <c r="AB428" s="99"/>
      <c r="AC428" s="99"/>
      <c r="AD428" s="99"/>
      <c r="AE428" s="99"/>
      <c r="AF428" s="99"/>
      <c r="AG428" s="99"/>
      <c r="AH428" s="99"/>
      <c r="AI428" s="99"/>
      <c r="AJ428" s="99"/>
      <c r="AK428" s="99"/>
      <c r="AL428" s="99"/>
      <c r="AM428" s="99"/>
      <c r="AN428" s="99"/>
      <c r="AO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c r="AA429" s="99"/>
      <c r="AB429" s="99"/>
      <c r="AC429" s="99"/>
      <c r="AD429" s="99"/>
      <c r="AE429" s="99"/>
      <c r="AF429" s="99"/>
      <c r="AG429" s="99"/>
      <c r="AH429" s="99"/>
      <c r="AI429" s="99"/>
      <c r="AJ429" s="99"/>
      <c r="AK429" s="99"/>
      <c r="AL429" s="99"/>
      <c r="AM429" s="99"/>
      <c r="AN429" s="99"/>
      <c r="AO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c r="AC430" s="99"/>
      <c r="AD430" s="99"/>
      <c r="AE430" s="99"/>
      <c r="AF430" s="99"/>
      <c r="AG430" s="99"/>
      <c r="AH430" s="99"/>
      <c r="AI430" s="99"/>
      <c r="AJ430" s="99"/>
      <c r="AK430" s="99"/>
      <c r="AL430" s="99"/>
      <c r="AM430" s="99"/>
      <c r="AN430" s="99"/>
      <c r="AO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c r="AA431" s="99"/>
      <c r="AB431" s="99"/>
      <c r="AC431" s="99"/>
      <c r="AD431" s="99"/>
      <c r="AE431" s="99"/>
      <c r="AF431" s="99"/>
      <c r="AG431" s="99"/>
      <c r="AH431" s="99"/>
      <c r="AI431" s="99"/>
      <c r="AJ431" s="99"/>
      <c r="AK431" s="99"/>
      <c r="AL431" s="99"/>
      <c r="AM431" s="99"/>
      <c r="AN431" s="99"/>
      <c r="AO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c r="AA432" s="99"/>
      <c r="AB432" s="99"/>
      <c r="AC432" s="99"/>
      <c r="AD432" s="99"/>
      <c r="AE432" s="99"/>
      <c r="AF432" s="99"/>
      <c r="AG432" s="99"/>
      <c r="AH432" s="99"/>
      <c r="AI432" s="99"/>
      <c r="AJ432" s="99"/>
      <c r="AK432" s="99"/>
      <c r="AL432" s="99"/>
      <c r="AM432" s="99"/>
      <c r="AN432" s="99"/>
      <c r="AO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c r="AA433" s="99"/>
      <c r="AB433" s="99"/>
      <c r="AC433" s="99"/>
      <c r="AD433" s="99"/>
      <c r="AE433" s="99"/>
      <c r="AF433" s="99"/>
      <c r="AG433" s="99"/>
      <c r="AH433" s="99"/>
      <c r="AI433" s="99"/>
      <c r="AJ433" s="99"/>
      <c r="AK433" s="99"/>
      <c r="AL433" s="99"/>
      <c r="AM433" s="99"/>
      <c r="AN433" s="99"/>
      <c r="AO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c r="AA434" s="99"/>
      <c r="AB434" s="99"/>
      <c r="AC434" s="99"/>
      <c r="AD434" s="99"/>
      <c r="AE434" s="99"/>
      <c r="AF434" s="99"/>
      <c r="AG434" s="99"/>
      <c r="AH434" s="99"/>
      <c r="AI434" s="99"/>
      <c r="AJ434" s="99"/>
      <c r="AK434" s="99"/>
      <c r="AL434" s="99"/>
      <c r="AM434" s="99"/>
      <c r="AN434" s="99"/>
      <c r="AO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c r="AA435" s="99"/>
      <c r="AB435" s="99"/>
      <c r="AC435" s="99"/>
      <c r="AD435" s="99"/>
      <c r="AE435" s="99"/>
      <c r="AF435" s="99"/>
      <c r="AG435" s="99"/>
      <c r="AH435" s="99"/>
      <c r="AI435" s="99"/>
      <c r="AJ435" s="99"/>
      <c r="AK435" s="99"/>
      <c r="AL435" s="99"/>
      <c r="AM435" s="99"/>
      <c r="AN435" s="99"/>
      <c r="AO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c r="AC436" s="99"/>
      <c r="AD436" s="99"/>
      <c r="AE436" s="99"/>
      <c r="AF436" s="99"/>
      <c r="AG436" s="99"/>
      <c r="AH436" s="99"/>
      <c r="AI436" s="99"/>
      <c r="AJ436" s="99"/>
      <c r="AK436" s="99"/>
      <c r="AL436" s="99"/>
      <c r="AM436" s="99"/>
      <c r="AN436" s="99"/>
      <c r="AO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c r="AA437" s="99"/>
      <c r="AB437" s="99"/>
      <c r="AC437" s="99"/>
      <c r="AD437" s="99"/>
      <c r="AE437" s="99"/>
      <c r="AF437" s="99"/>
      <c r="AG437" s="99"/>
      <c r="AH437" s="99"/>
      <c r="AI437" s="99"/>
      <c r="AJ437" s="99"/>
      <c r="AK437" s="99"/>
      <c r="AL437" s="99"/>
      <c r="AM437" s="99"/>
      <c r="AN437" s="99"/>
      <c r="AO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c r="AA438" s="99"/>
      <c r="AB438" s="99"/>
      <c r="AC438" s="99"/>
      <c r="AD438" s="99"/>
      <c r="AE438" s="99"/>
      <c r="AF438" s="99"/>
      <c r="AG438" s="99"/>
      <c r="AH438" s="99"/>
      <c r="AI438" s="99"/>
      <c r="AJ438" s="99"/>
      <c r="AK438" s="99"/>
      <c r="AL438" s="99"/>
      <c r="AM438" s="99"/>
      <c r="AN438" s="99"/>
      <c r="AO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c r="AA439" s="99"/>
      <c r="AB439" s="99"/>
      <c r="AC439" s="99"/>
      <c r="AD439" s="99"/>
      <c r="AE439" s="99"/>
      <c r="AF439" s="99"/>
      <c r="AG439" s="99"/>
      <c r="AH439" s="99"/>
      <c r="AI439" s="99"/>
      <c r="AJ439" s="99"/>
      <c r="AK439" s="99"/>
      <c r="AL439" s="99"/>
      <c r="AM439" s="99"/>
      <c r="AN439" s="99"/>
      <c r="AO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c r="AA440" s="99"/>
      <c r="AB440" s="99"/>
      <c r="AC440" s="99"/>
      <c r="AD440" s="99"/>
      <c r="AE440" s="99"/>
      <c r="AF440" s="99"/>
      <c r="AG440" s="99"/>
      <c r="AH440" s="99"/>
      <c r="AI440" s="99"/>
      <c r="AJ440" s="99"/>
      <c r="AK440" s="99"/>
      <c r="AL440" s="99"/>
      <c r="AM440" s="99"/>
      <c r="AN440" s="99"/>
      <c r="AO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c r="AA441" s="99"/>
      <c r="AB441" s="99"/>
      <c r="AC441" s="99"/>
      <c r="AD441" s="99"/>
      <c r="AE441" s="99"/>
      <c r="AF441" s="99"/>
      <c r="AG441" s="99"/>
      <c r="AH441" s="99"/>
      <c r="AI441" s="99"/>
      <c r="AJ441" s="99"/>
      <c r="AK441" s="99"/>
      <c r="AL441" s="99"/>
      <c r="AM441" s="99"/>
      <c r="AN441" s="99"/>
      <c r="AO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c r="AA442" s="99"/>
      <c r="AB442" s="99"/>
      <c r="AC442" s="99"/>
      <c r="AD442" s="99"/>
      <c r="AE442" s="99"/>
      <c r="AF442" s="99"/>
      <c r="AG442" s="99"/>
      <c r="AH442" s="99"/>
      <c r="AI442" s="99"/>
      <c r="AJ442" s="99"/>
      <c r="AK442" s="99"/>
      <c r="AL442" s="99"/>
      <c r="AM442" s="99"/>
      <c r="AN442" s="99"/>
      <c r="AO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c r="AA443" s="99"/>
      <c r="AB443" s="99"/>
      <c r="AC443" s="99"/>
      <c r="AD443" s="99"/>
      <c r="AE443" s="99"/>
      <c r="AF443" s="99"/>
      <c r="AG443" s="99"/>
      <c r="AH443" s="99"/>
      <c r="AI443" s="99"/>
      <c r="AJ443" s="99"/>
      <c r="AK443" s="99"/>
      <c r="AL443" s="99"/>
      <c r="AM443" s="99"/>
      <c r="AN443" s="99"/>
      <c r="AO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c r="AA444" s="99"/>
      <c r="AB444" s="99"/>
      <c r="AC444" s="99"/>
      <c r="AD444" s="99"/>
      <c r="AE444" s="99"/>
      <c r="AF444" s="99"/>
      <c r="AG444" s="99"/>
      <c r="AH444" s="99"/>
      <c r="AI444" s="99"/>
      <c r="AJ444" s="99"/>
      <c r="AK444" s="99"/>
      <c r="AL444" s="99"/>
      <c r="AM444" s="99"/>
      <c r="AN444" s="99"/>
      <c r="AO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c r="AA445" s="99"/>
      <c r="AB445" s="99"/>
      <c r="AC445" s="99"/>
      <c r="AD445" s="99"/>
      <c r="AE445" s="99"/>
      <c r="AF445" s="99"/>
      <c r="AG445" s="99"/>
      <c r="AH445" s="99"/>
      <c r="AI445" s="99"/>
      <c r="AJ445" s="99"/>
      <c r="AK445" s="99"/>
      <c r="AL445" s="99"/>
      <c r="AM445" s="99"/>
      <c r="AN445" s="99"/>
      <c r="AO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c r="AA446" s="99"/>
      <c r="AB446" s="99"/>
      <c r="AC446" s="99"/>
      <c r="AD446" s="99"/>
      <c r="AE446" s="99"/>
      <c r="AF446" s="99"/>
      <c r="AG446" s="99"/>
      <c r="AH446" s="99"/>
      <c r="AI446" s="99"/>
      <c r="AJ446" s="99"/>
      <c r="AK446" s="99"/>
      <c r="AL446" s="99"/>
      <c r="AM446" s="99"/>
      <c r="AN446" s="99"/>
      <c r="AO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c r="AA447" s="99"/>
      <c r="AB447" s="99"/>
      <c r="AC447" s="99"/>
      <c r="AD447" s="99"/>
      <c r="AE447" s="99"/>
      <c r="AF447" s="99"/>
      <c r="AG447" s="99"/>
      <c r="AH447" s="99"/>
      <c r="AI447" s="99"/>
      <c r="AJ447" s="99"/>
      <c r="AK447" s="99"/>
      <c r="AL447" s="99"/>
      <c r="AM447" s="99"/>
      <c r="AN447" s="99"/>
      <c r="AO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c r="AA448" s="99"/>
      <c r="AB448" s="99"/>
      <c r="AC448" s="99"/>
      <c r="AD448" s="99"/>
      <c r="AE448" s="99"/>
      <c r="AF448" s="99"/>
      <c r="AG448" s="99"/>
      <c r="AH448" s="99"/>
      <c r="AI448" s="99"/>
      <c r="AJ448" s="99"/>
      <c r="AK448" s="99"/>
      <c r="AL448" s="99"/>
      <c r="AM448" s="99"/>
      <c r="AN448" s="99"/>
      <c r="AO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c r="AA449" s="99"/>
      <c r="AB449" s="99"/>
      <c r="AC449" s="99"/>
      <c r="AD449" s="99"/>
      <c r="AE449" s="99"/>
      <c r="AF449" s="99"/>
      <c r="AG449" s="99"/>
      <c r="AH449" s="99"/>
      <c r="AI449" s="99"/>
      <c r="AJ449" s="99"/>
      <c r="AK449" s="99"/>
      <c r="AL449" s="99"/>
      <c r="AM449" s="99"/>
      <c r="AN449" s="99"/>
      <c r="AO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c r="AA450" s="99"/>
      <c r="AB450" s="99"/>
      <c r="AC450" s="99"/>
      <c r="AD450" s="99"/>
      <c r="AE450" s="99"/>
      <c r="AF450" s="99"/>
      <c r="AG450" s="99"/>
      <c r="AH450" s="99"/>
      <c r="AI450" s="99"/>
      <c r="AJ450" s="99"/>
      <c r="AK450" s="99"/>
      <c r="AL450" s="99"/>
      <c r="AM450" s="99"/>
      <c r="AN450" s="99"/>
      <c r="AO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c r="AA451" s="99"/>
      <c r="AB451" s="99"/>
      <c r="AC451" s="99"/>
      <c r="AD451" s="99"/>
      <c r="AE451" s="99"/>
      <c r="AF451" s="99"/>
      <c r="AG451" s="99"/>
      <c r="AH451" s="99"/>
      <c r="AI451" s="99"/>
      <c r="AJ451" s="99"/>
      <c r="AK451" s="99"/>
      <c r="AL451" s="99"/>
      <c r="AM451" s="99"/>
      <c r="AN451" s="99"/>
      <c r="AO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c r="AE452" s="99"/>
      <c r="AF452" s="99"/>
      <c r="AG452" s="99"/>
      <c r="AH452" s="99"/>
      <c r="AI452" s="99"/>
      <c r="AJ452" s="99"/>
      <c r="AK452" s="99"/>
      <c r="AL452" s="99"/>
      <c r="AM452" s="99"/>
      <c r="AN452" s="99"/>
      <c r="AO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c r="AE453" s="99"/>
      <c r="AF453" s="99"/>
      <c r="AG453" s="99"/>
      <c r="AH453" s="99"/>
      <c r="AI453" s="99"/>
      <c r="AJ453" s="99"/>
      <c r="AK453" s="99"/>
      <c r="AL453" s="99"/>
      <c r="AM453" s="99"/>
      <c r="AN453" s="99"/>
      <c r="AO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c r="AC454" s="99"/>
      <c r="AD454" s="99"/>
      <c r="AE454" s="99"/>
      <c r="AF454" s="99"/>
      <c r="AG454" s="99"/>
      <c r="AH454" s="99"/>
      <c r="AI454" s="99"/>
      <c r="AJ454" s="99"/>
      <c r="AK454" s="99"/>
      <c r="AL454" s="99"/>
      <c r="AM454" s="99"/>
      <c r="AN454" s="99"/>
      <c r="AO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c r="AC455" s="99"/>
      <c r="AD455" s="99"/>
      <c r="AE455" s="99"/>
      <c r="AF455" s="99"/>
      <c r="AG455" s="99"/>
      <c r="AH455" s="99"/>
      <c r="AI455" s="99"/>
      <c r="AJ455" s="99"/>
      <c r="AK455" s="99"/>
      <c r="AL455" s="99"/>
      <c r="AM455" s="99"/>
      <c r="AN455" s="99"/>
      <c r="AO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c r="AC456" s="99"/>
      <c r="AD456" s="99"/>
      <c r="AE456" s="99"/>
      <c r="AF456" s="99"/>
      <c r="AG456" s="99"/>
      <c r="AH456" s="99"/>
      <c r="AI456" s="99"/>
      <c r="AJ456" s="99"/>
      <c r="AK456" s="99"/>
      <c r="AL456" s="99"/>
      <c r="AM456" s="99"/>
      <c r="AN456" s="99"/>
      <c r="AO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c r="AC457" s="99"/>
      <c r="AD457" s="99"/>
      <c r="AE457" s="99"/>
      <c r="AF457" s="99"/>
      <c r="AG457" s="99"/>
      <c r="AH457" s="99"/>
      <c r="AI457" s="99"/>
      <c r="AJ457" s="99"/>
      <c r="AK457" s="99"/>
      <c r="AL457" s="99"/>
      <c r="AM457" s="99"/>
      <c r="AN457" s="99"/>
      <c r="AO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c r="AA458" s="99"/>
      <c r="AB458" s="99"/>
      <c r="AC458" s="99"/>
      <c r="AD458" s="99"/>
      <c r="AE458" s="99"/>
      <c r="AF458" s="99"/>
      <c r="AG458" s="99"/>
      <c r="AH458" s="99"/>
      <c r="AI458" s="99"/>
      <c r="AJ458" s="99"/>
      <c r="AK458" s="99"/>
      <c r="AL458" s="99"/>
      <c r="AM458" s="99"/>
      <c r="AN458" s="99"/>
      <c r="AO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c r="AA459" s="99"/>
      <c r="AB459" s="99"/>
      <c r="AC459" s="99"/>
      <c r="AD459" s="99"/>
      <c r="AE459" s="99"/>
      <c r="AF459" s="99"/>
      <c r="AG459" s="99"/>
      <c r="AH459" s="99"/>
      <c r="AI459" s="99"/>
      <c r="AJ459" s="99"/>
      <c r="AK459" s="99"/>
      <c r="AL459" s="99"/>
      <c r="AM459" s="99"/>
      <c r="AN459" s="99"/>
      <c r="AO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c r="AC460" s="99"/>
      <c r="AD460" s="99"/>
      <c r="AE460" s="99"/>
      <c r="AF460" s="99"/>
      <c r="AG460" s="99"/>
      <c r="AH460" s="99"/>
      <c r="AI460" s="99"/>
      <c r="AJ460" s="99"/>
      <c r="AK460" s="99"/>
      <c r="AL460" s="99"/>
      <c r="AM460" s="99"/>
      <c r="AN460" s="99"/>
      <c r="AO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c r="AC461" s="99"/>
      <c r="AD461" s="99"/>
      <c r="AE461" s="99"/>
      <c r="AF461" s="99"/>
      <c r="AG461" s="99"/>
      <c r="AH461" s="99"/>
      <c r="AI461" s="99"/>
      <c r="AJ461" s="99"/>
      <c r="AK461" s="99"/>
      <c r="AL461" s="99"/>
      <c r="AM461" s="99"/>
      <c r="AN461" s="99"/>
      <c r="AO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c r="AC462" s="99"/>
      <c r="AD462" s="99"/>
      <c r="AE462" s="99"/>
      <c r="AF462" s="99"/>
      <c r="AG462" s="99"/>
      <c r="AH462" s="99"/>
      <c r="AI462" s="99"/>
      <c r="AJ462" s="99"/>
      <c r="AK462" s="99"/>
      <c r="AL462" s="99"/>
      <c r="AM462" s="99"/>
      <c r="AN462" s="99"/>
      <c r="AO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c r="AA463" s="99"/>
      <c r="AB463" s="99"/>
      <c r="AC463" s="99"/>
      <c r="AD463" s="99"/>
      <c r="AE463" s="99"/>
      <c r="AF463" s="99"/>
      <c r="AG463" s="99"/>
      <c r="AH463" s="99"/>
      <c r="AI463" s="99"/>
      <c r="AJ463" s="99"/>
      <c r="AK463" s="99"/>
      <c r="AL463" s="99"/>
      <c r="AM463" s="99"/>
      <c r="AN463" s="99"/>
      <c r="AO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c r="AA464" s="99"/>
      <c r="AB464" s="99"/>
      <c r="AC464" s="99"/>
      <c r="AD464" s="99"/>
      <c r="AE464" s="99"/>
      <c r="AF464" s="99"/>
      <c r="AG464" s="99"/>
      <c r="AH464" s="99"/>
      <c r="AI464" s="99"/>
      <c r="AJ464" s="99"/>
      <c r="AK464" s="99"/>
      <c r="AL464" s="99"/>
      <c r="AM464" s="99"/>
      <c r="AN464" s="99"/>
      <c r="AO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c r="AC465" s="99"/>
      <c r="AD465" s="99"/>
      <c r="AE465" s="99"/>
      <c r="AF465" s="99"/>
      <c r="AG465" s="99"/>
      <c r="AH465" s="99"/>
      <c r="AI465" s="99"/>
      <c r="AJ465" s="99"/>
      <c r="AK465" s="99"/>
      <c r="AL465" s="99"/>
      <c r="AM465" s="99"/>
      <c r="AN465" s="99"/>
      <c r="AO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c r="AC466" s="99"/>
      <c r="AD466" s="99"/>
      <c r="AE466" s="99"/>
      <c r="AF466" s="99"/>
      <c r="AG466" s="99"/>
      <c r="AH466" s="99"/>
      <c r="AI466" s="99"/>
      <c r="AJ466" s="99"/>
      <c r="AK466" s="99"/>
      <c r="AL466" s="99"/>
      <c r="AM466" s="99"/>
      <c r="AN466" s="99"/>
      <c r="AO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c r="AC467" s="99"/>
      <c r="AD467" s="99"/>
      <c r="AE467" s="99"/>
      <c r="AF467" s="99"/>
      <c r="AG467" s="99"/>
      <c r="AH467" s="99"/>
      <c r="AI467" s="99"/>
      <c r="AJ467" s="99"/>
      <c r="AK467" s="99"/>
      <c r="AL467" s="99"/>
      <c r="AM467" s="99"/>
      <c r="AN467" s="99"/>
      <c r="AO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99"/>
      <c r="AI468" s="99"/>
      <c r="AJ468" s="99"/>
      <c r="AK468" s="99"/>
      <c r="AL468" s="99"/>
      <c r="AM468" s="99"/>
      <c r="AN468" s="99"/>
      <c r="AO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99"/>
      <c r="AI469" s="99"/>
      <c r="AJ469" s="99"/>
      <c r="AK469" s="99"/>
      <c r="AL469" s="99"/>
      <c r="AM469" s="99"/>
      <c r="AN469" s="99"/>
      <c r="AO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c r="AC470" s="99"/>
      <c r="AD470" s="99"/>
      <c r="AE470" s="99"/>
      <c r="AF470" s="99"/>
      <c r="AG470" s="99"/>
      <c r="AH470" s="99"/>
      <c r="AI470" s="99"/>
      <c r="AJ470" s="99"/>
      <c r="AK470" s="99"/>
      <c r="AL470" s="99"/>
      <c r="AM470" s="99"/>
      <c r="AN470" s="99"/>
      <c r="AO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c r="AC471" s="99"/>
      <c r="AD471" s="99"/>
      <c r="AE471" s="99"/>
      <c r="AF471" s="99"/>
      <c r="AG471" s="99"/>
      <c r="AH471" s="99"/>
      <c r="AI471" s="99"/>
      <c r="AJ471" s="99"/>
      <c r="AK471" s="99"/>
      <c r="AL471" s="99"/>
      <c r="AM471" s="99"/>
      <c r="AN471" s="99"/>
      <c r="AO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c r="AC472" s="99"/>
      <c r="AD472" s="99"/>
      <c r="AE472" s="99"/>
      <c r="AF472" s="99"/>
      <c r="AG472" s="99"/>
      <c r="AH472" s="99"/>
      <c r="AI472" s="99"/>
      <c r="AJ472" s="99"/>
      <c r="AK472" s="99"/>
      <c r="AL472" s="99"/>
      <c r="AM472" s="99"/>
      <c r="AN472" s="99"/>
      <c r="AO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c r="AC473" s="99"/>
      <c r="AD473" s="99"/>
      <c r="AE473" s="99"/>
      <c r="AF473" s="99"/>
      <c r="AG473" s="99"/>
      <c r="AH473" s="99"/>
      <c r="AI473" s="99"/>
      <c r="AJ473" s="99"/>
      <c r="AK473" s="99"/>
      <c r="AL473" s="99"/>
      <c r="AM473" s="99"/>
      <c r="AN473" s="99"/>
      <c r="AO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c r="AA474" s="99"/>
      <c r="AB474" s="99"/>
      <c r="AC474" s="99"/>
      <c r="AD474" s="99"/>
      <c r="AE474" s="99"/>
      <c r="AF474" s="99"/>
      <c r="AG474" s="99"/>
      <c r="AH474" s="99"/>
      <c r="AI474" s="99"/>
      <c r="AJ474" s="99"/>
      <c r="AK474" s="99"/>
      <c r="AL474" s="99"/>
      <c r="AM474" s="99"/>
      <c r="AN474" s="99"/>
      <c r="AO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c r="AA475" s="99"/>
      <c r="AB475" s="99"/>
      <c r="AC475" s="99"/>
      <c r="AD475" s="99"/>
      <c r="AE475" s="99"/>
      <c r="AF475" s="99"/>
      <c r="AG475" s="99"/>
      <c r="AH475" s="99"/>
      <c r="AI475" s="99"/>
      <c r="AJ475" s="99"/>
      <c r="AK475" s="99"/>
      <c r="AL475" s="99"/>
      <c r="AM475" s="99"/>
      <c r="AN475" s="99"/>
      <c r="AO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c r="AC476" s="99"/>
      <c r="AD476" s="99"/>
      <c r="AE476" s="99"/>
      <c r="AF476" s="99"/>
      <c r="AG476" s="99"/>
      <c r="AH476" s="99"/>
      <c r="AI476" s="99"/>
      <c r="AJ476" s="99"/>
      <c r="AK476" s="99"/>
      <c r="AL476" s="99"/>
      <c r="AM476" s="99"/>
      <c r="AN476" s="99"/>
      <c r="AO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c r="AA477" s="99"/>
      <c r="AB477" s="99"/>
      <c r="AC477" s="99"/>
      <c r="AD477" s="99"/>
      <c r="AE477" s="99"/>
      <c r="AF477" s="99"/>
      <c r="AG477" s="99"/>
      <c r="AH477" s="99"/>
      <c r="AI477" s="99"/>
      <c r="AJ477" s="99"/>
      <c r="AK477" s="99"/>
      <c r="AL477" s="99"/>
      <c r="AM477" s="99"/>
      <c r="AN477" s="99"/>
      <c r="AO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c r="AC478" s="99"/>
      <c r="AD478" s="99"/>
      <c r="AE478" s="99"/>
      <c r="AF478" s="99"/>
      <c r="AG478" s="99"/>
      <c r="AH478" s="99"/>
      <c r="AI478" s="99"/>
      <c r="AJ478" s="99"/>
      <c r="AK478" s="99"/>
      <c r="AL478" s="99"/>
      <c r="AM478" s="99"/>
      <c r="AN478" s="99"/>
      <c r="AO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c r="AA479" s="99"/>
      <c r="AB479" s="99"/>
      <c r="AC479" s="99"/>
      <c r="AD479" s="99"/>
      <c r="AE479" s="99"/>
      <c r="AF479" s="99"/>
      <c r="AG479" s="99"/>
      <c r="AH479" s="99"/>
      <c r="AI479" s="99"/>
      <c r="AJ479" s="99"/>
      <c r="AK479" s="99"/>
      <c r="AL479" s="99"/>
      <c r="AM479" s="99"/>
      <c r="AN479" s="99"/>
      <c r="AO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c r="AA480" s="99"/>
      <c r="AB480" s="99"/>
      <c r="AC480" s="99"/>
      <c r="AD480" s="99"/>
      <c r="AE480" s="99"/>
      <c r="AF480" s="99"/>
      <c r="AG480" s="99"/>
      <c r="AH480" s="99"/>
      <c r="AI480" s="99"/>
      <c r="AJ480" s="99"/>
      <c r="AK480" s="99"/>
      <c r="AL480" s="99"/>
      <c r="AM480" s="99"/>
      <c r="AN480" s="99"/>
      <c r="AO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c r="AA481" s="99"/>
      <c r="AB481" s="99"/>
      <c r="AC481" s="99"/>
      <c r="AD481" s="99"/>
      <c r="AE481" s="99"/>
      <c r="AF481" s="99"/>
      <c r="AG481" s="99"/>
      <c r="AH481" s="99"/>
      <c r="AI481" s="99"/>
      <c r="AJ481" s="99"/>
      <c r="AK481" s="99"/>
      <c r="AL481" s="99"/>
      <c r="AM481" s="99"/>
      <c r="AN481" s="99"/>
      <c r="AO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c r="AA482" s="99"/>
      <c r="AB482" s="99"/>
      <c r="AC482" s="99"/>
      <c r="AD482" s="99"/>
      <c r="AE482" s="99"/>
      <c r="AF482" s="99"/>
      <c r="AG482" s="99"/>
      <c r="AH482" s="99"/>
      <c r="AI482" s="99"/>
      <c r="AJ482" s="99"/>
      <c r="AK482" s="99"/>
      <c r="AL482" s="99"/>
      <c r="AM482" s="99"/>
      <c r="AN482" s="99"/>
      <c r="AO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c r="AH483" s="99"/>
      <c r="AI483" s="99"/>
      <c r="AJ483" s="99"/>
      <c r="AK483" s="99"/>
      <c r="AL483" s="99"/>
      <c r="AM483" s="99"/>
      <c r="AN483" s="99"/>
      <c r="AO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99"/>
      <c r="AI484" s="99"/>
      <c r="AJ484" s="99"/>
      <c r="AK484" s="99"/>
      <c r="AL484" s="99"/>
      <c r="AM484" s="99"/>
      <c r="AN484" s="99"/>
      <c r="AO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c r="AA485" s="99"/>
      <c r="AB485" s="99"/>
      <c r="AC485" s="99"/>
      <c r="AD485" s="99"/>
      <c r="AE485" s="99"/>
      <c r="AF485" s="99"/>
      <c r="AG485" s="99"/>
      <c r="AH485" s="99"/>
      <c r="AI485" s="99"/>
      <c r="AJ485" s="99"/>
      <c r="AK485" s="99"/>
      <c r="AL485" s="99"/>
      <c r="AM485" s="99"/>
      <c r="AN485" s="99"/>
      <c r="AO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c r="AA486" s="99"/>
      <c r="AB486" s="99"/>
      <c r="AC486" s="99"/>
      <c r="AD486" s="99"/>
      <c r="AE486" s="99"/>
      <c r="AF486" s="99"/>
      <c r="AG486" s="99"/>
      <c r="AH486" s="99"/>
      <c r="AI486" s="99"/>
      <c r="AJ486" s="99"/>
      <c r="AK486" s="99"/>
      <c r="AL486" s="99"/>
      <c r="AM486" s="99"/>
      <c r="AN486" s="99"/>
      <c r="AO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c r="AA487" s="99"/>
      <c r="AB487" s="99"/>
      <c r="AC487" s="99"/>
      <c r="AD487" s="99"/>
      <c r="AE487" s="99"/>
      <c r="AF487" s="99"/>
      <c r="AG487" s="99"/>
      <c r="AH487" s="99"/>
      <c r="AI487" s="99"/>
      <c r="AJ487" s="99"/>
      <c r="AK487" s="99"/>
      <c r="AL487" s="99"/>
      <c r="AM487" s="99"/>
      <c r="AN487" s="99"/>
      <c r="AO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c r="AC488" s="99"/>
      <c r="AD488" s="99"/>
      <c r="AE488" s="99"/>
      <c r="AF488" s="99"/>
      <c r="AG488" s="99"/>
      <c r="AH488" s="99"/>
      <c r="AI488" s="99"/>
      <c r="AJ488" s="99"/>
      <c r="AK488" s="99"/>
      <c r="AL488" s="99"/>
      <c r="AM488" s="99"/>
      <c r="AN488" s="99"/>
      <c r="AO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c r="AC489" s="99"/>
      <c r="AD489" s="99"/>
      <c r="AE489" s="99"/>
      <c r="AF489" s="99"/>
      <c r="AG489" s="99"/>
      <c r="AH489" s="99"/>
      <c r="AI489" s="99"/>
      <c r="AJ489" s="99"/>
      <c r="AK489" s="99"/>
      <c r="AL489" s="99"/>
      <c r="AM489" s="99"/>
      <c r="AN489" s="99"/>
      <c r="AO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99"/>
      <c r="AI490" s="99"/>
      <c r="AJ490" s="99"/>
      <c r="AK490" s="99"/>
      <c r="AL490" s="99"/>
      <c r="AM490" s="99"/>
      <c r="AN490" s="99"/>
      <c r="AO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c r="AA491" s="99"/>
      <c r="AB491" s="99"/>
      <c r="AC491" s="99"/>
      <c r="AD491" s="99"/>
      <c r="AE491" s="99"/>
      <c r="AF491" s="99"/>
      <c r="AG491" s="99"/>
      <c r="AH491" s="99"/>
      <c r="AI491" s="99"/>
      <c r="AJ491" s="99"/>
      <c r="AK491" s="99"/>
      <c r="AL491" s="99"/>
      <c r="AM491" s="99"/>
      <c r="AN491" s="99"/>
      <c r="AO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c r="AA492" s="99"/>
      <c r="AB492" s="99"/>
      <c r="AC492" s="99"/>
      <c r="AD492" s="99"/>
      <c r="AE492" s="99"/>
      <c r="AF492" s="99"/>
      <c r="AG492" s="99"/>
      <c r="AH492" s="99"/>
      <c r="AI492" s="99"/>
      <c r="AJ492" s="99"/>
      <c r="AK492" s="99"/>
      <c r="AL492" s="99"/>
      <c r="AM492" s="99"/>
      <c r="AN492" s="99"/>
      <c r="AO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99"/>
      <c r="AI493" s="99"/>
      <c r="AJ493" s="99"/>
      <c r="AK493" s="99"/>
      <c r="AL493" s="99"/>
      <c r="AM493" s="99"/>
      <c r="AN493" s="99"/>
      <c r="AO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c r="AC494" s="99"/>
      <c r="AD494" s="99"/>
      <c r="AE494" s="99"/>
      <c r="AF494" s="99"/>
      <c r="AG494" s="99"/>
      <c r="AH494" s="99"/>
      <c r="AI494" s="99"/>
      <c r="AJ494" s="99"/>
      <c r="AK494" s="99"/>
      <c r="AL494" s="99"/>
      <c r="AM494" s="99"/>
      <c r="AN494" s="99"/>
      <c r="AO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c r="AE495" s="99"/>
      <c r="AF495" s="99"/>
      <c r="AG495" s="99"/>
      <c r="AH495" s="99"/>
      <c r="AI495" s="99"/>
      <c r="AJ495" s="99"/>
      <c r="AK495" s="99"/>
      <c r="AL495" s="99"/>
      <c r="AM495" s="99"/>
      <c r="AN495" s="99"/>
      <c r="AO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c r="AA496" s="99"/>
      <c r="AB496" s="99"/>
      <c r="AC496" s="99"/>
      <c r="AD496" s="99"/>
      <c r="AE496" s="99"/>
      <c r="AF496" s="99"/>
      <c r="AG496" s="99"/>
      <c r="AH496" s="99"/>
      <c r="AI496" s="99"/>
      <c r="AJ496" s="99"/>
      <c r="AK496" s="99"/>
      <c r="AL496" s="99"/>
      <c r="AM496" s="99"/>
      <c r="AN496" s="99"/>
      <c r="AO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c r="AA497" s="99"/>
      <c r="AB497" s="99"/>
      <c r="AC497" s="99"/>
      <c r="AD497" s="99"/>
      <c r="AE497" s="99"/>
      <c r="AF497" s="99"/>
      <c r="AG497" s="99"/>
      <c r="AH497" s="99"/>
      <c r="AI497" s="99"/>
      <c r="AJ497" s="99"/>
      <c r="AK497" s="99"/>
      <c r="AL497" s="99"/>
      <c r="AM497" s="99"/>
      <c r="AN497" s="99"/>
      <c r="AO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c r="AA498" s="99"/>
      <c r="AB498" s="99"/>
      <c r="AC498" s="99"/>
      <c r="AD498" s="99"/>
      <c r="AE498" s="99"/>
      <c r="AF498" s="99"/>
      <c r="AG498" s="99"/>
      <c r="AH498" s="99"/>
      <c r="AI498" s="99"/>
      <c r="AJ498" s="99"/>
      <c r="AK498" s="99"/>
      <c r="AL498" s="99"/>
      <c r="AM498" s="99"/>
      <c r="AN498" s="99"/>
      <c r="AO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c r="AA499" s="99"/>
      <c r="AB499" s="99"/>
      <c r="AC499" s="99"/>
      <c r="AD499" s="99"/>
      <c r="AE499" s="99"/>
      <c r="AF499" s="99"/>
      <c r="AG499" s="99"/>
      <c r="AH499" s="99"/>
      <c r="AI499" s="99"/>
      <c r="AJ499" s="99"/>
      <c r="AK499" s="99"/>
      <c r="AL499" s="99"/>
      <c r="AM499" s="99"/>
      <c r="AN499" s="99"/>
      <c r="AO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c r="AA500" s="99"/>
      <c r="AB500" s="99"/>
      <c r="AC500" s="99"/>
      <c r="AD500" s="99"/>
      <c r="AE500" s="99"/>
      <c r="AF500" s="99"/>
      <c r="AG500" s="99"/>
      <c r="AH500" s="99"/>
      <c r="AI500" s="99"/>
      <c r="AJ500" s="99"/>
      <c r="AK500" s="99"/>
      <c r="AL500" s="99"/>
      <c r="AM500" s="99"/>
      <c r="AN500" s="99"/>
      <c r="AO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c r="AA501" s="99"/>
      <c r="AB501" s="99"/>
      <c r="AC501" s="99"/>
      <c r="AD501" s="99"/>
      <c r="AE501" s="99"/>
      <c r="AF501" s="99"/>
      <c r="AG501" s="99"/>
      <c r="AH501" s="99"/>
      <c r="AI501" s="99"/>
      <c r="AJ501" s="99"/>
      <c r="AK501" s="99"/>
      <c r="AL501" s="99"/>
      <c r="AM501" s="99"/>
      <c r="AN501" s="99"/>
      <c r="AO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c r="AE502" s="99"/>
      <c r="AF502" s="99"/>
      <c r="AG502" s="99"/>
      <c r="AH502" s="99"/>
      <c r="AI502" s="99"/>
      <c r="AJ502" s="99"/>
      <c r="AK502" s="99"/>
      <c r="AL502" s="99"/>
      <c r="AM502" s="99"/>
      <c r="AN502" s="99"/>
      <c r="AO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c r="AA503" s="99"/>
      <c r="AB503" s="99"/>
      <c r="AC503" s="99"/>
      <c r="AD503" s="99"/>
      <c r="AE503" s="99"/>
      <c r="AF503" s="99"/>
      <c r="AG503" s="99"/>
      <c r="AH503" s="99"/>
      <c r="AI503" s="99"/>
      <c r="AJ503" s="99"/>
      <c r="AK503" s="99"/>
      <c r="AL503" s="99"/>
      <c r="AM503" s="99"/>
      <c r="AN503" s="99"/>
      <c r="AO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c r="AC504" s="99"/>
      <c r="AD504" s="99"/>
      <c r="AE504" s="99"/>
      <c r="AF504" s="99"/>
      <c r="AG504" s="99"/>
      <c r="AH504" s="99"/>
      <c r="AI504" s="99"/>
      <c r="AJ504" s="99"/>
      <c r="AK504" s="99"/>
      <c r="AL504" s="99"/>
      <c r="AM504" s="99"/>
      <c r="AN504" s="99"/>
      <c r="AO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c r="AC505" s="99"/>
      <c r="AD505" s="99"/>
      <c r="AE505" s="99"/>
      <c r="AF505" s="99"/>
      <c r="AG505" s="99"/>
      <c r="AH505" s="99"/>
      <c r="AI505" s="99"/>
      <c r="AJ505" s="99"/>
      <c r="AK505" s="99"/>
      <c r="AL505" s="99"/>
      <c r="AM505" s="99"/>
      <c r="AN505" s="99"/>
      <c r="AO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c r="AC506" s="99"/>
      <c r="AD506" s="99"/>
      <c r="AE506" s="99"/>
      <c r="AF506" s="99"/>
      <c r="AG506" s="99"/>
      <c r="AH506" s="99"/>
      <c r="AI506" s="99"/>
      <c r="AJ506" s="99"/>
      <c r="AK506" s="99"/>
      <c r="AL506" s="99"/>
      <c r="AM506" s="99"/>
      <c r="AN506" s="99"/>
      <c r="AO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c r="AB507" s="99"/>
      <c r="AC507" s="99"/>
      <c r="AD507" s="99"/>
      <c r="AE507" s="99"/>
      <c r="AF507" s="99"/>
      <c r="AG507" s="99"/>
      <c r="AH507" s="99"/>
      <c r="AI507" s="99"/>
      <c r="AJ507" s="99"/>
      <c r="AK507" s="99"/>
      <c r="AL507" s="99"/>
      <c r="AM507" s="99"/>
      <c r="AN507" s="99"/>
      <c r="AO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c r="AA508" s="99"/>
      <c r="AB508" s="99"/>
      <c r="AC508" s="99"/>
      <c r="AD508" s="99"/>
      <c r="AE508" s="99"/>
      <c r="AF508" s="99"/>
      <c r="AG508" s="99"/>
      <c r="AH508" s="99"/>
      <c r="AI508" s="99"/>
      <c r="AJ508" s="99"/>
      <c r="AK508" s="99"/>
      <c r="AL508" s="99"/>
      <c r="AM508" s="99"/>
      <c r="AN508" s="99"/>
      <c r="AO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c r="AA509" s="99"/>
      <c r="AB509" s="99"/>
      <c r="AC509" s="99"/>
      <c r="AD509" s="99"/>
      <c r="AE509" s="99"/>
      <c r="AF509" s="99"/>
      <c r="AG509" s="99"/>
      <c r="AH509" s="99"/>
      <c r="AI509" s="99"/>
      <c r="AJ509" s="99"/>
      <c r="AK509" s="99"/>
      <c r="AL509" s="99"/>
      <c r="AM509" s="99"/>
      <c r="AN509" s="99"/>
      <c r="AO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c r="AA510" s="99"/>
      <c r="AB510" s="99"/>
      <c r="AC510" s="99"/>
      <c r="AD510" s="99"/>
      <c r="AE510" s="99"/>
      <c r="AF510" s="99"/>
      <c r="AG510" s="99"/>
      <c r="AH510" s="99"/>
      <c r="AI510" s="99"/>
      <c r="AJ510" s="99"/>
      <c r="AK510" s="99"/>
      <c r="AL510" s="99"/>
      <c r="AM510" s="99"/>
      <c r="AN510" s="99"/>
      <c r="AO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c r="AC511" s="99"/>
      <c r="AD511" s="99"/>
      <c r="AE511" s="99"/>
      <c r="AF511" s="99"/>
      <c r="AG511" s="99"/>
      <c r="AH511" s="99"/>
      <c r="AI511" s="99"/>
      <c r="AJ511" s="99"/>
      <c r="AK511" s="99"/>
      <c r="AL511" s="99"/>
      <c r="AM511" s="99"/>
      <c r="AN511" s="99"/>
      <c r="AO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c r="AC512" s="99"/>
      <c r="AD512" s="99"/>
      <c r="AE512" s="99"/>
      <c r="AF512" s="99"/>
      <c r="AG512" s="99"/>
      <c r="AH512" s="99"/>
      <c r="AI512" s="99"/>
      <c r="AJ512" s="99"/>
      <c r="AK512" s="99"/>
      <c r="AL512" s="99"/>
      <c r="AM512" s="99"/>
      <c r="AN512" s="99"/>
      <c r="AO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99"/>
      <c r="AI513" s="99"/>
      <c r="AJ513" s="99"/>
      <c r="AK513" s="99"/>
      <c r="AL513" s="99"/>
      <c r="AM513" s="99"/>
      <c r="AN513" s="99"/>
      <c r="AO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c r="AA514" s="99"/>
      <c r="AB514" s="99"/>
      <c r="AC514" s="99"/>
      <c r="AD514" s="99"/>
      <c r="AE514" s="99"/>
      <c r="AF514" s="99"/>
      <c r="AG514" s="99"/>
      <c r="AH514" s="99"/>
      <c r="AI514" s="99"/>
      <c r="AJ514" s="99"/>
      <c r="AK514" s="99"/>
      <c r="AL514" s="99"/>
      <c r="AM514" s="99"/>
      <c r="AN514" s="99"/>
      <c r="AO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c r="AA515" s="99"/>
      <c r="AB515" s="99"/>
      <c r="AC515" s="99"/>
      <c r="AD515" s="99"/>
      <c r="AE515" s="99"/>
      <c r="AF515" s="99"/>
      <c r="AG515" s="99"/>
      <c r="AH515" s="99"/>
      <c r="AI515" s="99"/>
      <c r="AJ515" s="99"/>
      <c r="AK515" s="99"/>
      <c r="AL515" s="99"/>
      <c r="AM515" s="99"/>
      <c r="AN515" s="99"/>
      <c r="AO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c r="AA516" s="99"/>
      <c r="AB516" s="99"/>
      <c r="AC516" s="99"/>
      <c r="AD516" s="99"/>
      <c r="AE516" s="99"/>
      <c r="AF516" s="99"/>
      <c r="AG516" s="99"/>
      <c r="AH516" s="99"/>
      <c r="AI516" s="99"/>
      <c r="AJ516" s="99"/>
      <c r="AK516" s="99"/>
      <c r="AL516" s="99"/>
      <c r="AM516" s="99"/>
      <c r="AN516" s="99"/>
      <c r="AO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c r="AA517" s="99"/>
      <c r="AB517" s="99"/>
      <c r="AC517" s="99"/>
      <c r="AD517" s="99"/>
      <c r="AE517" s="99"/>
      <c r="AF517" s="99"/>
      <c r="AG517" s="99"/>
      <c r="AH517" s="99"/>
      <c r="AI517" s="99"/>
      <c r="AJ517" s="99"/>
      <c r="AK517" s="99"/>
      <c r="AL517" s="99"/>
      <c r="AM517" s="99"/>
      <c r="AN517" s="99"/>
      <c r="AO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c r="AE518" s="99"/>
      <c r="AF518" s="99"/>
      <c r="AG518" s="99"/>
      <c r="AH518" s="99"/>
      <c r="AI518" s="99"/>
      <c r="AJ518" s="99"/>
      <c r="AK518" s="99"/>
      <c r="AL518" s="99"/>
      <c r="AM518" s="99"/>
      <c r="AN518" s="99"/>
      <c r="AO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c r="AA519" s="99"/>
      <c r="AB519" s="99"/>
      <c r="AC519" s="99"/>
      <c r="AD519" s="99"/>
      <c r="AE519" s="99"/>
      <c r="AF519" s="99"/>
      <c r="AG519" s="99"/>
      <c r="AH519" s="99"/>
      <c r="AI519" s="99"/>
      <c r="AJ519" s="99"/>
      <c r="AK519" s="99"/>
      <c r="AL519" s="99"/>
      <c r="AM519" s="99"/>
      <c r="AN519" s="99"/>
      <c r="AO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c r="AA520" s="99"/>
      <c r="AB520" s="99"/>
      <c r="AC520" s="99"/>
      <c r="AD520" s="99"/>
      <c r="AE520" s="99"/>
      <c r="AF520" s="99"/>
      <c r="AG520" s="99"/>
      <c r="AH520" s="99"/>
      <c r="AI520" s="99"/>
      <c r="AJ520" s="99"/>
      <c r="AK520" s="99"/>
      <c r="AL520" s="99"/>
      <c r="AM520" s="99"/>
      <c r="AN520" s="99"/>
      <c r="AO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c r="AA521" s="99"/>
      <c r="AB521" s="99"/>
      <c r="AC521" s="99"/>
      <c r="AD521" s="99"/>
      <c r="AE521" s="99"/>
      <c r="AF521" s="99"/>
      <c r="AG521" s="99"/>
      <c r="AH521" s="99"/>
      <c r="AI521" s="99"/>
      <c r="AJ521" s="99"/>
      <c r="AK521" s="99"/>
      <c r="AL521" s="99"/>
      <c r="AM521" s="99"/>
      <c r="AN521" s="99"/>
      <c r="AO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c r="AC522" s="99"/>
      <c r="AD522" s="99"/>
      <c r="AE522" s="99"/>
      <c r="AF522" s="99"/>
      <c r="AG522" s="99"/>
      <c r="AH522" s="99"/>
      <c r="AI522" s="99"/>
      <c r="AJ522" s="99"/>
      <c r="AK522" s="99"/>
      <c r="AL522" s="99"/>
      <c r="AM522" s="99"/>
      <c r="AN522" s="99"/>
      <c r="AO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c r="AA523" s="99"/>
      <c r="AB523" s="99"/>
      <c r="AC523" s="99"/>
      <c r="AD523" s="99"/>
      <c r="AE523" s="99"/>
      <c r="AF523" s="99"/>
      <c r="AG523" s="99"/>
      <c r="AH523" s="99"/>
      <c r="AI523" s="99"/>
      <c r="AJ523" s="99"/>
      <c r="AK523" s="99"/>
      <c r="AL523" s="99"/>
      <c r="AM523" s="99"/>
      <c r="AN523" s="99"/>
      <c r="AO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c r="AA524" s="99"/>
      <c r="AB524" s="99"/>
      <c r="AC524" s="99"/>
      <c r="AD524" s="99"/>
      <c r="AE524" s="99"/>
      <c r="AF524" s="99"/>
      <c r="AG524" s="99"/>
      <c r="AH524" s="99"/>
      <c r="AI524" s="99"/>
      <c r="AJ524" s="99"/>
      <c r="AK524" s="99"/>
      <c r="AL524" s="99"/>
      <c r="AM524" s="99"/>
      <c r="AN524" s="99"/>
      <c r="AO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c r="AC525" s="99"/>
      <c r="AD525" s="99"/>
      <c r="AE525" s="99"/>
      <c r="AF525" s="99"/>
      <c r="AG525" s="99"/>
      <c r="AH525" s="99"/>
      <c r="AI525" s="99"/>
      <c r="AJ525" s="99"/>
      <c r="AK525" s="99"/>
      <c r="AL525" s="99"/>
      <c r="AM525" s="99"/>
      <c r="AN525" s="99"/>
      <c r="AO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c r="AA526" s="99"/>
      <c r="AB526" s="99"/>
      <c r="AC526" s="99"/>
      <c r="AD526" s="99"/>
      <c r="AE526" s="99"/>
      <c r="AF526" s="99"/>
      <c r="AG526" s="99"/>
      <c r="AH526" s="99"/>
      <c r="AI526" s="99"/>
      <c r="AJ526" s="99"/>
      <c r="AK526" s="99"/>
      <c r="AL526" s="99"/>
      <c r="AM526" s="99"/>
      <c r="AN526" s="99"/>
      <c r="AO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c r="AA527" s="99"/>
      <c r="AB527" s="99"/>
      <c r="AC527" s="99"/>
      <c r="AD527" s="99"/>
      <c r="AE527" s="99"/>
      <c r="AF527" s="99"/>
      <c r="AG527" s="99"/>
      <c r="AH527" s="99"/>
      <c r="AI527" s="99"/>
      <c r="AJ527" s="99"/>
      <c r="AK527" s="99"/>
      <c r="AL527" s="99"/>
      <c r="AM527" s="99"/>
      <c r="AN527" s="99"/>
      <c r="AO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c r="AA528" s="99"/>
      <c r="AB528" s="99"/>
      <c r="AC528" s="99"/>
      <c r="AD528" s="99"/>
      <c r="AE528" s="99"/>
      <c r="AF528" s="99"/>
      <c r="AG528" s="99"/>
      <c r="AH528" s="99"/>
      <c r="AI528" s="99"/>
      <c r="AJ528" s="99"/>
      <c r="AK528" s="99"/>
      <c r="AL528" s="99"/>
      <c r="AM528" s="99"/>
      <c r="AN528" s="99"/>
      <c r="AO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c r="AA529" s="99"/>
      <c r="AB529" s="99"/>
      <c r="AC529" s="99"/>
      <c r="AD529" s="99"/>
      <c r="AE529" s="99"/>
      <c r="AF529" s="99"/>
      <c r="AG529" s="99"/>
      <c r="AH529" s="99"/>
      <c r="AI529" s="99"/>
      <c r="AJ529" s="99"/>
      <c r="AK529" s="99"/>
      <c r="AL529" s="99"/>
      <c r="AM529" s="99"/>
      <c r="AN529" s="99"/>
      <c r="AO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c r="AA530" s="99"/>
      <c r="AB530" s="99"/>
      <c r="AC530" s="99"/>
      <c r="AD530" s="99"/>
      <c r="AE530" s="99"/>
      <c r="AF530" s="99"/>
      <c r="AG530" s="99"/>
      <c r="AH530" s="99"/>
      <c r="AI530" s="99"/>
      <c r="AJ530" s="99"/>
      <c r="AK530" s="99"/>
      <c r="AL530" s="99"/>
      <c r="AM530" s="99"/>
      <c r="AN530" s="99"/>
      <c r="AO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c r="AC531" s="99"/>
      <c r="AD531" s="99"/>
      <c r="AE531" s="99"/>
      <c r="AF531" s="99"/>
      <c r="AG531" s="99"/>
      <c r="AH531" s="99"/>
      <c r="AI531" s="99"/>
      <c r="AJ531" s="99"/>
      <c r="AK531" s="99"/>
      <c r="AL531" s="99"/>
      <c r="AM531" s="99"/>
      <c r="AN531" s="99"/>
      <c r="AO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c r="AC532" s="99"/>
      <c r="AD532" s="99"/>
      <c r="AE532" s="99"/>
      <c r="AF532" s="99"/>
      <c r="AG532" s="99"/>
      <c r="AH532" s="99"/>
      <c r="AI532" s="99"/>
      <c r="AJ532" s="99"/>
      <c r="AK532" s="99"/>
      <c r="AL532" s="99"/>
      <c r="AM532" s="99"/>
      <c r="AN532" s="99"/>
      <c r="AO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c r="AA533" s="99"/>
      <c r="AB533" s="99"/>
      <c r="AC533" s="99"/>
      <c r="AD533" s="99"/>
      <c r="AE533" s="99"/>
      <c r="AF533" s="99"/>
      <c r="AG533" s="99"/>
      <c r="AH533" s="99"/>
      <c r="AI533" s="99"/>
      <c r="AJ533" s="99"/>
      <c r="AK533" s="99"/>
      <c r="AL533" s="99"/>
      <c r="AM533" s="99"/>
      <c r="AN533" s="99"/>
      <c r="AO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c r="AA534" s="99"/>
      <c r="AB534" s="99"/>
      <c r="AC534" s="99"/>
      <c r="AD534" s="99"/>
      <c r="AE534" s="99"/>
      <c r="AF534" s="99"/>
      <c r="AG534" s="99"/>
      <c r="AH534" s="99"/>
      <c r="AI534" s="99"/>
      <c r="AJ534" s="99"/>
      <c r="AK534" s="99"/>
      <c r="AL534" s="99"/>
      <c r="AM534" s="99"/>
      <c r="AN534" s="99"/>
      <c r="AO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c r="AA535" s="99"/>
      <c r="AB535" s="99"/>
      <c r="AC535" s="99"/>
      <c r="AD535" s="99"/>
      <c r="AE535" s="99"/>
      <c r="AF535" s="99"/>
      <c r="AG535" s="99"/>
      <c r="AH535" s="99"/>
      <c r="AI535" s="99"/>
      <c r="AJ535" s="99"/>
      <c r="AK535" s="99"/>
      <c r="AL535" s="99"/>
      <c r="AM535" s="99"/>
      <c r="AN535" s="99"/>
      <c r="AO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c r="AA536" s="99"/>
      <c r="AB536" s="99"/>
      <c r="AC536" s="99"/>
      <c r="AD536" s="99"/>
      <c r="AE536" s="99"/>
      <c r="AF536" s="99"/>
      <c r="AG536" s="99"/>
      <c r="AH536" s="99"/>
      <c r="AI536" s="99"/>
      <c r="AJ536" s="99"/>
      <c r="AK536" s="99"/>
      <c r="AL536" s="99"/>
      <c r="AM536" s="99"/>
      <c r="AN536" s="99"/>
      <c r="AO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c r="AA537" s="99"/>
      <c r="AB537" s="99"/>
      <c r="AC537" s="99"/>
      <c r="AD537" s="99"/>
      <c r="AE537" s="99"/>
      <c r="AF537" s="99"/>
      <c r="AG537" s="99"/>
      <c r="AH537" s="99"/>
      <c r="AI537" s="99"/>
      <c r="AJ537" s="99"/>
      <c r="AK537" s="99"/>
      <c r="AL537" s="99"/>
      <c r="AM537" s="99"/>
      <c r="AN537" s="99"/>
      <c r="AO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c r="AA538" s="99"/>
      <c r="AB538" s="99"/>
      <c r="AC538" s="99"/>
      <c r="AD538" s="99"/>
      <c r="AE538" s="99"/>
      <c r="AF538" s="99"/>
      <c r="AG538" s="99"/>
      <c r="AH538" s="99"/>
      <c r="AI538" s="99"/>
      <c r="AJ538" s="99"/>
      <c r="AK538" s="99"/>
      <c r="AL538" s="99"/>
      <c r="AM538" s="99"/>
      <c r="AN538" s="99"/>
      <c r="AO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c r="AA539" s="99"/>
      <c r="AB539" s="99"/>
      <c r="AC539" s="99"/>
      <c r="AD539" s="99"/>
      <c r="AE539" s="99"/>
      <c r="AF539" s="99"/>
      <c r="AG539" s="99"/>
      <c r="AH539" s="99"/>
      <c r="AI539" s="99"/>
      <c r="AJ539" s="99"/>
      <c r="AK539" s="99"/>
      <c r="AL539" s="99"/>
      <c r="AM539" s="99"/>
      <c r="AN539" s="99"/>
      <c r="AO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c r="AA540" s="99"/>
      <c r="AB540" s="99"/>
      <c r="AC540" s="99"/>
      <c r="AD540" s="99"/>
      <c r="AE540" s="99"/>
      <c r="AF540" s="99"/>
      <c r="AG540" s="99"/>
      <c r="AH540" s="99"/>
      <c r="AI540" s="99"/>
      <c r="AJ540" s="99"/>
      <c r="AK540" s="99"/>
      <c r="AL540" s="99"/>
      <c r="AM540" s="99"/>
      <c r="AN540" s="99"/>
      <c r="AO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c r="AA541" s="99"/>
      <c r="AB541" s="99"/>
      <c r="AC541" s="99"/>
      <c r="AD541" s="99"/>
      <c r="AE541" s="99"/>
      <c r="AF541" s="99"/>
      <c r="AG541" s="99"/>
      <c r="AH541" s="99"/>
      <c r="AI541" s="99"/>
      <c r="AJ541" s="99"/>
      <c r="AK541" s="99"/>
      <c r="AL541" s="99"/>
      <c r="AM541" s="99"/>
      <c r="AN541" s="99"/>
      <c r="AO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c r="AA542" s="99"/>
      <c r="AB542" s="99"/>
      <c r="AC542" s="99"/>
      <c r="AD542" s="99"/>
      <c r="AE542" s="99"/>
      <c r="AF542" s="99"/>
      <c r="AG542" s="99"/>
      <c r="AH542" s="99"/>
      <c r="AI542" s="99"/>
      <c r="AJ542" s="99"/>
      <c r="AK542" s="99"/>
      <c r="AL542" s="99"/>
      <c r="AM542" s="99"/>
      <c r="AN542" s="99"/>
      <c r="AO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c r="AH543" s="99"/>
      <c r="AI543" s="99"/>
      <c r="AJ543" s="99"/>
      <c r="AK543" s="99"/>
      <c r="AL543" s="99"/>
      <c r="AM543" s="99"/>
      <c r="AN543" s="99"/>
      <c r="AO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c r="AA544" s="99"/>
      <c r="AB544" s="99"/>
      <c r="AC544" s="99"/>
      <c r="AD544" s="99"/>
      <c r="AE544" s="99"/>
      <c r="AF544" s="99"/>
      <c r="AG544" s="99"/>
      <c r="AH544" s="99"/>
      <c r="AI544" s="99"/>
      <c r="AJ544" s="99"/>
      <c r="AK544" s="99"/>
      <c r="AL544" s="99"/>
      <c r="AM544" s="99"/>
      <c r="AN544" s="99"/>
      <c r="AO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c r="AA545" s="99"/>
      <c r="AB545" s="99"/>
      <c r="AC545" s="99"/>
      <c r="AD545" s="99"/>
      <c r="AE545" s="99"/>
      <c r="AF545" s="99"/>
      <c r="AG545" s="99"/>
      <c r="AH545" s="99"/>
      <c r="AI545" s="99"/>
      <c r="AJ545" s="99"/>
      <c r="AK545" s="99"/>
      <c r="AL545" s="99"/>
      <c r="AM545" s="99"/>
      <c r="AN545" s="99"/>
      <c r="AO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c r="AA546" s="99"/>
      <c r="AB546" s="99"/>
      <c r="AC546" s="99"/>
      <c r="AD546" s="99"/>
      <c r="AE546" s="99"/>
      <c r="AF546" s="99"/>
      <c r="AG546" s="99"/>
      <c r="AH546" s="99"/>
      <c r="AI546" s="99"/>
      <c r="AJ546" s="99"/>
      <c r="AK546" s="99"/>
      <c r="AL546" s="99"/>
      <c r="AM546" s="99"/>
      <c r="AN546" s="99"/>
      <c r="AO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c r="AA547" s="99"/>
      <c r="AB547" s="99"/>
      <c r="AC547" s="99"/>
      <c r="AD547" s="99"/>
      <c r="AE547" s="99"/>
      <c r="AF547" s="99"/>
      <c r="AG547" s="99"/>
      <c r="AH547" s="99"/>
      <c r="AI547" s="99"/>
      <c r="AJ547" s="99"/>
      <c r="AK547" s="99"/>
      <c r="AL547" s="99"/>
      <c r="AM547" s="99"/>
      <c r="AN547" s="99"/>
      <c r="AO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c r="AA548" s="99"/>
      <c r="AB548" s="99"/>
      <c r="AC548" s="99"/>
      <c r="AD548" s="99"/>
      <c r="AE548" s="99"/>
      <c r="AF548" s="99"/>
      <c r="AG548" s="99"/>
      <c r="AH548" s="99"/>
      <c r="AI548" s="99"/>
      <c r="AJ548" s="99"/>
      <c r="AK548" s="99"/>
      <c r="AL548" s="99"/>
      <c r="AM548" s="99"/>
      <c r="AN548" s="99"/>
      <c r="AO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c r="AA549" s="99"/>
      <c r="AB549" s="99"/>
      <c r="AC549" s="99"/>
      <c r="AD549" s="99"/>
      <c r="AE549" s="99"/>
      <c r="AF549" s="99"/>
      <c r="AG549" s="99"/>
      <c r="AH549" s="99"/>
      <c r="AI549" s="99"/>
      <c r="AJ549" s="99"/>
      <c r="AK549" s="99"/>
      <c r="AL549" s="99"/>
      <c r="AM549" s="99"/>
      <c r="AN549" s="99"/>
      <c r="AO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c r="AA550" s="99"/>
      <c r="AB550" s="99"/>
      <c r="AC550" s="99"/>
      <c r="AD550" s="99"/>
      <c r="AE550" s="99"/>
      <c r="AF550" s="99"/>
      <c r="AG550" s="99"/>
      <c r="AH550" s="99"/>
      <c r="AI550" s="99"/>
      <c r="AJ550" s="99"/>
      <c r="AK550" s="99"/>
      <c r="AL550" s="99"/>
      <c r="AM550" s="99"/>
      <c r="AN550" s="99"/>
      <c r="AO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c r="AA551" s="99"/>
      <c r="AB551" s="99"/>
      <c r="AC551" s="99"/>
      <c r="AD551" s="99"/>
      <c r="AE551" s="99"/>
      <c r="AF551" s="99"/>
      <c r="AG551" s="99"/>
      <c r="AH551" s="99"/>
      <c r="AI551" s="99"/>
      <c r="AJ551" s="99"/>
      <c r="AK551" s="99"/>
      <c r="AL551" s="99"/>
      <c r="AM551" s="99"/>
      <c r="AN551" s="99"/>
      <c r="AO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c r="AA552" s="99"/>
      <c r="AB552" s="99"/>
      <c r="AC552" s="99"/>
      <c r="AD552" s="99"/>
      <c r="AE552" s="99"/>
      <c r="AF552" s="99"/>
      <c r="AG552" s="99"/>
      <c r="AH552" s="99"/>
      <c r="AI552" s="99"/>
      <c r="AJ552" s="99"/>
      <c r="AK552" s="99"/>
      <c r="AL552" s="99"/>
      <c r="AM552" s="99"/>
      <c r="AN552" s="99"/>
      <c r="AO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c r="AA553" s="99"/>
      <c r="AB553" s="99"/>
      <c r="AC553" s="99"/>
      <c r="AD553" s="99"/>
      <c r="AE553" s="99"/>
      <c r="AF553" s="99"/>
      <c r="AG553" s="99"/>
      <c r="AH553" s="99"/>
      <c r="AI553" s="99"/>
      <c r="AJ553" s="99"/>
      <c r="AK553" s="99"/>
      <c r="AL553" s="99"/>
      <c r="AM553" s="99"/>
      <c r="AN553" s="99"/>
      <c r="AO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c r="AA554" s="99"/>
      <c r="AB554" s="99"/>
      <c r="AC554" s="99"/>
      <c r="AD554" s="99"/>
      <c r="AE554" s="99"/>
      <c r="AF554" s="99"/>
      <c r="AG554" s="99"/>
      <c r="AH554" s="99"/>
      <c r="AI554" s="99"/>
      <c r="AJ554" s="99"/>
      <c r="AK554" s="99"/>
      <c r="AL554" s="99"/>
      <c r="AM554" s="99"/>
      <c r="AN554" s="99"/>
      <c r="AO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c r="AH555" s="99"/>
      <c r="AI555" s="99"/>
      <c r="AJ555" s="99"/>
      <c r="AK555" s="99"/>
      <c r="AL555" s="99"/>
      <c r="AM555" s="99"/>
      <c r="AN555" s="99"/>
      <c r="AO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c r="AA556" s="99"/>
      <c r="AB556" s="99"/>
      <c r="AC556" s="99"/>
      <c r="AD556" s="99"/>
      <c r="AE556" s="99"/>
      <c r="AF556" s="99"/>
      <c r="AG556" s="99"/>
      <c r="AH556" s="99"/>
      <c r="AI556" s="99"/>
      <c r="AJ556" s="99"/>
      <c r="AK556" s="99"/>
      <c r="AL556" s="99"/>
      <c r="AM556" s="99"/>
      <c r="AN556" s="99"/>
      <c r="AO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c r="AA557" s="99"/>
      <c r="AB557" s="99"/>
      <c r="AC557" s="99"/>
      <c r="AD557" s="99"/>
      <c r="AE557" s="99"/>
      <c r="AF557" s="99"/>
      <c r="AG557" s="99"/>
      <c r="AH557" s="99"/>
      <c r="AI557" s="99"/>
      <c r="AJ557" s="99"/>
      <c r="AK557" s="99"/>
      <c r="AL557" s="99"/>
      <c r="AM557" s="99"/>
      <c r="AN557" s="99"/>
      <c r="AO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c r="AA558" s="99"/>
      <c r="AB558" s="99"/>
      <c r="AC558" s="99"/>
      <c r="AD558" s="99"/>
      <c r="AE558" s="99"/>
      <c r="AF558" s="99"/>
      <c r="AG558" s="99"/>
      <c r="AH558" s="99"/>
      <c r="AI558" s="99"/>
      <c r="AJ558" s="99"/>
      <c r="AK558" s="99"/>
      <c r="AL558" s="99"/>
      <c r="AM558" s="99"/>
      <c r="AN558" s="99"/>
      <c r="AO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c r="AA559" s="99"/>
      <c r="AB559" s="99"/>
      <c r="AC559" s="99"/>
      <c r="AD559" s="99"/>
      <c r="AE559" s="99"/>
      <c r="AF559" s="99"/>
      <c r="AG559" s="99"/>
      <c r="AH559" s="99"/>
      <c r="AI559" s="99"/>
      <c r="AJ559" s="99"/>
      <c r="AK559" s="99"/>
      <c r="AL559" s="99"/>
      <c r="AM559" s="99"/>
      <c r="AN559" s="99"/>
      <c r="AO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c r="AA560" s="99"/>
      <c r="AB560" s="99"/>
      <c r="AC560" s="99"/>
      <c r="AD560" s="99"/>
      <c r="AE560" s="99"/>
      <c r="AF560" s="99"/>
      <c r="AG560" s="99"/>
      <c r="AH560" s="99"/>
      <c r="AI560" s="99"/>
      <c r="AJ560" s="99"/>
      <c r="AK560" s="99"/>
      <c r="AL560" s="99"/>
      <c r="AM560" s="99"/>
      <c r="AN560" s="99"/>
      <c r="AO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c r="AA561" s="99"/>
      <c r="AB561" s="99"/>
      <c r="AC561" s="99"/>
      <c r="AD561" s="99"/>
      <c r="AE561" s="99"/>
      <c r="AF561" s="99"/>
      <c r="AG561" s="99"/>
      <c r="AH561" s="99"/>
      <c r="AI561" s="99"/>
      <c r="AJ561" s="99"/>
      <c r="AK561" s="99"/>
      <c r="AL561" s="99"/>
      <c r="AM561" s="99"/>
      <c r="AN561" s="99"/>
      <c r="AO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c r="AA562" s="99"/>
      <c r="AB562" s="99"/>
      <c r="AC562" s="99"/>
      <c r="AD562" s="99"/>
      <c r="AE562" s="99"/>
      <c r="AF562" s="99"/>
      <c r="AG562" s="99"/>
      <c r="AH562" s="99"/>
      <c r="AI562" s="99"/>
      <c r="AJ562" s="99"/>
      <c r="AK562" s="99"/>
      <c r="AL562" s="99"/>
      <c r="AM562" s="99"/>
      <c r="AN562" s="99"/>
      <c r="AO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c r="AA563" s="99"/>
      <c r="AB563" s="99"/>
      <c r="AC563" s="99"/>
      <c r="AD563" s="99"/>
      <c r="AE563" s="99"/>
      <c r="AF563" s="99"/>
      <c r="AG563" s="99"/>
      <c r="AH563" s="99"/>
      <c r="AI563" s="99"/>
      <c r="AJ563" s="99"/>
      <c r="AK563" s="99"/>
      <c r="AL563" s="99"/>
      <c r="AM563" s="99"/>
      <c r="AN563" s="99"/>
      <c r="AO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c r="AA564" s="99"/>
      <c r="AB564" s="99"/>
      <c r="AC564" s="99"/>
      <c r="AD564" s="99"/>
      <c r="AE564" s="99"/>
      <c r="AF564" s="99"/>
      <c r="AG564" s="99"/>
      <c r="AH564" s="99"/>
      <c r="AI564" s="99"/>
      <c r="AJ564" s="99"/>
      <c r="AK564" s="99"/>
      <c r="AL564" s="99"/>
      <c r="AM564" s="99"/>
      <c r="AN564" s="99"/>
      <c r="AO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c r="AA565" s="99"/>
      <c r="AB565" s="99"/>
      <c r="AC565" s="99"/>
      <c r="AD565" s="99"/>
      <c r="AE565" s="99"/>
      <c r="AF565" s="99"/>
      <c r="AG565" s="99"/>
      <c r="AH565" s="99"/>
      <c r="AI565" s="99"/>
      <c r="AJ565" s="99"/>
      <c r="AK565" s="99"/>
      <c r="AL565" s="99"/>
      <c r="AM565" s="99"/>
      <c r="AN565" s="99"/>
      <c r="AO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c r="AA566" s="99"/>
      <c r="AB566" s="99"/>
      <c r="AC566" s="99"/>
      <c r="AD566" s="99"/>
      <c r="AE566" s="99"/>
      <c r="AF566" s="99"/>
      <c r="AG566" s="99"/>
      <c r="AH566" s="99"/>
      <c r="AI566" s="99"/>
      <c r="AJ566" s="99"/>
      <c r="AK566" s="99"/>
      <c r="AL566" s="99"/>
      <c r="AM566" s="99"/>
      <c r="AN566" s="99"/>
      <c r="AO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c r="AA567" s="99"/>
      <c r="AB567" s="99"/>
      <c r="AC567" s="99"/>
      <c r="AD567" s="99"/>
      <c r="AE567" s="99"/>
      <c r="AF567" s="99"/>
      <c r="AG567" s="99"/>
      <c r="AH567" s="99"/>
      <c r="AI567" s="99"/>
      <c r="AJ567" s="99"/>
      <c r="AK567" s="99"/>
      <c r="AL567" s="99"/>
      <c r="AM567" s="99"/>
      <c r="AN567" s="99"/>
      <c r="AO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c r="AA568" s="99"/>
      <c r="AB568" s="99"/>
      <c r="AC568" s="99"/>
      <c r="AD568" s="99"/>
      <c r="AE568" s="99"/>
      <c r="AF568" s="99"/>
      <c r="AG568" s="99"/>
      <c r="AH568" s="99"/>
      <c r="AI568" s="99"/>
      <c r="AJ568" s="99"/>
      <c r="AK568" s="99"/>
      <c r="AL568" s="99"/>
      <c r="AM568" s="99"/>
      <c r="AN568" s="99"/>
      <c r="AO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c r="AA569" s="99"/>
      <c r="AB569" s="99"/>
      <c r="AC569" s="99"/>
      <c r="AD569" s="99"/>
      <c r="AE569" s="99"/>
      <c r="AF569" s="99"/>
      <c r="AG569" s="99"/>
      <c r="AH569" s="99"/>
      <c r="AI569" s="99"/>
      <c r="AJ569" s="99"/>
      <c r="AK569" s="99"/>
      <c r="AL569" s="99"/>
      <c r="AM569" s="99"/>
      <c r="AN569" s="99"/>
      <c r="AO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c r="AA570" s="99"/>
      <c r="AB570" s="99"/>
      <c r="AC570" s="99"/>
      <c r="AD570" s="99"/>
      <c r="AE570" s="99"/>
      <c r="AF570" s="99"/>
      <c r="AG570" s="99"/>
      <c r="AH570" s="99"/>
      <c r="AI570" s="99"/>
      <c r="AJ570" s="99"/>
      <c r="AK570" s="99"/>
      <c r="AL570" s="99"/>
      <c r="AM570" s="99"/>
      <c r="AN570" s="99"/>
      <c r="AO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c r="AA571" s="99"/>
      <c r="AB571" s="99"/>
      <c r="AC571" s="99"/>
      <c r="AD571" s="99"/>
      <c r="AE571" s="99"/>
      <c r="AF571" s="99"/>
      <c r="AG571" s="99"/>
      <c r="AH571" s="99"/>
      <c r="AI571" s="99"/>
      <c r="AJ571" s="99"/>
      <c r="AK571" s="99"/>
      <c r="AL571" s="99"/>
      <c r="AM571" s="99"/>
      <c r="AN571" s="99"/>
      <c r="AO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c r="AA572" s="99"/>
      <c r="AB572" s="99"/>
      <c r="AC572" s="99"/>
      <c r="AD572" s="99"/>
      <c r="AE572" s="99"/>
      <c r="AF572" s="99"/>
      <c r="AG572" s="99"/>
      <c r="AH572" s="99"/>
      <c r="AI572" s="99"/>
      <c r="AJ572" s="99"/>
      <c r="AK572" s="99"/>
      <c r="AL572" s="99"/>
      <c r="AM572" s="99"/>
      <c r="AN572" s="99"/>
      <c r="AO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c r="AE573" s="99"/>
      <c r="AF573" s="99"/>
      <c r="AG573" s="99"/>
      <c r="AH573" s="99"/>
      <c r="AI573" s="99"/>
      <c r="AJ573" s="99"/>
      <c r="AK573" s="99"/>
      <c r="AL573" s="99"/>
      <c r="AM573" s="99"/>
      <c r="AN573" s="99"/>
      <c r="AO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c r="AA574" s="99"/>
      <c r="AB574" s="99"/>
      <c r="AC574" s="99"/>
      <c r="AD574" s="99"/>
      <c r="AE574" s="99"/>
      <c r="AF574" s="99"/>
      <c r="AG574" s="99"/>
      <c r="AH574" s="99"/>
      <c r="AI574" s="99"/>
      <c r="AJ574" s="99"/>
      <c r="AK574" s="99"/>
      <c r="AL574" s="99"/>
      <c r="AM574" s="99"/>
      <c r="AN574" s="99"/>
      <c r="AO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c r="AA575" s="99"/>
      <c r="AB575" s="99"/>
      <c r="AC575" s="99"/>
      <c r="AD575" s="99"/>
      <c r="AE575" s="99"/>
      <c r="AF575" s="99"/>
      <c r="AG575" s="99"/>
      <c r="AH575" s="99"/>
      <c r="AI575" s="99"/>
      <c r="AJ575" s="99"/>
      <c r="AK575" s="99"/>
      <c r="AL575" s="99"/>
      <c r="AM575" s="99"/>
      <c r="AN575" s="99"/>
      <c r="AO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c r="AA576" s="99"/>
      <c r="AB576" s="99"/>
      <c r="AC576" s="99"/>
      <c r="AD576" s="99"/>
      <c r="AE576" s="99"/>
      <c r="AF576" s="99"/>
      <c r="AG576" s="99"/>
      <c r="AH576" s="99"/>
      <c r="AI576" s="99"/>
      <c r="AJ576" s="99"/>
      <c r="AK576" s="99"/>
      <c r="AL576" s="99"/>
      <c r="AM576" s="99"/>
      <c r="AN576" s="99"/>
      <c r="AO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c r="AA577" s="99"/>
      <c r="AB577" s="99"/>
      <c r="AC577" s="99"/>
      <c r="AD577" s="99"/>
      <c r="AE577" s="99"/>
      <c r="AF577" s="99"/>
      <c r="AG577" s="99"/>
      <c r="AH577" s="99"/>
      <c r="AI577" s="99"/>
      <c r="AJ577" s="99"/>
      <c r="AK577" s="99"/>
      <c r="AL577" s="99"/>
      <c r="AM577" s="99"/>
      <c r="AN577" s="99"/>
      <c r="AO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c r="AI578" s="99"/>
      <c r="AJ578" s="99"/>
      <c r="AK578" s="99"/>
      <c r="AL578" s="99"/>
      <c r="AM578" s="99"/>
      <c r="AN578" s="99"/>
      <c r="AO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c r="AA579" s="99"/>
      <c r="AB579" s="99"/>
      <c r="AC579" s="99"/>
      <c r="AD579" s="99"/>
      <c r="AE579" s="99"/>
      <c r="AF579" s="99"/>
      <c r="AG579" s="99"/>
      <c r="AH579" s="99"/>
      <c r="AI579" s="99"/>
      <c r="AJ579" s="99"/>
      <c r="AK579" s="99"/>
      <c r="AL579" s="99"/>
      <c r="AM579" s="99"/>
      <c r="AN579" s="99"/>
      <c r="AO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c r="AA580" s="99"/>
      <c r="AB580" s="99"/>
      <c r="AC580" s="99"/>
      <c r="AD580" s="99"/>
      <c r="AE580" s="99"/>
      <c r="AF580" s="99"/>
      <c r="AG580" s="99"/>
      <c r="AH580" s="99"/>
      <c r="AI580" s="99"/>
      <c r="AJ580" s="99"/>
      <c r="AK580" s="99"/>
      <c r="AL580" s="99"/>
      <c r="AM580" s="99"/>
      <c r="AN580" s="99"/>
      <c r="AO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c r="AA581" s="99"/>
      <c r="AB581" s="99"/>
      <c r="AC581" s="99"/>
      <c r="AD581" s="99"/>
      <c r="AE581" s="99"/>
      <c r="AF581" s="99"/>
      <c r="AG581" s="99"/>
      <c r="AH581" s="99"/>
      <c r="AI581" s="99"/>
      <c r="AJ581" s="99"/>
      <c r="AK581" s="99"/>
      <c r="AL581" s="99"/>
      <c r="AM581" s="99"/>
      <c r="AN581" s="99"/>
      <c r="AO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c r="AA582" s="99"/>
      <c r="AB582" s="99"/>
      <c r="AC582" s="99"/>
      <c r="AD582" s="99"/>
      <c r="AE582" s="99"/>
      <c r="AF582" s="99"/>
      <c r="AG582" s="99"/>
      <c r="AH582" s="99"/>
      <c r="AI582" s="99"/>
      <c r="AJ582" s="99"/>
      <c r="AK582" s="99"/>
      <c r="AL582" s="99"/>
      <c r="AM582" s="99"/>
      <c r="AN582" s="99"/>
      <c r="AO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c r="AA583" s="99"/>
      <c r="AB583" s="99"/>
      <c r="AC583" s="99"/>
      <c r="AD583" s="99"/>
      <c r="AE583" s="99"/>
      <c r="AF583" s="99"/>
      <c r="AG583" s="99"/>
      <c r="AH583" s="99"/>
      <c r="AI583" s="99"/>
      <c r="AJ583" s="99"/>
      <c r="AK583" s="99"/>
      <c r="AL583" s="99"/>
      <c r="AM583" s="99"/>
      <c r="AN583" s="99"/>
      <c r="AO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c r="AA584" s="99"/>
      <c r="AB584" s="99"/>
      <c r="AC584" s="99"/>
      <c r="AD584" s="99"/>
      <c r="AE584" s="99"/>
      <c r="AF584" s="99"/>
      <c r="AG584" s="99"/>
      <c r="AH584" s="99"/>
      <c r="AI584" s="99"/>
      <c r="AJ584" s="99"/>
      <c r="AK584" s="99"/>
      <c r="AL584" s="99"/>
      <c r="AM584" s="99"/>
      <c r="AN584" s="99"/>
      <c r="AO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c r="AA585" s="99"/>
      <c r="AB585" s="99"/>
      <c r="AC585" s="99"/>
      <c r="AD585" s="99"/>
      <c r="AE585" s="99"/>
      <c r="AF585" s="99"/>
      <c r="AG585" s="99"/>
      <c r="AH585" s="99"/>
      <c r="AI585" s="99"/>
      <c r="AJ585" s="99"/>
      <c r="AK585" s="99"/>
      <c r="AL585" s="99"/>
      <c r="AM585" s="99"/>
      <c r="AN585" s="99"/>
      <c r="AO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c r="AA586" s="99"/>
      <c r="AB586" s="99"/>
      <c r="AC586" s="99"/>
      <c r="AD586" s="99"/>
      <c r="AE586" s="99"/>
      <c r="AF586" s="99"/>
      <c r="AG586" s="99"/>
      <c r="AH586" s="99"/>
      <c r="AI586" s="99"/>
      <c r="AJ586" s="99"/>
      <c r="AK586" s="99"/>
      <c r="AL586" s="99"/>
      <c r="AM586" s="99"/>
      <c r="AN586" s="99"/>
      <c r="AO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c r="AA587" s="99"/>
      <c r="AB587" s="99"/>
      <c r="AC587" s="99"/>
      <c r="AD587" s="99"/>
      <c r="AE587" s="99"/>
      <c r="AF587" s="99"/>
      <c r="AG587" s="99"/>
      <c r="AH587" s="99"/>
      <c r="AI587" s="99"/>
      <c r="AJ587" s="99"/>
      <c r="AK587" s="99"/>
      <c r="AL587" s="99"/>
      <c r="AM587" s="99"/>
      <c r="AN587" s="99"/>
      <c r="AO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c r="AA588" s="99"/>
      <c r="AB588" s="99"/>
      <c r="AC588" s="99"/>
      <c r="AD588" s="99"/>
      <c r="AE588" s="99"/>
      <c r="AF588" s="99"/>
      <c r="AG588" s="99"/>
      <c r="AH588" s="99"/>
      <c r="AI588" s="99"/>
      <c r="AJ588" s="99"/>
      <c r="AK588" s="99"/>
      <c r="AL588" s="99"/>
      <c r="AM588" s="99"/>
      <c r="AN588" s="99"/>
      <c r="AO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c r="AA589" s="99"/>
      <c r="AB589" s="99"/>
      <c r="AC589" s="99"/>
      <c r="AD589" s="99"/>
      <c r="AE589" s="99"/>
      <c r="AF589" s="99"/>
      <c r="AG589" s="99"/>
      <c r="AH589" s="99"/>
      <c r="AI589" s="99"/>
      <c r="AJ589" s="99"/>
      <c r="AK589" s="99"/>
      <c r="AL589" s="99"/>
      <c r="AM589" s="99"/>
      <c r="AN589" s="99"/>
      <c r="AO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c r="AA590" s="99"/>
      <c r="AB590" s="99"/>
      <c r="AC590" s="99"/>
      <c r="AD590" s="99"/>
      <c r="AE590" s="99"/>
      <c r="AF590" s="99"/>
      <c r="AG590" s="99"/>
      <c r="AH590" s="99"/>
      <c r="AI590" s="99"/>
      <c r="AJ590" s="99"/>
      <c r="AK590" s="99"/>
      <c r="AL590" s="99"/>
      <c r="AM590" s="99"/>
      <c r="AN590" s="99"/>
      <c r="AO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c r="AA591" s="99"/>
      <c r="AB591" s="99"/>
      <c r="AC591" s="99"/>
      <c r="AD591" s="99"/>
      <c r="AE591" s="99"/>
      <c r="AF591" s="99"/>
      <c r="AG591" s="99"/>
      <c r="AH591" s="99"/>
      <c r="AI591" s="99"/>
      <c r="AJ591" s="99"/>
      <c r="AK591" s="99"/>
      <c r="AL591" s="99"/>
      <c r="AM591" s="99"/>
      <c r="AN591" s="99"/>
      <c r="AO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c r="AA592" s="99"/>
      <c r="AB592" s="99"/>
      <c r="AC592" s="99"/>
      <c r="AD592" s="99"/>
      <c r="AE592" s="99"/>
      <c r="AF592" s="99"/>
      <c r="AG592" s="99"/>
      <c r="AH592" s="99"/>
      <c r="AI592" s="99"/>
      <c r="AJ592" s="99"/>
      <c r="AK592" s="99"/>
      <c r="AL592" s="99"/>
      <c r="AM592" s="99"/>
      <c r="AN592" s="99"/>
      <c r="AO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c r="AA593" s="99"/>
      <c r="AB593" s="99"/>
      <c r="AC593" s="99"/>
      <c r="AD593" s="99"/>
      <c r="AE593" s="99"/>
      <c r="AF593" s="99"/>
      <c r="AG593" s="99"/>
      <c r="AH593" s="99"/>
      <c r="AI593" s="99"/>
      <c r="AJ593" s="99"/>
      <c r="AK593" s="99"/>
      <c r="AL593" s="99"/>
      <c r="AM593" s="99"/>
      <c r="AN593" s="99"/>
      <c r="AO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c r="AA594" s="99"/>
      <c r="AB594" s="99"/>
      <c r="AC594" s="99"/>
      <c r="AD594" s="99"/>
      <c r="AE594" s="99"/>
      <c r="AF594" s="99"/>
      <c r="AG594" s="99"/>
      <c r="AH594" s="99"/>
      <c r="AI594" s="99"/>
      <c r="AJ594" s="99"/>
      <c r="AK594" s="99"/>
      <c r="AL594" s="99"/>
      <c r="AM594" s="99"/>
      <c r="AN594" s="99"/>
      <c r="AO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c r="AN595" s="99"/>
      <c r="AO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c r="AC596" s="99"/>
      <c r="AD596" s="99"/>
      <c r="AE596" s="99"/>
      <c r="AF596" s="99"/>
      <c r="AG596" s="99"/>
      <c r="AH596" s="99"/>
      <c r="AI596" s="99"/>
      <c r="AJ596" s="99"/>
      <c r="AK596" s="99"/>
      <c r="AL596" s="99"/>
      <c r="AM596" s="99"/>
      <c r="AN596" s="99"/>
      <c r="AO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c r="AA597" s="99"/>
      <c r="AB597" s="99"/>
      <c r="AC597" s="99"/>
      <c r="AD597" s="99"/>
      <c r="AE597" s="99"/>
      <c r="AF597" s="99"/>
      <c r="AG597" s="99"/>
      <c r="AH597" s="99"/>
      <c r="AI597" s="99"/>
      <c r="AJ597" s="99"/>
      <c r="AK597" s="99"/>
      <c r="AL597" s="99"/>
      <c r="AM597" s="99"/>
      <c r="AN597" s="99"/>
      <c r="AO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c r="AA598" s="99"/>
      <c r="AB598" s="99"/>
      <c r="AC598" s="99"/>
      <c r="AD598" s="99"/>
      <c r="AE598" s="99"/>
      <c r="AF598" s="99"/>
      <c r="AG598" s="99"/>
      <c r="AH598" s="99"/>
      <c r="AI598" s="99"/>
      <c r="AJ598" s="99"/>
      <c r="AK598" s="99"/>
      <c r="AL598" s="99"/>
      <c r="AM598" s="99"/>
      <c r="AN598" s="99"/>
      <c r="AO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c r="AC599" s="99"/>
      <c r="AD599" s="99"/>
      <c r="AE599" s="99"/>
      <c r="AF599" s="99"/>
      <c r="AG599" s="99"/>
      <c r="AH599" s="99"/>
      <c r="AI599" s="99"/>
      <c r="AJ599" s="99"/>
      <c r="AK599" s="99"/>
      <c r="AL599" s="99"/>
      <c r="AM599" s="99"/>
      <c r="AN599" s="99"/>
      <c r="AO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c r="AA600" s="99"/>
      <c r="AB600" s="99"/>
      <c r="AC600" s="99"/>
      <c r="AD600" s="99"/>
      <c r="AE600" s="99"/>
      <c r="AF600" s="99"/>
      <c r="AG600" s="99"/>
      <c r="AH600" s="99"/>
      <c r="AI600" s="99"/>
      <c r="AJ600" s="99"/>
      <c r="AK600" s="99"/>
      <c r="AL600" s="99"/>
      <c r="AM600" s="99"/>
      <c r="AN600" s="99"/>
      <c r="AO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c r="AA601" s="99"/>
      <c r="AB601" s="99"/>
      <c r="AC601" s="99"/>
      <c r="AD601" s="99"/>
      <c r="AE601" s="99"/>
      <c r="AF601" s="99"/>
      <c r="AG601" s="99"/>
      <c r="AH601" s="99"/>
      <c r="AI601" s="99"/>
      <c r="AJ601" s="99"/>
      <c r="AK601" s="99"/>
      <c r="AL601" s="99"/>
      <c r="AM601" s="99"/>
      <c r="AN601" s="99"/>
      <c r="AO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c r="AA602" s="99"/>
      <c r="AB602" s="99"/>
      <c r="AC602" s="99"/>
      <c r="AD602" s="99"/>
      <c r="AE602" s="99"/>
      <c r="AF602" s="99"/>
      <c r="AG602" s="99"/>
      <c r="AH602" s="99"/>
      <c r="AI602" s="99"/>
      <c r="AJ602" s="99"/>
      <c r="AK602" s="99"/>
      <c r="AL602" s="99"/>
      <c r="AM602" s="99"/>
      <c r="AN602" s="99"/>
      <c r="AO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c r="AA603" s="99"/>
      <c r="AB603" s="99"/>
      <c r="AC603" s="99"/>
      <c r="AD603" s="99"/>
      <c r="AE603" s="99"/>
      <c r="AF603" s="99"/>
      <c r="AG603" s="99"/>
      <c r="AH603" s="99"/>
      <c r="AI603" s="99"/>
      <c r="AJ603" s="99"/>
      <c r="AK603" s="99"/>
      <c r="AL603" s="99"/>
      <c r="AM603" s="99"/>
      <c r="AN603" s="99"/>
      <c r="AO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c r="AA604" s="99"/>
      <c r="AB604" s="99"/>
      <c r="AC604" s="99"/>
      <c r="AD604" s="99"/>
      <c r="AE604" s="99"/>
      <c r="AF604" s="99"/>
      <c r="AG604" s="99"/>
      <c r="AH604" s="99"/>
      <c r="AI604" s="99"/>
      <c r="AJ604" s="99"/>
      <c r="AK604" s="99"/>
      <c r="AL604" s="99"/>
      <c r="AM604" s="99"/>
      <c r="AN604" s="99"/>
      <c r="AO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c r="AA605" s="99"/>
      <c r="AB605" s="99"/>
      <c r="AC605" s="99"/>
      <c r="AD605" s="99"/>
      <c r="AE605" s="99"/>
      <c r="AF605" s="99"/>
      <c r="AG605" s="99"/>
      <c r="AH605" s="99"/>
      <c r="AI605" s="99"/>
      <c r="AJ605" s="99"/>
      <c r="AK605" s="99"/>
      <c r="AL605" s="99"/>
      <c r="AM605" s="99"/>
      <c r="AN605" s="99"/>
      <c r="AO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c r="AA606" s="99"/>
      <c r="AB606" s="99"/>
      <c r="AC606" s="99"/>
      <c r="AD606" s="99"/>
      <c r="AE606" s="99"/>
      <c r="AF606" s="99"/>
      <c r="AG606" s="99"/>
      <c r="AH606" s="99"/>
      <c r="AI606" s="99"/>
      <c r="AJ606" s="99"/>
      <c r="AK606" s="99"/>
      <c r="AL606" s="99"/>
      <c r="AM606" s="99"/>
      <c r="AN606" s="99"/>
      <c r="AO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c r="AA607" s="99"/>
      <c r="AB607" s="99"/>
      <c r="AC607" s="99"/>
      <c r="AD607" s="99"/>
      <c r="AE607" s="99"/>
      <c r="AF607" s="99"/>
      <c r="AG607" s="99"/>
      <c r="AH607" s="99"/>
      <c r="AI607" s="99"/>
      <c r="AJ607" s="99"/>
      <c r="AK607" s="99"/>
      <c r="AL607" s="99"/>
      <c r="AM607" s="99"/>
      <c r="AN607" s="99"/>
      <c r="AO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c r="AA608" s="99"/>
      <c r="AB608" s="99"/>
      <c r="AC608" s="99"/>
      <c r="AD608" s="99"/>
      <c r="AE608" s="99"/>
      <c r="AF608" s="99"/>
      <c r="AG608" s="99"/>
      <c r="AH608" s="99"/>
      <c r="AI608" s="99"/>
      <c r="AJ608" s="99"/>
      <c r="AK608" s="99"/>
      <c r="AL608" s="99"/>
      <c r="AM608" s="99"/>
      <c r="AN608" s="99"/>
      <c r="AO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c r="AA609" s="99"/>
      <c r="AB609" s="99"/>
      <c r="AC609" s="99"/>
      <c r="AD609" s="99"/>
      <c r="AE609" s="99"/>
      <c r="AF609" s="99"/>
      <c r="AG609" s="99"/>
      <c r="AH609" s="99"/>
      <c r="AI609" s="99"/>
      <c r="AJ609" s="99"/>
      <c r="AK609" s="99"/>
      <c r="AL609" s="99"/>
      <c r="AM609" s="99"/>
      <c r="AN609" s="99"/>
      <c r="AO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c r="AA610" s="99"/>
      <c r="AB610" s="99"/>
      <c r="AC610" s="99"/>
      <c r="AD610" s="99"/>
      <c r="AE610" s="99"/>
      <c r="AF610" s="99"/>
      <c r="AG610" s="99"/>
      <c r="AH610" s="99"/>
      <c r="AI610" s="99"/>
      <c r="AJ610" s="99"/>
      <c r="AK610" s="99"/>
      <c r="AL610" s="99"/>
      <c r="AM610" s="99"/>
      <c r="AN610" s="99"/>
      <c r="AO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c r="AA611" s="99"/>
      <c r="AB611" s="99"/>
      <c r="AC611" s="99"/>
      <c r="AD611" s="99"/>
      <c r="AE611" s="99"/>
      <c r="AF611" s="99"/>
      <c r="AG611" s="99"/>
      <c r="AH611" s="99"/>
      <c r="AI611" s="99"/>
      <c r="AJ611" s="99"/>
      <c r="AK611" s="99"/>
      <c r="AL611" s="99"/>
      <c r="AM611" s="99"/>
      <c r="AN611" s="99"/>
      <c r="AO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c r="AA612" s="99"/>
      <c r="AB612" s="99"/>
      <c r="AC612" s="99"/>
      <c r="AD612" s="99"/>
      <c r="AE612" s="99"/>
      <c r="AF612" s="99"/>
      <c r="AG612" s="99"/>
      <c r="AH612" s="99"/>
      <c r="AI612" s="99"/>
      <c r="AJ612" s="99"/>
      <c r="AK612" s="99"/>
      <c r="AL612" s="99"/>
      <c r="AM612" s="99"/>
      <c r="AN612" s="99"/>
      <c r="AO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c r="AA613" s="99"/>
      <c r="AB613" s="99"/>
      <c r="AC613" s="99"/>
      <c r="AD613" s="99"/>
      <c r="AE613" s="99"/>
      <c r="AF613" s="99"/>
      <c r="AG613" s="99"/>
      <c r="AH613" s="99"/>
      <c r="AI613" s="99"/>
      <c r="AJ613" s="99"/>
      <c r="AK613" s="99"/>
      <c r="AL613" s="99"/>
      <c r="AM613" s="99"/>
      <c r="AN613" s="99"/>
      <c r="AO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c r="AA614" s="99"/>
      <c r="AB614" s="99"/>
      <c r="AC614" s="99"/>
      <c r="AD614" s="99"/>
      <c r="AE614" s="99"/>
      <c r="AF614" s="99"/>
      <c r="AG614" s="99"/>
      <c r="AH614" s="99"/>
      <c r="AI614" s="99"/>
      <c r="AJ614" s="99"/>
      <c r="AK614" s="99"/>
      <c r="AL614" s="99"/>
      <c r="AM614" s="99"/>
      <c r="AN614" s="99"/>
      <c r="AO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c r="AA615" s="99"/>
      <c r="AB615" s="99"/>
      <c r="AC615" s="99"/>
      <c r="AD615" s="99"/>
      <c r="AE615" s="99"/>
      <c r="AF615" s="99"/>
      <c r="AG615" s="99"/>
      <c r="AH615" s="99"/>
      <c r="AI615" s="99"/>
      <c r="AJ615" s="99"/>
      <c r="AK615" s="99"/>
      <c r="AL615" s="99"/>
      <c r="AM615" s="99"/>
      <c r="AN615" s="99"/>
      <c r="AO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c r="AC616" s="99"/>
      <c r="AD616" s="99"/>
      <c r="AE616" s="99"/>
      <c r="AF616" s="99"/>
      <c r="AG616" s="99"/>
      <c r="AH616" s="99"/>
      <c r="AI616" s="99"/>
      <c r="AJ616" s="99"/>
      <c r="AK616" s="99"/>
      <c r="AL616" s="99"/>
      <c r="AM616" s="99"/>
      <c r="AN616" s="99"/>
      <c r="AO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c r="AA617" s="99"/>
      <c r="AB617" s="99"/>
      <c r="AC617" s="99"/>
      <c r="AD617" s="99"/>
      <c r="AE617" s="99"/>
      <c r="AF617" s="99"/>
      <c r="AG617" s="99"/>
      <c r="AH617" s="99"/>
      <c r="AI617" s="99"/>
      <c r="AJ617" s="99"/>
      <c r="AK617" s="99"/>
      <c r="AL617" s="99"/>
      <c r="AM617" s="99"/>
      <c r="AN617" s="99"/>
      <c r="AO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c r="AA618" s="99"/>
      <c r="AB618" s="99"/>
      <c r="AC618" s="99"/>
      <c r="AD618" s="99"/>
      <c r="AE618" s="99"/>
      <c r="AF618" s="99"/>
      <c r="AG618" s="99"/>
      <c r="AH618" s="99"/>
      <c r="AI618" s="99"/>
      <c r="AJ618" s="99"/>
      <c r="AK618" s="99"/>
      <c r="AL618" s="99"/>
      <c r="AM618" s="99"/>
      <c r="AN618" s="99"/>
      <c r="AO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c r="AE619" s="99"/>
      <c r="AF619" s="99"/>
      <c r="AG619" s="99"/>
      <c r="AH619" s="99"/>
      <c r="AI619" s="99"/>
      <c r="AJ619" s="99"/>
      <c r="AK619" s="99"/>
      <c r="AL619" s="99"/>
      <c r="AM619" s="99"/>
      <c r="AN619" s="99"/>
      <c r="AO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c r="AC620" s="99"/>
      <c r="AD620" s="99"/>
      <c r="AE620" s="99"/>
      <c r="AF620" s="99"/>
      <c r="AG620" s="99"/>
      <c r="AH620" s="99"/>
      <c r="AI620" s="99"/>
      <c r="AJ620" s="99"/>
      <c r="AK620" s="99"/>
      <c r="AL620" s="99"/>
      <c r="AM620" s="99"/>
      <c r="AN620" s="99"/>
      <c r="AO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c r="AC621" s="99"/>
      <c r="AD621" s="99"/>
      <c r="AE621" s="99"/>
      <c r="AF621" s="99"/>
      <c r="AG621" s="99"/>
      <c r="AH621" s="99"/>
      <c r="AI621" s="99"/>
      <c r="AJ621" s="99"/>
      <c r="AK621" s="99"/>
      <c r="AL621" s="99"/>
      <c r="AM621" s="99"/>
      <c r="AN621" s="99"/>
      <c r="AO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c r="AC622" s="99"/>
      <c r="AD622" s="99"/>
      <c r="AE622" s="99"/>
      <c r="AF622" s="99"/>
      <c r="AG622" s="99"/>
      <c r="AH622" s="99"/>
      <c r="AI622" s="99"/>
      <c r="AJ622" s="99"/>
      <c r="AK622" s="99"/>
      <c r="AL622" s="99"/>
      <c r="AM622" s="99"/>
      <c r="AN622" s="99"/>
      <c r="AO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c r="AA623" s="99"/>
      <c r="AB623" s="99"/>
      <c r="AC623" s="99"/>
      <c r="AD623" s="99"/>
      <c r="AE623" s="99"/>
      <c r="AF623" s="99"/>
      <c r="AG623" s="99"/>
      <c r="AH623" s="99"/>
      <c r="AI623" s="99"/>
      <c r="AJ623" s="99"/>
      <c r="AK623" s="99"/>
      <c r="AL623" s="99"/>
      <c r="AM623" s="99"/>
      <c r="AN623" s="99"/>
      <c r="AO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c r="AA624" s="99"/>
      <c r="AB624" s="99"/>
      <c r="AC624" s="99"/>
      <c r="AD624" s="99"/>
      <c r="AE624" s="99"/>
      <c r="AF624" s="99"/>
      <c r="AG624" s="99"/>
      <c r="AH624" s="99"/>
      <c r="AI624" s="99"/>
      <c r="AJ624" s="99"/>
      <c r="AK624" s="99"/>
      <c r="AL624" s="99"/>
      <c r="AM624" s="99"/>
      <c r="AN624" s="99"/>
      <c r="AO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c r="AA625" s="99"/>
      <c r="AB625" s="99"/>
      <c r="AC625" s="99"/>
      <c r="AD625" s="99"/>
      <c r="AE625" s="99"/>
      <c r="AF625" s="99"/>
      <c r="AG625" s="99"/>
      <c r="AH625" s="99"/>
      <c r="AI625" s="99"/>
      <c r="AJ625" s="99"/>
      <c r="AK625" s="99"/>
      <c r="AL625" s="99"/>
      <c r="AM625" s="99"/>
      <c r="AN625" s="99"/>
      <c r="AO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c r="AA626" s="99"/>
      <c r="AB626" s="99"/>
      <c r="AC626" s="99"/>
      <c r="AD626" s="99"/>
      <c r="AE626" s="99"/>
      <c r="AF626" s="99"/>
      <c r="AG626" s="99"/>
      <c r="AH626" s="99"/>
      <c r="AI626" s="99"/>
      <c r="AJ626" s="99"/>
      <c r="AK626" s="99"/>
      <c r="AL626" s="99"/>
      <c r="AM626" s="99"/>
      <c r="AN626" s="99"/>
      <c r="AO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c r="AA627" s="99"/>
      <c r="AB627" s="99"/>
      <c r="AC627" s="99"/>
      <c r="AD627" s="99"/>
      <c r="AE627" s="99"/>
      <c r="AF627" s="99"/>
      <c r="AG627" s="99"/>
      <c r="AH627" s="99"/>
      <c r="AI627" s="99"/>
      <c r="AJ627" s="99"/>
      <c r="AK627" s="99"/>
      <c r="AL627" s="99"/>
      <c r="AM627" s="99"/>
      <c r="AN627" s="99"/>
      <c r="AO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c r="AC628" s="99"/>
      <c r="AD628" s="99"/>
      <c r="AE628" s="99"/>
      <c r="AF628" s="99"/>
      <c r="AG628" s="99"/>
      <c r="AH628" s="99"/>
      <c r="AI628" s="99"/>
      <c r="AJ628" s="99"/>
      <c r="AK628" s="99"/>
      <c r="AL628" s="99"/>
      <c r="AM628" s="99"/>
      <c r="AN628" s="99"/>
      <c r="AO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c r="AC629" s="99"/>
      <c r="AD629" s="99"/>
      <c r="AE629" s="99"/>
      <c r="AF629" s="99"/>
      <c r="AG629" s="99"/>
      <c r="AH629" s="99"/>
      <c r="AI629" s="99"/>
      <c r="AJ629" s="99"/>
      <c r="AK629" s="99"/>
      <c r="AL629" s="99"/>
      <c r="AM629" s="99"/>
      <c r="AN629" s="99"/>
      <c r="AO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c r="AC630" s="99"/>
      <c r="AD630" s="99"/>
      <c r="AE630" s="99"/>
      <c r="AF630" s="99"/>
      <c r="AG630" s="99"/>
      <c r="AH630" s="99"/>
      <c r="AI630" s="99"/>
      <c r="AJ630" s="99"/>
      <c r="AK630" s="99"/>
      <c r="AL630" s="99"/>
      <c r="AM630" s="99"/>
      <c r="AN630" s="99"/>
      <c r="AO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c r="AC631" s="99"/>
      <c r="AD631" s="99"/>
      <c r="AE631" s="99"/>
      <c r="AF631" s="99"/>
      <c r="AG631" s="99"/>
      <c r="AH631" s="99"/>
      <c r="AI631" s="99"/>
      <c r="AJ631" s="99"/>
      <c r="AK631" s="99"/>
      <c r="AL631" s="99"/>
      <c r="AM631" s="99"/>
      <c r="AN631" s="99"/>
      <c r="AO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c r="AC632" s="99"/>
      <c r="AD632" s="99"/>
      <c r="AE632" s="99"/>
      <c r="AF632" s="99"/>
      <c r="AG632" s="99"/>
      <c r="AH632" s="99"/>
      <c r="AI632" s="99"/>
      <c r="AJ632" s="99"/>
      <c r="AK632" s="99"/>
      <c r="AL632" s="99"/>
      <c r="AM632" s="99"/>
      <c r="AN632" s="99"/>
      <c r="AO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c r="AC633" s="99"/>
      <c r="AD633" s="99"/>
      <c r="AE633" s="99"/>
      <c r="AF633" s="99"/>
      <c r="AG633" s="99"/>
      <c r="AH633" s="99"/>
      <c r="AI633" s="99"/>
      <c r="AJ633" s="99"/>
      <c r="AK633" s="99"/>
      <c r="AL633" s="99"/>
      <c r="AM633" s="99"/>
      <c r="AN633" s="99"/>
      <c r="AO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c r="AC634" s="99"/>
      <c r="AD634" s="99"/>
      <c r="AE634" s="99"/>
      <c r="AF634" s="99"/>
      <c r="AG634" s="99"/>
      <c r="AH634" s="99"/>
      <c r="AI634" s="99"/>
      <c r="AJ634" s="99"/>
      <c r="AK634" s="99"/>
      <c r="AL634" s="99"/>
      <c r="AM634" s="99"/>
      <c r="AN634" s="99"/>
      <c r="AO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c r="AC635" s="99"/>
      <c r="AD635" s="99"/>
      <c r="AE635" s="99"/>
      <c r="AF635" s="99"/>
      <c r="AG635" s="99"/>
      <c r="AH635" s="99"/>
      <c r="AI635" s="99"/>
      <c r="AJ635" s="99"/>
      <c r="AK635" s="99"/>
      <c r="AL635" s="99"/>
      <c r="AM635" s="99"/>
      <c r="AN635" s="99"/>
      <c r="AO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c r="AC636" s="99"/>
      <c r="AD636" s="99"/>
      <c r="AE636" s="99"/>
      <c r="AF636" s="99"/>
      <c r="AG636" s="99"/>
      <c r="AH636" s="99"/>
      <c r="AI636" s="99"/>
      <c r="AJ636" s="99"/>
      <c r="AK636" s="99"/>
      <c r="AL636" s="99"/>
      <c r="AM636" s="99"/>
      <c r="AN636" s="99"/>
      <c r="AO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c r="AC637" s="99"/>
      <c r="AD637" s="99"/>
      <c r="AE637" s="99"/>
      <c r="AF637" s="99"/>
      <c r="AG637" s="99"/>
      <c r="AH637" s="99"/>
      <c r="AI637" s="99"/>
      <c r="AJ637" s="99"/>
      <c r="AK637" s="99"/>
      <c r="AL637" s="99"/>
      <c r="AM637" s="99"/>
      <c r="AN637" s="99"/>
      <c r="AO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c r="AC638" s="99"/>
      <c r="AD638" s="99"/>
      <c r="AE638" s="99"/>
      <c r="AF638" s="99"/>
      <c r="AG638" s="99"/>
      <c r="AH638" s="99"/>
      <c r="AI638" s="99"/>
      <c r="AJ638" s="99"/>
      <c r="AK638" s="99"/>
      <c r="AL638" s="99"/>
      <c r="AM638" s="99"/>
      <c r="AN638" s="99"/>
      <c r="AO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c r="AA639" s="99"/>
      <c r="AB639" s="99"/>
      <c r="AC639" s="99"/>
      <c r="AD639" s="99"/>
      <c r="AE639" s="99"/>
      <c r="AF639" s="99"/>
      <c r="AG639" s="99"/>
      <c r="AH639" s="99"/>
      <c r="AI639" s="99"/>
      <c r="AJ639" s="99"/>
      <c r="AK639" s="99"/>
      <c r="AL639" s="99"/>
      <c r="AM639" s="99"/>
      <c r="AN639" s="99"/>
      <c r="AO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c r="AA640" s="99"/>
      <c r="AB640" s="99"/>
      <c r="AC640" s="99"/>
      <c r="AD640" s="99"/>
      <c r="AE640" s="99"/>
      <c r="AF640" s="99"/>
      <c r="AG640" s="99"/>
      <c r="AH640" s="99"/>
      <c r="AI640" s="99"/>
      <c r="AJ640" s="99"/>
      <c r="AK640" s="99"/>
      <c r="AL640" s="99"/>
      <c r="AM640" s="99"/>
      <c r="AN640" s="99"/>
      <c r="AO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c r="AA641" s="99"/>
      <c r="AB641" s="99"/>
      <c r="AC641" s="99"/>
      <c r="AD641" s="99"/>
      <c r="AE641" s="99"/>
      <c r="AF641" s="99"/>
      <c r="AG641" s="99"/>
      <c r="AH641" s="99"/>
      <c r="AI641" s="99"/>
      <c r="AJ641" s="99"/>
      <c r="AK641" s="99"/>
      <c r="AL641" s="99"/>
      <c r="AM641" s="99"/>
      <c r="AN641" s="99"/>
      <c r="AO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c r="AA642" s="99"/>
      <c r="AB642" s="99"/>
      <c r="AC642" s="99"/>
      <c r="AD642" s="99"/>
      <c r="AE642" s="99"/>
      <c r="AF642" s="99"/>
      <c r="AG642" s="99"/>
      <c r="AH642" s="99"/>
      <c r="AI642" s="99"/>
      <c r="AJ642" s="99"/>
      <c r="AK642" s="99"/>
      <c r="AL642" s="99"/>
      <c r="AM642" s="99"/>
      <c r="AN642" s="99"/>
      <c r="AO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c r="AA643" s="99"/>
      <c r="AB643" s="99"/>
      <c r="AC643" s="99"/>
      <c r="AD643" s="99"/>
      <c r="AE643" s="99"/>
      <c r="AF643" s="99"/>
      <c r="AG643" s="99"/>
      <c r="AH643" s="99"/>
      <c r="AI643" s="99"/>
      <c r="AJ643" s="99"/>
      <c r="AK643" s="99"/>
      <c r="AL643" s="99"/>
      <c r="AM643" s="99"/>
      <c r="AN643" s="99"/>
      <c r="AO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c r="AA644" s="99"/>
      <c r="AB644" s="99"/>
      <c r="AC644" s="99"/>
      <c r="AD644" s="99"/>
      <c r="AE644" s="99"/>
      <c r="AF644" s="99"/>
      <c r="AG644" s="99"/>
      <c r="AH644" s="99"/>
      <c r="AI644" s="99"/>
      <c r="AJ644" s="99"/>
      <c r="AK644" s="99"/>
      <c r="AL644" s="99"/>
      <c r="AM644" s="99"/>
      <c r="AN644" s="99"/>
      <c r="AO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c r="AC645" s="99"/>
      <c r="AD645" s="99"/>
      <c r="AE645" s="99"/>
      <c r="AF645" s="99"/>
      <c r="AG645" s="99"/>
      <c r="AH645" s="99"/>
      <c r="AI645" s="99"/>
      <c r="AJ645" s="99"/>
      <c r="AK645" s="99"/>
      <c r="AL645" s="99"/>
      <c r="AM645" s="99"/>
      <c r="AN645" s="99"/>
      <c r="AO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c r="AA646" s="99"/>
      <c r="AB646" s="99"/>
      <c r="AC646" s="99"/>
      <c r="AD646" s="99"/>
      <c r="AE646" s="99"/>
      <c r="AF646" s="99"/>
      <c r="AG646" s="99"/>
      <c r="AH646" s="99"/>
      <c r="AI646" s="99"/>
      <c r="AJ646" s="99"/>
      <c r="AK646" s="99"/>
      <c r="AL646" s="99"/>
      <c r="AM646" s="99"/>
      <c r="AN646" s="99"/>
      <c r="AO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c r="AA647" s="99"/>
      <c r="AB647" s="99"/>
      <c r="AC647" s="99"/>
      <c r="AD647" s="99"/>
      <c r="AE647" s="99"/>
      <c r="AF647" s="99"/>
      <c r="AG647" s="99"/>
      <c r="AH647" s="99"/>
      <c r="AI647" s="99"/>
      <c r="AJ647" s="99"/>
      <c r="AK647" s="99"/>
      <c r="AL647" s="99"/>
      <c r="AM647" s="99"/>
      <c r="AN647" s="99"/>
      <c r="AO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c r="AA648" s="99"/>
      <c r="AB648" s="99"/>
      <c r="AC648" s="99"/>
      <c r="AD648" s="99"/>
      <c r="AE648" s="99"/>
      <c r="AF648" s="99"/>
      <c r="AG648" s="99"/>
      <c r="AH648" s="99"/>
      <c r="AI648" s="99"/>
      <c r="AJ648" s="99"/>
      <c r="AK648" s="99"/>
      <c r="AL648" s="99"/>
      <c r="AM648" s="99"/>
      <c r="AN648" s="99"/>
      <c r="AO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c r="AA649" s="99"/>
      <c r="AB649" s="99"/>
      <c r="AC649" s="99"/>
      <c r="AD649" s="99"/>
      <c r="AE649" s="99"/>
      <c r="AF649" s="99"/>
      <c r="AG649" s="99"/>
      <c r="AH649" s="99"/>
      <c r="AI649" s="99"/>
      <c r="AJ649" s="99"/>
      <c r="AK649" s="99"/>
      <c r="AL649" s="99"/>
      <c r="AM649" s="99"/>
      <c r="AN649" s="99"/>
      <c r="AO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c r="AA650" s="99"/>
      <c r="AB650" s="99"/>
      <c r="AC650" s="99"/>
      <c r="AD650" s="99"/>
      <c r="AE650" s="99"/>
      <c r="AF650" s="99"/>
      <c r="AG650" s="99"/>
      <c r="AH650" s="99"/>
      <c r="AI650" s="99"/>
      <c r="AJ650" s="99"/>
      <c r="AK650" s="99"/>
      <c r="AL650" s="99"/>
      <c r="AM650" s="99"/>
      <c r="AN650" s="99"/>
      <c r="AO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c r="AA651" s="99"/>
      <c r="AB651" s="99"/>
      <c r="AC651" s="99"/>
      <c r="AD651" s="99"/>
      <c r="AE651" s="99"/>
      <c r="AF651" s="99"/>
      <c r="AG651" s="99"/>
      <c r="AH651" s="99"/>
      <c r="AI651" s="99"/>
      <c r="AJ651" s="99"/>
      <c r="AK651" s="99"/>
      <c r="AL651" s="99"/>
      <c r="AM651" s="99"/>
      <c r="AN651" s="99"/>
      <c r="AO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c r="AA652" s="99"/>
      <c r="AB652" s="99"/>
      <c r="AC652" s="99"/>
      <c r="AD652" s="99"/>
      <c r="AE652" s="99"/>
      <c r="AF652" s="99"/>
      <c r="AG652" s="99"/>
      <c r="AH652" s="99"/>
      <c r="AI652" s="99"/>
      <c r="AJ652" s="99"/>
      <c r="AK652" s="99"/>
      <c r="AL652" s="99"/>
      <c r="AM652" s="99"/>
      <c r="AN652" s="99"/>
      <c r="AO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c r="AA653" s="99"/>
      <c r="AB653" s="99"/>
      <c r="AC653" s="99"/>
      <c r="AD653" s="99"/>
      <c r="AE653" s="99"/>
      <c r="AF653" s="99"/>
      <c r="AG653" s="99"/>
      <c r="AH653" s="99"/>
      <c r="AI653" s="99"/>
      <c r="AJ653" s="99"/>
      <c r="AK653" s="99"/>
      <c r="AL653" s="99"/>
      <c r="AM653" s="99"/>
      <c r="AN653" s="99"/>
      <c r="AO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c r="AA654" s="99"/>
      <c r="AB654" s="99"/>
      <c r="AC654" s="99"/>
      <c r="AD654" s="99"/>
      <c r="AE654" s="99"/>
      <c r="AF654" s="99"/>
      <c r="AG654" s="99"/>
      <c r="AH654" s="99"/>
      <c r="AI654" s="99"/>
      <c r="AJ654" s="99"/>
      <c r="AK654" s="99"/>
      <c r="AL654" s="99"/>
      <c r="AM654" s="99"/>
      <c r="AN654" s="99"/>
      <c r="AO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c r="AA655" s="99"/>
      <c r="AB655" s="99"/>
      <c r="AC655" s="99"/>
      <c r="AD655" s="99"/>
      <c r="AE655" s="99"/>
      <c r="AF655" s="99"/>
      <c r="AG655" s="99"/>
      <c r="AH655" s="99"/>
      <c r="AI655" s="99"/>
      <c r="AJ655" s="99"/>
      <c r="AK655" s="99"/>
      <c r="AL655" s="99"/>
      <c r="AM655" s="99"/>
      <c r="AN655" s="99"/>
      <c r="AO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c r="AA656" s="99"/>
      <c r="AB656" s="99"/>
      <c r="AC656" s="99"/>
      <c r="AD656" s="99"/>
      <c r="AE656" s="99"/>
      <c r="AF656" s="99"/>
      <c r="AG656" s="99"/>
      <c r="AH656" s="99"/>
      <c r="AI656" s="99"/>
      <c r="AJ656" s="99"/>
      <c r="AK656" s="99"/>
      <c r="AL656" s="99"/>
      <c r="AM656" s="99"/>
      <c r="AN656" s="99"/>
      <c r="AO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c r="AA657" s="99"/>
      <c r="AB657" s="99"/>
      <c r="AC657" s="99"/>
      <c r="AD657" s="99"/>
      <c r="AE657" s="99"/>
      <c r="AF657" s="99"/>
      <c r="AG657" s="99"/>
      <c r="AH657" s="99"/>
      <c r="AI657" s="99"/>
      <c r="AJ657" s="99"/>
      <c r="AK657" s="99"/>
      <c r="AL657" s="99"/>
      <c r="AM657" s="99"/>
      <c r="AN657" s="99"/>
      <c r="AO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c r="AA658" s="99"/>
      <c r="AB658" s="99"/>
      <c r="AC658" s="99"/>
      <c r="AD658" s="99"/>
      <c r="AE658" s="99"/>
      <c r="AF658" s="99"/>
      <c r="AG658" s="99"/>
      <c r="AH658" s="99"/>
      <c r="AI658" s="99"/>
      <c r="AJ658" s="99"/>
      <c r="AK658" s="99"/>
      <c r="AL658" s="99"/>
      <c r="AM658" s="99"/>
      <c r="AN658" s="99"/>
      <c r="AO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c r="AA659" s="99"/>
      <c r="AB659" s="99"/>
      <c r="AC659" s="99"/>
      <c r="AD659" s="99"/>
      <c r="AE659" s="99"/>
      <c r="AF659" s="99"/>
      <c r="AG659" s="99"/>
      <c r="AH659" s="99"/>
      <c r="AI659" s="99"/>
      <c r="AJ659" s="99"/>
      <c r="AK659" s="99"/>
      <c r="AL659" s="99"/>
      <c r="AM659" s="99"/>
      <c r="AN659" s="99"/>
      <c r="AO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c r="AA660" s="99"/>
      <c r="AB660" s="99"/>
      <c r="AC660" s="99"/>
      <c r="AD660" s="99"/>
      <c r="AE660" s="99"/>
      <c r="AF660" s="99"/>
      <c r="AG660" s="99"/>
      <c r="AH660" s="99"/>
      <c r="AI660" s="99"/>
      <c r="AJ660" s="99"/>
      <c r="AK660" s="99"/>
      <c r="AL660" s="99"/>
      <c r="AM660" s="99"/>
      <c r="AN660" s="99"/>
      <c r="AO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c r="AA661" s="99"/>
      <c r="AB661" s="99"/>
      <c r="AC661" s="99"/>
      <c r="AD661" s="99"/>
      <c r="AE661" s="99"/>
      <c r="AF661" s="99"/>
      <c r="AG661" s="99"/>
      <c r="AH661" s="99"/>
      <c r="AI661" s="99"/>
      <c r="AJ661" s="99"/>
      <c r="AK661" s="99"/>
      <c r="AL661" s="99"/>
      <c r="AM661" s="99"/>
      <c r="AN661" s="99"/>
      <c r="AO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c r="AA662" s="99"/>
      <c r="AB662" s="99"/>
      <c r="AC662" s="99"/>
      <c r="AD662" s="99"/>
      <c r="AE662" s="99"/>
      <c r="AF662" s="99"/>
      <c r="AG662" s="99"/>
      <c r="AH662" s="99"/>
      <c r="AI662" s="99"/>
      <c r="AJ662" s="99"/>
      <c r="AK662" s="99"/>
      <c r="AL662" s="99"/>
      <c r="AM662" s="99"/>
      <c r="AN662" s="99"/>
      <c r="AO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c r="AA663" s="99"/>
      <c r="AB663" s="99"/>
      <c r="AC663" s="99"/>
      <c r="AD663" s="99"/>
      <c r="AE663" s="99"/>
      <c r="AF663" s="99"/>
      <c r="AG663" s="99"/>
      <c r="AH663" s="99"/>
      <c r="AI663" s="99"/>
      <c r="AJ663" s="99"/>
      <c r="AK663" s="99"/>
      <c r="AL663" s="99"/>
      <c r="AM663" s="99"/>
      <c r="AN663" s="99"/>
      <c r="AO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c r="AA664" s="99"/>
      <c r="AB664" s="99"/>
      <c r="AC664" s="99"/>
      <c r="AD664" s="99"/>
      <c r="AE664" s="99"/>
      <c r="AF664" s="99"/>
      <c r="AG664" s="99"/>
      <c r="AH664" s="99"/>
      <c r="AI664" s="99"/>
      <c r="AJ664" s="99"/>
      <c r="AK664" s="99"/>
      <c r="AL664" s="99"/>
      <c r="AM664" s="99"/>
      <c r="AN664" s="99"/>
      <c r="AO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c r="AA665" s="99"/>
      <c r="AB665" s="99"/>
      <c r="AC665" s="99"/>
      <c r="AD665" s="99"/>
      <c r="AE665" s="99"/>
      <c r="AF665" s="99"/>
      <c r="AG665" s="99"/>
      <c r="AH665" s="99"/>
      <c r="AI665" s="99"/>
      <c r="AJ665" s="99"/>
      <c r="AK665" s="99"/>
      <c r="AL665" s="99"/>
      <c r="AM665" s="99"/>
      <c r="AN665" s="99"/>
      <c r="AO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c r="AA666" s="99"/>
      <c r="AB666" s="99"/>
      <c r="AC666" s="99"/>
      <c r="AD666" s="99"/>
      <c r="AE666" s="99"/>
      <c r="AF666" s="99"/>
      <c r="AG666" s="99"/>
      <c r="AH666" s="99"/>
      <c r="AI666" s="99"/>
      <c r="AJ666" s="99"/>
      <c r="AK666" s="99"/>
      <c r="AL666" s="99"/>
      <c r="AM666" s="99"/>
      <c r="AN666" s="99"/>
      <c r="AO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c r="AA667" s="99"/>
      <c r="AB667" s="99"/>
      <c r="AC667" s="99"/>
      <c r="AD667" s="99"/>
      <c r="AE667" s="99"/>
      <c r="AF667" s="99"/>
      <c r="AG667" s="99"/>
      <c r="AH667" s="99"/>
      <c r="AI667" s="99"/>
      <c r="AJ667" s="99"/>
      <c r="AK667" s="99"/>
      <c r="AL667" s="99"/>
      <c r="AM667" s="99"/>
      <c r="AN667" s="99"/>
      <c r="AO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c r="AA668" s="99"/>
      <c r="AB668" s="99"/>
      <c r="AC668" s="99"/>
      <c r="AD668" s="99"/>
      <c r="AE668" s="99"/>
      <c r="AF668" s="99"/>
      <c r="AG668" s="99"/>
      <c r="AH668" s="99"/>
      <c r="AI668" s="99"/>
      <c r="AJ668" s="99"/>
      <c r="AK668" s="99"/>
      <c r="AL668" s="99"/>
      <c r="AM668" s="99"/>
      <c r="AN668" s="99"/>
      <c r="AO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c r="AA669" s="99"/>
      <c r="AB669" s="99"/>
      <c r="AC669" s="99"/>
      <c r="AD669" s="99"/>
      <c r="AE669" s="99"/>
      <c r="AF669" s="99"/>
      <c r="AG669" s="99"/>
      <c r="AH669" s="99"/>
      <c r="AI669" s="99"/>
      <c r="AJ669" s="99"/>
      <c r="AK669" s="99"/>
      <c r="AL669" s="99"/>
      <c r="AM669" s="99"/>
      <c r="AN669" s="99"/>
      <c r="AO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c r="AA670" s="99"/>
      <c r="AB670" s="99"/>
      <c r="AC670" s="99"/>
      <c r="AD670" s="99"/>
      <c r="AE670" s="99"/>
      <c r="AF670" s="99"/>
      <c r="AG670" s="99"/>
      <c r="AH670" s="99"/>
      <c r="AI670" s="99"/>
      <c r="AJ670" s="99"/>
      <c r="AK670" s="99"/>
      <c r="AL670" s="99"/>
      <c r="AM670" s="99"/>
      <c r="AN670" s="99"/>
      <c r="AO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c r="AA671" s="99"/>
      <c r="AB671" s="99"/>
      <c r="AC671" s="99"/>
      <c r="AD671" s="99"/>
      <c r="AE671" s="99"/>
      <c r="AF671" s="99"/>
      <c r="AG671" s="99"/>
      <c r="AH671" s="99"/>
      <c r="AI671" s="99"/>
      <c r="AJ671" s="99"/>
      <c r="AK671" s="99"/>
      <c r="AL671" s="99"/>
      <c r="AM671" s="99"/>
      <c r="AN671" s="99"/>
      <c r="AO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c r="AA672" s="99"/>
      <c r="AB672" s="99"/>
      <c r="AC672" s="99"/>
      <c r="AD672" s="99"/>
      <c r="AE672" s="99"/>
      <c r="AF672" s="99"/>
      <c r="AG672" s="99"/>
      <c r="AH672" s="99"/>
      <c r="AI672" s="99"/>
      <c r="AJ672" s="99"/>
      <c r="AK672" s="99"/>
      <c r="AL672" s="99"/>
      <c r="AM672" s="99"/>
      <c r="AN672" s="99"/>
      <c r="AO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c r="AA673" s="99"/>
      <c r="AB673" s="99"/>
      <c r="AC673" s="99"/>
      <c r="AD673" s="99"/>
      <c r="AE673" s="99"/>
      <c r="AF673" s="99"/>
      <c r="AG673" s="99"/>
      <c r="AH673" s="99"/>
      <c r="AI673" s="99"/>
      <c r="AJ673" s="99"/>
      <c r="AK673" s="99"/>
      <c r="AL673" s="99"/>
      <c r="AM673" s="99"/>
      <c r="AN673" s="99"/>
      <c r="AO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c r="AA674" s="99"/>
      <c r="AB674" s="99"/>
      <c r="AC674" s="99"/>
      <c r="AD674" s="99"/>
      <c r="AE674" s="99"/>
      <c r="AF674" s="99"/>
      <c r="AG674" s="99"/>
      <c r="AH674" s="99"/>
      <c r="AI674" s="99"/>
      <c r="AJ674" s="99"/>
      <c r="AK674" s="99"/>
      <c r="AL674" s="99"/>
      <c r="AM674" s="99"/>
      <c r="AN674" s="99"/>
      <c r="AO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c r="AA675" s="99"/>
      <c r="AB675" s="99"/>
      <c r="AC675" s="99"/>
      <c r="AD675" s="99"/>
      <c r="AE675" s="99"/>
      <c r="AF675" s="99"/>
      <c r="AG675" s="99"/>
      <c r="AH675" s="99"/>
      <c r="AI675" s="99"/>
      <c r="AJ675" s="99"/>
      <c r="AK675" s="99"/>
      <c r="AL675" s="99"/>
      <c r="AM675" s="99"/>
      <c r="AN675" s="99"/>
      <c r="AO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c r="AA676" s="99"/>
      <c r="AB676" s="99"/>
      <c r="AC676" s="99"/>
      <c r="AD676" s="99"/>
      <c r="AE676" s="99"/>
      <c r="AF676" s="99"/>
      <c r="AG676" s="99"/>
      <c r="AH676" s="99"/>
      <c r="AI676" s="99"/>
      <c r="AJ676" s="99"/>
      <c r="AK676" s="99"/>
      <c r="AL676" s="99"/>
      <c r="AM676" s="99"/>
      <c r="AN676" s="99"/>
      <c r="AO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c r="AA677" s="99"/>
      <c r="AB677" s="99"/>
      <c r="AC677" s="99"/>
      <c r="AD677" s="99"/>
      <c r="AE677" s="99"/>
      <c r="AF677" s="99"/>
      <c r="AG677" s="99"/>
      <c r="AH677" s="99"/>
      <c r="AI677" s="99"/>
      <c r="AJ677" s="99"/>
      <c r="AK677" s="99"/>
      <c r="AL677" s="99"/>
      <c r="AM677" s="99"/>
      <c r="AN677" s="99"/>
      <c r="AO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c r="AA678" s="99"/>
      <c r="AB678" s="99"/>
      <c r="AC678" s="99"/>
      <c r="AD678" s="99"/>
      <c r="AE678" s="99"/>
      <c r="AF678" s="99"/>
      <c r="AG678" s="99"/>
      <c r="AH678" s="99"/>
      <c r="AI678" s="99"/>
      <c r="AJ678" s="99"/>
      <c r="AK678" s="99"/>
      <c r="AL678" s="99"/>
      <c r="AM678" s="99"/>
      <c r="AN678" s="99"/>
      <c r="AO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c r="AA679" s="99"/>
      <c r="AB679" s="99"/>
      <c r="AC679" s="99"/>
      <c r="AD679" s="99"/>
      <c r="AE679" s="99"/>
      <c r="AF679" s="99"/>
      <c r="AG679" s="99"/>
      <c r="AH679" s="99"/>
      <c r="AI679" s="99"/>
      <c r="AJ679" s="99"/>
      <c r="AK679" s="99"/>
      <c r="AL679" s="99"/>
      <c r="AM679" s="99"/>
      <c r="AN679" s="99"/>
      <c r="AO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c r="AA680" s="99"/>
      <c r="AB680" s="99"/>
      <c r="AC680" s="99"/>
      <c r="AD680" s="99"/>
      <c r="AE680" s="99"/>
      <c r="AF680" s="99"/>
      <c r="AG680" s="99"/>
      <c r="AH680" s="99"/>
      <c r="AI680" s="99"/>
      <c r="AJ680" s="99"/>
      <c r="AK680" s="99"/>
      <c r="AL680" s="99"/>
      <c r="AM680" s="99"/>
      <c r="AN680" s="99"/>
      <c r="AO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c r="AA681" s="99"/>
      <c r="AB681" s="99"/>
      <c r="AC681" s="99"/>
      <c r="AD681" s="99"/>
      <c r="AE681" s="99"/>
      <c r="AF681" s="99"/>
      <c r="AG681" s="99"/>
      <c r="AH681" s="99"/>
      <c r="AI681" s="99"/>
      <c r="AJ681" s="99"/>
      <c r="AK681" s="99"/>
      <c r="AL681" s="99"/>
      <c r="AM681" s="99"/>
      <c r="AN681" s="99"/>
      <c r="AO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c r="AA682" s="99"/>
      <c r="AB682" s="99"/>
      <c r="AC682" s="99"/>
      <c r="AD682" s="99"/>
      <c r="AE682" s="99"/>
      <c r="AF682" s="99"/>
      <c r="AG682" s="99"/>
      <c r="AH682" s="99"/>
      <c r="AI682" s="99"/>
      <c r="AJ682" s="99"/>
      <c r="AK682" s="99"/>
      <c r="AL682" s="99"/>
      <c r="AM682" s="99"/>
      <c r="AN682" s="99"/>
      <c r="AO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c r="AA683" s="99"/>
      <c r="AB683" s="99"/>
      <c r="AC683" s="99"/>
      <c r="AD683" s="99"/>
      <c r="AE683" s="99"/>
      <c r="AF683" s="99"/>
      <c r="AG683" s="99"/>
      <c r="AH683" s="99"/>
      <c r="AI683" s="99"/>
      <c r="AJ683" s="99"/>
      <c r="AK683" s="99"/>
      <c r="AL683" s="99"/>
      <c r="AM683" s="99"/>
      <c r="AN683" s="99"/>
      <c r="AO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c r="AA684" s="99"/>
      <c r="AB684" s="99"/>
      <c r="AC684" s="99"/>
      <c r="AD684" s="99"/>
      <c r="AE684" s="99"/>
      <c r="AF684" s="99"/>
      <c r="AG684" s="99"/>
      <c r="AH684" s="99"/>
      <c r="AI684" s="99"/>
      <c r="AJ684" s="99"/>
      <c r="AK684" s="99"/>
      <c r="AL684" s="99"/>
      <c r="AM684" s="99"/>
      <c r="AN684" s="99"/>
      <c r="AO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c r="AA685" s="99"/>
      <c r="AB685" s="99"/>
      <c r="AC685" s="99"/>
      <c r="AD685" s="99"/>
      <c r="AE685" s="99"/>
      <c r="AF685" s="99"/>
      <c r="AG685" s="99"/>
      <c r="AH685" s="99"/>
      <c r="AI685" s="99"/>
      <c r="AJ685" s="99"/>
      <c r="AK685" s="99"/>
      <c r="AL685" s="99"/>
      <c r="AM685" s="99"/>
      <c r="AN685" s="99"/>
      <c r="AO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c r="AA686" s="99"/>
      <c r="AB686" s="99"/>
      <c r="AC686" s="99"/>
      <c r="AD686" s="99"/>
      <c r="AE686" s="99"/>
      <c r="AF686" s="99"/>
      <c r="AG686" s="99"/>
      <c r="AH686" s="99"/>
      <c r="AI686" s="99"/>
      <c r="AJ686" s="99"/>
      <c r="AK686" s="99"/>
      <c r="AL686" s="99"/>
      <c r="AM686" s="99"/>
      <c r="AN686" s="99"/>
      <c r="AO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c r="AA687" s="99"/>
      <c r="AB687" s="99"/>
      <c r="AC687" s="99"/>
      <c r="AD687" s="99"/>
      <c r="AE687" s="99"/>
      <c r="AF687" s="99"/>
      <c r="AG687" s="99"/>
      <c r="AH687" s="99"/>
      <c r="AI687" s="99"/>
      <c r="AJ687" s="99"/>
      <c r="AK687" s="99"/>
      <c r="AL687" s="99"/>
      <c r="AM687" s="99"/>
      <c r="AN687" s="99"/>
      <c r="AO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c r="AA688" s="99"/>
      <c r="AB688" s="99"/>
      <c r="AC688" s="99"/>
      <c r="AD688" s="99"/>
      <c r="AE688" s="99"/>
      <c r="AF688" s="99"/>
      <c r="AG688" s="99"/>
      <c r="AH688" s="99"/>
      <c r="AI688" s="99"/>
      <c r="AJ688" s="99"/>
      <c r="AK688" s="99"/>
      <c r="AL688" s="99"/>
      <c r="AM688" s="99"/>
      <c r="AN688" s="99"/>
      <c r="AO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c r="AA689" s="99"/>
      <c r="AB689" s="99"/>
      <c r="AC689" s="99"/>
      <c r="AD689" s="99"/>
      <c r="AE689" s="99"/>
      <c r="AF689" s="99"/>
      <c r="AG689" s="99"/>
      <c r="AH689" s="99"/>
      <c r="AI689" s="99"/>
      <c r="AJ689" s="99"/>
      <c r="AK689" s="99"/>
      <c r="AL689" s="99"/>
      <c r="AM689" s="99"/>
      <c r="AN689" s="99"/>
      <c r="AO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c r="AA690" s="99"/>
      <c r="AB690" s="99"/>
      <c r="AC690" s="99"/>
      <c r="AD690" s="99"/>
      <c r="AE690" s="99"/>
      <c r="AF690" s="99"/>
      <c r="AG690" s="99"/>
      <c r="AH690" s="99"/>
      <c r="AI690" s="99"/>
      <c r="AJ690" s="99"/>
      <c r="AK690" s="99"/>
      <c r="AL690" s="99"/>
      <c r="AM690" s="99"/>
      <c r="AN690" s="99"/>
      <c r="AO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c r="AA691" s="99"/>
      <c r="AB691" s="99"/>
      <c r="AC691" s="99"/>
      <c r="AD691" s="99"/>
      <c r="AE691" s="99"/>
      <c r="AF691" s="99"/>
      <c r="AG691" s="99"/>
      <c r="AH691" s="99"/>
      <c r="AI691" s="99"/>
      <c r="AJ691" s="99"/>
      <c r="AK691" s="99"/>
      <c r="AL691" s="99"/>
      <c r="AM691" s="99"/>
      <c r="AN691" s="99"/>
      <c r="AO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c r="AA692" s="99"/>
      <c r="AB692" s="99"/>
      <c r="AC692" s="99"/>
      <c r="AD692" s="99"/>
      <c r="AE692" s="99"/>
      <c r="AF692" s="99"/>
      <c r="AG692" s="99"/>
      <c r="AH692" s="99"/>
      <c r="AI692" s="99"/>
      <c r="AJ692" s="99"/>
      <c r="AK692" s="99"/>
      <c r="AL692" s="99"/>
      <c r="AM692" s="99"/>
      <c r="AN692" s="99"/>
      <c r="AO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c r="AA693" s="99"/>
      <c r="AB693" s="99"/>
      <c r="AC693" s="99"/>
      <c r="AD693" s="99"/>
      <c r="AE693" s="99"/>
      <c r="AF693" s="99"/>
      <c r="AG693" s="99"/>
      <c r="AH693" s="99"/>
      <c r="AI693" s="99"/>
      <c r="AJ693" s="99"/>
      <c r="AK693" s="99"/>
      <c r="AL693" s="99"/>
      <c r="AM693" s="99"/>
      <c r="AN693" s="99"/>
      <c r="AO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c r="AA694" s="99"/>
      <c r="AB694" s="99"/>
      <c r="AC694" s="99"/>
      <c r="AD694" s="99"/>
      <c r="AE694" s="99"/>
      <c r="AF694" s="99"/>
      <c r="AG694" s="99"/>
      <c r="AH694" s="99"/>
      <c r="AI694" s="99"/>
      <c r="AJ694" s="99"/>
      <c r="AK694" s="99"/>
      <c r="AL694" s="99"/>
      <c r="AM694" s="99"/>
      <c r="AN694" s="99"/>
      <c r="AO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c r="AA695" s="99"/>
      <c r="AB695" s="99"/>
      <c r="AC695" s="99"/>
      <c r="AD695" s="99"/>
      <c r="AE695" s="99"/>
      <c r="AF695" s="99"/>
      <c r="AG695" s="99"/>
      <c r="AH695" s="99"/>
      <c r="AI695" s="99"/>
      <c r="AJ695" s="99"/>
      <c r="AK695" s="99"/>
      <c r="AL695" s="99"/>
      <c r="AM695" s="99"/>
      <c r="AN695" s="99"/>
      <c r="AO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c r="AA696" s="99"/>
      <c r="AB696" s="99"/>
      <c r="AC696" s="99"/>
      <c r="AD696" s="99"/>
      <c r="AE696" s="99"/>
      <c r="AF696" s="99"/>
      <c r="AG696" s="99"/>
      <c r="AH696" s="99"/>
      <c r="AI696" s="99"/>
      <c r="AJ696" s="99"/>
      <c r="AK696" s="99"/>
      <c r="AL696" s="99"/>
      <c r="AM696" s="99"/>
      <c r="AN696" s="99"/>
      <c r="AO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c r="AA697" s="99"/>
      <c r="AB697" s="99"/>
      <c r="AC697" s="99"/>
      <c r="AD697" s="99"/>
      <c r="AE697" s="99"/>
      <c r="AF697" s="99"/>
      <c r="AG697" s="99"/>
      <c r="AH697" s="99"/>
      <c r="AI697" s="99"/>
      <c r="AJ697" s="99"/>
      <c r="AK697" s="99"/>
      <c r="AL697" s="99"/>
      <c r="AM697" s="99"/>
      <c r="AN697" s="99"/>
      <c r="AO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c r="AA698" s="99"/>
      <c r="AB698" s="99"/>
      <c r="AC698" s="99"/>
      <c r="AD698" s="99"/>
      <c r="AE698" s="99"/>
      <c r="AF698" s="99"/>
      <c r="AG698" s="99"/>
      <c r="AH698" s="99"/>
      <c r="AI698" s="99"/>
      <c r="AJ698" s="99"/>
      <c r="AK698" s="99"/>
      <c r="AL698" s="99"/>
      <c r="AM698" s="99"/>
      <c r="AN698" s="99"/>
      <c r="AO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c r="AA699" s="99"/>
      <c r="AB699" s="99"/>
      <c r="AC699" s="99"/>
      <c r="AD699" s="99"/>
      <c r="AE699" s="99"/>
      <c r="AF699" s="99"/>
      <c r="AG699" s="99"/>
      <c r="AH699" s="99"/>
      <c r="AI699" s="99"/>
      <c r="AJ699" s="99"/>
      <c r="AK699" s="99"/>
      <c r="AL699" s="99"/>
      <c r="AM699" s="99"/>
      <c r="AN699" s="99"/>
      <c r="AO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c r="AA700" s="99"/>
      <c r="AB700" s="99"/>
      <c r="AC700" s="99"/>
      <c r="AD700" s="99"/>
      <c r="AE700" s="99"/>
      <c r="AF700" s="99"/>
      <c r="AG700" s="99"/>
      <c r="AH700" s="99"/>
      <c r="AI700" s="99"/>
      <c r="AJ700" s="99"/>
      <c r="AK700" s="99"/>
      <c r="AL700" s="99"/>
      <c r="AM700" s="99"/>
      <c r="AN700" s="99"/>
      <c r="AO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c r="AA701" s="99"/>
      <c r="AB701" s="99"/>
      <c r="AC701" s="99"/>
      <c r="AD701" s="99"/>
      <c r="AE701" s="99"/>
      <c r="AF701" s="99"/>
      <c r="AG701" s="99"/>
      <c r="AH701" s="99"/>
      <c r="AI701" s="99"/>
      <c r="AJ701" s="99"/>
      <c r="AK701" s="99"/>
      <c r="AL701" s="99"/>
      <c r="AM701" s="99"/>
      <c r="AN701" s="99"/>
      <c r="AO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c r="AA702" s="99"/>
      <c r="AB702" s="99"/>
      <c r="AC702" s="99"/>
      <c r="AD702" s="99"/>
      <c r="AE702" s="99"/>
      <c r="AF702" s="99"/>
      <c r="AG702" s="99"/>
      <c r="AH702" s="99"/>
      <c r="AI702" s="99"/>
      <c r="AJ702" s="99"/>
      <c r="AK702" s="99"/>
      <c r="AL702" s="99"/>
      <c r="AM702" s="99"/>
      <c r="AN702" s="99"/>
      <c r="AO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c r="AA703" s="99"/>
      <c r="AB703" s="99"/>
      <c r="AC703" s="99"/>
      <c r="AD703" s="99"/>
      <c r="AE703" s="99"/>
      <c r="AF703" s="99"/>
      <c r="AG703" s="99"/>
      <c r="AH703" s="99"/>
      <c r="AI703" s="99"/>
      <c r="AJ703" s="99"/>
      <c r="AK703" s="99"/>
      <c r="AL703" s="99"/>
      <c r="AM703" s="99"/>
      <c r="AN703" s="99"/>
      <c r="AO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c r="AA704" s="99"/>
      <c r="AB704" s="99"/>
      <c r="AC704" s="99"/>
      <c r="AD704" s="99"/>
      <c r="AE704" s="99"/>
      <c r="AF704" s="99"/>
      <c r="AG704" s="99"/>
      <c r="AH704" s="99"/>
      <c r="AI704" s="99"/>
      <c r="AJ704" s="99"/>
      <c r="AK704" s="99"/>
      <c r="AL704" s="99"/>
      <c r="AM704" s="99"/>
      <c r="AN704" s="99"/>
      <c r="AO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c r="AA705" s="99"/>
      <c r="AB705" s="99"/>
      <c r="AC705" s="99"/>
      <c r="AD705" s="99"/>
      <c r="AE705" s="99"/>
      <c r="AF705" s="99"/>
      <c r="AG705" s="99"/>
      <c r="AH705" s="99"/>
      <c r="AI705" s="99"/>
      <c r="AJ705" s="99"/>
      <c r="AK705" s="99"/>
      <c r="AL705" s="99"/>
      <c r="AM705" s="99"/>
      <c r="AN705" s="99"/>
      <c r="AO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c r="AA706" s="99"/>
      <c r="AB706" s="99"/>
      <c r="AC706" s="99"/>
      <c r="AD706" s="99"/>
      <c r="AE706" s="99"/>
      <c r="AF706" s="99"/>
      <c r="AG706" s="99"/>
      <c r="AH706" s="99"/>
      <c r="AI706" s="99"/>
      <c r="AJ706" s="99"/>
      <c r="AK706" s="99"/>
      <c r="AL706" s="99"/>
      <c r="AM706" s="99"/>
      <c r="AN706" s="99"/>
      <c r="AO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c r="AA707" s="99"/>
      <c r="AB707" s="99"/>
      <c r="AC707" s="99"/>
      <c r="AD707" s="99"/>
      <c r="AE707" s="99"/>
      <c r="AF707" s="99"/>
      <c r="AG707" s="99"/>
      <c r="AH707" s="99"/>
      <c r="AI707" s="99"/>
      <c r="AJ707" s="99"/>
      <c r="AK707" s="99"/>
      <c r="AL707" s="99"/>
      <c r="AM707" s="99"/>
      <c r="AN707" s="99"/>
      <c r="AO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c r="AA708" s="99"/>
      <c r="AB708" s="99"/>
      <c r="AC708" s="99"/>
      <c r="AD708" s="99"/>
      <c r="AE708" s="99"/>
      <c r="AF708" s="99"/>
      <c r="AG708" s="99"/>
      <c r="AH708" s="99"/>
      <c r="AI708" s="99"/>
      <c r="AJ708" s="99"/>
      <c r="AK708" s="99"/>
      <c r="AL708" s="99"/>
      <c r="AM708" s="99"/>
      <c r="AN708" s="99"/>
      <c r="AO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c r="AA709" s="99"/>
      <c r="AB709" s="99"/>
      <c r="AC709" s="99"/>
      <c r="AD709" s="99"/>
      <c r="AE709" s="99"/>
      <c r="AF709" s="99"/>
      <c r="AG709" s="99"/>
      <c r="AH709" s="99"/>
      <c r="AI709" s="99"/>
      <c r="AJ709" s="99"/>
      <c r="AK709" s="99"/>
      <c r="AL709" s="99"/>
      <c r="AM709" s="99"/>
      <c r="AN709" s="99"/>
      <c r="AO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c r="AA710" s="99"/>
      <c r="AB710" s="99"/>
      <c r="AC710" s="99"/>
      <c r="AD710" s="99"/>
      <c r="AE710" s="99"/>
      <c r="AF710" s="99"/>
      <c r="AG710" s="99"/>
      <c r="AH710" s="99"/>
      <c r="AI710" s="99"/>
      <c r="AJ710" s="99"/>
      <c r="AK710" s="99"/>
      <c r="AL710" s="99"/>
      <c r="AM710" s="99"/>
      <c r="AN710" s="99"/>
      <c r="AO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c r="AA711" s="99"/>
      <c r="AB711" s="99"/>
      <c r="AC711" s="99"/>
      <c r="AD711" s="99"/>
      <c r="AE711" s="99"/>
      <c r="AF711" s="99"/>
      <c r="AG711" s="99"/>
      <c r="AH711" s="99"/>
      <c r="AI711" s="99"/>
      <c r="AJ711" s="99"/>
      <c r="AK711" s="99"/>
      <c r="AL711" s="99"/>
      <c r="AM711" s="99"/>
      <c r="AN711" s="99"/>
      <c r="AO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c r="AA712" s="99"/>
      <c r="AB712" s="99"/>
      <c r="AC712" s="99"/>
      <c r="AD712" s="99"/>
      <c r="AE712" s="99"/>
      <c r="AF712" s="99"/>
      <c r="AG712" s="99"/>
      <c r="AH712" s="99"/>
      <c r="AI712" s="99"/>
      <c r="AJ712" s="99"/>
      <c r="AK712" s="99"/>
      <c r="AL712" s="99"/>
      <c r="AM712" s="99"/>
      <c r="AN712" s="99"/>
      <c r="AO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c r="AA713" s="99"/>
      <c r="AB713" s="99"/>
      <c r="AC713" s="99"/>
      <c r="AD713" s="99"/>
      <c r="AE713" s="99"/>
      <c r="AF713" s="99"/>
      <c r="AG713" s="99"/>
      <c r="AH713" s="99"/>
      <c r="AI713" s="99"/>
      <c r="AJ713" s="99"/>
      <c r="AK713" s="99"/>
      <c r="AL713" s="99"/>
      <c r="AM713" s="99"/>
      <c r="AN713" s="99"/>
      <c r="AO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c r="AA714" s="99"/>
      <c r="AB714" s="99"/>
      <c r="AC714" s="99"/>
      <c r="AD714" s="99"/>
      <c r="AE714" s="99"/>
      <c r="AF714" s="99"/>
      <c r="AG714" s="99"/>
      <c r="AH714" s="99"/>
      <c r="AI714" s="99"/>
      <c r="AJ714" s="99"/>
      <c r="AK714" s="99"/>
      <c r="AL714" s="99"/>
      <c r="AM714" s="99"/>
      <c r="AN714" s="99"/>
      <c r="AO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c r="AA715" s="99"/>
      <c r="AB715" s="99"/>
      <c r="AC715" s="99"/>
      <c r="AD715" s="99"/>
      <c r="AE715" s="99"/>
      <c r="AF715" s="99"/>
      <c r="AG715" s="99"/>
      <c r="AH715" s="99"/>
      <c r="AI715" s="99"/>
      <c r="AJ715" s="99"/>
      <c r="AK715" s="99"/>
      <c r="AL715" s="99"/>
      <c r="AM715" s="99"/>
      <c r="AN715" s="99"/>
      <c r="AO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c r="AA716" s="99"/>
      <c r="AB716" s="99"/>
      <c r="AC716" s="99"/>
      <c r="AD716" s="99"/>
      <c r="AE716" s="99"/>
      <c r="AF716" s="99"/>
      <c r="AG716" s="99"/>
      <c r="AH716" s="99"/>
      <c r="AI716" s="99"/>
      <c r="AJ716" s="99"/>
      <c r="AK716" s="99"/>
      <c r="AL716" s="99"/>
      <c r="AM716" s="99"/>
      <c r="AN716" s="99"/>
      <c r="AO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c r="AA717" s="99"/>
      <c r="AB717" s="99"/>
      <c r="AC717" s="99"/>
      <c r="AD717" s="99"/>
      <c r="AE717" s="99"/>
      <c r="AF717" s="99"/>
      <c r="AG717" s="99"/>
      <c r="AH717" s="99"/>
      <c r="AI717" s="99"/>
      <c r="AJ717" s="99"/>
      <c r="AK717" s="99"/>
      <c r="AL717" s="99"/>
      <c r="AM717" s="99"/>
      <c r="AN717" s="99"/>
      <c r="AO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c r="AA718" s="99"/>
      <c r="AB718" s="99"/>
      <c r="AC718" s="99"/>
      <c r="AD718" s="99"/>
      <c r="AE718" s="99"/>
      <c r="AF718" s="99"/>
      <c r="AG718" s="99"/>
      <c r="AH718" s="99"/>
      <c r="AI718" s="99"/>
      <c r="AJ718" s="99"/>
      <c r="AK718" s="99"/>
      <c r="AL718" s="99"/>
      <c r="AM718" s="99"/>
      <c r="AN718" s="99"/>
      <c r="AO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c r="AA719" s="99"/>
      <c r="AB719" s="99"/>
      <c r="AC719" s="99"/>
      <c r="AD719" s="99"/>
      <c r="AE719" s="99"/>
      <c r="AF719" s="99"/>
      <c r="AG719" s="99"/>
      <c r="AH719" s="99"/>
      <c r="AI719" s="99"/>
      <c r="AJ719" s="99"/>
      <c r="AK719" s="99"/>
      <c r="AL719" s="99"/>
      <c r="AM719" s="99"/>
      <c r="AN719" s="99"/>
      <c r="AO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c r="AA720" s="99"/>
      <c r="AB720" s="99"/>
      <c r="AC720" s="99"/>
      <c r="AD720" s="99"/>
      <c r="AE720" s="99"/>
      <c r="AF720" s="99"/>
      <c r="AG720" s="99"/>
      <c r="AH720" s="99"/>
      <c r="AI720" s="99"/>
      <c r="AJ720" s="99"/>
      <c r="AK720" s="99"/>
      <c r="AL720" s="99"/>
      <c r="AM720" s="99"/>
      <c r="AN720" s="99"/>
      <c r="AO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c r="AA721" s="99"/>
      <c r="AB721" s="99"/>
      <c r="AC721" s="99"/>
      <c r="AD721" s="99"/>
      <c r="AE721" s="99"/>
      <c r="AF721" s="99"/>
      <c r="AG721" s="99"/>
      <c r="AH721" s="99"/>
      <c r="AI721" s="99"/>
      <c r="AJ721" s="99"/>
      <c r="AK721" s="99"/>
      <c r="AL721" s="99"/>
      <c r="AM721" s="99"/>
      <c r="AN721" s="99"/>
      <c r="AO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c r="AA722" s="99"/>
      <c r="AB722" s="99"/>
      <c r="AC722" s="99"/>
      <c r="AD722" s="99"/>
      <c r="AE722" s="99"/>
      <c r="AF722" s="99"/>
      <c r="AG722" s="99"/>
      <c r="AH722" s="99"/>
      <c r="AI722" s="99"/>
      <c r="AJ722" s="99"/>
      <c r="AK722" s="99"/>
      <c r="AL722" s="99"/>
      <c r="AM722" s="99"/>
      <c r="AN722" s="99"/>
      <c r="AO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c r="AC723" s="99"/>
      <c r="AD723" s="99"/>
      <c r="AE723" s="99"/>
      <c r="AF723" s="99"/>
      <c r="AG723" s="99"/>
      <c r="AH723" s="99"/>
      <c r="AI723" s="99"/>
      <c r="AJ723" s="99"/>
      <c r="AK723" s="99"/>
      <c r="AL723" s="99"/>
      <c r="AM723" s="99"/>
      <c r="AN723" s="99"/>
      <c r="AO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c r="AA724" s="99"/>
      <c r="AB724" s="99"/>
      <c r="AC724" s="99"/>
      <c r="AD724" s="99"/>
      <c r="AE724" s="99"/>
      <c r="AF724" s="99"/>
      <c r="AG724" s="99"/>
      <c r="AH724" s="99"/>
      <c r="AI724" s="99"/>
      <c r="AJ724" s="99"/>
      <c r="AK724" s="99"/>
      <c r="AL724" s="99"/>
      <c r="AM724" s="99"/>
      <c r="AN724" s="99"/>
      <c r="AO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c r="AA725" s="99"/>
      <c r="AB725" s="99"/>
      <c r="AC725" s="99"/>
      <c r="AD725" s="99"/>
      <c r="AE725" s="99"/>
      <c r="AF725" s="99"/>
      <c r="AG725" s="99"/>
      <c r="AH725" s="99"/>
      <c r="AI725" s="99"/>
      <c r="AJ725" s="99"/>
      <c r="AK725" s="99"/>
      <c r="AL725" s="99"/>
      <c r="AM725" s="99"/>
      <c r="AN725" s="99"/>
      <c r="AO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c r="AA726" s="99"/>
      <c r="AB726" s="99"/>
      <c r="AC726" s="99"/>
      <c r="AD726" s="99"/>
      <c r="AE726" s="99"/>
      <c r="AF726" s="99"/>
      <c r="AG726" s="99"/>
      <c r="AH726" s="99"/>
      <c r="AI726" s="99"/>
      <c r="AJ726" s="99"/>
      <c r="AK726" s="99"/>
      <c r="AL726" s="99"/>
      <c r="AM726" s="99"/>
      <c r="AN726" s="99"/>
      <c r="AO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c r="AA727" s="99"/>
      <c r="AB727" s="99"/>
      <c r="AC727" s="99"/>
      <c r="AD727" s="99"/>
      <c r="AE727" s="99"/>
      <c r="AF727" s="99"/>
      <c r="AG727" s="99"/>
      <c r="AH727" s="99"/>
      <c r="AI727" s="99"/>
      <c r="AJ727" s="99"/>
      <c r="AK727" s="99"/>
      <c r="AL727" s="99"/>
      <c r="AM727" s="99"/>
      <c r="AN727" s="99"/>
      <c r="AO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c r="AA728" s="99"/>
      <c r="AB728" s="99"/>
      <c r="AC728" s="99"/>
      <c r="AD728" s="99"/>
      <c r="AE728" s="99"/>
      <c r="AF728" s="99"/>
      <c r="AG728" s="99"/>
      <c r="AH728" s="99"/>
      <c r="AI728" s="99"/>
      <c r="AJ728" s="99"/>
      <c r="AK728" s="99"/>
      <c r="AL728" s="99"/>
      <c r="AM728" s="99"/>
      <c r="AN728" s="99"/>
      <c r="AO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c r="AA729" s="99"/>
      <c r="AB729" s="99"/>
      <c r="AC729" s="99"/>
      <c r="AD729" s="99"/>
      <c r="AE729" s="99"/>
      <c r="AF729" s="99"/>
      <c r="AG729" s="99"/>
      <c r="AH729" s="99"/>
      <c r="AI729" s="99"/>
      <c r="AJ729" s="99"/>
      <c r="AK729" s="99"/>
      <c r="AL729" s="99"/>
      <c r="AM729" s="99"/>
      <c r="AN729" s="99"/>
      <c r="AO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c r="AA730" s="99"/>
      <c r="AB730" s="99"/>
      <c r="AC730" s="99"/>
      <c r="AD730" s="99"/>
      <c r="AE730" s="99"/>
      <c r="AF730" s="99"/>
      <c r="AG730" s="99"/>
      <c r="AH730" s="99"/>
      <c r="AI730" s="99"/>
      <c r="AJ730" s="99"/>
      <c r="AK730" s="99"/>
      <c r="AL730" s="99"/>
      <c r="AM730" s="99"/>
      <c r="AN730" s="99"/>
      <c r="AO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c r="AA731" s="99"/>
      <c r="AB731" s="99"/>
      <c r="AC731" s="99"/>
      <c r="AD731" s="99"/>
      <c r="AE731" s="99"/>
      <c r="AF731" s="99"/>
      <c r="AG731" s="99"/>
      <c r="AH731" s="99"/>
      <c r="AI731" s="99"/>
      <c r="AJ731" s="99"/>
      <c r="AK731" s="99"/>
      <c r="AL731" s="99"/>
      <c r="AM731" s="99"/>
      <c r="AN731" s="99"/>
      <c r="AO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c r="AA732" s="99"/>
      <c r="AB732" s="99"/>
      <c r="AC732" s="99"/>
      <c r="AD732" s="99"/>
      <c r="AE732" s="99"/>
      <c r="AF732" s="99"/>
      <c r="AG732" s="99"/>
      <c r="AH732" s="99"/>
      <c r="AI732" s="99"/>
      <c r="AJ732" s="99"/>
      <c r="AK732" s="99"/>
      <c r="AL732" s="99"/>
      <c r="AM732" s="99"/>
      <c r="AN732" s="99"/>
      <c r="AO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c r="AA733" s="99"/>
      <c r="AB733" s="99"/>
      <c r="AC733" s="99"/>
      <c r="AD733" s="99"/>
      <c r="AE733" s="99"/>
      <c r="AF733" s="99"/>
      <c r="AG733" s="99"/>
      <c r="AH733" s="99"/>
      <c r="AI733" s="99"/>
      <c r="AJ733" s="99"/>
      <c r="AK733" s="99"/>
      <c r="AL733" s="99"/>
      <c r="AM733" s="99"/>
      <c r="AN733" s="99"/>
      <c r="AO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c r="AA734" s="99"/>
      <c r="AB734" s="99"/>
      <c r="AC734" s="99"/>
      <c r="AD734" s="99"/>
      <c r="AE734" s="99"/>
      <c r="AF734" s="99"/>
      <c r="AG734" s="99"/>
      <c r="AH734" s="99"/>
      <c r="AI734" s="99"/>
      <c r="AJ734" s="99"/>
      <c r="AK734" s="99"/>
      <c r="AL734" s="99"/>
      <c r="AM734" s="99"/>
      <c r="AN734" s="99"/>
      <c r="AO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c r="AA735" s="99"/>
      <c r="AB735" s="99"/>
      <c r="AC735" s="99"/>
      <c r="AD735" s="99"/>
      <c r="AE735" s="99"/>
      <c r="AF735" s="99"/>
      <c r="AG735" s="99"/>
      <c r="AH735" s="99"/>
      <c r="AI735" s="99"/>
      <c r="AJ735" s="99"/>
      <c r="AK735" s="99"/>
      <c r="AL735" s="99"/>
      <c r="AM735" s="99"/>
      <c r="AN735" s="99"/>
      <c r="AO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c r="AA736" s="99"/>
      <c r="AB736" s="99"/>
      <c r="AC736" s="99"/>
      <c r="AD736" s="99"/>
      <c r="AE736" s="99"/>
      <c r="AF736" s="99"/>
      <c r="AG736" s="99"/>
      <c r="AH736" s="99"/>
      <c r="AI736" s="99"/>
      <c r="AJ736" s="99"/>
      <c r="AK736" s="99"/>
      <c r="AL736" s="99"/>
      <c r="AM736" s="99"/>
      <c r="AN736" s="99"/>
      <c r="AO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c r="AA737" s="99"/>
      <c r="AB737" s="99"/>
      <c r="AC737" s="99"/>
      <c r="AD737" s="99"/>
      <c r="AE737" s="99"/>
      <c r="AF737" s="99"/>
      <c r="AG737" s="99"/>
      <c r="AH737" s="99"/>
      <c r="AI737" s="99"/>
      <c r="AJ737" s="99"/>
      <c r="AK737" s="99"/>
      <c r="AL737" s="99"/>
      <c r="AM737" s="99"/>
      <c r="AN737" s="99"/>
      <c r="AO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c r="AA738" s="99"/>
      <c r="AB738" s="99"/>
      <c r="AC738" s="99"/>
      <c r="AD738" s="99"/>
      <c r="AE738" s="99"/>
      <c r="AF738" s="99"/>
      <c r="AG738" s="99"/>
      <c r="AH738" s="99"/>
      <c r="AI738" s="99"/>
      <c r="AJ738" s="99"/>
      <c r="AK738" s="99"/>
      <c r="AL738" s="99"/>
      <c r="AM738" s="99"/>
      <c r="AN738" s="99"/>
      <c r="AO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c r="AA739" s="99"/>
      <c r="AB739" s="99"/>
      <c r="AC739" s="99"/>
      <c r="AD739" s="99"/>
      <c r="AE739" s="99"/>
      <c r="AF739" s="99"/>
      <c r="AG739" s="99"/>
      <c r="AH739" s="99"/>
      <c r="AI739" s="99"/>
      <c r="AJ739" s="99"/>
      <c r="AK739" s="99"/>
      <c r="AL739" s="99"/>
      <c r="AM739" s="99"/>
      <c r="AN739" s="99"/>
      <c r="AO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c r="AA740" s="99"/>
      <c r="AB740" s="99"/>
      <c r="AC740" s="99"/>
      <c r="AD740" s="99"/>
      <c r="AE740" s="99"/>
      <c r="AF740" s="99"/>
      <c r="AG740" s="99"/>
      <c r="AH740" s="99"/>
      <c r="AI740" s="99"/>
      <c r="AJ740" s="99"/>
      <c r="AK740" s="99"/>
      <c r="AL740" s="99"/>
      <c r="AM740" s="99"/>
      <c r="AN740" s="99"/>
      <c r="AO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c r="AA741" s="99"/>
      <c r="AB741" s="99"/>
      <c r="AC741" s="99"/>
      <c r="AD741" s="99"/>
      <c r="AE741" s="99"/>
      <c r="AF741" s="99"/>
      <c r="AG741" s="99"/>
      <c r="AH741" s="99"/>
      <c r="AI741" s="99"/>
      <c r="AJ741" s="99"/>
      <c r="AK741" s="99"/>
      <c r="AL741" s="99"/>
      <c r="AM741" s="99"/>
      <c r="AN741" s="99"/>
      <c r="AO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c r="AA742" s="99"/>
      <c r="AB742" s="99"/>
      <c r="AC742" s="99"/>
      <c r="AD742" s="99"/>
      <c r="AE742" s="99"/>
      <c r="AF742" s="99"/>
      <c r="AG742" s="99"/>
      <c r="AH742" s="99"/>
      <c r="AI742" s="99"/>
      <c r="AJ742" s="99"/>
      <c r="AK742" s="99"/>
      <c r="AL742" s="99"/>
      <c r="AM742" s="99"/>
      <c r="AN742" s="99"/>
      <c r="AO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c r="AA743" s="99"/>
      <c r="AB743" s="99"/>
      <c r="AC743" s="99"/>
      <c r="AD743" s="99"/>
      <c r="AE743" s="99"/>
      <c r="AF743" s="99"/>
      <c r="AG743" s="99"/>
      <c r="AH743" s="99"/>
      <c r="AI743" s="99"/>
      <c r="AJ743" s="99"/>
      <c r="AK743" s="99"/>
      <c r="AL743" s="99"/>
      <c r="AM743" s="99"/>
      <c r="AN743" s="99"/>
      <c r="AO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c r="AA744" s="99"/>
      <c r="AB744" s="99"/>
      <c r="AC744" s="99"/>
      <c r="AD744" s="99"/>
      <c r="AE744" s="99"/>
      <c r="AF744" s="99"/>
      <c r="AG744" s="99"/>
      <c r="AH744" s="99"/>
      <c r="AI744" s="99"/>
      <c r="AJ744" s="99"/>
      <c r="AK744" s="99"/>
      <c r="AL744" s="99"/>
      <c r="AM744" s="99"/>
      <c r="AN744" s="99"/>
      <c r="AO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c r="AA745" s="99"/>
      <c r="AB745" s="99"/>
      <c r="AC745" s="99"/>
      <c r="AD745" s="99"/>
      <c r="AE745" s="99"/>
      <c r="AF745" s="99"/>
      <c r="AG745" s="99"/>
      <c r="AH745" s="99"/>
      <c r="AI745" s="99"/>
      <c r="AJ745" s="99"/>
      <c r="AK745" s="99"/>
      <c r="AL745" s="99"/>
      <c r="AM745" s="99"/>
      <c r="AN745" s="99"/>
      <c r="AO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c r="AA746" s="99"/>
      <c r="AB746" s="99"/>
      <c r="AC746" s="99"/>
      <c r="AD746" s="99"/>
      <c r="AE746" s="99"/>
      <c r="AF746" s="99"/>
      <c r="AG746" s="99"/>
      <c r="AH746" s="99"/>
      <c r="AI746" s="99"/>
      <c r="AJ746" s="99"/>
      <c r="AK746" s="99"/>
      <c r="AL746" s="99"/>
      <c r="AM746" s="99"/>
      <c r="AN746" s="99"/>
      <c r="AO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c r="AA747" s="99"/>
      <c r="AB747" s="99"/>
      <c r="AC747" s="99"/>
      <c r="AD747" s="99"/>
      <c r="AE747" s="99"/>
      <c r="AF747" s="99"/>
      <c r="AG747" s="99"/>
      <c r="AH747" s="99"/>
      <c r="AI747" s="99"/>
      <c r="AJ747" s="99"/>
      <c r="AK747" s="99"/>
      <c r="AL747" s="99"/>
      <c r="AM747" s="99"/>
      <c r="AN747" s="99"/>
      <c r="AO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c r="AA748" s="99"/>
      <c r="AB748" s="99"/>
      <c r="AC748" s="99"/>
      <c r="AD748" s="99"/>
      <c r="AE748" s="99"/>
      <c r="AF748" s="99"/>
      <c r="AG748" s="99"/>
      <c r="AH748" s="99"/>
      <c r="AI748" s="99"/>
      <c r="AJ748" s="99"/>
      <c r="AK748" s="99"/>
      <c r="AL748" s="99"/>
      <c r="AM748" s="99"/>
      <c r="AN748" s="99"/>
      <c r="AO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c r="AA749" s="99"/>
      <c r="AB749" s="99"/>
      <c r="AC749" s="99"/>
      <c r="AD749" s="99"/>
      <c r="AE749" s="99"/>
      <c r="AF749" s="99"/>
      <c r="AG749" s="99"/>
      <c r="AH749" s="99"/>
      <c r="AI749" s="99"/>
      <c r="AJ749" s="99"/>
      <c r="AK749" s="99"/>
      <c r="AL749" s="99"/>
      <c r="AM749" s="99"/>
      <c r="AN749" s="99"/>
      <c r="AO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c r="AA750" s="99"/>
      <c r="AB750" s="99"/>
      <c r="AC750" s="99"/>
      <c r="AD750" s="99"/>
      <c r="AE750" s="99"/>
      <c r="AF750" s="99"/>
      <c r="AG750" s="99"/>
      <c r="AH750" s="99"/>
      <c r="AI750" s="99"/>
      <c r="AJ750" s="99"/>
      <c r="AK750" s="99"/>
      <c r="AL750" s="99"/>
      <c r="AM750" s="99"/>
      <c r="AN750" s="99"/>
      <c r="AO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c r="AA751" s="99"/>
      <c r="AB751" s="99"/>
      <c r="AC751" s="99"/>
      <c r="AD751" s="99"/>
      <c r="AE751" s="99"/>
      <c r="AF751" s="99"/>
      <c r="AG751" s="99"/>
      <c r="AH751" s="99"/>
      <c r="AI751" s="99"/>
      <c r="AJ751" s="99"/>
      <c r="AK751" s="99"/>
      <c r="AL751" s="99"/>
      <c r="AM751" s="99"/>
      <c r="AN751" s="99"/>
      <c r="AO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c r="AA752" s="99"/>
      <c r="AB752" s="99"/>
      <c r="AC752" s="99"/>
      <c r="AD752" s="99"/>
      <c r="AE752" s="99"/>
      <c r="AF752" s="99"/>
      <c r="AG752" s="99"/>
      <c r="AH752" s="99"/>
      <c r="AI752" s="99"/>
      <c r="AJ752" s="99"/>
      <c r="AK752" s="99"/>
      <c r="AL752" s="99"/>
      <c r="AM752" s="99"/>
      <c r="AN752" s="99"/>
      <c r="AO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c r="AA753" s="99"/>
      <c r="AB753" s="99"/>
      <c r="AC753" s="99"/>
      <c r="AD753" s="99"/>
      <c r="AE753" s="99"/>
      <c r="AF753" s="99"/>
      <c r="AG753" s="99"/>
      <c r="AH753" s="99"/>
      <c r="AI753" s="99"/>
      <c r="AJ753" s="99"/>
      <c r="AK753" s="99"/>
      <c r="AL753" s="99"/>
      <c r="AM753" s="99"/>
      <c r="AN753" s="99"/>
      <c r="AO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c r="AA754" s="99"/>
      <c r="AB754" s="99"/>
      <c r="AC754" s="99"/>
      <c r="AD754" s="99"/>
      <c r="AE754" s="99"/>
      <c r="AF754" s="99"/>
      <c r="AG754" s="99"/>
      <c r="AH754" s="99"/>
      <c r="AI754" s="99"/>
      <c r="AJ754" s="99"/>
      <c r="AK754" s="99"/>
      <c r="AL754" s="99"/>
      <c r="AM754" s="99"/>
      <c r="AN754" s="99"/>
      <c r="AO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c r="AA755" s="99"/>
      <c r="AB755" s="99"/>
      <c r="AC755" s="99"/>
      <c r="AD755" s="99"/>
      <c r="AE755" s="99"/>
      <c r="AF755" s="99"/>
      <c r="AG755" s="99"/>
      <c r="AH755" s="99"/>
      <c r="AI755" s="99"/>
      <c r="AJ755" s="99"/>
      <c r="AK755" s="99"/>
      <c r="AL755" s="99"/>
      <c r="AM755" s="99"/>
      <c r="AN755" s="99"/>
      <c r="AO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c r="AA756" s="99"/>
      <c r="AB756" s="99"/>
      <c r="AC756" s="99"/>
      <c r="AD756" s="99"/>
      <c r="AE756" s="99"/>
      <c r="AF756" s="99"/>
      <c r="AG756" s="99"/>
      <c r="AH756" s="99"/>
      <c r="AI756" s="99"/>
      <c r="AJ756" s="99"/>
      <c r="AK756" s="99"/>
      <c r="AL756" s="99"/>
      <c r="AM756" s="99"/>
      <c r="AN756" s="99"/>
      <c r="AO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c r="AA757" s="99"/>
      <c r="AB757" s="99"/>
      <c r="AC757" s="99"/>
      <c r="AD757" s="99"/>
      <c r="AE757" s="99"/>
      <c r="AF757" s="99"/>
      <c r="AG757" s="99"/>
      <c r="AH757" s="99"/>
      <c r="AI757" s="99"/>
      <c r="AJ757" s="99"/>
      <c r="AK757" s="99"/>
      <c r="AL757" s="99"/>
      <c r="AM757" s="99"/>
      <c r="AN757" s="99"/>
      <c r="AO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c r="AA758" s="99"/>
      <c r="AB758" s="99"/>
      <c r="AC758" s="99"/>
      <c r="AD758" s="99"/>
      <c r="AE758" s="99"/>
      <c r="AF758" s="99"/>
      <c r="AG758" s="99"/>
      <c r="AH758" s="99"/>
      <c r="AI758" s="99"/>
      <c r="AJ758" s="99"/>
      <c r="AK758" s="99"/>
      <c r="AL758" s="99"/>
      <c r="AM758" s="99"/>
      <c r="AN758" s="99"/>
      <c r="AO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c r="AA759" s="99"/>
      <c r="AB759" s="99"/>
      <c r="AC759" s="99"/>
      <c r="AD759" s="99"/>
      <c r="AE759" s="99"/>
      <c r="AF759" s="99"/>
      <c r="AG759" s="99"/>
      <c r="AH759" s="99"/>
      <c r="AI759" s="99"/>
      <c r="AJ759" s="99"/>
      <c r="AK759" s="99"/>
      <c r="AL759" s="99"/>
      <c r="AM759" s="99"/>
      <c r="AN759" s="99"/>
      <c r="AO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c r="AA760" s="99"/>
      <c r="AB760" s="99"/>
      <c r="AC760" s="99"/>
      <c r="AD760" s="99"/>
      <c r="AE760" s="99"/>
      <c r="AF760" s="99"/>
      <c r="AG760" s="99"/>
      <c r="AH760" s="99"/>
      <c r="AI760" s="99"/>
      <c r="AJ760" s="99"/>
      <c r="AK760" s="99"/>
      <c r="AL760" s="99"/>
      <c r="AM760" s="99"/>
      <c r="AN760" s="99"/>
      <c r="AO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c r="AA761" s="99"/>
      <c r="AB761" s="99"/>
      <c r="AC761" s="99"/>
      <c r="AD761" s="99"/>
      <c r="AE761" s="99"/>
      <c r="AF761" s="99"/>
      <c r="AG761" s="99"/>
      <c r="AH761" s="99"/>
      <c r="AI761" s="99"/>
      <c r="AJ761" s="99"/>
      <c r="AK761" s="99"/>
      <c r="AL761" s="99"/>
      <c r="AM761" s="99"/>
      <c r="AN761" s="99"/>
      <c r="AO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c r="AA762" s="99"/>
      <c r="AB762" s="99"/>
      <c r="AC762" s="99"/>
      <c r="AD762" s="99"/>
      <c r="AE762" s="99"/>
      <c r="AF762" s="99"/>
      <c r="AG762" s="99"/>
      <c r="AH762" s="99"/>
      <c r="AI762" s="99"/>
      <c r="AJ762" s="99"/>
      <c r="AK762" s="99"/>
      <c r="AL762" s="99"/>
      <c r="AM762" s="99"/>
      <c r="AN762" s="99"/>
      <c r="AO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c r="AA763" s="99"/>
      <c r="AB763" s="99"/>
      <c r="AC763" s="99"/>
      <c r="AD763" s="99"/>
      <c r="AE763" s="99"/>
      <c r="AF763" s="99"/>
      <c r="AG763" s="99"/>
      <c r="AH763" s="99"/>
      <c r="AI763" s="99"/>
      <c r="AJ763" s="99"/>
      <c r="AK763" s="99"/>
      <c r="AL763" s="99"/>
      <c r="AM763" s="99"/>
      <c r="AN763" s="99"/>
      <c r="AO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c r="AA764" s="99"/>
      <c r="AB764" s="99"/>
      <c r="AC764" s="99"/>
      <c r="AD764" s="99"/>
      <c r="AE764" s="99"/>
      <c r="AF764" s="99"/>
      <c r="AG764" s="99"/>
      <c r="AH764" s="99"/>
      <c r="AI764" s="99"/>
      <c r="AJ764" s="99"/>
      <c r="AK764" s="99"/>
      <c r="AL764" s="99"/>
      <c r="AM764" s="99"/>
      <c r="AN764" s="99"/>
      <c r="AO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c r="AA765" s="99"/>
      <c r="AB765" s="99"/>
      <c r="AC765" s="99"/>
      <c r="AD765" s="99"/>
      <c r="AE765" s="99"/>
      <c r="AF765" s="99"/>
      <c r="AG765" s="99"/>
      <c r="AH765" s="99"/>
      <c r="AI765" s="99"/>
      <c r="AJ765" s="99"/>
      <c r="AK765" s="99"/>
      <c r="AL765" s="99"/>
      <c r="AM765" s="99"/>
      <c r="AN765" s="99"/>
      <c r="AO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c r="AA766" s="99"/>
      <c r="AB766" s="99"/>
      <c r="AC766" s="99"/>
      <c r="AD766" s="99"/>
      <c r="AE766" s="99"/>
      <c r="AF766" s="99"/>
      <c r="AG766" s="99"/>
      <c r="AH766" s="99"/>
      <c r="AI766" s="99"/>
      <c r="AJ766" s="99"/>
      <c r="AK766" s="99"/>
      <c r="AL766" s="99"/>
      <c r="AM766" s="99"/>
      <c r="AN766" s="99"/>
      <c r="AO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c r="AA767" s="99"/>
      <c r="AB767" s="99"/>
      <c r="AC767" s="99"/>
      <c r="AD767" s="99"/>
      <c r="AE767" s="99"/>
      <c r="AF767" s="99"/>
      <c r="AG767" s="99"/>
      <c r="AH767" s="99"/>
      <c r="AI767" s="99"/>
      <c r="AJ767" s="99"/>
      <c r="AK767" s="99"/>
      <c r="AL767" s="99"/>
      <c r="AM767" s="99"/>
      <c r="AN767" s="99"/>
      <c r="AO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c r="AA768" s="99"/>
      <c r="AB768" s="99"/>
      <c r="AC768" s="99"/>
      <c r="AD768" s="99"/>
      <c r="AE768" s="99"/>
      <c r="AF768" s="99"/>
      <c r="AG768" s="99"/>
      <c r="AH768" s="99"/>
      <c r="AI768" s="99"/>
      <c r="AJ768" s="99"/>
      <c r="AK768" s="99"/>
      <c r="AL768" s="99"/>
      <c r="AM768" s="99"/>
      <c r="AN768" s="99"/>
      <c r="AO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c r="AA769" s="99"/>
      <c r="AB769" s="99"/>
      <c r="AC769" s="99"/>
      <c r="AD769" s="99"/>
      <c r="AE769" s="99"/>
      <c r="AF769" s="99"/>
      <c r="AG769" s="99"/>
      <c r="AH769" s="99"/>
      <c r="AI769" s="99"/>
      <c r="AJ769" s="99"/>
      <c r="AK769" s="99"/>
      <c r="AL769" s="99"/>
      <c r="AM769" s="99"/>
      <c r="AN769" s="99"/>
      <c r="AO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c r="AA770" s="99"/>
      <c r="AB770" s="99"/>
      <c r="AC770" s="99"/>
      <c r="AD770" s="99"/>
      <c r="AE770" s="99"/>
      <c r="AF770" s="99"/>
      <c r="AG770" s="99"/>
      <c r="AH770" s="99"/>
      <c r="AI770" s="99"/>
      <c r="AJ770" s="99"/>
      <c r="AK770" s="99"/>
      <c r="AL770" s="99"/>
      <c r="AM770" s="99"/>
      <c r="AN770" s="99"/>
      <c r="AO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c r="AA771" s="99"/>
      <c r="AB771" s="99"/>
      <c r="AC771" s="99"/>
      <c r="AD771" s="99"/>
      <c r="AE771" s="99"/>
      <c r="AF771" s="99"/>
      <c r="AG771" s="99"/>
      <c r="AH771" s="99"/>
      <c r="AI771" s="99"/>
      <c r="AJ771" s="99"/>
      <c r="AK771" s="99"/>
      <c r="AL771" s="99"/>
      <c r="AM771" s="99"/>
      <c r="AN771" s="99"/>
      <c r="AO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c r="AA772" s="99"/>
      <c r="AB772" s="99"/>
      <c r="AC772" s="99"/>
      <c r="AD772" s="99"/>
      <c r="AE772" s="99"/>
      <c r="AF772" s="99"/>
      <c r="AG772" s="99"/>
      <c r="AH772" s="99"/>
      <c r="AI772" s="99"/>
      <c r="AJ772" s="99"/>
      <c r="AK772" s="99"/>
      <c r="AL772" s="99"/>
      <c r="AM772" s="99"/>
      <c r="AN772" s="99"/>
      <c r="AO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c r="AA773" s="99"/>
      <c r="AB773" s="99"/>
      <c r="AC773" s="99"/>
      <c r="AD773" s="99"/>
      <c r="AE773" s="99"/>
      <c r="AF773" s="99"/>
      <c r="AG773" s="99"/>
      <c r="AH773" s="99"/>
      <c r="AI773" s="99"/>
      <c r="AJ773" s="99"/>
      <c r="AK773" s="99"/>
      <c r="AL773" s="99"/>
      <c r="AM773" s="99"/>
      <c r="AN773" s="99"/>
      <c r="AO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c r="AA774" s="99"/>
      <c r="AB774" s="99"/>
      <c r="AC774" s="99"/>
      <c r="AD774" s="99"/>
      <c r="AE774" s="99"/>
      <c r="AF774" s="99"/>
      <c r="AG774" s="99"/>
      <c r="AH774" s="99"/>
      <c r="AI774" s="99"/>
      <c r="AJ774" s="99"/>
      <c r="AK774" s="99"/>
      <c r="AL774" s="99"/>
      <c r="AM774" s="99"/>
      <c r="AN774" s="99"/>
      <c r="AO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c r="AA775" s="99"/>
      <c r="AB775" s="99"/>
      <c r="AC775" s="99"/>
      <c r="AD775" s="99"/>
      <c r="AE775" s="99"/>
      <c r="AF775" s="99"/>
      <c r="AG775" s="99"/>
      <c r="AH775" s="99"/>
      <c r="AI775" s="99"/>
      <c r="AJ775" s="99"/>
      <c r="AK775" s="99"/>
      <c r="AL775" s="99"/>
      <c r="AM775" s="99"/>
      <c r="AN775" s="99"/>
      <c r="AO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c r="AA776" s="99"/>
      <c r="AB776" s="99"/>
      <c r="AC776" s="99"/>
      <c r="AD776" s="99"/>
      <c r="AE776" s="99"/>
      <c r="AF776" s="99"/>
      <c r="AG776" s="99"/>
      <c r="AH776" s="99"/>
      <c r="AI776" s="99"/>
      <c r="AJ776" s="99"/>
      <c r="AK776" s="99"/>
      <c r="AL776" s="99"/>
      <c r="AM776" s="99"/>
      <c r="AN776" s="99"/>
      <c r="AO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c r="AA777" s="99"/>
      <c r="AB777" s="99"/>
      <c r="AC777" s="99"/>
      <c r="AD777" s="99"/>
      <c r="AE777" s="99"/>
      <c r="AF777" s="99"/>
      <c r="AG777" s="99"/>
      <c r="AH777" s="99"/>
      <c r="AI777" s="99"/>
      <c r="AJ777" s="99"/>
      <c r="AK777" s="99"/>
      <c r="AL777" s="99"/>
      <c r="AM777" s="99"/>
      <c r="AN777" s="99"/>
      <c r="AO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c r="AA778" s="99"/>
      <c r="AB778" s="99"/>
      <c r="AC778" s="99"/>
      <c r="AD778" s="99"/>
      <c r="AE778" s="99"/>
      <c r="AF778" s="99"/>
      <c r="AG778" s="99"/>
      <c r="AH778" s="99"/>
      <c r="AI778" s="99"/>
      <c r="AJ778" s="99"/>
      <c r="AK778" s="99"/>
      <c r="AL778" s="99"/>
      <c r="AM778" s="99"/>
      <c r="AN778" s="99"/>
      <c r="AO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c r="AA779" s="99"/>
      <c r="AB779" s="99"/>
      <c r="AC779" s="99"/>
      <c r="AD779" s="99"/>
      <c r="AE779" s="99"/>
      <c r="AF779" s="99"/>
      <c r="AG779" s="99"/>
      <c r="AH779" s="99"/>
      <c r="AI779" s="99"/>
      <c r="AJ779" s="99"/>
      <c r="AK779" s="99"/>
      <c r="AL779" s="99"/>
      <c r="AM779" s="99"/>
      <c r="AN779" s="99"/>
      <c r="AO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c r="AA780" s="99"/>
      <c r="AB780" s="99"/>
      <c r="AC780" s="99"/>
      <c r="AD780" s="99"/>
      <c r="AE780" s="99"/>
      <c r="AF780" s="99"/>
      <c r="AG780" s="99"/>
      <c r="AH780" s="99"/>
      <c r="AI780" s="99"/>
      <c r="AJ780" s="99"/>
      <c r="AK780" s="99"/>
      <c r="AL780" s="99"/>
      <c r="AM780" s="99"/>
      <c r="AN780" s="99"/>
      <c r="AO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c r="AA781" s="99"/>
      <c r="AB781" s="99"/>
      <c r="AC781" s="99"/>
      <c r="AD781" s="99"/>
      <c r="AE781" s="99"/>
      <c r="AF781" s="99"/>
      <c r="AG781" s="99"/>
      <c r="AH781" s="99"/>
      <c r="AI781" s="99"/>
      <c r="AJ781" s="99"/>
      <c r="AK781" s="99"/>
      <c r="AL781" s="99"/>
      <c r="AM781" s="99"/>
      <c r="AN781" s="99"/>
      <c r="AO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c r="AA782" s="99"/>
      <c r="AB782" s="99"/>
      <c r="AC782" s="99"/>
      <c r="AD782" s="99"/>
      <c r="AE782" s="99"/>
      <c r="AF782" s="99"/>
      <c r="AG782" s="99"/>
      <c r="AH782" s="99"/>
      <c r="AI782" s="99"/>
      <c r="AJ782" s="99"/>
      <c r="AK782" s="99"/>
      <c r="AL782" s="99"/>
      <c r="AM782" s="99"/>
      <c r="AN782" s="99"/>
      <c r="AO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c r="AA783" s="99"/>
      <c r="AB783" s="99"/>
      <c r="AC783" s="99"/>
      <c r="AD783" s="99"/>
      <c r="AE783" s="99"/>
      <c r="AF783" s="99"/>
      <c r="AG783" s="99"/>
      <c r="AH783" s="99"/>
      <c r="AI783" s="99"/>
      <c r="AJ783" s="99"/>
      <c r="AK783" s="99"/>
      <c r="AL783" s="99"/>
      <c r="AM783" s="99"/>
      <c r="AN783" s="99"/>
      <c r="AO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c r="AA784" s="99"/>
      <c r="AB784" s="99"/>
      <c r="AC784" s="99"/>
      <c r="AD784" s="99"/>
      <c r="AE784" s="99"/>
      <c r="AF784" s="99"/>
      <c r="AG784" s="99"/>
      <c r="AH784" s="99"/>
      <c r="AI784" s="99"/>
      <c r="AJ784" s="99"/>
      <c r="AK784" s="99"/>
      <c r="AL784" s="99"/>
      <c r="AM784" s="99"/>
      <c r="AN784" s="99"/>
      <c r="AO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c r="AA785" s="99"/>
      <c r="AB785" s="99"/>
      <c r="AC785" s="99"/>
      <c r="AD785" s="99"/>
      <c r="AE785" s="99"/>
      <c r="AF785" s="99"/>
      <c r="AG785" s="99"/>
      <c r="AH785" s="99"/>
      <c r="AI785" s="99"/>
      <c r="AJ785" s="99"/>
      <c r="AK785" s="99"/>
      <c r="AL785" s="99"/>
      <c r="AM785" s="99"/>
      <c r="AN785" s="99"/>
      <c r="AO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c r="AA786" s="99"/>
      <c r="AB786" s="99"/>
      <c r="AC786" s="99"/>
      <c r="AD786" s="99"/>
      <c r="AE786" s="99"/>
      <c r="AF786" s="99"/>
      <c r="AG786" s="99"/>
      <c r="AH786" s="99"/>
      <c r="AI786" s="99"/>
      <c r="AJ786" s="99"/>
      <c r="AK786" s="99"/>
      <c r="AL786" s="99"/>
      <c r="AM786" s="99"/>
      <c r="AN786" s="99"/>
      <c r="AO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c r="AA787" s="99"/>
      <c r="AB787" s="99"/>
      <c r="AC787" s="99"/>
      <c r="AD787" s="99"/>
      <c r="AE787" s="99"/>
      <c r="AF787" s="99"/>
      <c r="AG787" s="99"/>
      <c r="AH787" s="99"/>
      <c r="AI787" s="99"/>
      <c r="AJ787" s="99"/>
      <c r="AK787" s="99"/>
      <c r="AL787" s="99"/>
      <c r="AM787" s="99"/>
      <c r="AN787" s="99"/>
      <c r="AO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c r="AA788" s="99"/>
      <c r="AB788" s="99"/>
      <c r="AC788" s="99"/>
      <c r="AD788" s="99"/>
      <c r="AE788" s="99"/>
      <c r="AF788" s="99"/>
      <c r="AG788" s="99"/>
      <c r="AH788" s="99"/>
      <c r="AI788" s="99"/>
      <c r="AJ788" s="99"/>
      <c r="AK788" s="99"/>
      <c r="AL788" s="99"/>
      <c r="AM788" s="99"/>
      <c r="AN788" s="99"/>
      <c r="AO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c r="AA789" s="99"/>
      <c r="AB789" s="99"/>
      <c r="AC789" s="99"/>
      <c r="AD789" s="99"/>
      <c r="AE789" s="99"/>
      <c r="AF789" s="99"/>
      <c r="AG789" s="99"/>
      <c r="AH789" s="99"/>
      <c r="AI789" s="99"/>
      <c r="AJ789" s="99"/>
      <c r="AK789" s="99"/>
      <c r="AL789" s="99"/>
      <c r="AM789" s="99"/>
      <c r="AN789" s="99"/>
      <c r="AO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c r="AA790" s="99"/>
      <c r="AB790" s="99"/>
      <c r="AC790" s="99"/>
      <c r="AD790" s="99"/>
      <c r="AE790" s="99"/>
      <c r="AF790" s="99"/>
      <c r="AG790" s="99"/>
      <c r="AH790" s="99"/>
      <c r="AI790" s="99"/>
      <c r="AJ790" s="99"/>
      <c r="AK790" s="99"/>
      <c r="AL790" s="99"/>
      <c r="AM790" s="99"/>
      <c r="AN790" s="99"/>
      <c r="AO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c r="AA791" s="99"/>
      <c r="AB791" s="99"/>
      <c r="AC791" s="99"/>
      <c r="AD791" s="99"/>
      <c r="AE791" s="99"/>
      <c r="AF791" s="99"/>
      <c r="AG791" s="99"/>
      <c r="AH791" s="99"/>
      <c r="AI791" s="99"/>
      <c r="AJ791" s="99"/>
      <c r="AK791" s="99"/>
      <c r="AL791" s="99"/>
      <c r="AM791" s="99"/>
      <c r="AN791" s="99"/>
      <c r="AO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c r="AA792" s="99"/>
      <c r="AB792" s="99"/>
      <c r="AC792" s="99"/>
      <c r="AD792" s="99"/>
      <c r="AE792" s="99"/>
      <c r="AF792" s="99"/>
      <c r="AG792" s="99"/>
      <c r="AH792" s="99"/>
      <c r="AI792" s="99"/>
      <c r="AJ792" s="99"/>
      <c r="AK792" s="99"/>
      <c r="AL792" s="99"/>
      <c r="AM792" s="99"/>
      <c r="AN792" s="99"/>
      <c r="AO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c r="AA793" s="99"/>
      <c r="AB793" s="99"/>
      <c r="AC793" s="99"/>
      <c r="AD793" s="99"/>
      <c r="AE793" s="99"/>
      <c r="AF793" s="99"/>
      <c r="AG793" s="99"/>
      <c r="AH793" s="99"/>
      <c r="AI793" s="99"/>
      <c r="AJ793" s="99"/>
      <c r="AK793" s="99"/>
      <c r="AL793" s="99"/>
      <c r="AM793" s="99"/>
      <c r="AN793" s="99"/>
      <c r="AO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c r="AA794" s="99"/>
      <c r="AB794" s="99"/>
      <c r="AC794" s="99"/>
      <c r="AD794" s="99"/>
      <c r="AE794" s="99"/>
      <c r="AF794" s="99"/>
      <c r="AG794" s="99"/>
      <c r="AH794" s="99"/>
      <c r="AI794" s="99"/>
      <c r="AJ794" s="99"/>
      <c r="AK794" s="99"/>
      <c r="AL794" s="99"/>
      <c r="AM794" s="99"/>
      <c r="AN794" s="99"/>
      <c r="AO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c r="AA795" s="99"/>
      <c r="AB795" s="99"/>
      <c r="AC795" s="99"/>
      <c r="AD795" s="99"/>
      <c r="AE795" s="99"/>
      <c r="AF795" s="99"/>
      <c r="AG795" s="99"/>
      <c r="AH795" s="99"/>
      <c r="AI795" s="99"/>
      <c r="AJ795" s="99"/>
      <c r="AK795" s="99"/>
      <c r="AL795" s="99"/>
      <c r="AM795" s="99"/>
      <c r="AN795" s="99"/>
      <c r="AO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c r="AA796" s="99"/>
      <c r="AB796" s="99"/>
      <c r="AC796" s="99"/>
      <c r="AD796" s="99"/>
      <c r="AE796" s="99"/>
      <c r="AF796" s="99"/>
      <c r="AG796" s="99"/>
      <c r="AH796" s="99"/>
      <c r="AI796" s="99"/>
      <c r="AJ796" s="99"/>
      <c r="AK796" s="99"/>
      <c r="AL796" s="99"/>
      <c r="AM796" s="99"/>
      <c r="AN796" s="99"/>
      <c r="AO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c r="AA797" s="99"/>
      <c r="AB797" s="99"/>
      <c r="AC797" s="99"/>
      <c r="AD797" s="99"/>
      <c r="AE797" s="99"/>
      <c r="AF797" s="99"/>
      <c r="AG797" s="99"/>
      <c r="AH797" s="99"/>
      <c r="AI797" s="99"/>
      <c r="AJ797" s="99"/>
      <c r="AK797" s="99"/>
      <c r="AL797" s="99"/>
      <c r="AM797" s="99"/>
      <c r="AN797" s="99"/>
      <c r="AO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c r="AA798" s="99"/>
      <c r="AB798" s="99"/>
      <c r="AC798" s="99"/>
      <c r="AD798" s="99"/>
      <c r="AE798" s="99"/>
      <c r="AF798" s="99"/>
      <c r="AG798" s="99"/>
      <c r="AH798" s="99"/>
      <c r="AI798" s="99"/>
      <c r="AJ798" s="99"/>
      <c r="AK798" s="99"/>
      <c r="AL798" s="99"/>
      <c r="AM798" s="99"/>
      <c r="AN798" s="99"/>
      <c r="AO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c r="AA799" s="99"/>
      <c r="AB799" s="99"/>
      <c r="AC799" s="99"/>
      <c r="AD799" s="99"/>
      <c r="AE799" s="99"/>
      <c r="AF799" s="99"/>
      <c r="AG799" s="99"/>
      <c r="AH799" s="99"/>
      <c r="AI799" s="99"/>
      <c r="AJ799" s="99"/>
      <c r="AK799" s="99"/>
      <c r="AL799" s="99"/>
      <c r="AM799" s="99"/>
      <c r="AN799" s="99"/>
      <c r="AO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c r="AA800" s="99"/>
      <c r="AB800" s="99"/>
      <c r="AC800" s="99"/>
      <c r="AD800" s="99"/>
      <c r="AE800" s="99"/>
      <c r="AF800" s="99"/>
      <c r="AG800" s="99"/>
      <c r="AH800" s="99"/>
      <c r="AI800" s="99"/>
      <c r="AJ800" s="99"/>
      <c r="AK800" s="99"/>
      <c r="AL800" s="99"/>
      <c r="AM800" s="99"/>
      <c r="AN800" s="99"/>
      <c r="AO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c r="AA801" s="99"/>
      <c r="AB801" s="99"/>
      <c r="AC801" s="99"/>
      <c r="AD801" s="99"/>
      <c r="AE801" s="99"/>
      <c r="AF801" s="99"/>
      <c r="AG801" s="99"/>
      <c r="AH801" s="99"/>
      <c r="AI801" s="99"/>
      <c r="AJ801" s="99"/>
      <c r="AK801" s="99"/>
      <c r="AL801" s="99"/>
      <c r="AM801" s="99"/>
      <c r="AN801" s="99"/>
      <c r="AO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c r="AA802" s="99"/>
      <c r="AB802" s="99"/>
      <c r="AC802" s="99"/>
      <c r="AD802" s="99"/>
      <c r="AE802" s="99"/>
      <c r="AF802" s="99"/>
      <c r="AG802" s="99"/>
      <c r="AH802" s="99"/>
      <c r="AI802" s="99"/>
      <c r="AJ802" s="99"/>
      <c r="AK802" s="99"/>
      <c r="AL802" s="99"/>
      <c r="AM802" s="99"/>
      <c r="AN802" s="99"/>
      <c r="AO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c r="AA803" s="99"/>
      <c r="AB803" s="99"/>
      <c r="AC803" s="99"/>
      <c r="AD803" s="99"/>
      <c r="AE803" s="99"/>
      <c r="AF803" s="99"/>
      <c r="AG803" s="99"/>
      <c r="AH803" s="99"/>
      <c r="AI803" s="99"/>
      <c r="AJ803" s="99"/>
      <c r="AK803" s="99"/>
      <c r="AL803" s="99"/>
      <c r="AM803" s="99"/>
      <c r="AN803" s="99"/>
      <c r="AO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c r="AA804" s="99"/>
      <c r="AB804" s="99"/>
      <c r="AC804" s="99"/>
      <c r="AD804" s="99"/>
      <c r="AE804" s="99"/>
      <c r="AF804" s="99"/>
      <c r="AG804" s="99"/>
      <c r="AH804" s="99"/>
      <c r="AI804" s="99"/>
      <c r="AJ804" s="99"/>
      <c r="AK804" s="99"/>
      <c r="AL804" s="99"/>
      <c r="AM804" s="99"/>
      <c r="AN804" s="99"/>
      <c r="AO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c r="AA805" s="99"/>
      <c r="AB805" s="99"/>
      <c r="AC805" s="99"/>
      <c r="AD805" s="99"/>
      <c r="AE805" s="99"/>
      <c r="AF805" s="99"/>
      <c r="AG805" s="99"/>
      <c r="AH805" s="99"/>
      <c r="AI805" s="99"/>
      <c r="AJ805" s="99"/>
      <c r="AK805" s="99"/>
      <c r="AL805" s="99"/>
      <c r="AM805" s="99"/>
      <c r="AN805" s="99"/>
      <c r="AO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c r="AA806" s="99"/>
      <c r="AB806" s="99"/>
      <c r="AC806" s="99"/>
      <c r="AD806" s="99"/>
      <c r="AE806" s="99"/>
      <c r="AF806" s="99"/>
      <c r="AG806" s="99"/>
      <c r="AH806" s="99"/>
      <c r="AI806" s="99"/>
      <c r="AJ806" s="99"/>
      <c r="AK806" s="99"/>
      <c r="AL806" s="99"/>
      <c r="AM806" s="99"/>
      <c r="AN806" s="99"/>
      <c r="AO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c r="AA807" s="99"/>
      <c r="AB807" s="99"/>
      <c r="AC807" s="99"/>
      <c r="AD807" s="99"/>
      <c r="AE807" s="99"/>
      <c r="AF807" s="99"/>
      <c r="AG807" s="99"/>
      <c r="AH807" s="99"/>
      <c r="AI807" s="99"/>
      <c r="AJ807" s="99"/>
      <c r="AK807" s="99"/>
      <c r="AL807" s="99"/>
      <c r="AM807" s="99"/>
      <c r="AN807" s="99"/>
      <c r="AO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c r="AA808" s="99"/>
      <c r="AB808" s="99"/>
      <c r="AC808" s="99"/>
      <c r="AD808" s="99"/>
      <c r="AE808" s="99"/>
      <c r="AF808" s="99"/>
      <c r="AG808" s="99"/>
      <c r="AH808" s="99"/>
      <c r="AI808" s="99"/>
      <c r="AJ808" s="99"/>
      <c r="AK808" s="99"/>
      <c r="AL808" s="99"/>
      <c r="AM808" s="99"/>
      <c r="AN808" s="99"/>
      <c r="AO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c r="AA809" s="99"/>
      <c r="AB809" s="99"/>
      <c r="AC809" s="99"/>
      <c r="AD809" s="99"/>
      <c r="AE809" s="99"/>
      <c r="AF809" s="99"/>
      <c r="AG809" s="99"/>
      <c r="AH809" s="99"/>
      <c r="AI809" s="99"/>
      <c r="AJ809" s="99"/>
      <c r="AK809" s="99"/>
      <c r="AL809" s="99"/>
      <c r="AM809" s="99"/>
      <c r="AN809" s="99"/>
      <c r="AO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c r="AA810" s="99"/>
      <c r="AB810" s="99"/>
      <c r="AC810" s="99"/>
      <c r="AD810" s="99"/>
      <c r="AE810" s="99"/>
      <c r="AF810" s="99"/>
      <c r="AG810" s="99"/>
      <c r="AH810" s="99"/>
      <c r="AI810" s="99"/>
      <c r="AJ810" s="99"/>
      <c r="AK810" s="99"/>
      <c r="AL810" s="99"/>
      <c r="AM810" s="99"/>
      <c r="AN810" s="99"/>
      <c r="AO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c r="AA811" s="99"/>
      <c r="AB811" s="99"/>
      <c r="AC811" s="99"/>
      <c r="AD811" s="99"/>
      <c r="AE811" s="99"/>
      <c r="AF811" s="99"/>
      <c r="AG811" s="99"/>
      <c r="AH811" s="99"/>
      <c r="AI811" s="99"/>
      <c r="AJ811" s="99"/>
      <c r="AK811" s="99"/>
      <c r="AL811" s="99"/>
      <c r="AM811" s="99"/>
      <c r="AN811" s="99"/>
      <c r="AO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c r="AA812" s="99"/>
      <c r="AB812" s="99"/>
      <c r="AC812" s="99"/>
      <c r="AD812" s="99"/>
      <c r="AE812" s="99"/>
      <c r="AF812" s="99"/>
      <c r="AG812" s="99"/>
      <c r="AH812" s="99"/>
      <c r="AI812" s="99"/>
      <c r="AJ812" s="99"/>
      <c r="AK812" s="99"/>
      <c r="AL812" s="99"/>
      <c r="AM812" s="99"/>
      <c r="AN812" s="99"/>
      <c r="AO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c r="AA813" s="99"/>
      <c r="AB813" s="99"/>
      <c r="AC813" s="99"/>
      <c r="AD813" s="99"/>
      <c r="AE813" s="99"/>
      <c r="AF813" s="99"/>
      <c r="AG813" s="99"/>
      <c r="AH813" s="99"/>
      <c r="AI813" s="99"/>
      <c r="AJ813" s="99"/>
      <c r="AK813" s="99"/>
      <c r="AL813" s="99"/>
      <c r="AM813" s="99"/>
      <c r="AN813" s="99"/>
      <c r="AO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c r="AA814" s="99"/>
      <c r="AB814" s="99"/>
      <c r="AC814" s="99"/>
      <c r="AD814" s="99"/>
      <c r="AE814" s="99"/>
      <c r="AF814" s="99"/>
      <c r="AG814" s="99"/>
      <c r="AH814" s="99"/>
      <c r="AI814" s="99"/>
      <c r="AJ814" s="99"/>
      <c r="AK814" s="99"/>
      <c r="AL814" s="99"/>
      <c r="AM814" s="99"/>
      <c r="AN814" s="99"/>
      <c r="AO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c r="AA815" s="99"/>
      <c r="AB815" s="99"/>
      <c r="AC815" s="99"/>
      <c r="AD815" s="99"/>
      <c r="AE815" s="99"/>
      <c r="AF815" s="99"/>
      <c r="AG815" s="99"/>
      <c r="AH815" s="99"/>
      <c r="AI815" s="99"/>
      <c r="AJ815" s="99"/>
      <c r="AK815" s="99"/>
      <c r="AL815" s="99"/>
      <c r="AM815" s="99"/>
      <c r="AN815" s="99"/>
      <c r="AO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c r="AA816" s="99"/>
      <c r="AB816" s="99"/>
      <c r="AC816" s="99"/>
      <c r="AD816" s="99"/>
      <c r="AE816" s="99"/>
      <c r="AF816" s="99"/>
      <c r="AG816" s="99"/>
      <c r="AH816" s="99"/>
      <c r="AI816" s="99"/>
      <c r="AJ816" s="99"/>
      <c r="AK816" s="99"/>
      <c r="AL816" s="99"/>
      <c r="AM816" s="99"/>
      <c r="AN816" s="99"/>
      <c r="AO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c r="AA817" s="99"/>
      <c r="AB817" s="99"/>
      <c r="AC817" s="99"/>
      <c r="AD817" s="99"/>
      <c r="AE817" s="99"/>
      <c r="AF817" s="99"/>
      <c r="AG817" s="99"/>
      <c r="AH817" s="99"/>
      <c r="AI817" s="99"/>
      <c r="AJ817" s="99"/>
      <c r="AK817" s="99"/>
      <c r="AL817" s="99"/>
      <c r="AM817" s="99"/>
      <c r="AN817" s="99"/>
      <c r="AO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c r="AA818" s="99"/>
      <c r="AB818" s="99"/>
      <c r="AC818" s="99"/>
      <c r="AD818" s="99"/>
      <c r="AE818" s="99"/>
      <c r="AF818" s="99"/>
      <c r="AG818" s="99"/>
      <c r="AH818" s="99"/>
      <c r="AI818" s="99"/>
      <c r="AJ818" s="99"/>
      <c r="AK818" s="99"/>
      <c r="AL818" s="99"/>
      <c r="AM818" s="99"/>
      <c r="AN818" s="99"/>
      <c r="AO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c r="AA819" s="99"/>
      <c r="AB819" s="99"/>
      <c r="AC819" s="99"/>
      <c r="AD819" s="99"/>
      <c r="AE819" s="99"/>
      <c r="AF819" s="99"/>
      <c r="AG819" s="99"/>
      <c r="AH819" s="99"/>
      <c r="AI819" s="99"/>
      <c r="AJ819" s="99"/>
      <c r="AK819" s="99"/>
      <c r="AL819" s="99"/>
      <c r="AM819" s="99"/>
      <c r="AN819" s="99"/>
      <c r="AO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c r="AA820" s="99"/>
      <c r="AB820" s="99"/>
      <c r="AC820" s="99"/>
      <c r="AD820" s="99"/>
      <c r="AE820" s="99"/>
      <c r="AF820" s="99"/>
      <c r="AG820" s="99"/>
      <c r="AH820" s="99"/>
      <c r="AI820" s="99"/>
      <c r="AJ820" s="99"/>
      <c r="AK820" s="99"/>
      <c r="AL820" s="99"/>
      <c r="AM820" s="99"/>
      <c r="AN820" s="99"/>
      <c r="AO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c r="AA821" s="99"/>
      <c r="AB821" s="99"/>
      <c r="AC821" s="99"/>
      <c r="AD821" s="99"/>
      <c r="AE821" s="99"/>
      <c r="AF821" s="99"/>
      <c r="AG821" s="99"/>
      <c r="AH821" s="99"/>
      <c r="AI821" s="99"/>
      <c r="AJ821" s="99"/>
      <c r="AK821" s="99"/>
      <c r="AL821" s="99"/>
      <c r="AM821" s="99"/>
      <c r="AN821" s="99"/>
      <c r="AO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c r="AA822" s="99"/>
      <c r="AB822" s="99"/>
      <c r="AC822" s="99"/>
      <c r="AD822" s="99"/>
      <c r="AE822" s="99"/>
      <c r="AF822" s="99"/>
      <c r="AG822" s="99"/>
      <c r="AH822" s="99"/>
      <c r="AI822" s="99"/>
      <c r="AJ822" s="99"/>
      <c r="AK822" s="99"/>
      <c r="AL822" s="99"/>
      <c r="AM822" s="99"/>
      <c r="AN822" s="99"/>
      <c r="AO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c r="AA823" s="99"/>
      <c r="AB823" s="99"/>
      <c r="AC823" s="99"/>
      <c r="AD823" s="99"/>
      <c r="AE823" s="99"/>
      <c r="AF823" s="99"/>
      <c r="AG823" s="99"/>
      <c r="AH823" s="99"/>
      <c r="AI823" s="99"/>
      <c r="AJ823" s="99"/>
      <c r="AK823" s="99"/>
      <c r="AL823" s="99"/>
      <c r="AM823" s="99"/>
      <c r="AN823" s="99"/>
      <c r="AO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c r="AA824" s="99"/>
      <c r="AB824" s="99"/>
      <c r="AC824" s="99"/>
      <c r="AD824" s="99"/>
      <c r="AE824" s="99"/>
      <c r="AF824" s="99"/>
      <c r="AG824" s="99"/>
      <c r="AH824" s="99"/>
      <c r="AI824" s="99"/>
      <c r="AJ824" s="99"/>
      <c r="AK824" s="99"/>
      <c r="AL824" s="99"/>
      <c r="AM824" s="99"/>
      <c r="AN824" s="99"/>
      <c r="AO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c r="AA825" s="99"/>
      <c r="AB825" s="99"/>
      <c r="AC825" s="99"/>
      <c r="AD825" s="99"/>
      <c r="AE825" s="99"/>
      <c r="AF825" s="99"/>
      <c r="AG825" s="99"/>
      <c r="AH825" s="99"/>
      <c r="AI825" s="99"/>
      <c r="AJ825" s="99"/>
      <c r="AK825" s="99"/>
      <c r="AL825" s="99"/>
      <c r="AM825" s="99"/>
      <c r="AN825" s="99"/>
      <c r="AO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c r="AA826" s="99"/>
      <c r="AB826" s="99"/>
      <c r="AC826" s="99"/>
      <c r="AD826" s="99"/>
      <c r="AE826" s="99"/>
      <c r="AF826" s="99"/>
      <c r="AG826" s="99"/>
      <c r="AH826" s="99"/>
      <c r="AI826" s="99"/>
      <c r="AJ826" s="99"/>
      <c r="AK826" s="99"/>
      <c r="AL826" s="99"/>
      <c r="AM826" s="99"/>
      <c r="AN826" s="99"/>
      <c r="AO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c r="AA827" s="99"/>
      <c r="AB827" s="99"/>
      <c r="AC827" s="99"/>
      <c r="AD827" s="99"/>
      <c r="AE827" s="99"/>
      <c r="AF827" s="99"/>
      <c r="AG827" s="99"/>
      <c r="AH827" s="99"/>
      <c r="AI827" s="99"/>
      <c r="AJ827" s="99"/>
      <c r="AK827" s="99"/>
      <c r="AL827" s="99"/>
      <c r="AM827" s="99"/>
      <c r="AN827" s="99"/>
      <c r="AO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c r="AA828" s="99"/>
      <c r="AB828" s="99"/>
      <c r="AC828" s="99"/>
      <c r="AD828" s="99"/>
      <c r="AE828" s="99"/>
      <c r="AF828" s="99"/>
      <c r="AG828" s="99"/>
      <c r="AH828" s="99"/>
      <c r="AI828" s="99"/>
      <c r="AJ828" s="99"/>
      <c r="AK828" s="99"/>
      <c r="AL828" s="99"/>
      <c r="AM828" s="99"/>
      <c r="AN828" s="99"/>
      <c r="AO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c r="AA829" s="99"/>
      <c r="AB829" s="99"/>
      <c r="AC829" s="99"/>
      <c r="AD829" s="99"/>
      <c r="AE829" s="99"/>
      <c r="AF829" s="99"/>
      <c r="AG829" s="99"/>
      <c r="AH829" s="99"/>
      <c r="AI829" s="99"/>
      <c r="AJ829" s="99"/>
      <c r="AK829" s="99"/>
      <c r="AL829" s="99"/>
      <c r="AM829" s="99"/>
      <c r="AN829" s="99"/>
      <c r="AO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c r="AA830" s="99"/>
      <c r="AB830" s="99"/>
      <c r="AC830" s="99"/>
      <c r="AD830" s="99"/>
      <c r="AE830" s="99"/>
      <c r="AF830" s="99"/>
      <c r="AG830" s="99"/>
      <c r="AH830" s="99"/>
      <c r="AI830" s="99"/>
      <c r="AJ830" s="99"/>
      <c r="AK830" s="99"/>
      <c r="AL830" s="99"/>
      <c r="AM830" s="99"/>
      <c r="AN830" s="99"/>
      <c r="AO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c r="AA831" s="99"/>
      <c r="AB831" s="99"/>
      <c r="AC831" s="99"/>
      <c r="AD831" s="99"/>
      <c r="AE831" s="99"/>
      <c r="AF831" s="99"/>
      <c r="AG831" s="99"/>
      <c r="AH831" s="99"/>
      <c r="AI831" s="99"/>
      <c r="AJ831" s="99"/>
      <c r="AK831" s="99"/>
      <c r="AL831" s="99"/>
      <c r="AM831" s="99"/>
      <c r="AN831" s="99"/>
      <c r="AO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c r="AA832" s="99"/>
      <c r="AB832" s="99"/>
      <c r="AC832" s="99"/>
      <c r="AD832" s="99"/>
      <c r="AE832" s="99"/>
      <c r="AF832" s="99"/>
      <c r="AG832" s="99"/>
      <c r="AH832" s="99"/>
      <c r="AI832" s="99"/>
      <c r="AJ832" s="99"/>
      <c r="AK832" s="99"/>
      <c r="AL832" s="99"/>
      <c r="AM832" s="99"/>
      <c r="AN832" s="99"/>
      <c r="AO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c r="AA833" s="99"/>
      <c r="AB833" s="99"/>
      <c r="AC833" s="99"/>
      <c r="AD833" s="99"/>
      <c r="AE833" s="99"/>
      <c r="AF833" s="99"/>
      <c r="AG833" s="99"/>
      <c r="AH833" s="99"/>
      <c r="AI833" s="99"/>
      <c r="AJ833" s="99"/>
      <c r="AK833" s="99"/>
      <c r="AL833" s="99"/>
      <c r="AM833" s="99"/>
      <c r="AN833" s="99"/>
      <c r="AO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c r="AA834" s="99"/>
      <c r="AB834" s="99"/>
      <c r="AC834" s="99"/>
      <c r="AD834" s="99"/>
      <c r="AE834" s="99"/>
      <c r="AF834" s="99"/>
      <c r="AG834" s="99"/>
      <c r="AH834" s="99"/>
      <c r="AI834" s="99"/>
      <c r="AJ834" s="99"/>
      <c r="AK834" s="99"/>
      <c r="AL834" s="99"/>
      <c r="AM834" s="99"/>
      <c r="AN834" s="99"/>
      <c r="AO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c r="AA835" s="99"/>
      <c r="AB835" s="99"/>
      <c r="AC835" s="99"/>
      <c r="AD835" s="99"/>
      <c r="AE835" s="99"/>
      <c r="AF835" s="99"/>
      <c r="AG835" s="99"/>
      <c r="AH835" s="99"/>
      <c r="AI835" s="99"/>
      <c r="AJ835" s="99"/>
      <c r="AK835" s="99"/>
      <c r="AL835" s="99"/>
      <c r="AM835" s="99"/>
      <c r="AN835" s="99"/>
      <c r="AO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c r="AA836" s="99"/>
      <c r="AB836" s="99"/>
      <c r="AC836" s="99"/>
      <c r="AD836" s="99"/>
      <c r="AE836" s="99"/>
      <c r="AF836" s="99"/>
      <c r="AG836" s="99"/>
      <c r="AH836" s="99"/>
      <c r="AI836" s="99"/>
      <c r="AJ836" s="99"/>
      <c r="AK836" s="99"/>
      <c r="AL836" s="99"/>
      <c r="AM836" s="99"/>
      <c r="AN836" s="99"/>
      <c r="AO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c r="AA837" s="99"/>
      <c r="AB837" s="99"/>
      <c r="AC837" s="99"/>
      <c r="AD837" s="99"/>
      <c r="AE837" s="99"/>
      <c r="AF837" s="99"/>
      <c r="AG837" s="99"/>
      <c r="AH837" s="99"/>
      <c r="AI837" s="99"/>
      <c r="AJ837" s="99"/>
      <c r="AK837" s="99"/>
      <c r="AL837" s="99"/>
      <c r="AM837" s="99"/>
      <c r="AN837" s="99"/>
      <c r="AO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c r="AA838" s="99"/>
      <c r="AB838" s="99"/>
      <c r="AC838" s="99"/>
      <c r="AD838" s="99"/>
      <c r="AE838" s="99"/>
      <c r="AF838" s="99"/>
      <c r="AG838" s="99"/>
      <c r="AH838" s="99"/>
      <c r="AI838" s="99"/>
      <c r="AJ838" s="99"/>
      <c r="AK838" s="99"/>
      <c r="AL838" s="99"/>
      <c r="AM838" s="99"/>
      <c r="AN838" s="99"/>
      <c r="AO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c r="AA839" s="99"/>
      <c r="AB839" s="99"/>
      <c r="AC839" s="99"/>
      <c r="AD839" s="99"/>
      <c r="AE839" s="99"/>
      <c r="AF839" s="99"/>
      <c r="AG839" s="99"/>
      <c r="AH839" s="99"/>
      <c r="AI839" s="99"/>
      <c r="AJ839" s="99"/>
      <c r="AK839" s="99"/>
      <c r="AL839" s="99"/>
      <c r="AM839" s="99"/>
      <c r="AN839" s="99"/>
      <c r="AO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c r="AA840" s="99"/>
      <c r="AB840" s="99"/>
      <c r="AC840" s="99"/>
      <c r="AD840" s="99"/>
      <c r="AE840" s="99"/>
      <c r="AF840" s="99"/>
      <c r="AG840" s="99"/>
      <c r="AH840" s="99"/>
      <c r="AI840" s="99"/>
      <c r="AJ840" s="99"/>
      <c r="AK840" s="99"/>
      <c r="AL840" s="99"/>
      <c r="AM840" s="99"/>
      <c r="AN840" s="99"/>
      <c r="AO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c r="AA841" s="99"/>
      <c r="AB841" s="99"/>
      <c r="AC841" s="99"/>
      <c r="AD841" s="99"/>
      <c r="AE841" s="99"/>
      <c r="AF841" s="99"/>
      <c r="AG841" s="99"/>
      <c r="AH841" s="99"/>
      <c r="AI841" s="99"/>
      <c r="AJ841" s="99"/>
      <c r="AK841" s="99"/>
      <c r="AL841" s="99"/>
      <c r="AM841" s="99"/>
      <c r="AN841" s="99"/>
      <c r="AO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c r="AA842" s="99"/>
      <c r="AB842" s="99"/>
      <c r="AC842" s="99"/>
      <c r="AD842" s="99"/>
      <c r="AE842" s="99"/>
      <c r="AF842" s="99"/>
      <c r="AG842" s="99"/>
      <c r="AH842" s="99"/>
      <c r="AI842" s="99"/>
      <c r="AJ842" s="99"/>
      <c r="AK842" s="99"/>
      <c r="AL842" s="99"/>
      <c r="AM842" s="99"/>
      <c r="AN842" s="99"/>
      <c r="AO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c r="AA843" s="99"/>
      <c r="AB843" s="99"/>
      <c r="AC843" s="99"/>
      <c r="AD843" s="99"/>
      <c r="AE843" s="99"/>
      <c r="AF843" s="99"/>
      <c r="AG843" s="99"/>
      <c r="AH843" s="99"/>
      <c r="AI843" s="99"/>
      <c r="AJ843" s="99"/>
      <c r="AK843" s="99"/>
      <c r="AL843" s="99"/>
      <c r="AM843" s="99"/>
      <c r="AN843" s="99"/>
      <c r="AO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c r="AA844" s="99"/>
      <c r="AB844" s="99"/>
      <c r="AC844" s="99"/>
      <c r="AD844" s="99"/>
      <c r="AE844" s="99"/>
      <c r="AF844" s="99"/>
      <c r="AG844" s="99"/>
      <c r="AH844" s="99"/>
      <c r="AI844" s="99"/>
      <c r="AJ844" s="99"/>
      <c r="AK844" s="99"/>
      <c r="AL844" s="99"/>
      <c r="AM844" s="99"/>
      <c r="AN844" s="99"/>
      <c r="AO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c r="AA845" s="99"/>
      <c r="AB845" s="99"/>
      <c r="AC845" s="99"/>
      <c r="AD845" s="99"/>
      <c r="AE845" s="99"/>
      <c r="AF845" s="99"/>
      <c r="AG845" s="99"/>
      <c r="AH845" s="99"/>
      <c r="AI845" s="99"/>
      <c r="AJ845" s="99"/>
      <c r="AK845" s="99"/>
      <c r="AL845" s="99"/>
      <c r="AM845" s="99"/>
      <c r="AN845" s="99"/>
      <c r="AO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c r="AA846" s="99"/>
      <c r="AB846" s="99"/>
      <c r="AC846" s="99"/>
      <c r="AD846" s="99"/>
      <c r="AE846" s="99"/>
      <c r="AF846" s="99"/>
      <c r="AG846" s="99"/>
      <c r="AH846" s="99"/>
      <c r="AI846" s="99"/>
      <c r="AJ846" s="99"/>
      <c r="AK846" s="99"/>
      <c r="AL846" s="99"/>
      <c r="AM846" s="99"/>
      <c r="AN846" s="99"/>
      <c r="AO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c r="AA847" s="99"/>
      <c r="AB847" s="99"/>
      <c r="AC847" s="99"/>
      <c r="AD847" s="99"/>
      <c r="AE847" s="99"/>
      <c r="AF847" s="99"/>
      <c r="AG847" s="99"/>
      <c r="AH847" s="99"/>
      <c r="AI847" s="99"/>
      <c r="AJ847" s="99"/>
      <c r="AK847" s="99"/>
      <c r="AL847" s="99"/>
      <c r="AM847" s="99"/>
      <c r="AN847" s="99"/>
      <c r="AO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c r="AA848" s="99"/>
      <c r="AB848" s="99"/>
      <c r="AC848" s="99"/>
      <c r="AD848" s="99"/>
      <c r="AE848" s="99"/>
      <c r="AF848" s="99"/>
      <c r="AG848" s="99"/>
      <c r="AH848" s="99"/>
      <c r="AI848" s="99"/>
      <c r="AJ848" s="99"/>
      <c r="AK848" s="99"/>
      <c r="AL848" s="99"/>
      <c r="AM848" s="99"/>
      <c r="AN848" s="99"/>
      <c r="AO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c r="AC849" s="99"/>
      <c r="AD849" s="99"/>
      <c r="AE849" s="99"/>
      <c r="AF849" s="99"/>
      <c r="AG849" s="99"/>
      <c r="AH849" s="99"/>
      <c r="AI849" s="99"/>
      <c r="AJ849" s="99"/>
      <c r="AK849" s="99"/>
      <c r="AL849" s="99"/>
      <c r="AM849" s="99"/>
      <c r="AN849" s="99"/>
      <c r="AO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c r="AA850" s="99"/>
      <c r="AB850" s="99"/>
      <c r="AC850" s="99"/>
      <c r="AD850" s="99"/>
      <c r="AE850" s="99"/>
      <c r="AF850" s="99"/>
      <c r="AG850" s="99"/>
      <c r="AH850" s="99"/>
      <c r="AI850" s="99"/>
      <c r="AJ850" s="99"/>
      <c r="AK850" s="99"/>
      <c r="AL850" s="99"/>
      <c r="AM850" s="99"/>
      <c r="AN850" s="99"/>
      <c r="AO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c r="AA851" s="99"/>
      <c r="AB851" s="99"/>
      <c r="AC851" s="99"/>
      <c r="AD851" s="99"/>
      <c r="AE851" s="99"/>
      <c r="AF851" s="99"/>
      <c r="AG851" s="99"/>
      <c r="AH851" s="99"/>
      <c r="AI851" s="99"/>
      <c r="AJ851" s="99"/>
      <c r="AK851" s="99"/>
      <c r="AL851" s="99"/>
      <c r="AM851" s="99"/>
      <c r="AN851" s="99"/>
      <c r="AO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c r="AA852" s="99"/>
      <c r="AB852" s="99"/>
      <c r="AC852" s="99"/>
      <c r="AD852" s="99"/>
      <c r="AE852" s="99"/>
      <c r="AF852" s="99"/>
      <c r="AG852" s="99"/>
      <c r="AH852" s="99"/>
      <c r="AI852" s="99"/>
      <c r="AJ852" s="99"/>
      <c r="AK852" s="99"/>
      <c r="AL852" s="99"/>
      <c r="AM852" s="99"/>
      <c r="AN852" s="99"/>
      <c r="AO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c r="AA853" s="99"/>
      <c r="AB853" s="99"/>
      <c r="AC853" s="99"/>
      <c r="AD853" s="99"/>
      <c r="AE853" s="99"/>
      <c r="AF853" s="99"/>
      <c r="AG853" s="99"/>
      <c r="AH853" s="99"/>
      <c r="AI853" s="99"/>
      <c r="AJ853" s="99"/>
      <c r="AK853" s="99"/>
      <c r="AL853" s="99"/>
      <c r="AM853" s="99"/>
      <c r="AN853" s="99"/>
      <c r="AO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c r="AA854" s="99"/>
      <c r="AB854" s="99"/>
      <c r="AC854" s="99"/>
      <c r="AD854" s="99"/>
      <c r="AE854" s="99"/>
      <c r="AF854" s="99"/>
      <c r="AG854" s="99"/>
      <c r="AH854" s="99"/>
      <c r="AI854" s="99"/>
      <c r="AJ854" s="99"/>
      <c r="AK854" s="99"/>
      <c r="AL854" s="99"/>
      <c r="AM854" s="99"/>
      <c r="AN854" s="99"/>
      <c r="AO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c r="AA855" s="99"/>
      <c r="AB855" s="99"/>
      <c r="AC855" s="99"/>
      <c r="AD855" s="99"/>
      <c r="AE855" s="99"/>
      <c r="AF855" s="99"/>
      <c r="AG855" s="99"/>
      <c r="AH855" s="99"/>
      <c r="AI855" s="99"/>
      <c r="AJ855" s="99"/>
      <c r="AK855" s="99"/>
      <c r="AL855" s="99"/>
      <c r="AM855" s="99"/>
      <c r="AN855" s="99"/>
      <c r="AO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c r="AA856" s="99"/>
      <c r="AB856" s="99"/>
      <c r="AC856" s="99"/>
      <c r="AD856" s="99"/>
      <c r="AE856" s="99"/>
      <c r="AF856" s="99"/>
      <c r="AG856" s="99"/>
      <c r="AH856" s="99"/>
      <c r="AI856" s="99"/>
      <c r="AJ856" s="99"/>
      <c r="AK856" s="99"/>
      <c r="AL856" s="99"/>
      <c r="AM856" s="99"/>
      <c r="AN856" s="99"/>
      <c r="AO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c r="AA857" s="99"/>
      <c r="AB857" s="99"/>
      <c r="AC857" s="99"/>
      <c r="AD857" s="99"/>
      <c r="AE857" s="99"/>
      <c r="AF857" s="99"/>
      <c r="AG857" s="99"/>
      <c r="AH857" s="99"/>
      <c r="AI857" s="99"/>
      <c r="AJ857" s="99"/>
      <c r="AK857" s="99"/>
      <c r="AL857" s="99"/>
      <c r="AM857" s="99"/>
      <c r="AN857" s="99"/>
      <c r="AO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c r="AA858" s="99"/>
      <c r="AB858" s="99"/>
      <c r="AC858" s="99"/>
      <c r="AD858" s="99"/>
      <c r="AE858" s="99"/>
      <c r="AF858" s="99"/>
      <c r="AG858" s="99"/>
      <c r="AH858" s="99"/>
      <c r="AI858" s="99"/>
      <c r="AJ858" s="99"/>
      <c r="AK858" s="99"/>
      <c r="AL858" s="99"/>
      <c r="AM858" s="99"/>
      <c r="AN858" s="99"/>
      <c r="AO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c r="AA859" s="99"/>
      <c r="AB859" s="99"/>
      <c r="AC859" s="99"/>
      <c r="AD859" s="99"/>
      <c r="AE859" s="99"/>
      <c r="AF859" s="99"/>
      <c r="AG859" s="99"/>
      <c r="AH859" s="99"/>
      <c r="AI859" s="99"/>
      <c r="AJ859" s="99"/>
      <c r="AK859" s="99"/>
      <c r="AL859" s="99"/>
      <c r="AM859" s="99"/>
      <c r="AN859" s="99"/>
      <c r="AO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c r="AA860" s="99"/>
      <c r="AB860" s="99"/>
      <c r="AC860" s="99"/>
      <c r="AD860" s="99"/>
      <c r="AE860" s="99"/>
      <c r="AF860" s="99"/>
      <c r="AG860" s="99"/>
      <c r="AH860" s="99"/>
      <c r="AI860" s="99"/>
      <c r="AJ860" s="99"/>
      <c r="AK860" s="99"/>
      <c r="AL860" s="99"/>
      <c r="AM860" s="99"/>
      <c r="AN860" s="99"/>
      <c r="AO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c r="AA861" s="99"/>
      <c r="AB861" s="99"/>
      <c r="AC861" s="99"/>
      <c r="AD861" s="99"/>
      <c r="AE861" s="99"/>
      <c r="AF861" s="99"/>
      <c r="AG861" s="99"/>
      <c r="AH861" s="99"/>
      <c r="AI861" s="99"/>
      <c r="AJ861" s="99"/>
      <c r="AK861" s="99"/>
      <c r="AL861" s="99"/>
      <c r="AM861" s="99"/>
      <c r="AN861" s="99"/>
      <c r="AO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c r="AA862" s="99"/>
      <c r="AB862" s="99"/>
      <c r="AC862" s="99"/>
      <c r="AD862" s="99"/>
      <c r="AE862" s="99"/>
      <c r="AF862" s="99"/>
      <c r="AG862" s="99"/>
      <c r="AH862" s="99"/>
      <c r="AI862" s="99"/>
      <c r="AJ862" s="99"/>
      <c r="AK862" s="99"/>
      <c r="AL862" s="99"/>
      <c r="AM862" s="99"/>
      <c r="AN862" s="99"/>
      <c r="AO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c r="AA863" s="99"/>
      <c r="AB863" s="99"/>
      <c r="AC863" s="99"/>
      <c r="AD863" s="99"/>
      <c r="AE863" s="99"/>
      <c r="AF863" s="99"/>
      <c r="AG863" s="99"/>
      <c r="AH863" s="99"/>
      <c r="AI863" s="99"/>
      <c r="AJ863" s="99"/>
      <c r="AK863" s="99"/>
      <c r="AL863" s="99"/>
      <c r="AM863" s="99"/>
      <c r="AN863" s="99"/>
      <c r="AO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c r="AA864" s="99"/>
      <c r="AB864" s="99"/>
      <c r="AC864" s="99"/>
      <c r="AD864" s="99"/>
      <c r="AE864" s="99"/>
      <c r="AF864" s="99"/>
      <c r="AG864" s="99"/>
      <c r="AH864" s="99"/>
      <c r="AI864" s="99"/>
      <c r="AJ864" s="99"/>
      <c r="AK864" s="99"/>
      <c r="AL864" s="99"/>
      <c r="AM864" s="99"/>
      <c r="AN864" s="99"/>
      <c r="AO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c r="AA865" s="99"/>
      <c r="AB865" s="99"/>
      <c r="AC865" s="99"/>
      <c r="AD865" s="99"/>
      <c r="AE865" s="99"/>
      <c r="AF865" s="99"/>
      <c r="AG865" s="99"/>
      <c r="AH865" s="99"/>
      <c r="AI865" s="99"/>
      <c r="AJ865" s="99"/>
      <c r="AK865" s="99"/>
      <c r="AL865" s="99"/>
      <c r="AM865" s="99"/>
      <c r="AN865" s="99"/>
      <c r="AO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c r="AA866" s="99"/>
      <c r="AB866" s="99"/>
      <c r="AC866" s="99"/>
      <c r="AD866" s="99"/>
      <c r="AE866" s="99"/>
      <c r="AF866" s="99"/>
      <c r="AG866" s="99"/>
      <c r="AH866" s="99"/>
      <c r="AI866" s="99"/>
      <c r="AJ866" s="99"/>
      <c r="AK866" s="99"/>
      <c r="AL866" s="99"/>
      <c r="AM866" s="99"/>
      <c r="AN866" s="99"/>
      <c r="AO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c r="AA867" s="99"/>
      <c r="AB867" s="99"/>
      <c r="AC867" s="99"/>
      <c r="AD867" s="99"/>
      <c r="AE867" s="99"/>
      <c r="AF867" s="99"/>
      <c r="AG867" s="99"/>
      <c r="AH867" s="99"/>
      <c r="AI867" s="99"/>
      <c r="AJ867" s="99"/>
      <c r="AK867" s="99"/>
      <c r="AL867" s="99"/>
      <c r="AM867" s="99"/>
      <c r="AN867" s="99"/>
      <c r="AO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c r="AA868" s="99"/>
      <c r="AB868" s="99"/>
      <c r="AC868" s="99"/>
      <c r="AD868" s="99"/>
      <c r="AE868" s="99"/>
      <c r="AF868" s="99"/>
      <c r="AG868" s="99"/>
      <c r="AH868" s="99"/>
      <c r="AI868" s="99"/>
      <c r="AJ868" s="99"/>
      <c r="AK868" s="99"/>
      <c r="AL868" s="99"/>
      <c r="AM868" s="99"/>
      <c r="AN868" s="99"/>
      <c r="AO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c r="AA869" s="99"/>
      <c r="AB869" s="99"/>
      <c r="AC869" s="99"/>
      <c r="AD869" s="99"/>
      <c r="AE869" s="99"/>
      <c r="AF869" s="99"/>
      <c r="AG869" s="99"/>
      <c r="AH869" s="99"/>
      <c r="AI869" s="99"/>
      <c r="AJ869" s="99"/>
      <c r="AK869" s="99"/>
      <c r="AL869" s="99"/>
      <c r="AM869" s="99"/>
      <c r="AN869" s="99"/>
      <c r="AO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c r="AA870" s="99"/>
      <c r="AB870" s="99"/>
      <c r="AC870" s="99"/>
      <c r="AD870" s="99"/>
      <c r="AE870" s="99"/>
      <c r="AF870" s="99"/>
      <c r="AG870" s="99"/>
      <c r="AH870" s="99"/>
      <c r="AI870" s="99"/>
      <c r="AJ870" s="99"/>
      <c r="AK870" s="99"/>
      <c r="AL870" s="99"/>
      <c r="AM870" s="99"/>
      <c r="AN870" s="99"/>
      <c r="AO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c r="AA871" s="99"/>
      <c r="AB871" s="99"/>
      <c r="AC871" s="99"/>
      <c r="AD871" s="99"/>
      <c r="AE871" s="99"/>
      <c r="AF871" s="99"/>
      <c r="AG871" s="99"/>
      <c r="AH871" s="99"/>
      <c r="AI871" s="99"/>
      <c r="AJ871" s="99"/>
      <c r="AK871" s="99"/>
      <c r="AL871" s="99"/>
      <c r="AM871" s="99"/>
      <c r="AN871" s="99"/>
      <c r="AO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c r="AA872" s="99"/>
      <c r="AB872" s="99"/>
      <c r="AC872" s="99"/>
      <c r="AD872" s="99"/>
      <c r="AE872" s="99"/>
      <c r="AF872" s="99"/>
      <c r="AG872" s="99"/>
      <c r="AH872" s="99"/>
      <c r="AI872" s="99"/>
      <c r="AJ872" s="99"/>
      <c r="AK872" s="99"/>
      <c r="AL872" s="99"/>
      <c r="AM872" s="99"/>
      <c r="AN872" s="99"/>
      <c r="AO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c r="AA873" s="99"/>
      <c r="AB873" s="99"/>
      <c r="AC873" s="99"/>
      <c r="AD873" s="99"/>
      <c r="AE873" s="99"/>
      <c r="AF873" s="99"/>
      <c r="AG873" s="99"/>
      <c r="AH873" s="99"/>
      <c r="AI873" s="99"/>
      <c r="AJ873" s="99"/>
      <c r="AK873" s="99"/>
      <c r="AL873" s="99"/>
      <c r="AM873" s="99"/>
      <c r="AN873" s="99"/>
      <c r="AO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c r="AA874" s="99"/>
      <c r="AB874" s="99"/>
      <c r="AC874" s="99"/>
      <c r="AD874" s="99"/>
      <c r="AE874" s="99"/>
      <c r="AF874" s="99"/>
      <c r="AG874" s="99"/>
      <c r="AH874" s="99"/>
      <c r="AI874" s="99"/>
      <c r="AJ874" s="99"/>
      <c r="AK874" s="99"/>
      <c r="AL874" s="99"/>
      <c r="AM874" s="99"/>
      <c r="AN874" s="99"/>
      <c r="AO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c r="AA875" s="99"/>
      <c r="AB875" s="99"/>
      <c r="AC875" s="99"/>
      <c r="AD875" s="99"/>
      <c r="AE875" s="99"/>
      <c r="AF875" s="99"/>
      <c r="AG875" s="99"/>
      <c r="AH875" s="99"/>
      <c r="AI875" s="99"/>
      <c r="AJ875" s="99"/>
      <c r="AK875" s="99"/>
      <c r="AL875" s="99"/>
      <c r="AM875" s="99"/>
      <c r="AN875" s="99"/>
      <c r="AO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c r="AA876" s="99"/>
      <c r="AB876" s="99"/>
      <c r="AC876" s="99"/>
      <c r="AD876" s="99"/>
      <c r="AE876" s="99"/>
      <c r="AF876" s="99"/>
      <c r="AG876" s="99"/>
      <c r="AH876" s="99"/>
      <c r="AI876" s="99"/>
      <c r="AJ876" s="99"/>
      <c r="AK876" s="99"/>
      <c r="AL876" s="99"/>
      <c r="AM876" s="99"/>
      <c r="AN876" s="99"/>
      <c r="AO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c r="AA877" s="99"/>
      <c r="AB877" s="99"/>
      <c r="AC877" s="99"/>
      <c r="AD877" s="99"/>
      <c r="AE877" s="99"/>
      <c r="AF877" s="99"/>
      <c r="AG877" s="99"/>
      <c r="AH877" s="99"/>
      <c r="AI877" s="99"/>
      <c r="AJ877" s="99"/>
      <c r="AK877" s="99"/>
      <c r="AL877" s="99"/>
      <c r="AM877" s="99"/>
      <c r="AN877" s="99"/>
      <c r="AO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c r="AA878" s="99"/>
      <c r="AB878" s="99"/>
      <c r="AC878" s="99"/>
      <c r="AD878" s="99"/>
      <c r="AE878" s="99"/>
      <c r="AF878" s="99"/>
      <c r="AG878" s="99"/>
      <c r="AH878" s="99"/>
      <c r="AI878" s="99"/>
      <c r="AJ878" s="99"/>
      <c r="AK878" s="99"/>
      <c r="AL878" s="99"/>
      <c r="AM878" s="99"/>
      <c r="AN878" s="99"/>
      <c r="AO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c r="AA879" s="99"/>
      <c r="AB879" s="99"/>
      <c r="AC879" s="99"/>
      <c r="AD879" s="99"/>
      <c r="AE879" s="99"/>
      <c r="AF879" s="99"/>
      <c r="AG879" s="99"/>
      <c r="AH879" s="99"/>
      <c r="AI879" s="99"/>
      <c r="AJ879" s="99"/>
      <c r="AK879" s="99"/>
      <c r="AL879" s="99"/>
      <c r="AM879" s="99"/>
      <c r="AN879" s="99"/>
      <c r="AO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c r="AA880" s="99"/>
      <c r="AB880" s="99"/>
      <c r="AC880" s="99"/>
      <c r="AD880" s="99"/>
      <c r="AE880" s="99"/>
      <c r="AF880" s="99"/>
      <c r="AG880" s="99"/>
      <c r="AH880" s="99"/>
      <c r="AI880" s="99"/>
      <c r="AJ880" s="99"/>
      <c r="AK880" s="99"/>
      <c r="AL880" s="99"/>
      <c r="AM880" s="99"/>
      <c r="AN880" s="99"/>
      <c r="AO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c r="AA881" s="99"/>
      <c r="AB881" s="99"/>
      <c r="AC881" s="99"/>
      <c r="AD881" s="99"/>
      <c r="AE881" s="99"/>
      <c r="AF881" s="99"/>
      <c r="AG881" s="99"/>
      <c r="AH881" s="99"/>
      <c r="AI881" s="99"/>
      <c r="AJ881" s="99"/>
      <c r="AK881" s="99"/>
      <c r="AL881" s="99"/>
      <c r="AM881" s="99"/>
      <c r="AN881" s="99"/>
      <c r="AO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c r="AA882" s="99"/>
      <c r="AB882" s="99"/>
      <c r="AC882" s="99"/>
      <c r="AD882" s="99"/>
      <c r="AE882" s="99"/>
      <c r="AF882" s="99"/>
      <c r="AG882" s="99"/>
      <c r="AH882" s="99"/>
      <c r="AI882" s="99"/>
      <c r="AJ882" s="99"/>
      <c r="AK882" s="99"/>
      <c r="AL882" s="99"/>
      <c r="AM882" s="99"/>
      <c r="AN882" s="99"/>
      <c r="AO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c r="AA883" s="99"/>
      <c r="AB883" s="99"/>
      <c r="AC883" s="99"/>
      <c r="AD883" s="99"/>
      <c r="AE883" s="99"/>
      <c r="AF883" s="99"/>
      <c r="AG883" s="99"/>
      <c r="AH883" s="99"/>
      <c r="AI883" s="99"/>
      <c r="AJ883" s="99"/>
      <c r="AK883" s="99"/>
      <c r="AL883" s="99"/>
      <c r="AM883" s="99"/>
      <c r="AN883" s="99"/>
      <c r="AO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c r="AA884" s="99"/>
      <c r="AB884" s="99"/>
      <c r="AC884" s="99"/>
      <c r="AD884" s="99"/>
      <c r="AE884" s="99"/>
      <c r="AF884" s="99"/>
      <c r="AG884" s="99"/>
      <c r="AH884" s="99"/>
      <c r="AI884" s="99"/>
      <c r="AJ884" s="99"/>
      <c r="AK884" s="99"/>
      <c r="AL884" s="99"/>
      <c r="AM884" s="99"/>
      <c r="AN884" s="99"/>
      <c r="AO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c r="AA885" s="99"/>
      <c r="AB885" s="99"/>
      <c r="AC885" s="99"/>
      <c r="AD885" s="99"/>
      <c r="AE885" s="99"/>
      <c r="AF885" s="99"/>
      <c r="AG885" s="99"/>
      <c r="AH885" s="99"/>
      <c r="AI885" s="99"/>
      <c r="AJ885" s="99"/>
      <c r="AK885" s="99"/>
      <c r="AL885" s="99"/>
      <c r="AM885" s="99"/>
      <c r="AN885" s="99"/>
      <c r="AO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c r="AA886" s="99"/>
      <c r="AB886" s="99"/>
      <c r="AC886" s="99"/>
      <c r="AD886" s="99"/>
      <c r="AE886" s="99"/>
      <c r="AF886" s="99"/>
      <c r="AG886" s="99"/>
      <c r="AH886" s="99"/>
      <c r="AI886" s="99"/>
      <c r="AJ886" s="99"/>
      <c r="AK886" s="99"/>
      <c r="AL886" s="99"/>
      <c r="AM886" s="99"/>
      <c r="AN886" s="99"/>
      <c r="AO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c r="AA887" s="99"/>
      <c r="AB887" s="99"/>
      <c r="AC887" s="99"/>
      <c r="AD887" s="99"/>
      <c r="AE887" s="99"/>
      <c r="AF887" s="99"/>
      <c r="AG887" s="99"/>
      <c r="AH887" s="99"/>
      <c r="AI887" s="99"/>
      <c r="AJ887" s="99"/>
      <c r="AK887" s="99"/>
      <c r="AL887" s="99"/>
      <c r="AM887" s="99"/>
      <c r="AN887" s="99"/>
      <c r="AO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c r="AA888" s="99"/>
      <c r="AB888" s="99"/>
      <c r="AC888" s="99"/>
      <c r="AD888" s="99"/>
      <c r="AE888" s="99"/>
      <c r="AF888" s="99"/>
      <c r="AG888" s="99"/>
      <c r="AH888" s="99"/>
      <c r="AI888" s="99"/>
      <c r="AJ888" s="99"/>
      <c r="AK888" s="99"/>
      <c r="AL888" s="99"/>
      <c r="AM888" s="99"/>
      <c r="AN888" s="99"/>
      <c r="AO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c r="AA889" s="99"/>
      <c r="AB889" s="99"/>
      <c r="AC889" s="99"/>
      <c r="AD889" s="99"/>
      <c r="AE889" s="99"/>
      <c r="AF889" s="99"/>
      <c r="AG889" s="99"/>
      <c r="AH889" s="99"/>
      <c r="AI889" s="99"/>
      <c r="AJ889" s="99"/>
      <c r="AK889" s="99"/>
      <c r="AL889" s="99"/>
      <c r="AM889" s="99"/>
      <c r="AN889" s="99"/>
      <c r="AO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c r="AA890" s="99"/>
      <c r="AB890" s="99"/>
      <c r="AC890" s="99"/>
      <c r="AD890" s="99"/>
      <c r="AE890" s="99"/>
      <c r="AF890" s="99"/>
      <c r="AG890" s="99"/>
      <c r="AH890" s="99"/>
      <c r="AI890" s="99"/>
      <c r="AJ890" s="99"/>
      <c r="AK890" s="99"/>
      <c r="AL890" s="99"/>
      <c r="AM890" s="99"/>
      <c r="AN890" s="99"/>
      <c r="AO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c r="AA891" s="99"/>
      <c r="AB891" s="99"/>
      <c r="AC891" s="99"/>
      <c r="AD891" s="99"/>
      <c r="AE891" s="99"/>
      <c r="AF891" s="99"/>
      <c r="AG891" s="99"/>
      <c r="AH891" s="99"/>
      <c r="AI891" s="99"/>
      <c r="AJ891" s="99"/>
      <c r="AK891" s="99"/>
      <c r="AL891" s="99"/>
      <c r="AM891" s="99"/>
      <c r="AN891" s="99"/>
      <c r="AO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c r="AA892" s="99"/>
      <c r="AB892" s="99"/>
      <c r="AC892" s="99"/>
      <c r="AD892" s="99"/>
      <c r="AE892" s="99"/>
      <c r="AF892" s="99"/>
      <c r="AG892" s="99"/>
      <c r="AH892" s="99"/>
      <c r="AI892" s="99"/>
      <c r="AJ892" s="99"/>
      <c r="AK892" s="99"/>
      <c r="AL892" s="99"/>
      <c r="AM892" s="99"/>
      <c r="AN892" s="99"/>
      <c r="AO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c r="AA893" s="99"/>
      <c r="AB893" s="99"/>
      <c r="AC893" s="99"/>
      <c r="AD893" s="99"/>
      <c r="AE893" s="99"/>
      <c r="AF893" s="99"/>
      <c r="AG893" s="99"/>
      <c r="AH893" s="99"/>
      <c r="AI893" s="99"/>
      <c r="AJ893" s="99"/>
      <c r="AK893" s="99"/>
      <c r="AL893" s="99"/>
      <c r="AM893" s="99"/>
      <c r="AN893" s="99"/>
      <c r="AO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c r="AA894" s="99"/>
      <c r="AB894" s="99"/>
      <c r="AC894" s="99"/>
      <c r="AD894" s="99"/>
      <c r="AE894" s="99"/>
      <c r="AF894" s="99"/>
      <c r="AG894" s="99"/>
      <c r="AH894" s="99"/>
      <c r="AI894" s="99"/>
      <c r="AJ894" s="99"/>
      <c r="AK894" s="99"/>
      <c r="AL894" s="99"/>
      <c r="AM894" s="99"/>
      <c r="AN894" s="99"/>
      <c r="AO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c r="AA895" s="99"/>
      <c r="AB895" s="99"/>
      <c r="AC895" s="99"/>
      <c r="AD895" s="99"/>
      <c r="AE895" s="99"/>
      <c r="AF895" s="99"/>
      <c r="AG895" s="99"/>
      <c r="AH895" s="99"/>
      <c r="AI895" s="99"/>
      <c r="AJ895" s="99"/>
      <c r="AK895" s="99"/>
      <c r="AL895" s="99"/>
      <c r="AM895" s="99"/>
      <c r="AN895" s="99"/>
      <c r="AO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c r="AA896" s="99"/>
      <c r="AB896" s="99"/>
      <c r="AC896" s="99"/>
      <c r="AD896" s="99"/>
      <c r="AE896" s="99"/>
      <c r="AF896" s="99"/>
      <c r="AG896" s="99"/>
      <c r="AH896" s="99"/>
      <c r="AI896" s="99"/>
      <c r="AJ896" s="99"/>
      <c r="AK896" s="99"/>
      <c r="AL896" s="99"/>
      <c r="AM896" s="99"/>
      <c r="AN896" s="99"/>
      <c r="AO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c r="AA897" s="99"/>
      <c r="AB897" s="99"/>
      <c r="AC897" s="99"/>
      <c r="AD897" s="99"/>
      <c r="AE897" s="99"/>
      <c r="AF897" s="99"/>
      <c r="AG897" s="99"/>
      <c r="AH897" s="99"/>
      <c r="AI897" s="99"/>
      <c r="AJ897" s="99"/>
      <c r="AK897" s="99"/>
      <c r="AL897" s="99"/>
      <c r="AM897" s="99"/>
      <c r="AN897" s="99"/>
      <c r="AO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c r="AA898" s="99"/>
      <c r="AB898" s="99"/>
      <c r="AC898" s="99"/>
      <c r="AD898" s="99"/>
      <c r="AE898" s="99"/>
      <c r="AF898" s="99"/>
      <c r="AG898" s="99"/>
      <c r="AH898" s="99"/>
      <c r="AI898" s="99"/>
      <c r="AJ898" s="99"/>
      <c r="AK898" s="99"/>
      <c r="AL898" s="99"/>
      <c r="AM898" s="99"/>
      <c r="AN898" s="99"/>
      <c r="AO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c r="AA899" s="99"/>
      <c r="AB899" s="99"/>
      <c r="AC899" s="99"/>
      <c r="AD899" s="99"/>
      <c r="AE899" s="99"/>
      <c r="AF899" s="99"/>
      <c r="AG899" s="99"/>
      <c r="AH899" s="99"/>
      <c r="AI899" s="99"/>
      <c r="AJ899" s="99"/>
      <c r="AK899" s="99"/>
      <c r="AL899" s="99"/>
      <c r="AM899" s="99"/>
      <c r="AN899" s="99"/>
      <c r="AO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c r="AA900" s="99"/>
      <c r="AB900" s="99"/>
      <c r="AC900" s="99"/>
      <c r="AD900" s="99"/>
      <c r="AE900" s="99"/>
      <c r="AF900" s="99"/>
      <c r="AG900" s="99"/>
      <c r="AH900" s="99"/>
      <c r="AI900" s="99"/>
      <c r="AJ900" s="99"/>
      <c r="AK900" s="99"/>
      <c r="AL900" s="99"/>
      <c r="AM900" s="99"/>
      <c r="AN900" s="99"/>
      <c r="AO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c r="AA901" s="99"/>
      <c r="AB901" s="99"/>
      <c r="AC901" s="99"/>
      <c r="AD901" s="99"/>
      <c r="AE901" s="99"/>
      <c r="AF901" s="99"/>
      <c r="AG901" s="99"/>
      <c r="AH901" s="99"/>
      <c r="AI901" s="99"/>
      <c r="AJ901" s="99"/>
      <c r="AK901" s="99"/>
      <c r="AL901" s="99"/>
      <c r="AM901" s="99"/>
      <c r="AN901" s="99"/>
      <c r="AO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c r="AA902" s="99"/>
      <c r="AB902" s="99"/>
      <c r="AC902" s="99"/>
      <c r="AD902" s="99"/>
      <c r="AE902" s="99"/>
      <c r="AF902" s="99"/>
      <c r="AG902" s="99"/>
      <c r="AH902" s="99"/>
      <c r="AI902" s="99"/>
      <c r="AJ902" s="99"/>
      <c r="AK902" s="99"/>
      <c r="AL902" s="99"/>
      <c r="AM902" s="99"/>
      <c r="AN902" s="99"/>
      <c r="AO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c r="AA903" s="99"/>
      <c r="AB903" s="99"/>
      <c r="AC903" s="99"/>
      <c r="AD903" s="99"/>
      <c r="AE903" s="99"/>
      <c r="AF903" s="99"/>
      <c r="AG903" s="99"/>
      <c r="AH903" s="99"/>
      <c r="AI903" s="99"/>
      <c r="AJ903" s="99"/>
      <c r="AK903" s="99"/>
      <c r="AL903" s="99"/>
      <c r="AM903" s="99"/>
      <c r="AN903" s="99"/>
      <c r="AO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c r="AA904" s="99"/>
      <c r="AB904" s="99"/>
      <c r="AC904" s="99"/>
      <c r="AD904" s="99"/>
      <c r="AE904" s="99"/>
      <c r="AF904" s="99"/>
      <c r="AG904" s="99"/>
      <c r="AH904" s="99"/>
      <c r="AI904" s="99"/>
      <c r="AJ904" s="99"/>
      <c r="AK904" s="99"/>
      <c r="AL904" s="99"/>
      <c r="AM904" s="99"/>
      <c r="AN904" s="99"/>
      <c r="AO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c r="AA905" s="99"/>
      <c r="AB905" s="99"/>
      <c r="AC905" s="99"/>
      <c r="AD905" s="99"/>
      <c r="AE905" s="99"/>
      <c r="AF905" s="99"/>
      <c r="AG905" s="99"/>
      <c r="AH905" s="99"/>
      <c r="AI905" s="99"/>
      <c r="AJ905" s="99"/>
      <c r="AK905" s="99"/>
      <c r="AL905" s="99"/>
      <c r="AM905" s="99"/>
      <c r="AN905" s="99"/>
      <c r="AO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c r="AA906" s="99"/>
      <c r="AB906" s="99"/>
      <c r="AC906" s="99"/>
      <c r="AD906" s="99"/>
      <c r="AE906" s="99"/>
      <c r="AF906" s="99"/>
      <c r="AG906" s="99"/>
      <c r="AH906" s="99"/>
      <c r="AI906" s="99"/>
      <c r="AJ906" s="99"/>
      <c r="AK906" s="99"/>
      <c r="AL906" s="99"/>
      <c r="AM906" s="99"/>
      <c r="AN906" s="99"/>
      <c r="AO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c r="AA907" s="99"/>
      <c r="AB907" s="99"/>
      <c r="AC907" s="99"/>
      <c r="AD907" s="99"/>
      <c r="AE907" s="99"/>
      <c r="AF907" s="99"/>
      <c r="AG907" s="99"/>
      <c r="AH907" s="99"/>
      <c r="AI907" s="99"/>
      <c r="AJ907" s="99"/>
      <c r="AK907" s="99"/>
      <c r="AL907" s="99"/>
      <c r="AM907" s="99"/>
      <c r="AN907" s="99"/>
      <c r="AO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c r="AA908" s="99"/>
      <c r="AB908" s="99"/>
      <c r="AC908" s="99"/>
      <c r="AD908" s="99"/>
      <c r="AE908" s="99"/>
      <c r="AF908" s="99"/>
      <c r="AG908" s="99"/>
      <c r="AH908" s="99"/>
      <c r="AI908" s="99"/>
      <c r="AJ908" s="99"/>
      <c r="AK908" s="99"/>
      <c r="AL908" s="99"/>
      <c r="AM908" s="99"/>
      <c r="AN908" s="99"/>
      <c r="AO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c r="AA909" s="99"/>
      <c r="AB909" s="99"/>
      <c r="AC909" s="99"/>
      <c r="AD909" s="99"/>
      <c r="AE909" s="99"/>
      <c r="AF909" s="99"/>
      <c r="AG909" s="99"/>
      <c r="AH909" s="99"/>
      <c r="AI909" s="99"/>
      <c r="AJ909" s="99"/>
      <c r="AK909" s="99"/>
      <c r="AL909" s="99"/>
      <c r="AM909" s="99"/>
      <c r="AN909" s="99"/>
      <c r="AO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c r="AA910" s="99"/>
      <c r="AB910" s="99"/>
      <c r="AC910" s="99"/>
      <c r="AD910" s="99"/>
      <c r="AE910" s="99"/>
      <c r="AF910" s="99"/>
      <c r="AG910" s="99"/>
      <c r="AH910" s="99"/>
      <c r="AI910" s="99"/>
      <c r="AJ910" s="99"/>
      <c r="AK910" s="99"/>
      <c r="AL910" s="99"/>
      <c r="AM910" s="99"/>
      <c r="AN910" s="99"/>
      <c r="AO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c r="AA911" s="99"/>
      <c r="AB911" s="99"/>
      <c r="AC911" s="99"/>
      <c r="AD911" s="99"/>
      <c r="AE911" s="99"/>
      <c r="AF911" s="99"/>
      <c r="AG911" s="99"/>
      <c r="AH911" s="99"/>
      <c r="AI911" s="99"/>
      <c r="AJ911" s="99"/>
      <c r="AK911" s="99"/>
      <c r="AL911" s="99"/>
      <c r="AM911" s="99"/>
      <c r="AN911" s="99"/>
      <c r="AO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c r="AA912" s="99"/>
      <c r="AB912" s="99"/>
      <c r="AC912" s="99"/>
      <c r="AD912" s="99"/>
      <c r="AE912" s="99"/>
      <c r="AF912" s="99"/>
      <c r="AG912" s="99"/>
      <c r="AH912" s="99"/>
      <c r="AI912" s="99"/>
      <c r="AJ912" s="99"/>
      <c r="AK912" s="99"/>
      <c r="AL912" s="99"/>
      <c r="AM912" s="99"/>
      <c r="AN912" s="99"/>
      <c r="AO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c r="AA913" s="99"/>
      <c r="AB913" s="99"/>
      <c r="AC913" s="99"/>
      <c r="AD913" s="99"/>
      <c r="AE913" s="99"/>
      <c r="AF913" s="99"/>
      <c r="AG913" s="99"/>
      <c r="AH913" s="99"/>
      <c r="AI913" s="99"/>
      <c r="AJ913" s="99"/>
      <c r="AK913" s="99"/>
      <c r="AL913" s="99"/>
      <c r="AM913" s="99"/>
      <c r="AN913" s="99"/>
      <c r="AO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c r="AA914" s="99"/>
      <c r="AB914" s="99"/>
      <c r="AC914" s="99"/>
      <c r="AD914" s="99"/>
      <c r="AE914" s="99"/>
      <c r="AF914" s="99"/>
      <c r="AG914" s="99"/>
      <c r="AH914" s="99"/>
      <c r="AI914" s="99"/>
      <c r="AJ914" s="99"/>
      <c r="AK914" s="99"/>
      <c r="AL914" s="99"/>
      <c r="AM914" s="99"/>
      <c r="AN914" s="99"/>
      <c r="AO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c r="AA915" s="99"/>
      <c r="AB915" s="99"/>
      <c r="AC915" s="99"/>
      <c r="AD915" s="99"/>
      <c r="AE915" s="99"/>
      <c r="AF915" s="99"/>
      <c r="AG915" s="99"/>
      <c r="AH915" s="99"/>
      <c r="AI915" s="99"/>
      <c r="AJ915" s="99"/>
      <c r="AK915" s="99"/>
      <c r="AL915" s="99"/>
      <c r="AM915" s="99"/>
      <c r="AN915" s="99"/>
      <c r="AO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c r="AA916" s="99"/>
      <c r="AB916" s="99"/>
      <c r="AC916" s="99"/>
      <c r="AD916" s="99"/>
      <c r="AE916" s="99"/>
      <c r="AF916" s="99"/>
      <c r="AG916" s="99"/>
      <c r="AH916" s="99"/>
      <c r="AI916" s="99"/>
      <c r="AJ916" s="99"/>
      <c r="AK916" s="99"/>
      <c r="AL916" s="99"/>
      <c r="AM916" s="99"/>
      <c r="AN916" s="99"/>
      <c r="AO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c r="AA917" s="99"/>
      <c r="AB917" s="99"/>
      <c r="AC917" s="99"/>
      <c r="AD917" s="99"/>
      <c r="AE917" s="99"/>
      <c r="AF917" s="99"/>
      <c r="AG917" s="99"/>
      <c r="AH917" s="99"/>
      <c r="AI917" s="99"/>
      <c r="AJ917" s="99"/>
      <c r="AK917" s="99"/>
      <c r="AL917" s="99"/>
      <c r="AM917" s="99"/>
      <c r="AN917" s="99"/>
      <c r="AO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c r="AA918" s="99"/>
      <c r="AB918" s="99"/>
      <c r="AC918" s="99"/>
      <c r="AD918" s="99"/>
      <c r="AE918" s="99"/>
      <c r="AF918" s="99"/>
      <c r="AG918" s="99"/>
      <c r="AH918" s="99"/>
      <c r="AI918" s="99"/>
      <c r="AJ918" s="99"/>
      <c r="AK918" s="99"/>
      <c r="AL918" s="99"/>
      <c r="AM918" s="99"/>
      <c r="AN918" s="99"/>
      <c r="AO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c r="AA919" s="99"/>
      <c r="AB919" s="99"/>
      <c r="AC919" s="99"/>
      <c r="AD919" s="99"/>
      <c r="AE919" s="99"/>
      <c r="AF919" s="99"/>
      <c r="AG919" s="99"/>
      <c r="AH919" s="99"/>
      <c r="AI919" s="99"/>
      <c r="AJ919" s="99"/>
      <c r="AK919" s="99"/>
      <c r="AL919" s="99"/>
      <c r="AM919" s="99"/>
      <c r="AN919" s="99"/>
      <c r="AO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c r="AA920" s="99"/>
      <c r="AB920" s="99"/>
      <c r="AC920" s="99"/>
      <c r="AD920" s="99"/>
      <c r="AE920" s="99"/>
      <c r="AF920" s="99"/>
      <c r="AG920" s="99"/>
      <c r="AH920" s="99"/>
      <c r="AI920" s="99"/>
      <c r="AJ920" s="99"/>
      <c r="AK920" s="99"/>
      <c r="AL920" s="99"/>
      <c r="AM920" s="99"/>
      <c r="AN920" s="99"/>
      <c r="AO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c r="AA921" s="99"/>
      <c r="AB921" s="99"/>
      <c r="AC921" s="99"/>
      <c r="AD921" s="99"/>
      <c r="AE921" s="99"/>
      <c r="AF921" s="99"/>
      <c r="AG921" s="99"/>
      <c r="AH921" s="99"/>
      <c r="AI921" s="99"/>
      <c r="AJ921" s="99"/>
      <c r="AK921" s="99"/>
      <c r="AL921" s="99"/>
      <c r="AM921" s="99"/>
      <c r="AN921" s="99"/>
      <c r="AO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c r="AA922" s="99"/>
      <c r="AB922" s="99"/>
      <c r="AC922" s="99"/>
      <c r="AD922" s="99"/>
      <c r="AE922" s="99"/>
      <c r="AF922" s="99"/>
      <c r="AG922" s="99"/>
      <c r="AH922" s="99"/>
      <c r="AI922" s="99"/>
      <c r="AJ922" s="99"/>
      <c r="AK922" s="99"/>
      <c r="AL922" s="99"/>
      <c r="AM922" s="99"/>
      <c r="AN922" s="99"/>
      <c r="AO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c r="AA923" s="99"/>
      <c r="AB923" s="99"/>
      <c r="AC923" s="99"/>
      <c r="AD923" s="99"/>
      <c r="AE923" s="99"/>
      <c r="AF923" s="99"/>
      <c r="AG923" s="99"/>
      <c r="AH923" s="99"/>
      <c r="AI923" s="99"/>
      <c r="AJ923" s="99"/>
      <c r="AK923" s="99"/>
      <c r="AL923" s="99"/>
      <c r="AM923" s="99"/>
      <c r="AN923" s="99"/>
      <c r="AO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c r="AA924" s="99"/>
      <c r="AB924" s="99"/>
      <c r="AC924" s="99"/>
      <c r="AD924" s="99"/>
      <c r="AE924" s="99"/>
      <c r="AF924" s="99"/>
      <c r="AG924" s="99"/>
      <c r="AH924" s="99"/>
      <c r="AI924" s="99"/>
      <c r="AJ924" s="99"/>
      <c r="AK924" s="99"/>
      <c r="AL924" s="99"/>
      <c r="AM924" s="99"/>
      <c r="AN924" s="99"/>
      <c r="AO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c r="AA925" s="99"/>
      <c r="AB925" s="99"/>
      <c r="AC925" s="99"/>
      <c r="AD925" s="99"/>
      <c r="AE925" s="99"/>
      <c r="AF925" s="99"/>
      <c r="AG925" s="99"/>
      <c r="AH925" s="99"/>
      <c r="AI925" s="99"/>
      <c r="AJ925" s="99"/>
      <c r="AK925" s="99"/>
      <c r="AL925" s="99"/>
      <c r="AM925" s="99"/>
      <c r="AN925" s="99"/>
      <c r="AO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c r="AA926" s="99"/>
      <c r="AB926" s="99"/>
      <c r="AC926" s="99"/>
      <c r="AD926" s="99"/>
      <c r="AE926" s="99"/>
      <c r="AF926" s="99"/>
      <c r="AG926" s="99"/>
      <c r="AH926" s="99"/>
      <c r="AI926" s="99"/>
      <c r="AJ926" s="99"/>
      <c r="AK926" s="99"/>
      <c r="AL926" s="99"/>
      <c r="AM926" s="99"/>
      <c r="AN926" s="99"/>
      <c r="AO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c r="AA927" s="99"/>
      <c r="AB927" s="99"/>
      <c r="AC927" s="99"/>
      <c r="AD927" s="99"/>
      <c r="AE927" s="99"/>
      <c r="AF927" s="99"/>
      <c r="AG927" s="99"/>
      <c r="AH927" s="99"/>
      <c r="AI927" s="99"/>
      <c r="AJ927" s="99"/>
      <c r="AK927" s="99"/>
      <c r="AL927" s="99"/>
      <c r="AM927" s="99"/>
      <c r="AN927" s="99"/>
      <c r="AO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c r="AA928" s="99"/>
      <c r="AB928" s="99"/>
      <c r="AC928" s="99"/>
      <c r="AD928" s="99"/>
      <c r="AE928" s="99"/>
      <c r="AF928" s="99"/>
      <c r="AG928" s="99"/>
      <c r="AH928" s="99"/>
      <c r="AI928" s="99"/>
      <c r="AJ928" s="99"/>
      <c r="AK928" s="99"/>
      <c r="AL928" s="99"/>
      <c r="AM928" s="99"/>
      <c r="AN928" s="99"/>
      <c r="AO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c r="AA929" s="99"/>
      <c r="AB929" s="99"/>
      <c r="AC929" s="99"/>
      <c r="AD929" s="99"/>
      <c r="AE929" s="99"/>
      <c r="AF929" s="99"/>
      <c r="AG929" s="99"/>
      <c r="AH929" s="99"/>
      <c r="AI929" s="99"/>
      <c r="AJ929" s="99"/>
      <c r="AK929" s="99"/>
      <c r="AL929" s="99"/>
      <c r="AM929" s="99"/>
      <c r="AN929" s="99"/>
      <c r="AO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c r="AA930" s="99"/>
      <c r="AB930" s="99"/>
      <c r="AC930" s="99"/>
      <c r="AD930" s="99"/>
      <c r="AE930" s="99"/>
      <c r="AF930" s="99"/>
      <c r="AG930" s="99"/>
      <c r="AH930" s="99"/>
      <c r="AI930" s="99"/>
      <c r="AJ930" s="99"/>
      <c r="AK930" s="99"/>
      <c r="AL930" s="99"/>
      <c r="AM930" s="99"/>
      <c r="AN930" s="99"/>
      <c r="AO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c r="AA931" s="99"/>
      <c r="AB931" s="99"/>
      <c r="AC931" s="99"/>
      <c r="AD931" s="99"/>
      <c r="AE931" s="99"/>
      <c r="AF931" s="99"/>
      <c r="AG931" s="99"/>
      <c r="AH931" s="99"/>
      <c r="AI931" s="99"/>
      <c r="AJ931" s="99"/>
      <c r="AK931" s="99"/>
      <c r="AL931" s="99"/>
      <c r="AM931" s="99"/>
      <c r="AN931" s="99"/>
      <c r="AO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c r="AA932" s="99"/>
      <c r="AB932" s="99"/>
      <c r="AC932" s="99"/>
      <c r="AD932" s="99"/>
      <c r="AE932" s="99"/>
      <c r="AF932" s="99"/>
      <c r="AG932" s="99"/>
      <c r="AH932" s="99"/>
      <c r="AI932" s="99"/>
      <c r="AJ932" s="99"/>
      <c r="AK932" s="99"/>
      <c r="AL932" s="99"/>
      <c r="AM932" s="99"/>
      <c r="AN932" s="99"/>
      <c r="AO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c r="AA933" s="99"/>
      <c r="AB933" s="99"/>
      <c r="AC933" s="99"/>
      <c r="AD933" s="99"/>
      <c r="AE933" s="99"/>
      <c r="AF933" s="99"/>
      <c r="AG933" s="99"/>
      <c r="AH933" s="99"/>
      <c r="AI933" s="99"/>
      <c r="AJ933" s="99"/>
      <c r="AK933" s="99"/>
      <c r="AL933" s="99"/>
      <c r="AM933" s="99"/>
      <c r="AN933" s="99"/>
      <c r="AO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c r="AA934" s="99"/>
      <c r="AB934" s="99"/>
      <c r="AC934" s="99"/>
      <c r="AD934" s="99"/>
      <c r="AE934" s="99"/>
      <c r="AF934" s="99"/>
      <c r="AG934" s="99"/>
      <c r="AH934" s="99"/>
      <c r="AI934" s="99"/>
      <c r="AJ934" s="99"/>
      <c r="AK934" s="99"/>
      <c r="AL934" s="99"/>
      <c r="AM934" s="99"/>
      <c r="AN934" s="99"/>
      <c r="AO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c r="AA935" s="99"/>
      <c r="AB935" s="99"/>
      <c r="AC935" s="99"/>
      <c r="AD935" s="99"/>
      <c r="AE935" s="99"/>
      <c r="AF935" s="99"/>
      <c r="AG935" s="99"/>
      <c r="AH935" s="99"/>
      <c r="AI935" s="99"/>
      <c r="AJ935" s="99"/>
      <c r="AK935" s="99"/>
      <c r="AL935" s="99"/>
      <c r="AM935" s="99"/>
      <c r="AN935" s="99"/>
      <c r="AO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c r="AA936" s="99"/>
      <c r="AB936" s="99"/>
      <c r="AC936" s="99"/>
      <c r="AD936" s="99"/>
      <c r="AE936" s="99"/>
      <c r="AF936" s="99"/>
      <c r="AG936" s="99"/>
      <c r="AH936" s="99"/>
      <c r="AI936" s="99"/>
      <c r="AJ936" s="99"/>
      <c r="AK936" s="99"/>
      <c r="AL936" s="99"/>
      <c r="AM936" s="99"/>
      <c r="AN936" s="99"/>
      <c r="AO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c r="AA937" s="99"/>
      <c r="AB937" s="99"/>
      <c r="AC937" s="99"/>
      <c r="AD937" s="99"/>
      <c r="AE937" s="99"/>
      <c r="AF937" s="99"/>
      <c r="AG937" s="99"/>
      <c r="AH937" s="99"/>
      <c r="AI937" s="99"/>
      <c r="AJ937" s="99"/>
      <c r="AK937" s="99"/>
      <c r="AL937" s="99"/>
      <c r="AM937" s="99"/>
      <c r="AN937" s="99"/>
      <c r="AO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c r="AA938" s="99"/>
      <c r="AB938" s="99"/>
      <c r="AC938" s="99"/>
      <c r="AD938" s="99"/>
      <c r="AE938" s="99"/>
      <c r="AF938" s="99"/>
      <c r="AG938" s="99"/>
      <c r="AH938" s="99"/>
      <c r="AI938" s="99"/>
      <c r="AJ938" s="99"/>
      <c r="AK938" s="99"/>
      <c r="AL938" s="99"/>
      <c r="AM938" s="99"/>
      <c r="AN938" s="99"/>
      <c r="AO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c r="AA939" s="99"/>
      <c r="AB939" s="99"/>
      <c r="AC939" s="99"/>
      <c r="AD939" s="99"/>
      <c r="AE939" s="99"/>
      <c r="AF939" s="99"/>
      <c r="AG939" s="99"/>
      <c r="AH939" s="99"/>
      <c r="AI939" s="99"/>
      <c r="AJ939" s="99"/>
      <c r="AK939" s="99"/>
      <c r="AL939" s="99"/>
      <c r="AM939" s="99"/>
      <c r="AN939" s="99"/>
      <c r="AO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c r="AA940" s="99"/>
      <c r="AB940" s="99"/>
      <c r="AC940" s="99"/>
      <c r="AD940" s="99"/>
      <c r="AE940" s="99"/>
      <c r="AF940" s="99"/>
      <c r="AG940" s="99"/>
      <c r="AH940" s="99"/>
      <c r="AI940" s="99"/>
      <c r="AJ940" s="99"/>
      <c r="AK940" s="99"/>
      <c r="AL940" s="99"/>
      <c r="AM940" s="99"/>
      <c r="AN940" s="99"/>
      <c r="AO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c r="AA941" s="99"/>
      <c r="AB941" s="99"/>
      <c r="AC941" s="99"/>
      <c r="AD941" s="99"/>
      <c r="AE941" s="99"/>
      <c r="AF941" s="99"/>
      <c r="AG941" s="99"/>
      <c r="AH941" s="99"/>
      <c r="AI941" s="99"/>
      <c r="AJ941" s="99"/>
      <c r="AK941" s="99"/>
      <c r="AL941" s="99"/>
      <c r="AM941" s="99"/>
      <c r="AN941" s="99"/>
      <c r="AO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c r="AA942" s="99"/>
      <c r="AB942" s="99"/>
      <c r="AC942" s="99"/>
      <c r="AD942" s="99"/>
      <c r="AE942" s="99"/>
      <c r="AF942" s="99"/>
      <c r="AG942" s="99"/>
      <c r="AH942" s="99"/>
      <c r="AI942" s="99"/>
      <c r="AJ942" s="99"/>
      <c r="AK942" s="99"/>
      <c r="AL942" s="99"/>
      <c r="AM942" s="99"/>
      <c r="AN942" s="99"/>
      <c r="AO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c r="AA943" s="99"/>
      <c r="AB943" s="99"/>
      <c r="AC943" s="99"/>
      <c r="AD943" s="99"/>
      <c r="AE943" s="99"/>
      <c r="AF943" s="99"/>
      <c r="AG943" s="99"/>
      <c r="AH943" s="99"/>
      <c r="AI943" s="99"/>
      <c r="AJ943" s="99"/>
      <c r="AK943" s="99"/>
      <c r="AL943" s="99"/>
      <c r="AM943" s="99"/>
      <c r="AN943" s="99"/>
      <c r="AO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c r="AA944" s="99"/>
      <c r="AB944" s="99"/>
      <c r="AC944" s="99"/>
      <c r="AD944" s="99"/>
      <c r="AE944" s="99"/>
      <c r="AF944" s="99"/>
      <c r="AG944" s="99"/>
      <c r="AH944" s="99"/>
      <c r="AI944" s="99"/>
      <c r="AJ944" s="99"/>
      <c r="AK944" s="99"/>
      <c r="AL944" s="99"/>
      <c r="AM944" s="99"/>
      <c r="AN944" s="99"/>
      <c r="AO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c r="AA945" s="99"/>
      <c r="AB945" s="99"/>
      <c r="AC945" s="99"/>
      <c r="AD945" s="99"/>
      <c r="AE945" s="99"/>
      <c r="AF945" s="99"/>
      <c r="AG945" s="99"/>
      <c r="AH945" s="99"/>
      <c r="AI945" s="99"/>
      <c r="AJ945" s="99"/>
      <c r="AK945" s="99"/>
      <c r="AL945" s="99"/>
      <c r="AM945" s="99"/>
      <c r="AN945" s="99"/>
      <c r="AO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c r="AA946" s="99"/>
      <c r="AB946" s="99"/>
      <c r="AC946" s="99"/>
      <c r="AD946" s="99"/>
      <c r="AE946" s="99"/>
      <c r="AF946" s="99"/>
      <c r="AG946" s="99"/>
      <c r="AH946" s="99"/>
      <c r="AI946" s="99"/>
      <c r="AJ946" s="99"/>
      <c r="AK946" s="99"/>
      <c r="AL946" s="99"/>
      <c r="AM946" s="99"/>
      <c r="AN946" s="99"/>
      <c r="AO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c r="AA947" s="99"/>
      <c r="AB947" s="99"/>
      <c r="AC947" s="99"/>
      <c r="AD947" s="99"/>
      <c r="AE947" s="99"/>
      <c r="AF947" s="99"/>
      <c r="AG947" s="99"/>
      <c r="AH947" s="99"/>
      <c r="AI947" s="99"/>
      <c r="AJ947" s="99"/>
      <c r="AK947" s="99"/>
      <c r="AL947" s="99"/>
      <c r="AM947" s="99"/>
      <c r="AN947" s="99"/>
      <c r="AO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c r="AA948" s="99"/>
      <c r="AB948" s="99"/>
      <c r="AC948" s="99"/>
      <c r="AD948" s="99"/>
      <c r="AE948" s="99"/>
      <c r="AF948" s="99"/>
      <c r="AG948" s="99"/>
      <c r="AH948" s="99"/>
      <c r="AI948" s="99"/>
      <c r="AJ948" s="99"/>
      <c r="AK948" s="99"/>
      <c r="AL948" s="99"/>
      <c r="AM948" s="99"/>
      <c r="AN948" s="99"/>
      <c r="AO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c r="AA949" s="99"/>
      <c r="AB949" s="99"/>
      <c r="AC949" s="99"/>
      <c r="AD949" s="99"/>
      <c r="AE949" s="99"/>
      <c r="AF949" s="99"/>
      <c r="AG949" s="99"/>
      <c r="AH949" s="99"/>
      <c r="AI949" s="99"/>
      <c r="AJ949" s="99"/>
      <c r="AK949" s="99"/>
      <c r="AL949" s="99"/>
      <c r="AM949" s="99"/>
      <c r="AN949" s="99"/>
      <c r="AO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c r="AA950" s="99"/>
      <c r="AB950" s="99"/>
      <c r="AC950" s="99"/>
      <c r="AD950" s="99"/>
      <c r="AE950" s="99"/>
      <c r="AF950" s="99"/>
      <c r="AG950" s="99"/>
      <c r="AH950" s="99"/>
      <c r="AI950" s="99"/>
      <c r="AJ950" s="99"/>
      <c r="AK950" s="99"/>
      <c r="AL950" s="99"/>
      <c r="AM950" s="99"/>
      <c r="AN950" s="99"/>
      <c r="AO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c r="AA951" s="99"/>
      <c r="AB951" s="99"/>
      <c r="AC951" s="99"/>
      <c r="AD951" s="99"/>
      <c r="AE951" s="99"/>
      <c r="AF951" s="99"/>
      <c r="AG951" s="99"/>
      <c r="AH951" s="99"/>
      <c r="AI951" s="99"/>
      <c r="AJ951" s="99"/>
      <c r="AK951" s="99"/>
      <c r="AL951" s="99"/>
      <c r="AM951" s="99"/>
      <c r="AN951" s="99"/>
      <c r="AO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c r="AA952" s="99"/>
      <c r="AB952" s="99"/>
      <c r="AC952" s="99"/>
      <c r="AD952" s="99"/>
      <c r="AE952" s="99"/>
      <c r="AF952" s="99"/>
      <c r="AG952" s="99"/>
      <c r="AH952" s="99"/>
      <c r="AI952" s="99"/>
      <c r="AJ952" s="99"/>
      <c r="AK952" s="99"/>
      <c r="AL952" s="99"/>
      <c r="AM952" s="99"/>
      <c r="AN952" s="99"/>
      <c r="AO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c r="AA953" s="99"/>
      <c r="AB953" s="99"/>
      <c r="AC953" s="99"/>
      <c r="AD953" s="99"/>
      <c r="AE953" s="99"/>
      <c r="AF953" s="99"/>
      <c r="AG953" s="99"/>
      <c r="AH953" s="99"/>
      <c r="AI953" s="99"/>
      <c r="AJ953" s="99"/>
      <c r="AK953" s="99"/>
      <c r="AL953" s="99"/>
      <c r="AM953" s="99"/>
      <c r="AN953" s="99"/>
      <c r="AO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c r="AA954" s="99"/>
      <c r="AB954" s="99"/>
      <c r="AC954" s="99"/>
      <c r="AD954" s="99"/>
      <c r="AE954" s="99"/>
      <c r="AF954" s="99"/>
      <c r="AG954" s="99"/>
      <c r="AH954" s="99"/>
      <c r="AI954" s="99"/>
      <c r="AJ954" s="99"/>
      <c r="AK954" s="99"/>
      <c r="AL954" s="99"/>
      <c r="AM954" s="99"/>
      <c r="AN954" s="99"/>
      <c r="AO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c r="AA955" s="99"/>
      <c r="AB955" s="99"/>
      <c r="AC955" s="99"/>
      <c r="AD955" s="99"/>
      <c r="AE955" s="99"/>
      <c r="AF955" s="99"/>
      <c r="AG955" s="99"/>
      <c r="AH955" s="99"/>
      <c r="AI955" s="99"/>
      <c r="AJ955" s="99"/>
      <c r="AK955" s="99"/>
      <c r="AL955" s="99"/>
      <c r="AM955" s="99"/>
      <c r="AN955" s="99"/>
      <c r="AO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c r="AA956" s="99"/>
      <c r="AB956" s="99"/>
      <c r="AC956" s="99"/>
      <c r="AD956" s="99"/>
      <c r="AE956" s="99"/>
      <c r="AF956" s="99"/>
      <c r="AG956" s="99"/>
      <c r="AH956" s="99"/>
      <c r="AI956" s="99"/>
      <c r="AJ956" s="99"/>
      <c r="AK956" s="99"/>
      <c r="AL956" s="99"/>
      <c r="AM956" s="99"/>
      <c r="AN956" s="99"/>
      <c r="AO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c r="AA957" s="99"/>
      <c r="AB957" s="99"/>
      <c r="AC957" s="99"/>
      <c r="AD957" s="99"/>
      <c r="AE957" s="99"/>
      <c r="AF957" s="99"/>
      <c r="AG957" s="99"/>
      <c r="AH957" s="99"/>
      <c r="AI957" s="99"/>
      <c r="AJ957" s="99"/>
      <c r="AK957" s="99"/>
      <c r="AL957" s="99"/>
      <c r="AM957" s="99"/>
      <c r="AN957" s="99"/>
      <c r="AO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c r="AA958" s="99"/>
      <c r="AB958" s="99"/>
      <c r="AC958" s="99"/>
      <c r="AD958" s="99"/>
      <c r="AE958" s="99"/>
      <c r="AF958" s="99"/>
      <c r="AG958" s="99"/>
      <c r="AH958" s="99"/>
      <c r="AI958" s="99"/>
      <c r="AJ958" s="99"/>
      <c r="AK958" s="99"/>
      <c r="AL958" s="99"/>
      <c r="AM958" s="99"/>
      <c r="AN958" s="99"/>
      <c r="AO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c r="AA959" s="99"/>
      <c r="AB959" s="99"/>
      <c r="AC959" s="99"/>
      <c r="AD959" s="99"/>
      <c r="AE959" s="99"/>
      <c r="AF959" s="99"/>
      <c r="AG959" s="99"/>
      <c r="AH959" s="99"/>
      <c r="AI959" s="99"/>
      <c r="AJ959" s="99"/>
      <c r="AK959" s="99"/>
      <c r="AL959" s="99"/>
      <c r="AM959" s="99"/>
      <c r="AN959" s="99"/>
      <c r="AO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c r="AA960" s="99"/>
      <c r="AB960" s="99"/>
      <c r="AC960" s="99"/>
      <c r="AD960" s="99"/>
      <c r="AE960" s="99"/>
      <c r="AF960" s="99"/>
      <c r="AG960" s="99"/>
      <c r="AH960" s="99"/>
      <c r="AI960" s="99"/>
      <c r="AJ960" s="99"/>
      <c r="AK960" s="99"/>
      <c r="AL960" s="99"/>
      <c r="AM960" s="99"/>
      <c r="AN960" s="99"/>
      <c r="AO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c r="AA961" s="99"/>
      <c r="AB961" s="99"/>
      <c r="AC961" s="99"/>
      <c r="AD961" s="99"/>
      <c r="AE961" s="99"/>
      <c r="AF961" s="99"/>
      <c r="AG961" s="99"/>
      <c r="AH961" s="99"/>
      <c r="AI961" s="99"/>
      <c r="AJ961" s="99"/>
      <c r="AK961" s="99"/>
      <c r="AL961" s="99"/>
      <c r="AM961" s="99"/>
      <c r="AN961" s="99"/>
      <c r="AO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c r="AA962" s="99"/>
      <c r="AB962" s="99"/>
      <c r="AC962" s="99"/>
      <c r="AD962" s="99"/>
      <c r="AE962" s="99"/>
      <c r="AF962" s="99"/>
      <c r="AG962" s="99"/>
      <c r="AH962" s="99"/>
      <c r="AI962" s="99"/>
      <c r="AJ962" s="99"/>
      <c r="AK962" s="99"/>
      <c r="AL962" s="99"/>
      <c r="AM962" s="99"/>
      <c r="AN962" s="99"/>
      <c r="AO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c r="AA963" s="99"/>
      <c r="AB963" s="99"/>
      <c r="AC963" s="99"/>
      <c r="AD963" s="99"/>
      <c r="AE963" s="99"/>
      <c r="AF963" s="99"/>
      <c r="AG963" s="99"/>
      <c r="AH963" s="99"/>
      <c r="AI963" s="99"/>
      <c r="AJ963" s="99"/>
      <c r="AK963" s="99"/>
      <c r="AL963" s="99"/>
      <c r="AM963" s="99"/>
      <c r="AN963" s="99"/>
      <c r="AO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c r="AA964" s="99"/>
      <c r="AB964" s="99"/>
      <c r="AC964" s="99"/>
      <c r="AD964" s="99"/>
      <c r="AE964" s="99"/>
      <c r="AF964" s="99"/>
      <c r="AG964" s="99"/>
      <c r="AH964" s="99"/>
      <c r="AI964" s="99"/>
      <c r="AJ964" s="99"/>
      <c r="AK964" s="99"/>
      <c r="AL964" s="99"/>
      <c r="AM964" s="99"/>
      <c r="AN964" s="99"/>
      <c r="AO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c r="AA965" s="99"/>
      <c r="AB965" s="99"/>
      <c r="AC965" s="99"/>
      <c r="AD965" s="99"/>
      <c r="AE965" s="99"/>
      <c r="AF965" s="99"/>
      <c r="AG965" s="99"/>
      <c r="AH965" s="99"/>
      <c r="AI965" s="99"/>
      <c r="AJ965" s="99"/>
      <c r="AK965" s="99"/>
      <c r="AL965" s="99"/>
      <c r="AM965" s="99"/>
      <c r="AN965" s="99"/>
      <c r="AO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c r="AA966" s="99"/>
      <c r="AB966" s="99"/>
      <c r="AC966" s="99"/>
      <c r="AD966" s="99"/>
      <c r="AE966" s="99"/>
      <c r="AF966" s="99"/>
      <c r="AG966" s="99"/>
      <c r="AH966" s="99"/>
      <c r="AI966" s="99"/>
      <c r="AJ966" s="99"/>
      <c r="AK966" s="99"/>
      <c r="AL966" s="99"/>
      <c r="AM966" s="99"/>
      <c r="AN966" s="99"/>
      <c r="AO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c r="AA967" s="99"/>
      <c r="AB967" s="99"/>
      <c r="AC967" s="99"/>
      <c r="AD967" s="99"/>
      <c r="AE967" s="99"/>
      <c r="AF967" s="99"/>
      <c r="AG967" s="99"/>
      <c r="AH967" s="99"/>
      <c r="AI967" s="99"/>
      <c r="AJ967" s="99"/>
      <c r="AK967" s="99"/>
      <c r="AL967" s="99"/>
      <c r="AM967" s="99"/>
      <c r="AN967" s="99"/>
      <c r="AO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c r="AA968" s="99"/>
      <c r="AB968" s="99"/>
      <c r="AC968" s="99"/>
      <c r="AD968" s="99"/>
      <c r="AE968" s="99"/>
      <c r="AF968" s="99"/>
      <c r="AG968" s="99"/>
      <c r="AH968" s="99"/>
      <c r="AI968" s="99"/>
      <c r="AJ968" s="99"/>
      <c r="AK968" s="99"/>
      <c r="AL968" s="99"/>
      <c r="AM968" s="99"/>
      <c r="AN968" s="99"/>
      <c r="AO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c r="AA969" s="99"/>
      <c r="AB969" s="99"/>
      <c r="AC969" s="99"/>
      <c r="AD969" s="99"/>
      <c r="AE969" s="99"/>
      <c r="AF969" s="99"/>
      <c r="AG969" s="99"/>
      <c r="AH969" s="99"/>
      <c r="AI969" s="99"/>
      <c r="AJ969" s="99"/>
      <c r="AK969" s="99"/>
      <c r="AL969" s="99"/>
      <c r="AM969" s="99"/>
      <c r="AN969" s="99"/>
      <c r="AO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c r="AA970" s="99"/>
      <c r="AB970" s="99"/>
      <c r="AC970" s="99"/>
      <c r="AD970" s="99"/>
      <c r="AE970" s="99"/>
      <c r="AF970" s="99"/>
      <c r="AG970" s="99"/>
      <c r="AH970" s="99"/>
      <c r="AI970" s="99"/>
      <c r="AJ970" s="99"/>
      <c r="AK970" s="99"/>
      <c r="AL970" s="99"/>
      <c r="AM970" s="99"/>
      <c r="AN970" s="99"/>
      <c r="AO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c r="AA971" s="99"/>
      <c r="AB971" s="99"/>
      <c r="AC971" s="99"/>
      <c r="AD971" s="99"/>
      <c r="AE971" s="99"/>
      <c r="AF971" s="99"/>
      <c r="AG971" s="99"/>
      <c r="AH971" s="99"/>
      <c r="AI971" s="99"/>
      <c r="AJ971" s="99"/>
      <c r="AK971" s="99"/>
      <c r="AL971" s="99"/>
      <c r="AM971" s="99"/>
      <c r="AN971" s="99"/>
      <c r="AO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c r="AA972" s="99"/>
      <c r="AB972" s="99"/>
      <c r="AC972" s="99"/>
      <c r="AD972" s="99"/>
      <c r="AE972" s="99"/>
      <c r="AF972" s="99"/>
      <c r="AG972" s="99"/>
      <c r="AH972" s="99"/>
      <c r="AI972" s="99"/>
      <c r="AJ972" s="99"/>
      <c r="AK972" s="99"/>
      <c r="AL972" s="99"/>
      <c r="AM972" s="99"/>
      <c r="AN972" s="99"/>
      <c r="AO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c r="AA973" s="99"/>
      <c r="AB973" s="99"/>
      <c r="AC973" s="99"/>
      <c r="AD973" s="99"/>
      <c r="AE973" s="99"/>
      <c r="AF973" s="99"/>
      <c r="AG973" s="99"/>
      <c r="AH973" s="99"/>
      <c r="AI973" s="99"/>
      <c r="AJ973" s="99"/>
      <c r="AK973" s="99"/>
      <c r="AL973" s="99"/>
      <c r="AM973" s="99"/>
      <c r="AN973" s="99"/>
      <c r="AO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c r="AA974" s="99"/>
      <c r="AB974" s="99"/>
      <c r="AC974" s="99"/>
      <c r="AD974" s="99"/>
      <c r="AE974" s="99"/>
      <c r="AF974" s="99"/>
      <c r="AG974" s="99"/>
      <c r="AH974" s="99"/>
      <c r="AI974" s="99"/>
      <c r="AJ974" s="99"/>
      <c r="AK974" s="99"/>
      <c r="AL974" s="99"/>
      <c r="AM974" s="99"/>
      <c r="AN974" s="99"/>
      <c r="AO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c r="AA975" s="99"/>
      <c r="AB975" s="99"/>
      <c r="AC975" s="99"/>
      <c r="AD975" s="99"/>
      <c r="AE975" s="99"/>
      <c r="AF975" s="99"/>
      <c r="AG975" s="99"/>
      <c r="AH975" s="99"/>
      <c r="AI975" s="99"/>
      <c r="AJ975" s="99"/>
      <c r="AK975" s="99"/>
      <c r="AL975" s="99"/>
      <c r="AM975" s="99"/>
      <c r="AN975" s="99"/>
      <c r="AO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c r="AA976" s="99"/>
      <c r="AB976" s="99"/>
      <c r="AC976" s="99"/>
      <c r="AD976" s="99"/>
      <c r="AE976" s="99"/>
      <c r="AF976" s="99"/>
      <c r="AG976" s="99"/>
      <c r="AH976" s="99"/>
      <c r="AI976" s="99"/>
      <c r="AJ976" s="99"/>
      <c r="AK976" s="99"/>
      <c r="AL976" s="99"/>
      <c r="AM976" s="99"/>
      <c r="AN976" s="99"/>
      <c r="AO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c r="AA977" s="99"/>
      <c r="AB977" s="99"/>
      <c r="AC977" s="99"/>
      <c r="AD977" s="99"/>
      <c r="AE977" s="99"/>
      <c r="AF977" s="99"/>
      <c r="AG977" s="99"/>
      <c r="AH977" s="99"/>
      <c r="AI977" s="99"/>
      <c r="AJ977" s="99"/>
      <c r="AK977" s="99"/>
      <c r="AL977" s="99"/>
      <c r="AM977" s="99"/>
      <c r="AN977" s="99"/>
      <c r="AO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c r="AA978" s="99"/>
      <c r="AB978" s="99"/>
      <c r="AC978" s="99"/>
      <c r="AD978" s="99"/>
      <c r="AE978" s="99"/>
      <c r="AF978" s="99"/>
      <c r="AG978" s="99"/>
      <c r="AH978" s="99"/>
      <c r="AI978" s="99"/>
      <c r="AJ978" s="99"/>
      <c r="AK978" s="99"/>
      <c r="AL978" s="99"/>
      <c r="AM978" s="99"/>
      <c r="AN978" s="99"/>
      <c r="AO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c r="AA979" s="99"/>
      <c r="AB979" s="99"/>
      <c r="AC979" s="99"/>
      <c r="AD979" s="99"/>
      <c r="AE979" s="99"/>
      <c r="AF979" s="99"/>
      <c r="AG979" s="99"/>
      <c r="AH979" s="99"/>
      <c r="AI979" s="99"/>
      <c r="AJ979" s="99"/>
      <c r="AK979" s="99"/>
      <c r="AL979" s="99"/>
      <c r="AM979" s="99"/>
      <c r="AN979" s="99"/>
      <c r="AO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c r="AA980" s="99"/>
      <c r="AB980" s="99"/>
      <c r="AC980" s="99"/>
      <c r="AD980" s="99"/>
      <c r="AE980" s="99"/>
      <c r="AF980" s="99"/>
      <c r="AG980" s="99"/>
      <c r="AH980" s="99"/>
      <c r="AI980" s="99"/>
      <c r="AJ980" s="99"/>
      <c r="AK980" s="99"/>
      <c r="AL980" s="99"/>
      <c r="AM980" s="99"/>
      <c r="AN980" s="99"/>
      <c r="AO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c r="AA981" s="99"/>
      <c r="AB981" s="99"/>
      <c r="AC981" s="99"/>
      <c r="AD981" s="99"/>
      <c r="AE981" s="99"/>
      <c r="AF981" s="99"/>
      <c r="AG981" s="99"/>
      <c r="AH981" s="99"/>
      <c r="AI981" s="99"/>
      <c r="AJ981" s="99"/>
      <c r="AK981" s="99"/>
      <c r="AL981" s="99"/>
      <c r="AM981" s="99"/>
      <c r="AN981" s="99"/>
      <c r="AO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c r="AA982" s="99"/>
      <c r="AB982" s="99"/>
      <c r="AC982" s="99"/>
      <c r="AD982" s="99"/>
      <c r="AE982" s="99"/>
      <c r="AF982" s="99"/>
      <c r="AG982" s="99"/>
      <c r="AH982" s="99"/>
      <c r="AI982" s="99"/>
      <c r="AJ982" s="99"/>
      <c r="AK982" s="99"/>
      <c r="AL982" s="99"/>
      <c r="AM982" s="99"/>
      <c r="AN982" s="99"/>
      <c r="AO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c r="AA983" s="99"/>
      <c r="AB983" s="99"/>
      <c r="AC983" s="99"/>
      <c r="AD983" s="99"/>
      <c r="AE983" s="99"/>
      <c r="AF983" s="99"/>
      <c r="AG983" s="99"/>
      <c r="AH983" s="99"/>
      <c r="AI983" s="99"/>
      <c r="AJ983" s="99"/>
      <c r="AK983" s="99"/>
      <c r="AL983" s="99"/>
      <c r="AM983" s="99"/>
      <c r="AN983" s="99"/>
      <c r="AO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c r="AA984" s="99"/>
      <c r="AB984" s="99"/>
      <c r="AC984" s="99"/>
      <c r="AD984" s="99"/>
      <c r="AE984" s="99"/>
      <c r="AF984" s="99"/>
      <c r="AG984" s="99"/>
      <c r="AH984" s="99"/>
      <c r="AI984" s="99"/>
      <c r="AJ984" s="99"/>
      <c r="AK984" s="99"/>
      <c r="AL984" s="99"/>
      <c r="AM984" s="99"/>
      <c r="AN984" s="99"/>
      <c r="AO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c r="AA985" s="99"/>
      <c r="AB985" s="99"/>
      <c r="AC985" s="99"/>
      <c r="AD985" s="99"/>
      <c r="AE985" s="99"/>
      <c r="AF985" s="99"/>
      <c r="AG985" s="99"/>
      <c r="AH985" s="99"/>
      <c r="AI985" s="99"/>
      <c r="AJ985" s="99"/>
      <c r="AK985" s="99"/>
      <c r="AL985" s="99"/>
      <c r="AM985" s="99"/>
      <c r="AN985" s="99"/>
      <c r="AO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c r="AA986" s="99"/>
      <c r="AB986" s="99"/>
      <c r="AC986" s="99"/>
      <c r="AD986" s="99"/>
      <c r="AE986" s="99"/>
      <c r="AF986" s="99"/>
      <c r="AG986" s="99"/>
      <c r="AH986" s="99"/>
      <c r="AI986" s="99"/>
      <c r="AJ986" s="99"/>
      <c r="AK986" s="99"/>
      <c r="AL986" s="99"/>
      <c r="AM986" s="99"/>
      <c r="AN986" s="99"/>
      <c r="AO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c r="AA987" s="99"/>
      <c r="AB987" s="99"/>
      <c r="AC987" s="99"/>
      <c r="AD987" s="99"/>
      <c r="AE987" s="99"/>
      <c r="AF987" s="99"/>
      <c r="AG987" s="99"/>
      <c r="AH987" s="99"/>
      <c r="AI987" s="99"/>
      <c r="AJ987" s="99"/>
      <c r="AK987" s="99"/>
      <c r="AL987" s="99"/>
      <c r="AM987" s="99"/>
      <c r="AN987" s="99"/>
      <c r="AO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c r="AA988" s="99"/>
      <c r="AB988" s="99"/>
      <c r="AC988" s="99"/>
      <c r="AD988" s="99"/>
      <c r="AE988" s="99"/>
      <c r="AF988" s="99"/>
      <c r="AG988" s="99"/>
      <c r="AH988" s="99"/>
      <c r="AI988" s="99"/>
      <c r="AJ988" s="99"/>
      <c r="AK988" s="99"/>
      <c r="AL988" s="99"/>
      <c r="AM988" s="99"/>
      <c r="AN988" s="99"/>
      <c r="AO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c r="AA989" s="99"/>
      <c r="AB989" s="99"/>
      <c r="AC989" s="99"/>
      <c r="AD989" s="99"/>
      <c r="AE989" s="99"/>
      <c r="AF989" s="99"/>
      <c r="AG989" s="99"/>
      <c r="AH989" s="99"/>
      <c r="AI989" s="99"/>
      <c r="AJ989" s="99"/>
      <c r="AK989" s="99"/>
      <c r="AL989" s="99"/>
      <c r="AM989" s="99"/>
      <c r="AN989" s="99"/>
      <c r="AO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c r="AA990" s="99"/>
      <c r="AB990" s="99"/>
      <c r="AC990" s="99"/>
      <c r="AD990" s="99"/>
      <c r="AE990" s="99"/>
      <c r="AF990" s="99"/>
      <c r="AG990" s="99"/>
      <c r="AH990" s="99"/>
      <c r="AI990" s="99"/>
      <c r="AJ990" s="99"/>
      <c r="AK990" s="99"/>
      <c r="AL990" s="99"/>
      <c r="AM990" s="99"/>
      <c r="AN990" s="99"/>
      <c r="AO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c r="AA991" s="99"/>
      <c r="AB991" s="99"/>
      <c r="AC991" s="99"/>
      <c r="AD991" s="99"/>
      <c r="AE991" s="99"/>
      <c r="AF991" s="99"/>
      <c r="AG991" s="99"/>
      <c r="AH991" s="99"/>
      <c r="AI991" s="99"/>
      <c r="AJ991" s="99"/>
      <c r="AK991" s="99"/>
      <c r="AL991" s="99"/>
      <c r="AM991" s="99"/>
      <c r="AN991" s="99"/>
      <c r="AO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c r="AA992" s="99"/>
      <c r="AB992" s="99"/>
      <c r="AC992" s="99"/>
      <c r="AD992" s="99"/>
      <c r="AE992" s="99"/>
      <c r="AF992" s="99"/>
      <c r="AG992" s="99"/>
      <c r="AH992" s="99"/>
      <c r="AI992" s="99"/>
      <c r="AJ992" s="99"/>
      <c r="AK992" s="99"/>
      <c r="AL992" s="99"/>
      <c r="AM992" s="99"/>
      <c r="AN992" s="99"/>
      <c r="AO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c r="AA993" s="99"/>
      <c r="AB993" s="99"/>
      <c r="AC993" s="99"/>
      <c r="AD993" s="99"/>
      <c r="AE993" s="99"/>
      <c r="AF993" s="99"/>
      <c r="AG993" s="99"/>
      <c r="AH993" s="99"/>
      <c r="AI993" s="99"/>
      <c r="AJ993" s="99"/>
      <c r="AK993" s="99"/>
      <c r="AL993" s="99"/>
      <c r="AM993" s="99"/>
      <c r="AN993" s="99"/>
      <c r="AO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c r="AA994" s="99"/>
      <c r="AB994" s="99"/>
      <c r="AC994" s="99"/>
      <c r="AD994" s="99"/>
      <c r="AE994" s="99"/>
      <c r="AF994" s="99"/>
      <c r="AG994" s="99"/>
      <c r="AH994" s="99"/>
      <c r="AI994" s="99"/>
      <c r="AJ994" s="99"/>
      <c r="AK994" s="99"/>
      <c r="AL994" s="99"/>
      <c r="AM994" s="99"/>
      <c r="AN994" s="99"/>
      <c r="AO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c r="AA995" s="99"/>
      <c r="AB995" s="99"/>
      <c r="AC995" s="99"/>
      <c r="AD995" s="99"/>
      <c r="AE995" s="99"/>
      <c r="AF995" s="99"/>
      <c r="AG995" s="99"/>
      <c r="AH995" s="99"/>
      <c r="AI995" s="99"/>
      <c r="AJ995" s="99"/>
      <c r="AK995" s="99"/>
      <c r="AL995" s="99"/>
      <c r="AM995" s="99"/>
      <c r="AN995" s="99"/>
      <c r="AO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c r="AA996" s="99"/>
      <c r="AB996" s="99"/>
      <c r="AC996" s="99"/>
      <c r="AD996" s="99"/>
      <c r="AE996" s="99"/>
      <c r="AF996" s="99"/>
      <c r="AG996" s="99"/>
      <c r="AH996" s="99"/>
      <c r="AI996" s="99"/>
      <c r="AJ996" s="99"/>
      <c r="AK996" s="99"/>
      <c r="AL996" s="99"/>
      <c r="AM996" s="99"/>
      <c r="AN996" s="99"/>
      <c r="AO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c r="AA997" s="99"/>
      <c r="AB997" s="99"/>
      <c r="AC997" s="99"/>
      <c r="AD997" s="99"/>
      <c r="AE997" s="99"/>
      <c r="AF997" s="99"/>
      <c r="AG997" s="99"/>
      <c r="AH997" s="99"/>
      <c r="AI997" s="99"/>
      <c r="AJ997" s="99"/>
      <c r="AK997" s="99"/>
      <c r="AL997" s="99"/>
      <c r="AM997" s="99"/>
      <c r="AN997" s="99"/>
      <c r="AO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c r="AA998" s="99"/>
      <c r="AB998" s="99"/>
      <c r="AC998" s="99"/>
      <c r="AD998" s="99"/>
      <c r="AE998" s="99"/>
      <c r="AF998" s="99"/>
      <c r="AG998" s="99"/>
      <c r="AH998" s="99"/>
      <c r="AI998" s="99"/>
      <c r="AJ998" s="99"/>
      <c r="AK998" s="99"/>
      <c r="AL998" s="99"/>
      <c r="AM998" s="99"/>
      <c r="AN998" s="99"/>
      <c r="AO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c r="AA999" s="99"/>
      <c r="AB999" s="99"/>
      <c r="AC999" s="99"/>
      <c r="AD999" s="99"/>
      <c r="AE999" s="99"/>
      <c r="AF999" s="99"/>
      <c r="AG999" s="99"/>
      <c r="AH999" s="99"/>
      <c r="AI999" s="99"/>
      <c r="AJ999" s="99"/>
      <c r="AK999" s="99"/>
      <c r="AL999" s="99"/>
      <c r="AM999" s="99"/>
      <c r="AN999" s="99"/>
      <c r="AO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c r="AA1000" s="99"/>
      <c r="AB1000" s="99"/>
      <c r="AC1000" s="99"/>
      <c r="AD1000" s="99"/>
      <c r="AE1000" s="99"/>
      <c r="AF1000" s="99"/>
      <c r="AG1000" s="99"/>
      <c r="AH1000" s="99"/>
      <c r="AI1000" s="99"/>
      <c r="AJ1000" s="99"/>
      <c r="AK1000" s="99"/>
      <c r="AL1000" s="99"/>
      <c r="AM1000" s="99"/>
      <c r="AN1000" s="99"/>
      <c r="AO1000" s="99"/>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63"/>
    <col customWidth="1" min="2" max="2" width="17.13"/>
    <col customWidth="1" min="3" max="3" width="19.88"/>
    <col customWidth="1" min="4" max="4" width="20.5"/>
    <col customWidth="1" min="5" max="5" width="19.75"/>
    <col customWidth="1" min="6" max="6" width="20.25"/>
    <col customWidth="1" min="7" max="7" width="23.63"/>
    <col customWidth="1" min="8" max="8" width="19.88"/>
    <col customWidth="1" min="9" max="9" width="20.38"/>
    <col customWidth="1" min="10" max="13" width="20.5"/>
    <col customWidth="1" min="14" max="14" width="19.88"/>
    <col customWidth="1" min="15" max="15" width="23.38"/>
    <col customWidth="1" min="16" max="16" width="19.63"/>
    <col customWidth="1" min="17" max="19" width="20.5"/>
    <col customWidth="1" min="20" max="20" width="20.38"/>
    <col customWidth="1" min="21" max="22" width="20.5"/>
  </cols>
  <sheetData>
    <row r="1" ht="45.0" customHeight="1">
      <c r="A1" s="100" t="s">
        <v>2788</v>
      </c>
      <c r="B1" s="100" t="s">
        <v>2789</v>
      </c>
      <c r="C1" s="100" t="s">
        <v>2790</v>
      </c>
      <c r="D1" s="100" t="s">
        <v>2791</v>
      </c>
      <c r="E1" s="100" t="s">
        <v>2792</v>
      </c>
      <c r="F1" s="100" t="s">
        <v>2793</v>
      </c>
      <c r="G1" s="100" t="s">
        <v>2794</v>
      </c>
      <c r="H1" s="100" t="s">
        <v>2795</v>
      </c>
      <c r="I1" s="100" t="s">
        <v>2796</v>
      </c>
      <c r="J1" s="100" t="s">
        <v>2797</v>
      </c>
      <c r="K1" s="100" t="s">
        <v>2798</v>
      </c>
      <c r="L1" s="100" t="s">
        <v>2799</v>
      </c>
      <c r="M1" s="100" t="s">
        <v>2800</v>
      </c>
      <c r="N1" s="100" t="s">
        <v>2801</v>
      </c>
      <c r="O1" s="100" t="s">
        <v>2802</v>
      </c>
      <c r="P1" s="100" t="s">
        <v>2803</v>
      </c>
      <c r="Q1" s="101" t="s">
        <v>2804</v>
      </c>
      <c r="R1" s="101" t="s">
        <v>2805</v>
      </c>
      <c r="S1" s="101" t="s">
        <v>2806</v>
      </c>
      <c r="T1" s="101" t="s">
        <v>2807</v>
      </c>
      <c r="U1" s="101" t="s">
        <v>2808</v>
      </c>
      <c r="V1" s="101" t="s">
        <v>2809</v>
      </c>
    </row>
    <row r="2" ht="45.0" customHeight="1">
      <c r="A2" s="102" t="s">
        <v>2810</v>
      </c>
      <c r="B2" s="102" t="s">
        <v>2811</v>
      </c>
      <c r="C2" s="102" t="s">
        <v>2812</v>
      </c>
      <c r="D2" s="102" t="s">
        <v>2813</v>
      </c>
      <c r="E2" s="102" t="s">
        <v>2814</v>
      </c>
      <c r="F2" s="102" t="s">
        <v>2815</v>
      </c>
      <c r="G2" s="102" t="s">
        <v>2816</v>
      </c>
      <c r="H2" s="102" t="s">
        <v>2817</v>
      </c>
      <c r="I2" s="102" t="s">
        <v>2818</v>
      </c>
      <c r="J2" s="102" t="s">
        <v>2819</v>
      </c>
      <c r="K2" s="102" t="s">
        <v>2820</v>
      </c>
      <c r="L2" s="102" t="s">
        <v>2821</v>
      </c>
      <c r="M2" s="102" t="s">
        <v>2822</v>
      </c>
      <c r="N2" s="102" t="s">
        <v>2823</v>
      </c>
      <c r="O2" s="102" t="s">
        <v>2824</v>
      </c>
      <c r="P2" s="102" t="s">
        <v>2825</v>
      </c>
      <c r="Q2" s="103" t="s">
        <v>2826</v>
      </c>
      <c r="R2" s="103" t="s">
        <v>2827</v>
      </c>
      <c r="S2" s="103" t="s">
        <v>2828</v>
      </c>
      <c r="T2" s="102" t="s">
        <v>2829</v>
      </c>
      <c r="U2" s="103" t="s">
        <v>2830</v>
      </c>
      <c r="V2" s="103" t="s">
        <v>2831</v>
      </c>
    </row>
    <row r="3" ht="45.0" customHeight="1">
      <c r="A3" s="104" t="s">
        <v>2832</v>
      </c>
      <c r="B3" s="105">
        <v>3.0</v>
      </c>
      <c r="C3" s="105" t="s">
        <v>2833</v>
      </c>
      <c r="D3" s="105" t="s">
        <v>2834</v>
      </c>
      <c r="E3" s="105" t="s">
        <v>2835</v>
      </c>
      <c r="F3" s="105" t="s">
        <v>2836</v>
      </c>
      <c r="G3" s="106" t="s">
        <v>2837</v>
      </c>
      <c r="H3" s="105" t="s">
        <v>2838</v>
      </c>
      <c r="I3" s="105" t="s">
        <v>2839</v>
      </c>
      <c r="J3" s="105" t="s">
        <v>2840</v>
      </c>
      <c r="K3" s="105" t="s">
        <v>2841</v>
      </c>
      <c r="L3" s="105"/>
      <c r="M3" s="105" t="s">
        <v>2842</v>
      </c>
      <c r="N3" s="107" t="s">
        <v>2843</v>
      </c>
      <c r="O3" s="106" t="s">
        <v>2844</v>
      </c>
      <c r="P3" s="108">
        <v>45659.0</v>
      </c>
      <c r="Q3" s="109"/>
      <c r="R3" s="110" t="s">
        <v>2845</v>
      </c>
      <c r="S3" s="110" t="s">
        <v>2846</v>
      </c>
      <c r="T3" s="111" t="s">
        <v>2847</v>
      </c>
      <c r="U3" s="110" t="s">
        <v>2848</v>
      </c>
      <c r="V3" s="110" t="s">
        <v>2849</v>
      </c>
    </row>
    <row r="4" ht="45.0" customHeight="1">
      <c r="A4" s="104" t="s">
        <v>2850</v>
      </c>
      <c r="B4" s="105">
        <v>2.0</v>
      </c>
      <c r="C4" s="105" t="s">
        <v>2851</v>
      </c>
      <c r="D4" s="105" t="s">
        <v>2852</v>
      </c>
      <c r="E4" s="105" t="s">
        <v>2835</v>
      </c>
      <c r="F4" s="105" t="s">
        <v>2836</v>
      </c>
      <c r="G4" s="106" t="s">
        <v>2853</v>
      </c>
      <c r="H4" s="105" t="s">
        <v>2854</v>
      </c>
      <c r="I4" s="105" t="s">
        <v>2855</v>
      </c>
      <c r="J4" s="105" t="s">
        <v>2856</v>
      </c>
      <c r="K4" s="105" t="s">
        <v>2857</v>
      </c>
      <c r="L4" s="105" t="s">
        <v>2858</v>
      </c>
      <c r="M4" s="105" t="s">
        <v>2859</v>
      </c>
      <c r="N4" s="107" t="s">
        <v>2843</v>
      </c>
      <c r="O4" s="106" t="s">
        <v>2860</v>
      </c>
      <c r="P4" s="108">
        <v>45691.0</v>
      </c>
      <c r="Q4" s="112" t="s">
        <v>2861</v>
      </c>
      <c r="R4" s="113" t="s">
        <v>2862</v>
      </c>
      <c r="S4" s="113" t="s">
        <v>2863</v>
      </c>
      <c r="T4" s="114" t="s">
        <v>2864</v>
      </c>
      <c r="U4" s="113" t="s">
        <v>2865</v>
      </c>
      <c r="V4" s="113" t="s">
        <v>2866</v>
      </c>
    </row>
    <row r="5" ht="45.0" customHeight="1">
      <c r="A5" s="104" t="s">
        <v>2867</v>
      </c>
      <c r="B5" s="105">
        <v>2.0</v>
      </c>
      <c r="C5" s="105" t="s">
        <v>2868</v>
      </c>
      <c r="D5" s="105" t="s">
        <v>2869</v>
      </c>
      <c r="E5" s="105" t="s">
        <v>2835</v>
      </c>
      <c r="F5" s="105" t="s">
        <v>2836</v>
      </c>
      <c r="G5" s="106" t="s">
        <v>2870</v>
      </c>
      <c r="H5" s="105" t="s">
        <v>2871</v>
      </c>
      <c r="I5" s="105" t="s">
        <v>2855</v>
      </c>
      <c r="J5" s="105" t="s">
        <v>2856</v>
      </c>
      <c r="K5" s="105" t="s">
        <v>2872</v>
      </c>
      <c r="L5" s="105" t="s">
        <v>2873</v>
      </c>
      <c r="M5" s="105" t="s">
        <v>2874</v>
      </c>
      <c r="N5" s="107" t="s">
        <v>2843</v>
      </c>
      <c r="O5" s="106" t="s">
        <v>2860</v>
      </c>
      <c r="P5" s="108">
        <v>45660.0</v>
      </c>
      <c r="Q5" s="115" t="s">
        <v>2875</v>
      </c>
      <c r="R5" s="115" t="s">
        <v>2876</v>
      </c>
      <c r="S5" s="115" t="s">
        <v>2877</v>
      </c>
      <c r="T5" s="116" t="s">
        <v>2878</v>
      </c>
      <c r="U5" s="115" t="s">
        <v>2879</v>
      </c>
      <c r="V5" s="115" t="s">
        <v>2880</v>
      </c>
    </row>
    <row r="6" ht="45.0" customHeight="1">
      <c r="A6" s="104" t="s">
        <v>2881</v>
      </c>
      <c r="B6" s="105">
        <v>2.0</v>
      </c>
      <c r="C6" s="105" t="s">
        <v>2882</v>
      </c>
      <c r="D6" s="105" t="s">
        <v>2883</v>
      </c>
      <c r="E6" s="105" t="s">
        <v>2884</v>
      </c>
      <c r="F6" s="105" t="s">
        <v>2885</v>
      </c>
      <c r="G6" s="106" t="s">
        <v>2886</v>
      </c>
      <c r="H6" s="105" t="s">
        <v>2887</v>
      </c>
      <c r="I6" s="105" t="s">
        <v>2888</v>
      </c>
      <c r="J6" s="105" t="s">
        <v>2889</v>
      </c>
      <c r="K6" s="105" t="s">
        <v>2890</v>
      </c>
      <c r="L6" s="105"/>
      <c r="M6" s="105" t="s">
        <v>2891</v>
      </c>
      <c r="N6" s="107" t="s">
        <v>2843</v>
      </c>
      <c r="O6" s="106" t="s">
        <v>2844</v>
      </c>
      <c r="P6" s="105">
        <v>2.0</v>
      </c>
      <c r="Q6" s="113" t="s">
        <v>2892</v>
      </c>
      <c r="R6" s="113" t="s">
        <v>2893</v>
      </c>
      <c r="S6" s="113" t="s">
        <v>2894</v>
      </c>
      <c r="T6" s="114" t="s">
        <v>2895</v>
      </c>
      <c r="U6" s="113" t="s">
        <v>2896</v>
      </c>
      <c r="V6" s="113" t="s">
        <v>2897</v>
      </c>
    </row>
    <row r="7" ht="45.0" customHeight="1">
      <c r="A7" s="104" t="s">
        <v>2898</v>
      </c>
      <c r="B7" s="105">
        <v>2.0</v>
      </c>
      <c r="C7" s="105" t="s">
        <v>2899</v>
      </c>
      <c r="D7" s="105" t="s">
        <v>2900</v>
      </c>
      <c r="E7" s="105" t="s">
        <v>2884</v>
      </c>
      <c r="F7" s="105" t="s">
        <v>2885</v>
      </c>
      <c r="G7" s="106" t="s">
        <v>2886</v>
      </c>
      <c r="H7" s="105" t="s">
        <v>2887</v>
      </c>
      <c r="I7" s="105" t="s">
        <v>2888</v>
      </c>
      <c r="J7" s="105" t="s">
        <v>2889</v>
      </c>
      <c r="K7" s="105" t="s">
        <v>2901</v>
      </c>
      <c r="L7" s="105"/>
      <c r="M7" s="105" t="s">
        <v>2902</v>
      </c>
      <c r="N7" s="107" t="s">
        <v>2843</v>
      </c>
      <c r="O7" s="106" t="s">
        <v>2903</v>
      </c>
      <c r="P7" s="105">
        <v>2.0</v>
      </c>
      <c r="Q7" s="115" t="s">
        <v>2904</v>
      </c>
      <c r="R7" s="115" t="s">
        <v>2905</v>
      </c>
      <c r="S7" s="115" t="s">
        <v>2906</v>
      </c>
      <c r="T7" s="116" t="s">
        <v>2907</v>
      </c>
      <c r="U7" s="115" t="s">
        <v>2908</v>
      </c>
      <c r="V7" s="115" t="s">
        <v>2909</v>
      </c>
    </row>
    <row r="8" ht="45.0" customHeight="1">
      <c r="A8" s="104" t="s">
        <v>2910</v>
      </c>
      <c r="B8" s="105">
        <v>2.0</v>
      </c>
      <c r="C8" s="105" t="s">
        <v>2911</v>
      </c>
      <c r="D8" s="105" t="s">
        <v>2912</v>
      </c>
      <c r="E8" s="105" t="s">
        <v>2913</v>
      </c>
      <c r="F8" s="105" t="s">
        <v>2914</v>
      </c>
      <c r="G8" s="106" t="s">
        <v>2886</v>
      </c>
      <c r="H8" s="105" t="s">
        <v>2887</v>
      </c>
      <c r="I8" s="105" t="s">
        <v>2915</v>
      </c>
      <c r="J8" s="105" t="s">
        <v>2916</v>
      </c>
      <c r="K8" s="105" t="s">
        <v>2917</v>
      </c>
      <c r="L8" s="105"/>
      <c r="M8" s="105" t="s">
        <v>2918</v>
      </c>
      <c r="N8" s="107" t="s">
        <v>2843</v>
      </c>
      <c r="O8" s="106" t="s">
        <v>2919</v>
      </c>
      <c r="P8" s="108">
        <v>45659.0</v>
      </c>
      <c r="Q8" s="113" t="s">
        <v>2920</v>
      </c>
      <c r="R8" s="113" t="s">
        <v>2921</v>
      </c>
      <c r="S8" s="113" t="s">
        <v>2922</v>
      </c>
      <c r="T8" s="114" t="s">
        <v>2923</v>
      </c>
      <c r="U8" s="113" t="s">
        <v>2924</v>
      </c>
      <c r="V8" s="113" t="s">
        <v>2925</v>
      </c>
    </row>
    <row r="9" ht="45.0" customHeight="1">
      <c r="A9" s="104" t="s">
        <v>2926</v>
      </c>
      <c r="B9" s="105">
        <v>2.0</v>
      </c>
      <c r="C9" s="105" t="s">
        <v>2927</v>
      </c>
      <c r="D9" s="105" t="s">
        <v>2928</v>
      </c>
      <c r="E9" s="105" t="s">
        <v>2913</v>
      </c>
      <c r="F9" s="105" t="s">
        <v>2914</v>
      </c>
      <c r="G9" s="106" t="s">
        <v>2853</v>
      </c>
      <c r="H9" s="105" t="s">
        <v>2854</v>
      </c>
      <c r="I9" s="105" t="s">
        <v>2915</v>
      </c>
      <c r="J9" s="105" t="s">
        <v>2916</v>
      </c>
      <c r="K9" s="105" t="s">
        <v>2929</v>
      </c>
      <c r="L9" s="105"/>
      <c r="M9" s="105" t="s">
        <v>2930</v>
      </c>
      <c r="N9" s="107" t="s">
        <v>2843</v>
      </c>
      <c r="O9" s="106" t="s">
        <v>2860</v>
      </c>
      <c r="P9" s="108">
        <v>45659.0</v>
      </c>
      <c r="Q9" s="115" t="s">
        <v>2931</v>
      </c>
      <c r="R9" s="115" t="s">
        <v>2932</v>
      </c>
      <c r="S9" s="115" t="s">
        <v>2933</v>
      </c>
      <c r="T9" s="116" t="s">
        <v>2934</v>
      </c>
      <c r="U9" s="115" t="s">
        <v>2935</v>
      </c>
      <c r="V9" s="115" t="s">
        <v>2936</v>
      </c>
    </row>
    <row r="10" ht="45.0" customHeight="1">
      <c r="A10" s="104" t="s">
        <v>2937</v>
      </c>
      <c r="B10" s="105">
        <v>2.0</v>
      </c>
      <c r="C10" s="105" t="s">
        <v>2938</v>
      </c>
      <c r="D10" s="105" t="s">
        <v>2939</v>
      </c>
      <c r="E10" s="105" t="s">
        <v>2940</v>
      </c>
      <c r="F10" s="105" t="s">
        <v>2941</v>
      </c>
      <c r="G10" s="106" t="s">
        <v>2942</v>
      </c>
      <c r="H10" s="105" t="s">
        <v>2943</v>
      </c>
      <c r="I10" s="105" t="s">
        <v>2888</v>
      </c>
      <c r="J10" s="105" t="s">
        <v>2889</v>
      </c>
      <c r="K10" s="105" t="s">
        <v>2944</v>
      </c>
      <c r="L10" s="105"/>
      <c r="M10" s="105" t="s">
        <v>2945</v>
      </c>
      <c r="N10" s="107" t="s">
        <v>2946</v>
      </c>
      <c r="O10" s="106" t="s">
        <v>2844</v>
      </c>
      <c r="P10" s="105">
        <v>2.0</v>
      </c>
      <c r="Q10" s="113" t="s">
        <v>2947</v>
      </c>
      <c r="R10" s="113" t="s">
        <v>2948</v>
      </c>
      <c r="S10" s="113" t="s">
        <v>2949</v>
      </c>
      <c r="T10" s="114" t="s">
        <v>2950</v>
      </c>
      <c r="U10" s="113" t="s">
        <v>2951</v>
      </c>
      <c r="V10" s="113" t="s">
        <v>2952</v>
      </c>
    </row>
    <row r="11" ht="45.0" customHeight="1">
      <c r="A11" s="104" t="s">
        <v>2953</v>
      </c>
      <c r="B11" s="105">
        <v>2.0</v>
      </c>
      <c r="C11" s="105" t="s">
        <v>2954</v>
      </c>
      <c r="D11" s="105" t="s">
        <v>2955</v>
      </c>
      <c r="E11" s="105" t="s">
        <v>2956</v>
      </c>
      <c r="F11" s="105" t="s">
        <v>2957</v>
      </c>
      <c r="G11" s="106" t="s">
        <v>2958</v>
      </c>
      <c r="H11" s="105" t="s">
        <v>2959</v>
      </c>
      <c r="I11" s="105" t="s">
        <v>2888</v>
      </c>
      <c r="J11" s="105" t="s">
        <v>2889</v>
      </c>
      <c r="K11" s="105" t="s">
        <v>2960</v>
      </c>
      <c r="L11" s="105"/>
      <c r="M11" s="105" t="s">
        <v>2961</v>
      </c>
      <c r="N11" s="107" t="s">
        <v>2843</v>
      </c>
      <c r="O11" s="106" t="s">
        <v>2962</v>
      </c>
      <c r="P11" s="105">
        <v>2.0</v>
      </c>
      <c r="Q11" s="115" t="s">
        <v>2963</v>
      </c>
      <c r="R11" s="115" t="s">
        <v>2964</v>
      </c>
      <c r="S11" s="115" t="s">
        <v>2965</v>
      </c>
      <c r="T11" s="116" t="s">
        <v>2966</v>
      </c>
      <c r="U11" s="115" t="s">
        <v>2967</v>
      </c>
      <c r="V11" s="115" t="s">
        <v>2968</v>
      </c>
    </row>
    <row r="12" ht="45.0" customHeight="1">
      <c r="A12" s="104" t="s">
        <v>2969</v>
      </c>
      <c r="B12" s="105">
        <v>2.0</v>
      </c>
      <c r="C12" s="105" t="s">
        <v>2970</v>
      </c>
      <c r="D12" s="105" t="s">
        <v>2971</v>
      </c>
      <c r="E12" s="105" t="s">
        <v>2956</v>
      </c>
      <c r="F12" s="105" t="s">
        <v>2957</v>
      </c>
      <c r="G12" s="106" t="s">
        <v>2886</v>
      </c>
      <c r="H12" s="105" t="s">
        <v>2887</v>
      </c>
      <c r="I12" s="105" t="s">
        <v>2972</v>
      </c>
      <c r="J12" s="105" t="s">
        <v>2973</v>
      </c>
      <c r="K12" s="105" t="s">
        <v>2974</v>
      </c>
      <c r="L12" s="105"/>
      <c r="M12" s="105" t="s">
        <v>2975</v>
      </c>
      <c r="N12" s="107" t="s">
        <v>2843</v>
      </c>
      <c r="O12" s="106" t="s">
        <v>2919</v>
      </c>
      <c r="P12" s="105">
        <v>2.0</v>
      </c>
      <c r="Q12" s="113" t="s">
        <v>2976</v>
      </c>
      <c r="R12" s="113" t="s">
        <v>2977</v>
      </c>
      <c r="S12" s="113" t="s">
        <v>2978</v>
      </c>
      <c r="T12" s="114" t="s">
        <v>2979</v>
      </c>
      <c r="U12" s="113" t="s">
        <v>2980</v>
      </c>
      <c r="V12" s="113" t="s">
        <v>2981</v>
      </c>
    </row>
    <row r="13" ht="45.0" customHeight="1">
      <c r="A13" s="104" t="s">
        <v>2982</v>
      </c>
      <c r="B13" s="105">
        <v>2.0</v>
      </c>
      <c r="C13" s="105" t="s">
        <v>2983</v>
      </c>
      <c r="D13" s="105" t="s">
        <v>2984</v>
      </c>
      <c r="E13" s="105" t="s">
        <v>2985</v>
      </c>
      <c r="F13" s="105" t="s">
        <v>2986</v>
      </c>
      <c r="G13" s="106" t="s">
        <v>2853</v>
      </c>
      <c r="H13" s="105" t="s">
        <v>2854</v>
      </c>
      <c r="I13" s="105" t="s">
        <v>2915</v>
      </c>
      <c r="J13" s="105" t="s">
        <v>2916</v>
      </c>
      <c r="K13" s="105" t="s">
        <v>2987</v>
      </c>
      <c r="L13" s="105"/>
      <c r="M13" s="105" t="s">
        <v>2988</v>
      </c>
      <c r="N13" s="107" t="s">
        <v>2843</v>
      </c>
      <c r="O13" s="106" t="s">
        <v>2860</v>
      </c>
      <c r="P13" s="108">
        <v>45659.0</v>
      </c>
      <c r="Q13" s="115" t="s">
        <v>2989</v>
      </c>
      <c r="R13" s="115" t="s">
        <v>2990</v>
      </c>
      <c r="S13" s="115" t="s">
        <v>2991</v>
      </c>
      <c r="T13" s="116" t="s">
        <v>2992</v>
      </c>
      <c r="U13" s="115" t="s">
        <v>2993</v>
      </c>
      <c r="V13" s="115" t="s">
        <v>2994</v>
      </c>
    </row>
    <row r="14" ht="45.0" customHeight="1">
      <c r="A14" s="104" t="s">
        <v>2995</v>
      </c>
      <c r="B14" s="105">
        <v>2.0</v>
      </c>
      <c r="C14" s="105" t="s">
        <v>2996</v>
      </c>
      <c r="D14" s="105" t="s">
        <v>2997</v>
      </c>
      <c r="E14" s="105" t="s">
        <v>2998</v>
      </c>
      <c r="F14" s="105" t="s">
        <v>2999</v>
      </c>
      <c r="G14" s="106" t="s">
        <v>2870</v>
      </c>
      <c r="H14" s="105" t="s">
        <v>2871</v>
      </c>
      <c r="I14" s="105" t="s">
        <v>3000</v>
      </c>
      <c r="J14" s="105" t="s">
        <v>3001</v>
      </c>
      <c r="K14" s="105" t="s">
        <v>3002</v>
      </c>
      <c r="L14" s="105"/>
      <c r="M14" s="105" t="s">
        <v>3003</v>
      </c>
      <c r="N14" s="107" t="s">
        <v>2843</v>
      </c>
      <c r="O14" s="106" t="s">
        <v>2860</v>
      </c>
      <c r="P14" s="108">
        <v>45659.0</v>
      </c>
      <c r="Q14" s="113" t="s">
        <v>3004</v>
      </c>
      <c r="R14" s="113" t="s">
        <v>3005</v>
      </c>
      <c r="S14" s="113" t="s">
        <v>3006</v>
      </c>
      <c r="T14" s="114" t="s">
        <v>3007</v>
      </c>
      <c r="U14" s="113" t="s">
        <v>3008</v>
      </c>
      <c r="V14" s="113" t="s">
        <v>3009</v>
      </c>
    </row>
    <row r="15" ht="45.0" customHeight="1">
      <c r="A15" s="104" t="s">
        <v>3010</v>
      </c>
      <c r="B15" s="105">
        <v>3.0</v>
      </c>
      <c r="C15" s="105" t="s">
        <v>3011</v>
      </c>
      <c r="D15" s="105" t="s">
        <v>3012</v>
      </c>
      <c r="E15" s="105" t="s">
        <v>2998</v>
      </c>
      <c r="F15" s="105" t="s">
        <v>2999</v>
      </c>
      <c r="G15" s="106" t="s">
        <v>2870</v>
      </c>
      <c r="H15" s="105" t="s">
        <v>2871</v>
      </c>
      <c r="I15" s="105" t="s">
        <v>3000</v>
      </c>
      <c r="J15" s="105" t="s">
        <v>3001</v>
      </c>
      <c r="K15" s="105" t="s">
        <v>3013</v>
      </c>
      <c r="L15" s="105"/>
      <c r="M15" s="105" t="s">
        <v>3014</v>
      </c>
      <c r="N15" s="107" t="s">
        <v>2843</v>
      </c>
      <c r="O15" s="106" t="s">
        <v>2860</v>
      </c>
      <c r="P15" s="108">
        <v>45659.0</v>
      </c>
      <c r="Q15" s="115" t="s">
        <v>3015</v>
      </c>
      <c r="R15" s="115" t="s">
        <v>3016</v>
      </c>
      <c r="S15" s="115" t="s">
        <v>3017</v>
      </c>
      <c r="T15" s="116" t="s">
        <v>3018</v>
      </c>
      <c r="U15" s="115" t="s">
        <v>3019</v>
      </c>
      <c r="V15" s="115" t="s">
        <v>3020</v>
      </c>
    </row>
    <row r="16" ht="45.0" customHeight="1">
      <c r="A16" s="104" t="s">
        <v>3021</v>
      </c>
      <c r="B16" s="105">
        <v>2.0</v>
      </c>
      <c r="C16" s="105" t="s">
        <v>3022</v>
      </c>
      <c r="D16" s="105" t="s">
        <v>3023</v>
      </c>
      <c r="E16" s="105" t="s">
        <v>3024</v>
      </c>
      <c r="F16" s="105" t="s">
        <v>3025</v>
      </c>
      <c r="G16" s="106" t="s">
        <v>2853</v>
      </c>
      <c r="H16" s="105" t="s">
        <v>2854</v>
      </c>
      <c r="I16" s="105" t="s">
        <v>3026</v>
      </c>
      <c r="J16" s="105" t="s">
        <v>2836</v>
      </c>
      <c r="K16" s="105" t="s">
        <v>3027</v>
      </c>
      <c r="L16" s="105"/>
      <c r="M16" s="105" t="s">
        <v>3028</v>
      </c>
      <c r="N16" s="107" t="s">
        <v>2843</v>
      </c>
      <c r="O16" s="106" t="s">
        <v>3029</v>
      </c>
      <c r="P16" s="105">
        <v>1.0</v>
      </c>
      <c r="Q16" s="113" t="s">
        <v>3030</v>
      </c>
      <c r="R16" s="113" t="s">
        <v>3031</v>
      </c>
      <c r="S16" s="113" t="s">
        <v>3032</v>
      </c>
      <c r="T16" s="114" t="s">
        <v>3033</v>
      </c>
      <c r="U16" s="113" t="s">
        <v>3034</v>
      </c>
      <c r="V16" s="113" t="s">
        <v>3035</v>
      </c>
    </row>
    <row r="17" ht="45.0" customHeight="1">
      <c r="A17" s="104" t="s">
        <v>3036</v>
      </c>
      <c r="B17" s="105">
        <v>2.0</v>
      </c>
      <c r="C17" s="105" t="s">
        <v>3037</v>
      </c>
      <c r="D17" s="105" t="s">
        <v>3038</v>
      </c>
      <c r="E17" s="105" t="s">
        <v>3039</v>
      </c>
      <c r="F17" s="105" t="s">
        <v>3040</v>
      </c>
      <c r="G17" s="106" t="s">
        <v>2853</v>
      </c>
      <c r="H17" s="105" t="s">
        <v>2854</v>
      </c>
      <c r="I17" s="105" t="s">
        <v>2888</v>
      </c>
      <c r="J17" s="105" t="s">
        <v>2889</v>
      </c>
      <c r="K17" s="105" t="s">
        <v>3041</v>
      </c>
      <c r="L17" s="105"/>
      <c r="M17" s="105" t="s">
        <v>3042</v>
      </c>
      <c r="N17" s="107" t="s">
        <v>2843</v>
      </c>
      <c r="O17" s="106" t="s">
        <v>2860</v>
      </c>
      <c r="P17" s="105">
        <v>2.0</v>
      </c>
      <c r="Q17" s="115" t="s">
        <v>3043</v>
      </c>
      <c r="R17" s="115" t="s">
        <v>3044</v>
      </c>
      <c r="S17" s="115" t="s">
        <v>3045</v>
      </c>
      <c r="T17" s="116" t="s">
        <v>3046</v>
      </c>
      <c r="U17" s="115" t="s">
        <v>3047</v>
      </c>
      <c r="V17" s="115" t="s">
        <v>3048</v>
      </c>
    </row>
    <row r="18" ht="45.0" customHeight="1">
      <c r="A18" s="104" t="s">
        <v>3049</v>
      </c>
      <c r="B18" s="105">
        <v>2.0</v>
      </c>
      <c r="C18" s="105" t="s">
        <v>3050</v>
      </c>
      <c r="D18" s="105" t="s">
        <v>3051</v>
      </c>
      <c r="E18" s="105" t="s">
        <v>3052</v>
      </c>
      <c r="F18" s="105" t="s">
        <v>3053</v>
      </c>
      <c r="G18" s="106" t="s">
        <v>2958</v>
      </c>
      <c r="H18" s="105" t="s">
        <v>2959</v>
      </c>
      <c r="I18" s="105" t="s">
        <v>2972</v>
      </c>
      <c r="J18" s="105" t="s">
        <v>2973</v>
      </c>
      <c r="K18" s="105" t="s">
        <v>3054</v>
      </c>
      <c r="L18" s="105"/>
      <c r="M18" s="105" t="s">
        <v>3055</v>
      </c>
      <c r="N18" s="107" t="s">
        <v>2843</v>
      </c>
      <c r="O18" s="106" t="s">
        <v>3029</v>
      </c>
      <c r="P18" s="105">
        <v>2.0</v>
      </c>
      <c r="Q18" s="113" t="s">
        <v>3056</v>
      </c>
      <c r="R18" s="113" t="s">
        <v>3057</v>
      </c>
      <c r="S18" s="113" t="s">
        <v>3058</v>
      </c>
      <c r="T18" s="114" t="s">
        <v>3059</v>
      </c>
      <c r="U18" s="113" t="s">
        <v>3060</v>
      </c>
      <c r="V18" s="113" t="s">
        <v>3061</v>
      </c>
    </row>
    <row r="19" ht="45.0" customHeight="1">
      <c r="A19" s="104" t="s">
        <v>3062</v>
      </c>
      <c r="B19" s="105">
        <v>2.0</v>
      </c>
      <c r="C19" s="105" t="s">
        <v>3063</v>
      </c>
      <c r="D19" s="105" t="s">
        <v>3064</v>
      </c>
      <c r="E19" s="105" t="s">
        <v>3052</v>
      </c>
      <c r="F19" s="105" t="s">
        <v>3053</v>
      </c>
      <c r="G19" s="106" t="s">
        <v>2886</v>
      </c>
      <c r="H19" s="105" t="s">
        <v>2887</v>
      </c>
      <c r="I19" s="105" t="s">
        <v>2972</v>
      </c>
      <c r="J19" s="105" t="s">
        <v>2973</v>
      </c>
      <c r="K19" s="105" t="s">
        <v>3065</v>
      </c>
      <c r="L19" s="105"/>
      <c r="M19" s="105" t="s">
        <v>3066</v>
      </c>
      <c r="N19" s="107" t="s">
        <v>2843</v>
      </c>
      <c r="O19" s="106" t="s">
        <v>2903</v>
      </c>
      <c r="P19" s="105">
        <v>1.0</v>
      </c>
      <c r="Q19" s="115" t="s">
        <v>3067</v>
      </c>
      <c r="R19" s="115" t="s">
        <v>3068</v>
      </c>
      <c r="S19" s="115" t="s">
        <v>3069</v>
      </c>
      <c r="T19" s="116" t="s">
        <v>3070</v>
      </c>
      <c r="U19" s="115" t="s">
        <v>3071</v>
      </c>
      <c r="V19" s="115" t="s">
        <v>3072</v>
      </c>
    </row>
    <row r="20" ht="45.0" customHeight="1">
      <c r="A20" s="104" t="s">
        <v>3073</v>
      </c>
      <c r="B20" s="105">
        <v>2.0</v>
      </c>
      <c r="C20" s="105" t="s">
        <v>3074</v>
      </c>
      <c r="D20" s="105" t="s">
        <v>3075</v>
      </c>
      <c r="E20" s="105" t="s">
        <v>3052</v>
      </c>
      <c r="F20" s="105" t="s">
        <v>3053</v>
      </c>
      <c r="G20" s="106" t="s">
        <v>2958</v>
      </c>
      <c r="H20" s="105" t="s">
        <v>2959</v>
      </c>
      <c r="I20" s="105" t="s">
        <v>2972</v>
      </c>
      <c r="J20" s="105" t="s">
        <v>2973</v>
      </c>
      <c r="K20" s="105" t="s">
        <v>3076</v>
      </c>
      <c r="L20" s="105"/>
      <c r="M20" s="105" t="s">
        <v>3077</v>
      </c>
      <c r="N20" s="107" t="s">
        <v>2843</v>
      </c>
      <c r="O20" s="106" t="s">
        <v>2962</v>
      </c>
      <c r="P20" s="105">
        <v>2.0</v>
      </c>
      <c r="Q20" s="113" t="s">
        <v>3078</v>
      </c>
      <c r="R20" s="113" t="s">
        <v>3079</v>
      </c>
      <c r="S20" s="113" t="s">
        <v>3080</v>
      </c>
      <c r="T20" s="114" t="s">
        <v>3081</v>
      </c>
      <c r="U20" s="113" t="s">
        <v>3082</v>
      </c>
      <c r="V20" s="113" t="s">
        <v>3083</v>
      </c>
    </row>
    <row r="21" ht="45.0" customHeight="1">
      <c r="A21" s="104" t="s">
        <v>3084</v>
      </c>
      <c r="B21" s="105">
        <v>2.0</v>
      </c>
      <c r="C21" s="105" t="s">
        <v>3085</v>
      </c>
      <c r="D21" s="105" t="s">
        <v>3086</v>
      </c>
      <c r="E21" s="105" t="s">
        <v>3087</v>
      </c>
      <c r="F21" s="105" t="s">
        <v>3088</v>
      </c>
      <c r="G21" s="106" t="s">
        <v>2886</v>
      </c>
      <c r="H21" s="105" t="s">
        <v>2887</v>
      </c>
      <c r="I21" s="105" t="s">
        <v>2888</v>
      </c>
      <c r="J21" s="105" t="s">
        <v>2889</v>
      </c>
      <c r="K21" s="105" t="s">
        <v>3089</v>
      </c>
      <c r="L21" s="105"/>
      <c r="M21" s="105" t="s">
        <v>3090</v>
      </c>
      <c r="N21" s="107" t="s">
        <v>2843</v>
      </c>
      <c r="O21" s="106" t="s">
        <v>2903</v>
      </c>
      <c r="P21" s="105">
        <v>2.0</v>
      </c>
      <c r="Q21" s="115" t="s">
        <v>3091</v>
      </c>
      <c r="R21" s="115" t="s">
        <v>3092</v>
      </c>
      <c r="S21" s="115" t="s">
        <v>3093</v>
      </c>
      <c r="T21" s="116" t="s">
        <v>3094</v>
      </c>
      <c r="U21" s="115" t="s">
        <v>3095</v>
      </c>
      <c r="V21" s="115" t="s">
        <v>3096</v>
      </c>
    </row>
    <row r="22" ht="45.0" customHeight="1">
      <c r="A22" s="104" t="s">
        <v>3097</v>
      </c>
      <c r="B22" s="105">
        <v>2.0</v>
      </c>
      <c r="C22" s="105" t="s">
        <v>3098</v>
      </c>
      <c r="D22" s="105" t="s">
        <v>3099</v>
      </c>
      <c r="E22" s="105" t="s">
        <v>3087</v>
      </c>
      <c r="F22" s="105" t="s">
        <v>3088</v>
      </c>
      <c r="G22" s="106" t="s">
        <v>2942</v>
      </c>
      <c r="H22" s="105" t="s">
        <v>2943</v>
      </c>
      <c r="I22" s="105" t="s">
        <v>2888</v>
      </c>
      <c r="J22" s="105" t="s">
        <v>2889</v>
      </c>
      <c r="K22" s="105" t="s">
        <v>3100</v>
      </c>
      <c r="L22" s="105"/>
      <c r="M22" s="105" t="s">
        <v>3101</v>
      </c>
      <c r="N22" s="107" t="s">
        <v>2946</v>
      </c>
      <c r="O22" s="106" t="s">
        <v>2844</v>
      </c>
      <c r="P22" s="105">
        <v>2.0</v>
      </c>
      <c r="Q22" s="113" t="s">
        <v>3102</v>
      </c>
      <c r="R22" s="113" t="s">
        <v>3103</v>
      </c>
      <c r="S22" s="113" t="s">
        <v>3104</v>
      </c>
      <c r="T22" s="114" t="s">
        <v>3105</v>
      </c>
      <c r="U22" s="113" t="s">
        <v>3106</v>
      </c>
      <c r="V22" s="113" t="s">
        <v>3107</v>
      </c>
    </row>
    <row r="23" ht="45.0" customHeight="1">
      <c r="A23" s="104" t="s">
        <v>3108</v>
      </c>
      <c r="B23" s="105">
        <v>3.0</v>
      </c>
      <c r="C23" s="105" t="s">
        <v>3109</v>
      </c>
      <c r="D23" s="105" t="s">
        <v>3110</v>
      </c>
      <c r="E23" s="105" t="s">
        <v>3111</v>
      </c>
      <c r="F23" s="105" t="s">
        <v>3112</v>
      </c>
      <c r="G23" s="106" t="s">
        <v>3113</v>
      </c>
      <c r="H23" s="105" t="s">
        <v>3114</v>
      </c>
      <c r="I23" s="105" t="s">
        <v>2888</v>
      </c>
      <c r="J23" s="105" t="s">
        <v>2889</v>
      </c>
      <c r="K23" s="105" t="s">
        <v>3115</v>
      </c>
      <c r="L23" s="105"/>
      <c r="M23" s="105" t="s">
        <v>3116</v>
      </c>
      <c r="N23" s="107" t="s">
        <v>2843</v>
      </c>
      <c r="O23" s="106" t="s">
        <v>3029</v>
      </c>
      <c r="P23" s="105">
        <v>2.0</v>
      </c>
      <c r="Q23" s="115" t="s">
        <v>3117</v>
      </c>
      <c r="R23" s="115" t="s">
        <v>3118</v>
      </c>
      <c r="S23" s="115" t="s">
        <v>3119</v>
      </c>
      <c r="T23" s="116" t="s">
        <v>3120</v>
      </c>
      <c r="U23" s="115" t="s">
        <v>3121</v>
      </c>
      <c r="V23" s="115" t="s">
        <v>3122</v>
      </c>
    </row>
    <row r="24" ht="45.0" customHeight="1">
      <c r="A24" s="104" t="s">
        <v>3123</v>
      </c>
      <c r="B24" s="105">
        <v>2.0</v>
      </c>
      <c r="C24" s="105" t="s">
        <v>3124</v>
      </c>
      <c r="D24" s="105" t="s">
        <v>3125</v>
      </c>
      <c r="E24" s="105" t="s">
        <v>3126</v>
      </c>
      <c r="F24" s="105" t="s">
        <v>3127</v>
      </c>
      <c r="G24" s="106" t="s">
        <v>2853</v>
      </c>
      <c r="H24" s="105" t="s">
        <v>2854</v>
      </c>
      <c r="I24" s="105" t="s">
        <v>2972</v>
      </c>
      <c r="J24" s="105" t="s">
        <v>2973</v>
      </c>
      <c r="K24" s="105" t="s">
        <v>3128</v>
      </c>
      <c r="L24" s="105" t="s">
        <v>3129</v>
      </c>
      <c r="M24" s="105" t="s">
        <v>3130</v>
      </c>
      <c r="N24" s="107" t="s">
        <v>2843</v>
      </c>
      <c r="O24" s="106" t="s">
        <v>3131</v>
      </c>
      <c r="P24" s="108">
        <v>45691.0</v>
      </c>
      <c r="Q24" s="113" t="s">
        <v>3132</v>
      </c>
      <c r="R24" s="113" t="s">
        <v>3133</v>
      </c>
      <c r="S24" s="113" t="s">
        <v>3134</v>
      </c>
      <c r="T24" s="114" t="s">
        <v>3135</v>
      </c>
      <c r="U24" s="113" t="s">
        <v>3136</v>
      </c>
      <c r="V24" s="113" t="s">
        <v>3137</v>
      </c>
    </row>
    <row r="25" ht="45.0" customHeight="1">
      <c r="A25" s="104" t="s">
        <v>3138</v>
      </c>
      <c r="B25" s="105">
        <v>2.0</v>
      </c>
      <c r="C25" s="105" t="s">
        <v>3139</v>
      </c>
      <c r="D25" s="105" t="s">
        <v>3140</v>
      </c>
      <c r="E25" s="105" t="s">
        <v>3141</v>
      </c>
      <c r="F25" s="105" t="s">
        <v>3142</v>
      </c>
      <c r="G25" s="106" t="s">
        <v>2853</v>
      </c>
      <c r="H25" s="105" t="s">
        <v>2854</v>
      </c>
      <c r="I25" s="105" t="s">
        <v>2855</v>
      </c>
      <c r="J25" s="105" t="s">
        <v>2856</v>
      </c>
      <c r="K25" s="105" t="s">
        <v>3143</v>
      </c>
      <c r="L25" s="105"/>
      <c r="M25" s="105" t="s">
        <v>3144</v>
      </c>
      <c r="N25" s="107" t="s">
        <v>2843</v>
      </c>
      <c r="O25" s="106" t="s">
        <v>2860</v>
      </c>
      <c r="P25" s="105">
        <v>3.0</v>
      </c>
      <c r="Q25" s="115" t="s">
        <v>3145</v>
      </c>
      <c r="R25" s="115" t="s">
        <v>3146</v>
      </c>
      <c r="S25" s="115" t="s">
        <v>3147</v>
      </c>
      <c r="T25" s="116" t="s">
        <v>3148</v>
      </c>
      <c r="U25" s="115" t="s">
        <v>3149</v>
      </c>
      <c r="V25" s="115" t="s">
        <v>3150</v>
      </c>
    </row>
    <row r="26" ht="45.0" customHeight="1">
      <c r="A26" s="104" t="s">
        <v>3151</v>
      </c>
      <c r="B26" s="105">
        <v>2.0</v>
      </c>
      <c r="C26" s="105" t="s">
        <v>3152</v>
      </c>
      <c r="D26" s="105" t="s">
        <v>3153</v>
      </c>
      <c r="E26" s="105" t="s">
        <v>3141</v>
      </c>
      <c r="F26" s="105" t="s">
        <v>3142</v>
      </c>
      <c r="G26" s="106" t="s">
        <v>2958</v>
      </c>
      <c r="H26" s="105" t="s">
        <v>2959</v>
      </c>
      <c r="I26" s="105" t="s">
        <v>2839</v>
      </c>
      <c r="J26" s="105" t="s">
        <v>2840</v>
      </c>
      <c r="K26" s="105" t="s">
        <v>3154</v>
      </c>
      <c r="L26" s="105"/>
      <c r="M26" s="105" t="s">
        <v>3155</v>
      </c>
      <c r="N26" s="107" t="s">
        <v>2843</v>
      </c>
      <c r="O26" s="106" t="s">
        <v>3156</v>
      </c>
      <c r="P26" s="105">
        <v>3.0</v>
      </c>
      <c r="Q26" s="113" t="s">
        <v>3157</v>
      </c>
      <c r="R26" s="113" t="s">
        <v>3158</v>
      </c>
      <c r="S26" s="113" t="s">
        <v>3159</v>
      </c>
      <c r="T26" s="114" t="s">
        <v>3160</v>
      </c>
      <c r="U26" s="113" t="s">
        <v>3161</v>
      </c>
      <c r="V26" s="113" t="s">
        <v>3162</v>
      </c>
    </row>
    <row r="27" ht="45.0" customHeight="1">
      <c r="A27" s="104" t="s">
        <v>3163</v>
      </c>
      <c r="B27" s="105">
        <v>2.0</v>
      </c>
      <c r="C27" s="105" t="s">
        <v>3164</v>
      </c>
      <c r="D27" s="105" t="s">
        <v>3165</v>
      </c>
      <c r="E27" s="105" t="s">
        <v>3166</v>
      </c>
      <c r="F27" s="105" t="s">
        <v>3167</v>
      </c>
      <c r="G27" s="106" t="s">
        <v>2886</v>
      </c>
      <c r="H27" s="105" t="s">
        <v>2887</v>
      </c>
      <c r="I27" s="105" t="s">
        <v>2839</v>
      </c>
      <c r="J27" s="105" t="s">
        <v>2840</v>
      </c>
      <c r="K27" s="105" t="s">
        <v>3168</v>
      </c>
      <c r="L27" s="105"/>
      <c r="M27" s="105" t="s">
        <v>3169</v>
      </c>
      <c r="N27" s="107" t="s">
        <v>2843</v>
      </c>
      <c r="O27" s="106" t="s">
        <v>2903</v>
      </c>
      <c r="P27" s="108">
        <v>45691.0</v>
      </c>
      <c r="Q27" s="115" t="s">
        <v>3170</v>
      </c>
      <c r="R27" s="115" t="s">
        <v>3171</v>
      </c>
      <c r="S27" s="115" t="s">
        <v>3172</v>
      </c>
      <c r="T27" s="116" t="s">
        <v>3173</v>
      </c>
      <c r="U27" s="115" t="s">
        <v>3174</v>
      </c>
      <c r="V27" s="115" t="s">
        <v>3175</v>
      </c>
    </row>
    <row r="28" ht="45.0" customHeight="1">
      <c r="A28" s="104" t="s">
        <v>3176</v>
      </c>
      <c r="B28" s="105">
        <v>2.0</v>
      </c>
      <c r="C28" s="105" t="s">
        <v>3177</v>
      </c>
      <c r="D28" s="105" t="s">
        <v>3178</v>
      </c>
      <c r="E28" s="105" t="s">
        <v>3179</v>
      </c>
      <c r="F28" s="105" t="s">
        <v>3180</v>
      </c>
      <c r="G28" s="106" t="s">
        <v>2853</v>
      </c>
      <c r="H28" s="105" t="s">
        <v>2854</v>
      </c>
      <c r="I28" s="105" t="s">
        <v>2915</v>
      </c>
      <c r="J28" s="105" t="s">
        <v>2916</v>
      </c>
      <c r="K28" s="105" t="s">
        <v>3181</v>
      </c>
      <c r="L28" s="105"/>
      <c r="M28" s="105" t="s">
        <v>3182</v>
      </c>
      <c r="N28" s="107" t="s">
        <v>2843</v>
      </c>
      <c r="O28" s="106" t="s">
        <v>2962</v>
      </c>
      <c r="P28" s="105">
        <v>2.0</v>
      </c>
      <c r="Q28" s="113" t="s">
        <v>3183</v>
      </c>
      <c r="R28" s="113" t="s">
        <v>3184</v>
      </c>
      <c r="S28" s="113" t="s">
        <v>3185</v>
      </c>
      <c r="T28" s="114" t="s">
        <v>3186</v>
      </c>
      <c r="U28" s="113" t="s">
        <v>3187</v>
      </c>
      <c r="V28" s="113" t="s">
        <v>3188</v>
      </c>
    </row>
    <row r="29" ht="45.0" customHeight="1">
      <c r="A29" s="104" t="s">
        <v>3189</v>
      </c>
      <c r="B29" s="105">
        <v>2.0</v>
      </c>
      <c r="C29" s="105" t="s">
        <v>3190</v>
      </c>
      <c r="D29" s="105" t="s">
        <v>3191</v>
      </c>
      <c r="E29" s="105" t="s">
        <v>3179</v>
      </c>
      <c r="F29" s="105" t="s">
        <v>3180</v>
      </c>
      <c r="G29" s="106" t="s">
        <v>2886</v>
      </c>
      <c r="H29" s="105" t="s">
        <v>2887</v>
      </c>
      <c r="I29" s="105" t="s">
        <v>2839</v>
      </c>
      <c r="J29" s="105" t="s">
        <v>2840</v>
      </c>
      <c r="K29" s="105" t="s">
        <v>3192</v>
      </c>
      <c r="L29" s="105"/>
      <c r="M29" s="105" t="s">
        <v>3193</v>
      </c>
      <c r="N29" s="107" t="s">
        <v>2843</v>
      </c>
      <c r="O29" s="106" t="s">
        <v>2903</v>
      </c>
      <c r="P29" s="108">
        <v>45691.0</v>
      </c>
      <c r="Q29" s="115" t="s">
        <v>3194</v>
      </c>
      <c r="R29" s="115" t="s">
        <v>3195</v>
      </c>
      <c r="S29" s="115" t="s">
        <v>3196</v>
      </c>
      <c r="T29" s="116" t="s">
        <v>3197</v>
      </c>
      <c r="U29" s="115" t="s">
        <v>3198</v>
      </c>
      <c r="V29" s="115" t="s">
        <v>3199</v>
      </c>
    </row>
    <row r="30" ht="45.0" customHeight="1">
      <c r="A30" s="104" t="s">
        <v>3200</v>
      </c>
      <c r="B30" s="105">
        <v>2.0</v>
      </c>
      <c r="C30" s="105" t="s">
        <v>3201</v>
      </c>
      <c r="D30" s="105" t="s">
        <v>3202</v>
      </c>
      <c r="E30" s="105" t="s">
        <v>3203</v>
      </c>
      <c r="F30" s="105" t="s">
        <v>3204</v>
      </c>
      <c r="G30" s="106" t="s">
        <v>2958</v>
      </c>
      <c r="H30" s="105" t="s">
        <v>2959</v>
      </c>
      <c r="I30" s="105" t="s">
        <v>2972</v>
      </c>
      <c r="J30" s="105" t="s">
        <v>2973</v>
      </c>
      <c r="K30" s="105" t="s">
        <v>3205</v>
      </c>
      <c r="L30" s="105"/>
      <c r="M30" s="105" t="s">
        <v>3206</v>
      </c>
      <c r="N30" s="107" t="s">
        <v>2843</v>
      </c>
      <c r="O30" s="106" t="s">
        <v>2962</v>
      </c>
      <c r="P30" s="105">
        <v>2.0</v>
      </c>
      <c r="Q30" s="113" t="s">
        <v>3207</v>
      </c>
      <c r="R30" s="113" t="s">
        <v>3208</v>
      </c>
      <c r="S30" s="113" t="s">
        <v>3209</v>
      </c>
      <c r="T30" s="114" t="s">
        <v>3210</v>
      </c>
      <c r="U30" s="113" t="s">
        <v>3211</v>
      </c>
      <c r="V30" s="113" t="s">
        <v>3212</v>
      </c>
    </row>
    <row r="31" ht="45.0" customHeight="1">
      <c r="A31" s="104" t="s">
        <v>3213</v>
      </c>
      <c r="B31" s="105">
        <v>2.0</v>
      </c>
      <c r="C31" s="105" t="s">
        <v>3214</v>
      </c>
      <c r="D31" s="105" t="s">
        <v>3215</v>
      </c>
      <c r="E31" s="105" t="s">
        <v>3216</v>
      </c>
      <c r="F31" s="105" t="s">
        <v>3217</v>
      </c>
      <c r="G31" s="106" t="s">
        <v>2853</v>
      </c>
      <c r="H31" s="105" t="s">
        <v>2854</v>
      </c>
      <c r="I31" s="105" t="s">
        <v>2915</v>
      </c>
      <c r="J31" s="105" t="s">
        <v>2916</v>
      </c>
      <c r="K31" s="105" t="s">
        <v>3218</v>
      </c>
      <c r="L31" s="105"/>
      <c r="M31" s="105" t="s">
        <v>3219</v>
      </c>
      <c r="N31" s="107" t="s">
        <v>2843</v>
      </c>
      <c r="O31" s="106" t="s">
        <v>2962</v>
      </c>
      <c r="P31" s="105">
        <v>2.0</v>
      </c>
      <c r="Q31" s="115" t="s">
        <v>3220</v>
      </c>
      <c r="R31" s="115" t="s">
        <v>3221</v>
      </c>
      <c r="S31" s="115" t="s">
        <v>3222</v>
      </c>
      <c r="T31" s="116" t="s">
        <v>3223</v>
      </c>
      <c r="U31" s="115" t="s">
        <v>3224</v>
      </c>
      <c r="V31" s="115" t="s">
        <v>3225</v>
      </c>
    </row>
    <row r="32" ht="45.0" customHeight="1">
      <c r="A32" s="104" t="s">
        <v>3226</v>
      </c>
      <c r="B32" s="105">
        <v>2.0</v>
      </c>
      <c r="C32" s="105" t="s">
        <v>3227</v>
      </c>
      <c r="D32" s="105" t="s">
        <v>3228</v>
      </c>
      <c r="E32" s="105" t="s">
        <v>3216</v>
      </c>
      <c r="F32" s="105" t="s">
        <v>3217</v>
      </c>
      <c r="G32" s="106" t="s">
        <v>2837</v>
      </c>
      <c r="H32" s="105" t="s">
        <v>2838</v>
      </c>
      <c r="I32" s="105" t="s">
        <v>2888</v>
      </c>
      <c r="J32" s="105" t="s">
        <v>2889</v>
      </c>
      <c r="K32" s="105" t="s">
        <v>3229</v>
      </c>
      <c r="L32" s="105"/>
      <c r="M32" s="105" t="s">
        <v>3230</v>
      </c>
      <c r="N32" s="107" t="s">
        <v>2843</v>
      </c>
      <c r="O32" s="106" t="s">
        <v>2844</v>
      </c>
      <c r="P32" s="105">
        <v>2.0</v>
      </c>
      <c r="Q32" s="113" t="s">
        <v>3231</v>
      </c>
      <c r="R32" s="113" t="s">
        <v>3232</v>
      </c>
      <c r="S32" s="113" t="s">
        <v>3233</v>
      </c>
      <c r="T32" s="114" t="s">
        <v>3234</v>
      </c>
      <c r="U32" s="113" t="s">
        <v>3235</v>
      </c>
      <c r="V32" s="113" t="s">
        <v>3236</v>
      </c>
    </row>
    <row r="33" ht="45.0" customHeight="1">
      <c r="A33" s="104" t="s">
        <v>3237</v>
      </c>
      <c r="B33" s="105">
        <v>2.0</v>
      </c>
      <c r="C33" s="105" t="s">
        <v>3238</v>
      </c>
      <c r="D33" s="105" t="s">
        <v>3239</v>
      </c>
      <c r="E33" s="105" t="s">
        <v>3240</v>
      </c>
      <c r="F33" s="105" t="s">
        <v>3241</v>
      </c>
      <c r="G33" s="106" t="s">
        <v>2853</v>
      </c>
      <c r="H33" s="105" t="s">
        <v>2854</v>
      </c>
      <c r="I33" s="105" t="s">
        <v>2855</v>
      </c>
      <c r="J33" s="105" t="s">
        <v>2856</v>
      </c>
      <c r="K33" s="105" t="s">
        <v>3242</v>
      </c>
      <c r="L33" s="105"/>
      <c r="M33" s="105" t="s">
        <v>3243</v>
      </c>
      <c r="N33" s="107" t="s">
        <v>2843</v>
      </c>
      <c r="O33" s="106" t="s">
        <v>2860</v>
      </c>
      <c r="P33" s="105">
        <v>3.0</v>
      </c>
      <c r="Q33" s="115" t="s">
        <v>3244</v>
      </c>
      <c r="R33" s="115" t="s">
        <v>3245</v>
      </c>
      <c r="S33" s="115" t="s">
        <v>3246</v>
      </c>
      <c r="T33" s="116" t="s">
        <v>3247</v>
      </c>
      <c r="U33" s="115" t="s">
        <v>3248</v>
      </c>
      <c r="V33" s="115" t="s">
        <v>3249</v>
      </c>
    </row>
    <row r="34" ht="45.0" customHeight="1">
      <c r="A34" s="104" t="s">
        <v>3250</v>
      </c>
      <c r="B34" s="105">
        <v>2.0</v>
      </c>
      <c r="C34" s="105" t="s">
        <v>3251</v>
      </c>
      <c r="D34" s="105" t="s">
        <v>3252</v>
      </c>
      <c r="E34" s="105" t="s">
        <v>3253</v>
      </c>
      <c r="F34" s="105" t="s">
        <v>3254</v>
      </c>
      <c r="G34" s="106" t="s">
        <v>2886</v>
      </c>
      <c r="H34" s="105" t="s">
        <v>2887</v>
      </c>
      <c r="I34" s="105" t="s">
        <v>2888</v>
      </c>
      <c r="J34" s="105" t="s">
        <v>2889</v>
      </c>
      <c r="K34" s="105" t="s">
        <v>3255</v>
      </c>
      <c r="L34" s="105"/>
      <c r="M34" s="105" t="s">
        <v>3256</v>
      </c>
      <c r="N34" s="107" t="s">
        <v>2843</v>
      </c>
      <c r="O34" s="106" t="s">
        <v>2903</v>
      </c>
      <c r="P34" s="105">
        <v>2.0</v>
      </c>
      <c r="Q34" s="113" t="s">
        <v>3257</v>
      </c>
      <c r="R34" s="113" t="s">
        <v>3258</v>
      </c>
      <c r="S34" s="113" t="s">
        <v>3259</v>
      </c>
      <c r="T34" s="114" t="s">
        <v>3260</v>
      </c>
      <c r="U34" s="113" t="s">
        <v>3261</v>
      </c>
      <c r="V34" s="113" t="s">
        <v>3262</v>
      </c>
    </row>
    <row r="35" ht="45.0" customHeight="1">
      <c r="A35" s="104" t="s">
        <v>3263</v>
      </c>
      <c r="B35" s="105">
        <v>2.0</v>
      </c>
      <c r="C35" s="105" t="s">
        <v>3264</v>
      </c>
      <c r="D35" s="105" t="s">
        <v>3265</v>
      </c>
      <c r="E35" s="105" t="s">
        <v>3266</v>
      </c>
      <c r="F35" s="105" t="s">
        <v>3267</v>
      </c>
      <c r="G35" s="106" t="s">
        <v>2958</v>
      </c>
      <c r="H35" s="105" t="s">
        <v>2959</v>
      </c>
      <c r="I35" s="105" t="s">
        <v>2972</v>
      </c>
      <c r="J35" s="105" t="s">
        <v>2973</v>
      </c>
      <c r="K35" s="105" t="s">
        <v>3268</v>
      </c>
      <c r="L35" s="105"/>
      <c r="M35" s="105" t="s">
        <v>3269</v>
      </c>
      <c r="N35" s="107" t="s">
        <v>2843</v>
      </c>
      <c r="O35" s="106" t="s">
        <v>2962</v>
      </c>
      <c r="P35" s="105">
        <v>2.0</v>
      </c>
      <c r="Q35" s="115" t="s">
        <v>3270</v>
      </c>
      <c r="R35" s="115" t="s">
        <v>3271</v>
      </c>
      <c r="S35" s="115" t="s">
        <v>3272</v>
      </c>
      <c r="T35" s="116" t="s">
        <v>3273</v>
      </c>
      <c r="U35" s="115" t="s">
        <v>3274</v>
      </c>
      <c r="V35" s="115" t="s">
        <v>3275</v>
      </c>
    </row>
    <row r="36" ht="45.0" customHeight="1">
      <c r="A36" s="104" t="s">
        <v>3276</v>
      </c>
      <c r="B36" s="105">
        <v>2.0</v>
      </c>
      <c r="C36" s="105" t="s">
        <v>3277</v>
      </c>
      <c r="D36" s="105" t="s">
        <v>3278</v>
      </c>
      <c r="E36" s="105" t="s">
        <v>3279</v>
      </c>
      <c r="F36" s="105" t="s">
        <v>3280</v>
      </c>
      <c r="G36" s="106" t="s">
        <v>2886</v>
      </c>
      <c r="H36" s="105" t="s">
        <v>2887</v>
      </c>
      <c r="I36" s="105" t="s">
        <v>2888</v>
      </c>
      <c r="J36" s="105" t="s">
        <v>2889</v>
      </c>
      <c r="K36" s="105" t="s">
        <v>3281</v>
      </c>
      <c r="L36" s="105" t="s">
        <v>3282</v>
      </c>
      <c r="M36" s="105" t="s">
        <v>3283</v>
      </c>
      <c r="N36" s="107" t="s">
        <v>2843</v>
      </c>
      <c r="O36" s="106" t="s">
        <v>3131</v>
      </c>
      <c r="P36" s="105">
        <v>2.0</v>
      </c>
      <c r="Q36" s="113" t="s">
        <v>3284</v>
      </c>
      <c r="R36" s="113" t="s">
        <v>3285</v>
      </c>
      <c r="S36" s="113" t="s">
        <v>3286</v>
      </c>
      <c r="T36" s="114" t="s">
        <v>3287</v>
      </c>
      <c r="U36" s="113" t="s">
        <v>3288</v>
      </c>
      <c r="V36" s="113" t="s">
        <v>3289</v>
      </c>
    </row>
    <row r="37" ht="45.0" customHeight="1">
      <c r="A37" s="104" t="s">
        <v>3290</v>
      </c>
      <c r="B37" s="105">
        <v>2.0</v>
      </c>
      <c r="C37" s="105" t="s">
        <v>3291</v>
      </c>
      <c r="D37" s="105" t="s">
        <v>3292</v>
      </c>
      <c r="E37" s="105" t="s">
        <v>3279</v>
      </c>
      <c r="F37" s="105" t="s">
        <v>3280</v>
      </c>
      <c r="G37" s="106" t="s">
        <v>2870</v>
      </c>
      <c r="H37" s="105" t="s">
        <v>2871</v>
      </c>
      <c r="I37" s="105" t="s">
        <v>2888</v>
      </c>
      <c r="J37" s="105" t="s">
        <v>2889</v>
      </c>
      <c r="K37" s="105" t="s">
        <v>3293</v>
      </c>
      <c r="L37" s="105"/>
      <c r="M37" s="105" t="s">
        <v>3294</v>
      </c>
      <c r="N37" s="107" t="s">
        <v>2843</v>
      </c>
      <c r="O37" s="106" t="s">
        <v>2860</v>
      </c>
      <c r="P37" s="105">
        <v>2.0</v>
      </c>
      <c r="Q37" s="115" t="s">
        <v>3295</v>
      </c>
      <c r="R37" s="115" t="s">
        <v>3296</v>
      </c>
      <c r="S37" s="115" t="s">
        <v>3297</v>
      </c>
      <c r="T37" s="116" t="s">
        <v>3298</v>
      </c>
      <c r="U37" s="115" t="s">
        <v>3299</v>
      </c>
      <c r="V37" s="115" t="s">
        <v>3300</v>
      </c>
    </row>
    <row r="38" ht="45.0" customHeight="1">
      <c r="A38" s="104" t="s">
        <v>3301</v>
      </c>
      <c r="B38" s="105">
        <v>2.0</v>
      </c>
      <c r="C38" s="105" t="s">
        <v>3302</v>
      </c>
      <c r="D38" s="105" t="s">
        <v>3303</v>
      </c>
      <c r="E38" s="105" t="s">
        <v>3304</v>
      </c>
      <c r="F38" s="105" t="s">
        <v>3305</v>
      </c>
      <c r="G38" s="106" t="s">
        <v>3306</v>
      </c>
      <c r="H38" s="105" t="s">
        <v>3307</v>
      </c>
      <c r="I38" s="105" t="s">
        <v>3000</v>
      </c>
      <c r="J38" s="105" t="s">
        <v>3001</v>
      </c>
      <c r="K38" s="105" t="s">
        <v>3308</v>
      </c>
      <c r="L38" s="105"/>
      <c r="M38" s="105" t="s">
        <v>3309</v>
      </c>
      <c r="N38" s="107" t="s">
        <v>2843</v>
      </c>
      <c r="O38" s="106" t="s">
        <v>2844</v>
      </c>
      <c r="P38" s="108">
        <v>45660.0</v>
      </c>
      <c r="Q38" s="113" t="s">
        <v>3310</v>
      </c>
      <c r="R38" s="113" t="s">
        <v>3311</v>
      </c>
      <c r="S38" s="113" t="s">
        <v>3312</v>
      </c>
      <c r="T38" s="114" t="s">
        <v>3313</v>
      </c>
      <c r="U38" s="113" t="s">
        <v>3314</v>
      </c>
      <c r="V38" s="113" t="s">
        <v>3315</v>
      </c>
    </row>
    <row r="39" ht="45.0" customHeight="1">
      <c r="A39" s="104" t="s">
        <v>3316</v>
      </c>
      <c r="B39" s="105">
        <v>2.0</v>
      </c>
      <c r="C39" s="105" t="s">
        <v>2096</v>
      </c>
      <c r="D39" s="105" t="s">
        <v>3317</v>
      </c>
      <c r="E39" s="105" t="s">
        <v>3318</v>
      </c>
      <c r="F39" s="105" t="s">
        <v>3319</v>
      </c>
      <c r="G39" s="106" t="s">
        <v>2853</v>
      </c>
      <c r="H39" s="105" t="s">
        <v>2854</v>
      </c>
      <c r="I39" s="105" t="s">
        <v>2839</v>
      </c>
      <c r="J39" s="105" t="s">
        <v>2840</v>
      </c>
      <c r="K39" s="105" t="s">
        <v>3320</v>
      </c>
      <c r="L39" s="105" t="s">
        <v>3321</v>
      </c>
      <c r="M39" s="105" t="s">
        <v>3322</v>
      </c>
      <c r="N39" s="107" t="s">
        <v>2843</v>
      </c>
      <c r="O39" s="106" t="s">
        <v>2962</v>
      </c>
      <c r="P39" s="105">
        <v>1.0</v>
      </c>
      <c r="Q39" s="115" t="s">
        <v>3323</v>
      </c>
      <c r="R39" s="115" t="s">
        <v>3324</v>
      </c>
      <c r="S39" s="115" t="s">
        <v>3325</v>
      </c>
      <c r="T39" s="116" t="s">
        <v>3326</v>
      </c>
      <c r="U39" s="115" t="s">
        <v>3327</v>
      </c>
      <c r="V39" s="115" t="s">
        <v>3328</v>
      </c>
    </row>
    <row r="40" ht="45.0" customHeight="1">
      <c r="A40" s="104" t="s">
        <v>3329</v>
      </c>
      <c r="B40" s="105">
        <v>2.0</v>
      </c>
      <c r="C40" s="105" t="s">
        <v>2203</v>
      </c>
      <c r="D40" s="105" t="s">
        <v>3330</v>
      </c>
      <c r="E40" s="105" t="s">
        <v>3318</v>
      </c>
      <c r="F40" s="105" t="s">
        <v>3319</v>
      </c>
      <c r="G40" s="106" t="s">
        <v>2958</v>
      </c>
      <c r="H40" s="105" t="s">
        <v>2959</v>
      </c>
      <c r="I40" s="105" t="s">
        <v>2972</v>
      </c>
      <c r="J40" s="105" t="s">
        <v>2973</v>
      </c>
      <c r="K40" s="105" t="s">
        <v>3331</v>
      </c>
      <c r="L40" s="105"/>
      <c r="M40" s="105" t="s">
        <v>3332</v>
      </c>
      <c r="N40" s="107" t="s">
        <v>2843</v>
      </c>
      <c r="O40" s="106" t="s">
        <v>2962</v>
      </c>
      <c r="P40" s="105">
        <v>2.0</v>
      </c>
      <c r="Q40" s="113" t="s">
        <v>3333</v>
      </c>
      <c r="R40" s="113" t="s">
        <v>3334</v>
      </c>
      <c r="S40" s="113" t="s">
        <v>3335</v>
      </c>
      <c r="T40" s="114" t="s">
        <v>3336</v>
      </c>
      <c r="U40" s="113" t="s">
        <v>3337</v>
      </c>
      <c r="V40" s="113" t="s">
        <v>3338</v>
      </c>
    </row>
    <row r="41" ht="45.0" customHeight="1">
      <c r="A41" s="104" t="s">
        <v>3339</v>
      </c>
      <c r="B41" s="105">
        <v>2.0</v>
      </c>
      <c r="C41" s="105" t="s">
        <v>3340</v>
      </c>
      <c r="D41" s="105" t="s">
        <v>3341</v>
      </c>
      <c r="E41" s="105" t="s">
        <v>3318</v>
      </c>
      <c r="F41" s="105" t="s">
        <v>3319</v>
      </c>
      <c r="G41" s="106" t="s">
        <v>2942</v>
      </c>
      <c r="H41" s="105" t="s">
        <v>2943</v>
      </c>
      <c r="I41" s="105" t="s">
        <v>3026</v>
      </c>
      <c r="J41" s="105" t="s">
        <v>2836</v>
      </c>
      <c r="K41" s="105" t="s">
        <v>3342</v>
      </c>
      <c r="L41" s="105"/>
      <c r="M41" s="105" t="s">
        <v>3343</v>
      </c>
      <c r="N41" s="107" t="s">
        <v>2946</v>
      </c>
      <c r="O41" s="106" t="s">
        <v>3344</v>
      </c>
      <c r="P41" s="105">
        <v>1.0</v>
      </c>
      <c r="Q41" s="115" t="s">
        <v>3345</v>
      </c>
      <c r="R41" s="115" t="s">
        <v>3346</v>
      </c>
      <c r="S41" s="115" t="s">
        <v>3347</v>
      </c>
      <c r="T41" s="116" t="s">
        <v>3348</v>
      </c>
      <c r="U41" s="115" t="s">
        <v>3349</v>
      </c>
      <c r="V41" s="115" t="s">
        <v>3350</v>
      </c>
    </row>
    <row r="42" ht="45.0" customHeight="1">
      <c r="A42" s="104" t="s">
        <v>3351</v>
      </c>
      <c r="B42" s="105">
        <v>2.0</v>
      </c>
      <c r="C42" s="105" t="s">
        <v>2514</v>
      </c>
      <c r="D42" s="105" t="s">
        <v>3352</v>
      </c>
      <c r="E42" s="105" t="s">
        <v>3318</v>
      </c>
      <c r="F42" s="105" t="s">
        <v>3319</v>
      </c>
      <c r="G42" s="106" t="s">
        <v>2853</v>
      </c>
      <c r="H42" s="105" t="s">
        <v>2854</v>
      </c>
      <c r="I42" s="105" t="s">
        <v>2888</v>
      </c>
      <c r="J42" s="105" t="s">
        <v>2889</v>
      </c>
      <c r="K42" s="105" t="s">
        <v>3353</v>
      </c>
      <c r="L42" s="105"/>
      <c r="M42" s="105" t="s">
        <v>3354</v>
      </c>
      <c r="N42" s="107" t="s">
        <v>2843</v>
      </c>
      <c r="O42" s="106" t="s">
        <v>2860</v>
      </c>
      <c r="P42" s="105">
        <v>2.0</v>
      </c>
      <c r="Q42" s="113" t="s">
        <v>3355</v>
      </c>
      <c r="R42" s="113" t="s">
        <v>3356</v>
      </c>
      <c r="S42" s="113" t="s">
        <v>3357</v>
      </c>
      <c r="T42" s="114" t="s">
        <v>3358</v>
      </c>
      <c r="U42" s="113" t="s">
        <v>3359</v>
      </c>
      <c r="V42" s="113" t="s">
        <v>3360</v>
      </c>
    </row>
    <row r="43" ht="45.0" customHeight="1">
      <c r="A43" s="104" t="s">
        <v>3361</v>
      </c>
      <c r="B43" s="105">
        <v>2.0</v>
      </c>
      <c r="C43" s="105" t="s">
        <v>2376</v>
      </c>
      <c r="D43" s="105" t="s">
        <v>3362</v>
      </c>
      <c r="E43" s="105" t="s">
        <v>3363</v>
      </c>
      <c r="F43" s="105" t="s">
        <v>57</v>
      </c>
      <c r="G43" s="106" t="s">
        <v>2853</v>
      </c>
      <c r="H43" s="105" t="s">
        <v>2854</v>
      </c>
      <c r="I43" s="105" t="s">
        <v>2915</v>
      </c>
      <c r="J43" s="105" t="s">
        <v>2916</v>
      </c>
      <c r="K43" s="105" t="s">
        <v>3364</v>
      </c>
      <c r="L43" s="105"/>
      <c r="M43" s="105" t="s">
        <v>3365</v>
      </c>
      <c r="N43" s="107" t="s">
        <v>2843</v>
      </c>
      <c r="O43" s="106" t="s">
        <v>2962</v>
      </c>
      <c r="P43" s="105">
        <v>1.0</v>
      </c>
      <c r="Q43" s="115" t="s">
        <v>3366</v>
      </c>
      <c r="R43" s="115" t="s">
        <v>3367</v>
      </c>
      <c r="S43" s="115" t="s">
        <v>3368</v>
      </c>
      <c r="T43" s="116" t="s">
        <v>3369</v>
      </c>
      <c r="U43" s="115" t="s">
        <v>3370</v>
      </c>
      <c r="V43" s="115" t="s">
        <v>3371</v>
      </c>
    </row>
    <row r="44" ht="45.0" customHeight="1">
      <c r="A44" s="104" t="s">
        <v>3372</v>
      </c>
      <c r="B44" s="105">
        <v>3.0</v>
      </c>
      <c r="C44" s="105" t="s">
        <v>3373</v>
      </c>
      <c r="D44" s="105" t="s">
        <v>3374</v>
      </c>
      <c r="E44" s="105" t="s">
        <v>3363</v>
      </c>
      <c r="F44" s="105" t="s">
        <v>57</v>
      </c>
      <c r="G44" s="106" t="s">
        <v>2886</v>
      </c>
      <c r="H44" s="105" t="s">
        <v>2887</v>
      </c>
      <c r="I44" s="105" t="s">
        <v>2915</v>
      </c>
      <c r="J44" s="105" t="s">
        <v>2916</v>
      </c>
      <c r="K44" s="105" t="s">
        <v>3375</v>
      </c>
      <c r="L44" s="105"/>
      <c r="M44" s="105" t="s">
        <v>3376</v>
      </c>
      <c r="N44" s="107" t="s">
        <v>2843</v>
      </c>
      <c r="O44" s="106" t="s">
        <v>2903</v>
      </c>
      <c r="P44" s="105">
        <v>2.0</v>
      </c>
      <c r="Q44" s="113" t="s">
        <v>3377</v>
      </c>
      <c r="R44" s="113" t="s">
        <v>3378</v>
      </c>
      <c r="S44" s="113" t="s">
        <v>3379</v>
      </c>
      <c r="T44" s="114" t="s">
        <v>3380</v>
      </c>
      <c r="U44" s="113" t="s">
        <v>3381</v>
      </c>
      <c r="V44" s="113" t="s">
        <v>3382</v>
      </c>
    </row>
    <row r="45" ht="45.0" customHeight="1">
      <c r="A45" s="104" t="s">
        <v>3383</v>
      </c>
      <c r="B45" s="105">
        <v>2.0</v>
      </c>
      <c r="C45" s="105" t="s">
        <v>2132</v>
      </c>
      <c r="D45" s="105" t="s">
        <v>3384</v>
      </c>
      <c r="E45" s="105" t="s">
        <v>3385</v>
      </c>
      <c r="F45" s="105" t="s">
        <v>3386</v>
      </c>
      <c r="G45" s="106" t="s">
        <v>2886</v>
      </c>
      <c r="H45" s="105" t="s">
        <v>2887</v>
      </c>
      <c r="I45" s="105" t="s">
        <v>2855</v>
      </c>
      <c r="J45" s="105" t="s">
        <v>2856</v>
      </c>
      <c r="K45" s="105" t="s">
        <v>3387</v>
      </c>
      <c r="L45" s="105"/>
      <c r="M45" s="105" t="s">
        <v>3388</v>
      </c>
      <c r="N45" s="107" t="s">
        <v>2843</v>
      </c>
      <c r="O45" s="106" t="s">
        <v>3131</v>
      </c>
      <c r="P45" s="105">
        <v>3.0</v>
      </c>
      <c r="Q45" s="115" t="s">
        <v>3389</v>
      </c>
      <c r="R45" s="115" t="s">
        <v>3390</v>
      </c>
      <c r="S45" s="115" t="s">
        <v>3391</v>
      </c>
      <c r="T45" s="116" t="s">
        <v>3392</v>
      </c>
      <c r="U45" s="115" t="s">
        <v>3393</v>
      </c>
      <c r="V45" s="115" t="s">
        <v>3394</v>
      </c>
    </row>
    <row r="46" ht="45.0" customHeight="1">
      <c r="A46" s="104" t="s">
        <v>3395</v>
      </c>
      <c r="B46" s="105">
        <v>3.0</v>
      </c>
      <c r="C46" s="105" t="s">
        <v>2239</v>
      </c>
      <c r="D46" s="105" t="s">
        <v>3396</v>
      </c>
      <c r="E46" s="105" t="s">
        <v>3385</v>
      </c>
      <c r="F46" s="105" t="s">
        <v>3386</v>
      </c>
      <c r="G46" s="106" t="s">
        <v>2837</v>
      </c>
      <c r="H46" s="105" t="s">
        <v>2838</v>
      </c>
      <c r="I46" s="105" t="s">
        <v>3000</v>
      </c>
      <c r="J46" s="105" t="s">
        <v>3001</v>
      </c>
      <c r="K46" s="105" t="s">
        <v>3397</v>
      </c>
      <c r="L46" s="105"/>
      <c r="M46" s="105" t="s">
        <v>3398</v>
      </c>
      <c r="N46" s="107" t="s">
        <v>2843</v>
      </c>
      <c r="O46" s="106" t="s">
        <v>2919</v>
      </c>
      <c r="P46" s="108">
        <v>45659.0</v>
      </c>
      <c r="Q46" s="113" t="s">
        <v>3399</v>
      </c>
      <c r="R46" s="113" t="s">
        <v>3400</v>
      </c>
      <c r="S46" s="113" t="s">
        <v>3401</v>
      </c>
      <c r="T46" s="114" t="s">
        <v>3402</v>
      </c>
      <c r="U46" s="113" t="s">
        <v>3403</v>
      </c>
      <c r="V46" s="113" t="s">
        <v>3404</v>
      </c>
    </row>
    <row r="47" ht="45.0" customHeight="1">
      <c r="A47" s="104" t="s">
        <v>3405</v>
      </c>
      <c r="B47" s="105">
        <v>2.0</v>
      </c>
      <c r="C47" s="105" t="s">
        <v>2479</v>
      </c>
      <c r="D47" s="105" t="s">
        <v>3406</v>
      </c>
      <c r="E47" s="105" t="s">
        <v>3407</v>
      </c>
      <c r="F47" s="105" t="s">
        <v>3408</v>
      </c>
      <c r="G47" s="106" t="s">
        <v>3306</v>
      </c>
      <c r="H47" s="105" t="s">
        <v>3307</v>
      </c>
      <c r="I47" s="105" t="s">
        <v>2888</v>
      </c>
      <c r="J47" s="105" t="s">
        <v>2889</v>
      </c>
      <c r="K47" s="105" t="s">
        <v>3409</v>
      </c>
      <c r="L47" s="105" t="s">
        <v>3410</v>
      </c>
      <c r="M47" s="105" t="s">
        <v>3411</v>
      </c>
      <c r="N47" s="107" t="s">
        <v>2843</v>
      </c>
      <c r="O47" s="106" t="s">
        <v>2844</v>
      </c>
      <c r="P47" s="105">
        <v>2.0</v>
      </c>
      <c r="Q47" s="115" t="s">
        <v>3412</v>
      </c>
      <c r="R47" s="115" t="s">
        <v>3413</v>
      </c>
      <c r="S47" s="115" t="s">
        <v>3414</v>
      </c>
      <c r="T47" s="116" t="s">
        <v>3415</v>
      </c>
      <c r="U47" s="115" t="s">
        <v>3416</v>
      </c>
      <c r="V47" s="115" t="s">
        <v>3417</v>
      </c>
    </row>
    <row r="48" ht="45.0" customHeight="1">
      <c r="A48" s="104" t="s">
        <v>3418</v>
      </c>
      <c r="B48" s="105">
        <v>2.0</v>
      </c>
      <c r="C48" s="105" t="s">
        <v>3419</v>
      </c>
      <c r="D48" s="105" t="s">
        <v>3420</v>
      </c>
      <c r="E48" s="105" t="s">
        <v>3407</v>
      </c>
      <c r="F48" s="105" t="s">
        <v>3408</v>
      </c>
      <c r="G48" s="106" t="s">
        <v>2870</v>
      </c>
      <c r="H48" s="105" t="s">
        <v>2871</v>
      </c>
      <c r="I48" s="105" t="s">
        <v>2855</v>
      </c>
      <c r="J48" s="105" t="s">
        <v>2856</v>
      </c>
      <c r="K48" s="105" t="s">
        <v>3421</v>
      </c>
      <c r="L48" s="105"/>
      <c r="M48" s="105" t="s">
        <v>3422</v>
      </c>
      <c r="N48" s="107" t="s">
        <v>2843</v>
      </c>
      <c r="O48" s="106" t="s">
        <v>2860</v>
      </c>
      <c r="P48" s="105">
        <v>3.0</v>
      </c>
      <c r="Q48" s="113" t="s">
        <v>3423</v>
      </c>
      <c r="R48" s="113" t="s">
        <v>3424</v>
      </c>
      <c r="S48" s="113" t="s">
        <v>3425</v>
      </c>
      <c r="T48" s="114" t="s">
        <v>3426</v>
      </c>
      <c r="U48" s="113" t="s">
        <v>3427</v>
      </c>
      <c r="V48" s="113" t="s">
        <v>3428</v>
      </c>
    </row>
    <row r="49" ht="45.0" customHeight="1">
      <c r="A49" s="104" t="s">
        <v>3429</v>
      </c>
      <c r="B49" s="105">
        <v>3.0</v>
      </c>
      <c r="C49" s="105" t="s">
        <v>2616</v>
      </c>
      <c r="D49" s="105" t="s">
        <v>3430</v>
      </c>
      <c r="E49" s="105" t="s">
        <v>3407</v>
      </c>
      <c r="F49" s="105" t="s">
        <v>3408</v>
      </c>
      <c r="G49" s="106" t="s">
        <v>2837</v>
      </c>
      <c r="H49" s="105" t="s">
        <v>2838</v>
      </c>
      <c r="I49" s="105" t="s">
        <v>2888</v>
      </c>
      <c r="J49" s="105" t="s">
        <v>2889</v>
      </c>
      <c r="K49" s="105" t="s">
        <v>3431</v>
      </c>
      <c r="L49" s="105"/>
      <c r="M49" s="105" t="s">
        <v>3432</v>
      </c>
      <c r="N49" s="107" t="s">
        <v>2843</v>
      </c>
      <c r="O49" s="106" t="s">
        <v>3029</v>
      </c>
      <c r="P49" s="105">
        <v>2.0</v>
      </c>
      <c r="Q49" s="115" t="s">
        <v>3433</v>
      </c>
      <c r="R49" s="115" t="s">
        <v>3434</v>
      </c>
      <c r="S49" s="115" t="s">
        <v>3435</v>
      </c>
      <c r="T49" s="116" t="s">
        <v>3436</v>
      </c>
      <c r="U49" s="115" t="s">
        <v>3437</v>
      </c>
      <c r="V49" s="115" t="s">
        <v>3438</v>
      </c>
    </row>
    <row r="50" ht="45.0" customHeight="1">
      <c r="A50" s="104" t="s">
        <v>3439</v>
      </c>
      <c r="B50" s="105">
        <v>2.0</v>
      </c>
      <c r="C50" s="105" t="s">
        <v>2341</v>
      </c>
      <c r="D50" s="105" t="s">
        <v>3440</v>
      </c>
      <c r="E50" s="105" t="s">
        <v>3441</v>
      </c>
      <c r="F50" s="105" t="s">
        <v>3442</v>
      </c>
      <c r="G50" s="106" t="s">
        <v>2958</v>
      </c>
      <c r="H50" s="105" t="s">
        <v>2959</v>
      </c>
      <c r="I50" s="105" t="s">
        <v>2839</v>
      </c>
      <c r="J50" s="105" t="s">
        <v>2840</v>
      </c>
      <c r="K50" s="105" t="s">
        <v>3443</v>
      </c>
      <c r="L50" s="105"/>
      <c r="M50" s="105" t="s">
        <v>3444</v>
      </c>
      <c r="N50" s="107" t="s">
        <v>2843</v>
      </c>
      <c r="O50" s="106" t="s">
        <v>3445</v>
      </c>
      <c r="P50" s="105">
        <v>3.0</v>
      </c>
      <c r="Q50" s="113" t="s">
        <v>3446</v>
      </c>
      <c r="R50" s="113" t="s">
        <v>3447</v>
      </c>
      <c r="S50" s="113" t="s">
        <v>3448</v>
      </c>
      <c r="T50" s="114" t="s">
        <v>3449</v>
      </c>
      <c r="U50" s="113" t="s">
        <v>3450</v>
      </c>
      <c r="V50" s="113" t="s">
        <v>3451</v>
      </c>
    </row>
    <row r="51" ht="45.0" customHeight="1">
      <c r="A51" s="104" t="s">
        <v>3452</v>
      </c>
      <c r="B51" s="105">
        <v>2.0</v>
      </c>
      <c r="C51" s="105" t="s">
        <v>3453</v>
      </c>
      <c r="D51" s="105" t="s">
        <v>3454</v>
      </c>
      <c r="E51" s="105" t="s">
        <v>3441</v>
      </c>
      <c r="F51" s="105" t="s">
        <v>3442</v>
      </c>
      <c r="G51" s="106" t="s">
        <v>2853</v>
      </c>
      <c r="H51" s="105" t="s">
        <v>2854</v>
      </c>
      <c r="I51" s="105" t="s">
        <v>2855</v>
      </c>
      <c r="J51" s="105" t="s">
        <v>2856</v>
      </c>
      <c r="K51" s="105" t="s">
        <v>3455</v>
      </c>
      <c r="L51" s="105"/>
      <c r="M51" s="105" t="s">
        <v>3456</v>
      </c>
      <c r="N51" s="107" t="s">
        <v>2843</v>
      </c>
      <c r="O51" s="106" t="s">
        <v>2962</v>
      </c>
      <c r="P51" s="105">
        <v>3.0</v>
      </c>
      <c r="Q51" s="115" t="s">
        <v>3457</v>
      </c>
      <c r="R51" s="115" t="s">
        <v>3458</v>
      </c>
      <c r="S51" s="115" t="s">
        <v>3459</v>
      </c>
      <c r="T51" s="116" t="s">
        <v>3460</v>
      </c>
      <c r="U51" s="115" t="s">
        <v>3461</v>
      </c>
      <c r="V51" s="115" t="s">
        <v>3462</v>
      </c>
    </row>
    <row r="52" ht="45.0" customHeight="1">
      <c r="A52" s="104" t="s">
        <v>3463</v>
      </c>
      <c r="B52" s="105">
        <v>2.0</v>
      </c>
      <c r="C52" s="105" t="s">
        <v>2651</v>
      </c>
      <c r="D52" s="105" t="s">
        <v>3464</v>
      </c>
      <c r="E52" s="105" t="s">
        <v>3441</v>
      </c>
      <c r="F52" s="105" t="s">
        <v>3442</v>
      </c>
      <c r="G52" s="106" t="s">
        <v>2886</v>
      </c>
      <c r="H52" s="105" t="s">
        <v>2887</v>
      </c>
      <c r="I52" s="105" t="s">
        <v>2915</v>
      </c>
      <c r="J52" s="105" t="s">
        <v>2916</v>
      </c>
      <c r="K52" s="105" t="s">
        <v>3465</v>
      </c>
      <c r="L52" s="105" t="s">
        <v>3466</v>
      </c>
      <c r="M52" s="105" t="s">
        <v>3467</v>
      </c>
      <c r="N52" s="107" t="s">
        <v>2843</v>
      </c>
      <c r="O52" s="106" t="s">
        <v>3131</v>
      </c>
      <c r="P52" s="105">
        <v>2.0</v>
      </c>
      <c r="Q52" s="113" t="s">
        <v>3468</v>
      </c>
      <c r="R52" s="113" t="s">
        <v>3469</v>
      </c>
      <c r="S52" s="113" t="s">
        <v>3470</v>
      </c>
      <c r="T52" s="114" t="s">
        <v>3471</v>
      </c>
      <c r="U52" s="113" t="s">
        <v>3472</v>
      </c>
      <c r="V52" s="113" t="s">
        <v>3473</v>
      </c>
    </row>
    <row r="53" ht="45.0" customHeight="1">
      <c r="A53" s="104" t="s">
        <v>3474</v>
      </c>
      <c r="B53" s="105">
        <v>3.0</v>
      </c>
      <c r="C53" s="105" t="s">
        <v>2720</v>
      </c>
      <c r="D53" s="105" t="s">
        <v>3475</v>
      </c>
      <c r="E53" s="105" t="s">
        <v>3441</v>
      </c>
      <c r="F53" s="105" t="s">
        <v>3442</v>
      </c>
      <c r="G53" s="106" t="s">
        <v>2837</v>
      </c>
      <c r="H53" s="105" t="s">
        <v>2838</v>
      </c>
      <c r="I53" s="105" t="s">
        <v>2839</v>
      </c>
      <c r="J53" s="105" t="s">
        <v>2840</v>
      </c>
      <c r="K53" s="105" t="s">
        <v>3476</v>
      </c>
      <c r="L53" s="105" t="s">
        <v>3477</v>
      </c>
      <c r="M53" s="105" t="s">
        <v>3478</v>
      </c>
      <c r="N53" s="107" t="s">
        <v>2843</v>
      </c>
      <c r="O53" s="106" t="s">
        <v>2919</v>
      </c>
      <c r="P53" s="105">
        <v>3.0</v>
      </c>
      <c r="Q53" s="115" t="s">
        <v>3479</v>
      </c>
      <c r="R53" s="115" t="s">
        <v>3480</v>
      </c>
      <c r="S53" s="115" t="s">
        <v>3481</v>
      </c>
      <c r="T53" s="116" t="s">
        <v>3482</v>
      </c>
      <c r="U53" s="115" t="s">
        <v>3483</v>
      </c>
      <c r="V53" s="115" t="s">
        <v>3484</v>
      </c>
    </row>
    <row r="54" ht="45.0" customHeight="1">
      <c r="A54" s="104" t="s">
        <v>3485</v>
      </c>
      <c r="B54" s="105">
        <v>2.0</v>
      </c>
      <c r="C54" s="105" t="s">
        <v>3486</v>
      </c>
      <c r="D54" s="105" t="s">
        <v>3487</v>
      </c>
      <c r="E54" s="105" t="s">
        <v>3488</v>
      </c>
      <c r="F54" s="105" t="s">
        <v>3489</v>
      </c>
      <c r="G54" s="106" t="s">
        <v>2870</v>
      </c>
      <c r="H54" s="105" t="s">
        <v>2871</v>
      </c>
      <c r="I54" s="105" t="s">
        <v>2915</v>
      </c>
      <c r="J54" s="105" t="s">
        <v>2916</v>
      </c>
      <c r="K54" s="105" t="s">
        <v>3490</v>
      </c>
      <c r="L54" s="105"/>
      <c r="M54" s="105" t="s">
        <v>3491</v>
      </c>
      <c r="N54" s="107" t="s">
        <v>2843</v>
      </c>
      <c r="O54" s="106" t="s">
        <v>2860</v>
      </c>
      <c r="P54" s="105">
        <v>2.0</v>
      </c>
      <c r="Q54" s="113" t="s">
        <v>3492</v>
      </c>
      <c r="R54" s="113" t="s">
        <v>3493</v>
      </c>
      <c r="S54" s="113" t="s">
        <v>3494</v>
      </c>
      <c r="T54" s="114" t="s">
        <v>3495</v>
      </c>
      <c r="U54" s="113" t="s">
        <v>3496</v>
      </c>
      <c r="V54" s="113" t="s">
        <v>3497</v>
      </c>
    </row>
    <row r="55" ht="45.0" customHeight="1">
      <c r="A55" s="104" t="s">
        <v>3498</v>
      </c>
      <c r="B55" s="105">
        <v>2.0</v>
      </c>
      <c r="C55" s="105" t="s">
        <v>3499</v>
      </c>
      <c r="D55" s="105" t="s">
        <v>3500</v>
      </c>
      <c r="E55" s="105" t="s">
        <v>3501</v>
      </c>
      <c r="F55" s="105" t="s">
        <v>3502</v>
      </c>
      <c r="G55" s="106" t="s">
        <v>3113</v>
      </c>
      <c r="H55" s="105" t="s">
        <v>3114</v>
      </c>
      <c r="I55" s="105" t="s">
        <v>2972</v>
      </c>
      <c r="J55" s="105" t="s">
        <v>2973</v>
      </c>
      <c r="K55" s="105" t="s">
        <v>3503</v>
      </c>
      <c r="L55" s="105" t="s">
        <v>3504</v>
      </c>
      <c r="M55" s="105" t="s">
        <v>3505</v>
      </c>
      <c r="N55" s="107" t="s">
        <v>2843</v>
      </c>
      <c r="O55" s="106" t="s">
        <v>3344</v>
      </c>
      <c r="P55" s="105">
        <v>2.0</v>
      </c>
      <c r="Q55" s="115" t="s">
        <v>3506</v>
      </c>
      <c r="R55" s="115" t="s">
        <v>3507</v>
      </c>
      <c r="S55" s="115" t="s">
        <v>3508</v>
      </c>
      <c r="T55" s="116" t="s">
        <v>3509</v>
      </c>
      <c r="U55" s="115" t="s">
        <v>3510</v>
      </c>
      <c r="V55" s="115" t="s">
        <v>3511</v>
      </c>
    </row>
    <row r="56" ht="45.0" customHeight="1">
      <c r="A56" s="104" t="s">
        <v>3512</v>
      </c>
      <c r="B56" s="105">
        <v>2.0</v>
      </c>
      <c r="C56" s="105" t="s">
        <v>3513</v>
      </c>
      <c r="D56" s="105" t="s">
        <v>3514</v>
      </c>
      <c r="E56" s="105" t="s">
        <v>3501</v>
      </c>
      <c r="F56" s="105" t="s">
        <v>3502</v>
      </c>
      <c r="G56" s="106" t="s">
        <v>2853</v>
      </c>
      <c r="H56" s="105" t="s">
        <v>2854</v>
      </c>
      <c r="I56" s="105" t="s">
        <v>3026</v>
      </c>
      <c r="J56" s="105" t="s">
        <v>2836</v>
      </c>
      <c r="K56" s="105" t="s">
        <v>3515</v>
      </c>
      <c r="L56" s="105"/>
      <c r="M56" s="105" t="s">
        <v>3516</v>
      </c>
      <c r="N56" s="107" t="s">
        <v>2843</v>
      </c>
      <c r="O56" s="106" t="s">
        <v>2962</v>
      </c>
      <c r="P56" s="105">
        <v>1.0</v>
      </c>
      <c r="Q56" s="113" t="s">
        <v>3517</v>
      </c>
      <c r="R56" s="113" t="s">
        <v>3518</v>
      </c>
      <c r="S56" s="113" t="s">
        <v>3519</v>
      </c>
      <c r="T56" s="114" t="s">
        <v>3520</v>
      </c>
      <c r="U56" s="113" t="s">
        <v>3521</v>
      </c>
      <c r="V56" s="113" t="s">
        <v>3522</v>
      </c>
    </row>
    <row r="57" ht="45.0" customHeight="1">
      <c r="A57" s="104" t="s">
        <v>3523</v>
      </c>
      <c r="B57" s="105">
        <v>2.0</v>
      </c>
      <c r="C57" s="105" t="s">
        <v>3524</v>
      </c>
      <c r="D57" s="105" t="s">
        <v>3525</v>
      </c>
      <c r="E57" s="105" t="s">
        <v>3526</v>
      </c>
      <c r="F57" s="105" t="s">
        <v>3527</v>
      </c>
      <c r="G57" s="106" t="s">
        <v>2942</v>
      </c>
      <c r="H57" s="105" t="s">
        <v>2943</v>
      </c>
      <c r="I57" s="105" t="s">
        <v>3026</v>
      </c>
      <c r="J57" s="105" t="s">
        <v>2836</v>
      </c>
      <c r="K57" s="105" t="s">
        <v>3528</v>
      </c>
      <c r="L57" s="105"/>
      <c r="M57" s="105" t="s">
        <v>3529</v>
      </c>
      <c r="N57" s="107" t="s">
        <v>2946</v>
      </c>
      <c r="O57" s="106" t="s">
        <v>3344</v>
      </c>
      <c r="P57" s="105">
        <v>1.0</v>
      </c>
      <c r="Q57" s="115" t="s">
        <v>3530</v>
      </c>
      <c r="R57" s="115" t="s">
        <v>3531</v>
      </c>
      <c r="S57" s="115" t="s">
        <v>3532</v>
      </c>
      <c r="T57" s="116" t="s">
        <v>3533</v>
      </c>
      <c r="U57" s="115" t="s">
        <v>3534</v>
      </c>
      <c r="V57" s="115" t="s">
        <v>3535</v>
      </c>
    </row>
    <row r="58" ht="45.0" customHeight="1">
      <c r="A58" s="104" t="s">
        <v>3536</v>
      </c>
      <c r="B58" s="105">
        <v>4.0</v>
      </c>
      <c r="C58" s="105" t="s">
        <v>3537</v>
      </c>
      <c r="D58" s="105" t="s">
        <v>3538</v>
      </c>
      <c r="E58" s="105" t="s">
        <v>3539</v>
      </c>
      <c r="F58" s="105" t="s">
        <v>3540</v>
      </c>
      <c r="G58" s="106" t="s">
        <v>3306</v>
      </c>
      <c r="H58" s="105" t="s">
        <v>3307</v>
      </c>
      <c r="I58" s="105" t="s">
        <v>2888</v>
      </c>
      <c r="J58" s="105" t="s">
        <v>2889</v>
      </c>
      <c r="K58" s="105" t="s">
        <v>3541</v>
      </c>
      <c r="L58" s="105"/>
      <c r="M58" s="105" t="s">
        <v>3542</v>
      </c>
      <c r="N58" s="107" t="s">
        <v>2843</v>
      </c>
      <c r="O58" s="106" t="s">
        <v>3543</v>
      </c>
      <c r="P58" s="105">
        <v>2.0</v>
      </c>
      <c r="Q58" s="112" t="s">
        <v>3544</v>
      </c>
      <c r="R58" s="113" t="s">
        <v>3545</v>
      </c>
      <c r="S58" s="113" t="s">
        <v>3546</v>
      </c>
      <c r="T58" s="114" t="s">
        <v>3547</v>
      </c>
      <c r="U58" s="113" t="s">
        <v>3548</v>
      </c>
      <c r="V58" s="113" t="s">
        <v>3549</v>
      </c>
    </row>
    <row r="59" ht="45.0" customHeight="1">
      <c r="A59" s="104" t="s">
        <v>3550</v>
      </c>
      <c r="B59" s="105">
        <v>4.0</v>
      </c>
      <c r="C59" s="105" t="s">
        <v>3551</v>
      </c>
      <c r="D59" s="105" t="s">
        <v>3552</v>
      </c>
      <c r="E59" s="105" t="s">
        <v>3553</v>
      </c>
      <c r="F59" s="105" t="s">
        <v>3554</v>
      </c>
      <c r="G59" s="106" t="s">
        <v>2870</v>
      </c>
      <c r="H59" s="105" t="s">
        <v>2871</v>
      </c>
      <c r="I59" s="117" t="s">
        <v>3026</v>
      </c>
      <c r="J59" s="117" t="s">
        <v>2836</v>
      </c>
      <c r="K59" s="105" t="s">
        <v>3555</v>
      </c>
      <c r="L59" s="105" t="s">
        <v>3556</v>
      </c>
      <c r="M59" s="105" t="s">
        <v>3557</v>
      </c>
      <c r="N59" s="107" t="s">
        <v>2843</v>
      </c>
      <c r="O59" s="106" t="s">
        <v>2860</v>
      </c>
      <c r="P59" s="105">
        <v>1.0</v>
      </c>
      <c r="Q59" s="118" t="s">
        <v>3558</v>
      </c>
      <c r="R59" s="115" t="s">
        <v>3559</v>
      </c>
      <c r="S59" s="115" t="s">
        <v>3560</v>
      </c>
      <c r="T59" s="116" t="s">
        <v>3561</v>
      </c>
      <c r="U59" s="115" t="s">
        <v>3562</v>
      </c>
      <c r="V59" s="115" t="s">
        <v>3563</v>
      </c>
    </row>
    <row r="60" ht="45.0" customHeight="1">
      <c r="A60" s="104" t="s">
        <v>3564</v>
      </c>
      <c r="B60" s="105">
        <v>4.0</v>
      </c>
      <c r="C60" s="105" t="s">
        <v>3565</v>
      </c>
      <c r="D60" s="105" t="s">
        <v>3566</v>
      </c>
      <c r="E60" s="105" t="s">
        <v>3553</v>
      </c>
      <c r="F60" s="105" t="s">
        <v>3554</v>
      </c>
      <c r="G60" s="106" t="s">
        <v>2958</v>
      </c>
      <c r="H60" s="105" t="s">
        <v>2959</v>
      </c>
      <c r="I60" s="119" t="s">
        <v>3026</v>
      </c>
      <c r="J60" s="119" t="s">
        <v>2836</v>
      </c>
      <c r="K60" s="105" t="s">
        <v>3567</v>
      </c>
      <c r="L60" s="105" t="s">
        <v>3568</v>
      </c>
      <c r="M60" s="105" t="s">
        <v>3569</v>
      </c>
      <c r="N60" s="107" t="s">
        <v>2843</v>
      </c>
      <c r="O60" s="106" t="s">
        <v>3156</v>
      </c>
      <c r="P60" s="105">
        <v>1.0</v>
      </c>
      <c r="Q60" s="112" t="s">
        <v>3570</v>
      </c>
      <c r="R60" s="113" t="s">
        <v>3571</v>
      </c>
      <c r="S60" s="113" t="s">
        <v>3572</v>
      </c>
      <c r="T60" s="114" t="s">
        <v>3573</v>
      </c>
      <c r="U60" s="113" t="s">
        <v>3574</v>
      </c>
      <c r="V60" s="113" t="s">
        <v>3575</v>
      </c>
    </row>
    <row r="61" ht="45.0" customHeight="1">
      <c r="A61" s="104" t="s">
        <v>3576</v>
      </c>
      <c r="B61" s="105">
        <v>4.0</v>
      </c>
      <c r="C61" s="105" t="s">
        <v>3577</v>
      </c>
      <c r="D61" s="105" t="s">
        <v>3578</v>
      </c>
      <c r="E61" s="105" t="s">
        <v>3579</v>
      </c>
      <c r="F61" s="105" t="s">
        <v>3580</v>
      </c>
      <c r="G61" s="106" t="s">
        <v>2853</v>
      </c>
      <c r="H61" s="105" t="s">
        <v>2854</v>
      </c>
      <c r="I61" s="117" t="s">
        <v>2855</v>
      </c>
      <c r="J61" s="117" t="s">
        <v>2856</v>
      </c>
      <c r="K61" s="105" t="s">
        <v>3581</v>
      </c>
      <c r="L61" s="105"/>
      <c r="M61" s="105" t="s">
        <v>3582</v>
      </c>
      <c r="N61" s="107" t="s">
        <v>2843</v>
      </c>
      <c r="O61" s="106" t="s">
        <v>2860</v>
      </c>
      <c r="P61" s="105">
        <v>3.0</v>
      </c>
      <c r="Q61" s="118" t="s">
        <v>3583</v>
      </c>
      <c r="R61" s="115" t="s">
        <v>3584</v>
      </c>
      <c r="S61" s="115" t="s">
        <v>3585</v>
      </c>
      <c r="T61" s="116" t="s">
        <v>3586</v>
      </c>
      <c r="U61" s="115" t="s">
        <v>3587</v>
      </c>
      <c r="V61" s="115" t="s">
        <v>3588</v>
      </c>
    </row>
  </sheetData>
  <dataValidations>
    <dataValidation allowBlank="1" showDropDown="1" sqref="G2:G61 O2:O61"/>
  </dataValidations>
  <hyperlinks>
    <hyperlink r:id="rId2" ref="T3"/>
    <hyperlink r:id="rId3" ref="T4"/>
    <hyperlink r:id="rId4" ref="T5"/>
    <hyperlink r:id="rId5" ref="T6"/>
    <hyperlink r:id="rId6" ref="T7"/>
    <hyperlink r:id="rId7" ref="T8"/>
    <hyperlink r:id="rId8" ref="T9"/>
    <hyperlink r:id="rId9" ref="T10"/>
    <hyperlink r:id="rId10" ref="T11"/>
    <hyperlink r:id="rId11" ref="T12"/>
    <hyperlink r:id="rId12" ref="T13"/>
    <hyperlink r:id="rId13" ref="T14"/>
    <hyperlink r:id="rId14" ref="T15"/>
    <hyperlink r:id="rId15" ref="T16"/>
    <hyperlink r:id="rId16" ref="T17"/>
    <hyperlink r:id="rId17" ref="T18"/>
    <hyperlink r:id="rId18" ref="T19"/>
    <hyperlink r:id="rId19" ref="T20"/>
    <hyperlink r:id="rId20" ref="T21"/>
    <hyperlink r:id="rId21" ref="T22"/>
    <hyperlink r:id="rId22" ref="T23"/>
    <hyperlink r:id="rId23" ref="T24"/>
    <hyperlink r:id="rId24" ref="T25"/>
    <hyperlink r:id="rId25" ref="T26"/>
    <hyperlink r:id="rId26" ref="T27"/>
    <hyperlink r:id="rId27" ref="T28"/>
    <hyperlink r:id="rId28" ref="T29"/>
    <hyperlink r:id="rId29" ref="T30"/>
    <hyperlink r:id="rId30" ref="T31"/>
    <hyperlink r:id="rId31" ref="T32"/>
    <hyperlink r:id="rId32" ref="T33"/>
    <hyperlink r:id="rId33" ref="T34"/>
    <hyperlink r:id="rId34" ref="T35"/>
    <hyperlink r:id="rId35" ref="T36"/>
    <hyperlink r:id="rId36" ref="T37"/>
    <hyperlink r:id="rId37" ref="T38"/>
    <hyperlink r:id="rId38" ref="T39"/>
    <hyperlink r:id="rId39" ref="T40"/>
    <hyperlink r:id="rId40" ref="T41"/>
    <hyperlink r:id="rId41" ref="T42"/>
    <hyperlink r:id="rId42" ref="T43"/>
    <hyperlink r:id="rId43" ref="T44"/>
    <hyperlink r:id="rId44" ref="T45"/>
    <hyperlink r:id="rId45" ref="T46"/>
    <hyperlink r:id="rId46" ref="T47"/>
    <hyperlink r:id="rId47" ref="T48"/>
    <hyperlink r:id="rId48" ref="T49"/>
    <hyperlink r:id="rId49" ref="T50"/>
    <hyperlink r:id="rId50" ref="T51"/>
    <hyperlink r:id="rId51" ref="T52"/>
    <hyperlink r:id="rId52" ref="T53"/>
    <hyperlink r:id="rId53" ref="T54"/>
    <hyperlink r:id="rId54" ref="T55"/>
    <hyperlink r:id="rId55" ref="T56"/>
    <hyperlink r:id="rId56" ref="T57"/>
    <hyperlink r:id="rId57" ref="T58"/>
    <hyperlink r:id="rId58" ref="T59"/>
    <hyperlink r:id="rId59" ref="T60"/>
    <hyperlink r:id="rId60" ref="T61"/>
  </hyperlinks>
  <drawing r:id="rId61"/>
  <legacyDrawing r:id="rId62"/>
  <tableParts count="1">
    <tablePart r:id="rId64"/>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3589</v>
      </c>
      <c r="B1" s="120" t="s">
        <v>3590</v>
      </c>
      <c r="C1" s="120" t="s">
        <v>3591</v>
      </c>
      <c r="D1" s="120" t="s">
        <v>718</v>
      </c>
      <c r="E1" s="120" t="s">
        <v>2059</v>
      </c>
      <c r="F1" s="120" t="s">
        <v>3592</v>
      </c>
    </row>
    <row r="2">
      <c r="A2" s="121">
        <v>1.0</v>
      </c>
      <c r="B2" s="121" t="s">
        <v>3593</v>
      </c>
      <c r="C2" s="121" t="s">
        <v>3594</v>
      </c>
      <c r="D2" s="121" t="s">
        <v>3595</v>
      </c>
      <c r="E2" s="121" t="s">
        <v>3596</v>
      </c>
      <c r="F2" s="121" t="s">
        <v>3597</v>
      </c>
    </row>
    <row r="3">
      <c r="A3" s="121">
        <v>2.0</v>
      </c>
      <c r="B3" s="121" t="s">
        <v>3593</v>
      </c>
      <c r="C3" s="121" t="s">
        <v>3594</v>
      </c>
      <c r="D3" s="121" t="s">
        <v>3595</v>
      </c>
      <c r="E3" s="121" t="s">
        <v>3598</v>
      </c>
      <c r="F3" s="121" t="s">
        <v>3599</v>
      </c>
    </row>
    <row r="4">
      <c r="A4" s="121">
        <v>3.0</v>
      </c>
      <c r="B4" s="121" t="s">
        <v>3593</v>
      </c>
      <c r="C4" s="121" t="s">
        <v>3600</v>
      </c>
      <c r="D4" s="121" t="s">
        <v>3595</v>
      </c>
      <c r="E4" s="121" t="s">
        <v>3601</v>
      </c>
      <c r="F4" s="121" t="s">
        <v>3602</v>
      </c>
    </row>
    <row r="5">
      <c r="A5" s="121">
        <v>4.0</v>
      </c>
      <c r="B5" s="121" t="s">
        <v>3593</v>
      </c>
      <c r="C5" s="121" t="s">
        <v>3600</v>
      </c>
      <c r="D5" s="121" t="s">
        <v>3595</v>
      </c>
      <c r="E5" s="121" t="s">
        <v>3603</v>
      </c>
      <c r="F5" s="122" t="s">
        <v>3604</v>
      </c>
    </row>
    <row r="6">
      <c r="A6" s="121">
        <v>5.0</v>
      </c>
      <c r="B6" s="121" t="s">
        <v>3605</v>
      </c>
      <c r="C6" s="121" t="s">
        <v>3606</v>
      </c>
      <c r="D6" s="121" t="s">
        <v>3595</v>
      </c>
      <c r="E6" s="121" t="s">
        <v>3607</v>
      </c>
      <c r="F6" s="121" t="s">
        <v>3608</v>
      </c>
    </row>
    <row r="7">
      <c r="A7" s="121">
        <v>6.0</v>
      </c>
      <c r="B7" s="121" t="s">
        <v>3609</v>
      </c>
      <c r="C7" s="121" t="s">
        <v>3610</v>
      </c>
      <c r="D7" s="121" t="s">
        <v>3595</v>
      </c>
      <c r="E7" s="121" t="s">
        <v>3611</v>
      </c>
      <c r="F7" s="121" t="s">
        <v>3612</v>
      </c>
    </row>
    <row r="8">
      <c r="A8" s="121">
        <v>7.0</v>
      </c>
      <c r="B8" s="121" t="s">
        <v>3609</v>
      </c>
      <c r="C8" s="121" t="s">
        <v>3610</v>
      </c>
      <c r="D8" s="121" t="s">
        <v>3595</v>
      </c>
      <c r="E8" s="121" t="s">
        <v>3613</v>
      </c>
      <c r="F8" s="121" t="s">
        <v>3614</v>
      </c>
    </row>
    <row r="9">
      <c r="A9" s="121">
        <v>8.0</v>
      </c>
      <c r="B9" s="121" t="s">
        <v>3609</v>
      </c>
      <c r="C9" s="121" t="s">
        <v>3615</v>
      </c>
      <c r="D9" s="121" t="s">
        <v>3595</v>
      </c>
      <c r="E9" s="121" t="s">
        <v>3616</v>
      </c>
      <c r="F9" s="121" t="s">
        <v>3617</v>
      </c>
    </row>
    <row r="10">
      <c r="A10" s="121">
        <v>9.0</v>
      </c>
      <c r="B10" s="121" t="s">
        <v>3609</v>
      </c>
      <c r="C10" s="121" t="s">
        <v>3615</v>
      </c>
      <c r="D10" s="121" t="s">
        <v>3595</v>
      </c>
      <c r="E10" s="121" t="s">
        <v>3618</v>
      </c>
      <c r="F10" s="121" t="s">
        <v>3619</v>
      </c>
    </row>
    <row r="11">
      <c r="A11" s="121">
        <v>10.0</v>
      </c>
      <c r="B11" s="121" t="s">
        <v>3609</v>
      </c>
      <c r="C11" s="121" t="s">
        <v>3615</v>
      </c>
      <c r="D11" s="121" t="s">
        <v>3595</v>
      </c>
      <c r="E11" s="121" t="s">
        <v>3620</v>
      </c>
      <c r="F11" s="121" t="s">
        <v>3621</v>
      </c>
    </row>
    <row r="12">
      <c r="A12" s="121">
        <v>11.0</v>
      </c>
      <c r="B12" s="121" t="s">
        <v>3593</v>
      </c>
      <c r="C12" s="121" t="s">
        <v>3622</v>
      </c>
      <c r="D12" s="121" t="s">
        <v>3623</v>
      </c>
      <c r="E12" s="121" t="s">
        <v>3624</v>
      </c>
      <c r="F12" s="121" t="s">
        <v>3625</v>
      </c>
    </row>
    <row r="13">
      <c r="A13" s="121">
        <v>12.0</v>
      </c>
      <c r="B13" s="121" t="s">
        <v>3593</v>
      </c>
      <c r="C13" s="121" t="s">
        <v>3622</v>
      </c>
      <c r="D13" s="121" t="s">
        <v>3623</v>
      </c>
      <c r="E13" s="121" t="s">
        <v>3626</v>
      </c>
      <c r="F13" s="122" t="s">
        <v>3627</v>
      </c>
    </row>
    <row r="14">
      <c r="A14" s="121">
        <v>13.0</v>
      </c>
      <c r="B14" s="121" t="s">
        <v>3593</v>
      </c>
      <c r="C14" s="121" t="s">
        <v>3622</v>
      </c>
      <c r="D14" s="121" t="s">
        <v>3623</v>
      </c>
      <c r="E14" s="121" t="s">
        <v>3628</v>
      </c>
      <c r="F14" s="121" t="s">
        <v>3629</v>
      </c>
    </row>
    <row r="15">
      <c r="A15" s="121">
        <v>14.0</v>
      </c>
      <c r="B15" s="121" t="s">
        <v>3593</v>
      </c>
      <c r="C15" s="121" t="s">
        <v>3622</v>
      </c>
      <c r="D15" s="121" t="s">
        <v>3623</v>
      </c>
      <c r="E15" s="121" t="s">
        <v>3630</v>
      </c>
      <c r="F15" s="121" t="s">
        <v>3631</v>
      </c>
    </row>
    <row r="16">
      <c r="A16" s="121">
        <v>15.0</v>
      </c>
      <c r="B16" s="121" t="s">
        <v>3605</v>
      </c>
      <c r="C16" s="121" t="s">
        <v>3606</v>
      </c>
      <c r="D16" s="121" t="s">
        <v>3623</v>
      </c>
      <c r="E16" s="121" t="s">
        <v>3632</v>
      </c>
      <c r="F16" s="121" t="s">
        <v>3633</v>
      </c>
    </row>
    <row r="17">
      <c r="A17" s="121">
        <v>16.0</v>
      </c>
      <c r="B17" s="121" t="s">
        <v>3605</v>
      </c>
      <c r="C17" s="121" t="s">
        <v>3606</v>
      </c>
      <c r="D17" s="121" t="s">
        <v>3623</v>
      </c>
      <c r="E17" s="121" t="s">
        <v>3634</v>
      </c>
      <c r="F17" s="122" t="s">
        <v>3635</v>
      </c>
    </row>
    <row r="18">
      <c r="A18" s="121">
        <v>17.0</v>
      </c>
      <c r="B18" s="121" t="s">
        <v>3605</v>
      </c>
      <c r="C18" s="121" t="s">
        <v>3636</v>
      </c>
      <c r="D18" s="121" t="s">
        <v>3623</v>
      </c>
      <c r="E18" s="121" t="s">
        <v>3637</v>
      </c>
      <c r="F18" s="121" t="s">
        <v>3638</v>
      </c>
    </row>
    <row r="19">
      <c r="A19" s="121">
        <v>18.0</v>
      </c>
      <c r="B19" s="121" t="s">
        <v>3609</v>
      </c>
      <c r="C19" s="121" t="s">
        <v>3639</v>
      </c>
      <c r="D19" s="121" t="s">
        <v>3623</v>
      </c>
      <c r="E19" s="121" t="s">
        <v>3640</v>
      </c>
      <c r="F19" s="121" t="s">
        <v>3641</v>
      </c>
    </row>
    <row r="20">
      <c r="A20" s="121">
        <v>19.0</v>
      </c>
      <c r="B20" s="121" t="s">
        <v>3609</v>
      </c>
      <c r="C20" s="121" t="s">
        <v>3639</v>
      </c>
      <c r="D20" s="121" t="s">
        <v>3623</v>
      </c>
      <c r="E20" s="121" t="s">
        <v>3642</v>
      </c>
      <c r="F20" s="121" t="s">
        <v>3643</v>
      </c>
    </row>
    <row r="21">
      <c r="A21" s="121">
        <v>20.0</v>
      </c>
      <c r="B21" s="121" t="s">
        <v>3593</v>
      </c>
      <c r="C21" s="121" t="s">
        <v>3644</v>
      </c>
      <c r="D21" s="121" t="s">
        <v>3645</v>
      </c>
      <c r="E21" s="121" t="s">
        <v>3646</v>
      </c>
      <c r="F21" s="121" t="s">
        <v>3647</v>
      </c>
    </row>
    <row r="22">
      <c r="A22" s="121">
        <v>21.0</v>
      </c>
      <c r="B22" s="121" t="s">
        <v>3593</v>
      </c>
      <c r="C22" s="121" t="s">
        <v>3644</v>
      </c>
      <c r="D22" s="121" t="s">
        <v>3645</v>
      </c>
      <c r="E22" s="121" t="s">
        <v>3648</v>
      </c>
      <c r="F22" s="121" t="s">
        <v>3649</v>
      </c>
    </row>
    <row r="23">
      <c r="A23" s="121">
        <v>22.0</v>
      </c>
      <c r="B23" s="121" t="s">
        <v>3593</v>
      </c>
      <c r="C23" s="121" t="s">
        <v>3644</v>
      </c>
      <c r="D23" s="121" t="s">
        <v>3645</v>
      </c>
      <c r="E23" s="121" t="s">
        <v>3650</v>
      </c>
      <c r="F23" s="121" t="s">
        <v>3651</v>
      </c>
    </row>
    <row r="24">
      <c r="A24" s="121">
        <v>23.0</v>
      </c>
      <c r="B24" s="121" t="s">
        <v>3593</v>
      </c>
      <c r="C24" s="121" t="s">
        <v>3644</v>
      </c>
      <c r="D24" s="121" t="s">
        <v>3645</v>
      </c>
      <c r="E24" s="121" t="s">
        <v>3652</v>
      </c>
      <c r="F24" s="121" t="s">
        <v>3653</v>
      </c>
    </row>
    <row r="25">
      <c r="A25" s="121">
        <v>24.0</v>
      </c>
      <c r="B25" s="121" t="s">
        <v>3605</v>
      </c>
      <c r="C25" s="121" t="s">
        <v>3654</v>
      </c>
      <c r="D25" s="121" t="s">
        <v>3645</v>
      </c>
      <c r="E25" s="121" t="s">
        <v>3655</v>
      </c>
      <c r="F25" s="121" t="s">
        <v>3656</v>
      </c>
    </row>
    <row r="26">
      <c r="A26" s="121">
        <v>25.0</v>
      </c>
      <c r="B26" s="121" t="s">
        <v>3605</v>
      </c>
      <c r="C26" s="121" t="s">
        <v>3654</v>
      </c>
      <c r="D26" s="121" t="s">
        <v>3645</v>
      </c>
      <c r="E26" s="121" t="s">
        <v>3657</v>
      </c>
      <c r="F26" s="121" t="s">
        <v>3658</v>
      </c>
    </row>
    <row r="27">
      <c r="A27" s="121">
        <v>26.0</v>
      </c>
      <c r="B27" s="121" t="s">
        <v>3605</v>
      </c>
      <c r="C27" s="121" t="s">
        <v>3659</v>
      </c>
      <c r="D27" s="121" t="s">
        <v>3645</v>
      </c>
      <c r="E27" s="121" t="s">
        <v>3660</v>
      </c>
      <c r="F27" s="121" t="s">
        <v>3661</v>
      </c>
    </row>
    <row r="28">
      <c r="A28" s="121">
        <v>27.0</v>
      </c>
      <c r="B28" s="121" t="s">
        <v>3609</v>
      </c>
      <c r="C28" s="121" t="s">
        <v>3639</v>
      </c>
      <c r="D28" s="121" t="s">
        <v>3645</v>
      </c>
      <c r="E28" s="121" t="s">
        <v>3662</v>
      </c>
      <c r="F28" s="122" t="s">
        <v>3663</v>
      </c>
    </row>
    <row r="29">
      <c r="A29" s="121">
        <v>28.0</v>
      </c>
      <c r="B29" s="121" t="s">
        <v>3609</v>
      </c>
      <c r="C29" s="121" t="s">
        <v>3664</v>
      </c>
      <c r="D29" s="121" t="s">
        <v>3645</v>
      </c>
      <c r="E29" s="121" t="s">
        <v>3665</v>
      </c>
      <c r="F29" s="122" t="s">
        <v>3666</v>
      </c>
    </row>
    <row r="30">
      <c r="A30" s="121">
        <v>29.0</v>
      </c>
      <c r="B30" s="121" t="s">
        <v>3609</v>
      </c>
      <c r="C30" s="121" t="s">
        <v>3664</v>
      </c>
      <c r="D30" s="121" t="s">
        <v>3645</v>
      </c>
      <c r="E30" s="121" t="s">
        <v>3667</v>
      </c>
      <c r="F30" s="121" t="s">
        <v>3668</v>
      </c>
    </row>
    <row r="31">
      <c r="A31" s="121">
        <v>30.0</v>
      </c>
      <c r="B31" s="121" t="s">
        <v>3609</v>
      </c>
      <c r="C31" s="121" t="s">
        <v>3664</v>
      </c>
      <c r="D31" s="121" t="s">
        <v>3645</v>
      </c>
      <c r="E31" s="121" t="s">
        <v>3669</v>
      </c>
      <c r="F31" s="121" t="s">
        <v>3670</v>
      </c>
    </row>
    <row r="32">
      <c r="A32" s="121">
        <v>31.0</v>
      </c>
      <c r="B32" s="121" t="s">
        <v>3671</v>
      </c>
      <c r="C32" s="121" t="s">
        <v>3672</v>
      </c>
      <c r="D32" s="121" t="s">
        <v>3645</v>
      </c>
      <c r="E32" s="121" t="s">
        <v>3673</v>
      </c>
      <c r="F32" s="121" t="s">
        <v>3674</v>
      </c>
    </row>
    <row r="33">
      <c r="A33" s="121">
        <v>32.0</v>
      </c>
      <c r="B33" s="121" t="s">
        <v>3671</v>
      </c>
      <c r="C33" s="121" t="s">
        <v>3672</v>
      </c>
      <c r="D33" s="121" t="s">
        <v>3645</v>
      </c>
      <c r="E33" s="121" t="s">
        <v>3675</v>
      </c>
      <c r="F33" s="121" t="s">
        <v>3676</v>
      </c>
    </row>
    <row r="34">
      <c r="A34" s="121">
        <v>33.0</v>
      </c>
      <c r="B34" s="121" t="s">
        <v>3671</v>
      </c>
      <c r="C34" s="121" t="s">
        <v>3672</v>
      </c>
      <c r="D34" s="121" t="s">
        <v>3645</v>
      </c>
      <c r="E34" s="121" t="s">
        <v>3677</v>
      </c>
      <c r="F34" s="121" t="s">
        <v>3678</v>
      </c>
    </row>
    <row r="35">
      <c r="A35" s="121">
        <v>34.0</v>
      </c>
      <c r="B35" s="121" t="s">
        <v>3593</v>
      </c>
      <c r="C35" s="121" t="s">
        <v>3594</v>
      </c>
      <c r="D35" s="121" t="s">
        <v>3679</v>
      </c>
      <c r="E35" s="121" t="s">
        <v>3680</v>
      </c>
      <c r="F35" s="121" t="s">
        <v>3681</v>
      </c>
    </row>
    <row r="36">
      <c r="A36" s="121">
        <v>35.0</v>
      </c>
      <c r="B36" s="121" t="s">
        <v>3593</v>
      </c>
      <c r="C36" s="121" t="s">
        <v>3594</v>
      </c>
      <c r="D36" s="121" t="s">
        <v>3679</v>
      </c>
      <c r="E36" s="121" t="s">
        <v>3682</v>
      </c>
      <c r="F36" s="121" t="s">
        <v>3683</v>
      </c>
    </row>
    <row r="37">
      <c r="A37" s="121">
        <v>36.0</v>
      </c>
      <c r="B37" s="121" t="s">
        <v>3593</v>
      </c>
      <c r="C37" s="121" t="s">
        <v>3594</v>
      </c>
      <c r="D37" s="121" t="s">
        <v>3679</v>
      </c>
      <c r="E37" s="121" t="s">
        <v>3684</v>
      </c>
      <c r="F37" s="121" t="s">
        <v>3685</v>
      </c>
    </row>
    <row r="38">
      <c r="A38" s="121">
        <v>37.0</v>
      </c>
      <c r="B38" s="121" t="s">
        <v>3593</v>
      </c>
      <c r="C38" s="121" t="s">
        <v>3594</v>
      </c>
      <c r="D38" s="121" t="s">
        <v>3679</v>
      </c>
      <c r="E38" s="121" t="s">
        <v>3686</v>
      </c>
      <c r="F38" s="121" t="s">
        <v>3687</v>
      </c>
    </row>
    <row r="39">
      <c r="A39" s="121">
        <v>38.0</v>
      </c>
      <c r="B39" s="121" t="s">
        <v>3605</v>
      </c>
      <c r="C39" s="121" t="s">
        <v>3606</v>
      </c>
      <c r="D39" s="121" t="s">
        <v>3679</v>
      </c>
      <c r="E39" s="121" t="s">
        <v>3688</v>
      </c>
      <c r="F39" s="121" t="s">
        <v>3689</v>
      </c>
    </row>
    <row r="40">
      <c r="A40" s="121">
        <v>39.0</v>
      </c>
      <c r="B40" s="121" t="s">
        <v>3605</v>
      </c>
      <c r="C40" s="121" t="s">
        <v>3654</v>
      </c>
      <c r="D40" s="121" t="s">
        <v>3679</v>
      </c>
      <c r="E40" s="121" t="s">
        <v>3690</v>
      </c>
      <c r="F40" s="121" t="s">
        <v>3691</v>
      </c>
    </row>
    <row r="41">
      <c r="A41" s="121">
        <v>40.0</v>
      </c>
      <c r="B41" s="121" t="s">
        <v>3605</v>
      </c>
      <c r="C41" s="121" t="s">
        <v>3636</v>
      </c>
      <c r="D41" s="121" t="s">
        <v>3679</v>
      </c>
      <c r="E41" s="121" t="s">
        <v>3692</v>
      </c>
      <c r="F41" s="121" t="s">
        <v>3693</v>
      </c>
    </row>
    <row r="42">
      <c r="A42" s="121">
        <v>41.0</v>
      </c>
      <c r="B42" s="121" t="s">
        <v>3605</v>
      </c>
      <c r="C42" s="121" t="s">
        <v>3636</v>
      </c>
      <c r="D42" s="121" t="s">
        <v>3679</v>
      </c>
      <c r="E42" s="121" t="s">
        <v>3694</v>
      </c>
      <c r="F42" s="121" t="s">
        <v>3695</v>
      </c>
    </row>
    <row r="43">
      <c r="A43" s="121">
        <v>42.0</v>
      </c>
      <c r="B43" s="121" t="s">
        <v>3605</v>
      </c>
      <c r="C43" s="121" t="s">
        <v>3659</v>
      </c>
      <c r="D43" s="121" t="s">
        <v>3679</v>
      </c>
      <c r="E43" s="121" t="s">
        <v>3696</v>
      </c>
      <c r="F43" s="121" t="s">
        <v>3697</v>
      </c>
    </row>
    <row r="44">
      <c r="A44" s="121">
        <v>43.0</v>
      </c>
      <c r="B44" s="121" t="s">
        <v>3605</v>
      </c>
      <c r="C44" s="121" t="s">
        <v>3659</v>
      </c>
      <c r="D44" s="121" t="s">
        <v>3679</v>
      </c>
      <c r="E44" s="121" t="s">
        <v>3698</v>
      </c>
      <c r="F44" s="121" t="s">
        <v>3699</v>
      </c>
    </row>
    <row r="45">
      <c r="A45" s="121">
        <v>44.0</v>
      </c>
      <c r="B45" s="121" t="s">
        <v>3605</v>
      </c>
      <c r="C45" s="121" t="s">
        <v>3659</v>
      </c>
      <c r="D45" s="121" t="s">
        <v>3679</v>
      </c>
      <c r="E45" s="121" t="s">
        <v>3700</v>
      </c>
      <c r="F45" s="121" t="s">
        <v>3701</v>
      </c>
    </row>
    <row r="46">
      <c r="A46" s="121">
        <v>45.0</v>
      </c>
      <c r="B46" s="121" t="s">
        <v>3605</v>
      </c>
      <c r="C46" s="121" t="s">
        <v>3659</v>
      </c>
      <c r="D46" s="121" t="s">
        <v>3679</v>
      </c>
      <c r="E46" s="121" t="s">
        <v>3702</v>
      </c>
      <c r="F46" s="122" t="s">
        <v>3703</v>
      </c>
    </row>
    <row r="47">
      <c r="A47" s="121">
        <v>46.0</v>
      </c>
      <c r="B47" s="121" t="s">
        <v>3609</v>
      </c>
      <c r="C47" s="121" t="s">
        <v>3664</v>
      </c>
      <c r="D47" s="121" t="s">
        <v>3679</v>
      </c>
      <c r="E47" s="121" t="s">
        <v>3704</v>
      </c>
      <c r="F47" s="121" t="s">
        <v>3705</v>
      </c>
    </row>
    <row r="48">
      <c r="A48" s="121">
        <v>47.0</v>
      </c>
      <c r="B48" s="121" t="s">
        <v>3609</v>
      </c>
      <c r="C48" s="121" t="s">
        <v>3664</v>
      </c>
      <c r="D48" s="121" t="s">
        <v>3679</v>
      </c>
      <c r="E48" s="121" t="s">
        <v>3706</v>
      </c>
      <c r="F48" s="121" t="s">
        <v>3707</v>
      </c>
    </row>
    <row r="49">
      <c r="A49" s="121">
        <v>48.0</v>
      </c>
      <c r="B49" s="121" t="s">
        <v>3609</v>
      </c>
      <c r="C49" s="121" t="s">
        <v>3615</v>
      </c>
      <c r="D49" s="121" t="s">
        <v>3679</v>
      </c>
      <c r="E49" s="121" t="s">
        <v>3708</v>
      </c>
      <c r="F49" s="122" t="s">
        <v>3709</v>
      </c>
    </row>
    <row r="50">
      <c r="A50" s="121">
        <v>49.0</v>
      </c>
      <c r="B50" s="121" t="s">
        <v>3593</v>
      </c>
      <c r="C50" s="121" t="s">
        <v>3600</v>
      </c>
      <c r="D50" s="121" t="s">
        <v>3710</v>
      </c>
      <c r="E50" s="121" t="s">
        <v>3711</v>
      </c>
      <c r="F50" s="121" t="s">
        <v>3712</v>
      </c>
    </row>
    <row r="51">
      <c r="A51" s="121">
        <v>50.0</v>
      </c>
      <c r="B51" s="121" t="s">
        <v>3593</v>
      </c>
      <c r="C51" s="121" t="s">
        <v>3600</v>
      </c>
      <c r="D51" s="121" t="s">
        <v>3710</v>
      </c>
      <c r="E51" s="121" t="s">
        <v>3713</v>
      </c>
      <c r="F51" s="121" t="s">
        <v>3714</v>
      </c>
    </row>
    <row r="52">
      <c r="A52" s="121">
        <v>51.0</v>
      </c>
      <c r="B52" s="121" t="s">
        <v>3593</v>
      </c>
      <c r="C52" s="121" t="s">
        <v>3600</v>
      </c>
      <c r="D52" s="121" t="s">
        <v>3710</v>
      </c>
      <c r="E52" s="121" t="s">
        <v>3715</v>
      </c>
      <c r="F52" s="121" t="s">
        <v>3716</v>
      </c>
    </row>
    <row r="53">
      <c r="A53" s="121">
        <v>52.0</v>
      </c>
      <c r="B53" s="121" t="s">
        <v>3593</v>
      </c>
      <c r="C53" s="121" t="s">
        <v>3600</v>
      </c>
      <c r="D53" s="121" t="s">
        <v>3710</v>
      </c>
      <c r="E53" s="121" t="s">
        <v>3717</v>
      </c>
      <c r="F53" s="121" t="s">
        <v>3718</v>
      </c>
    </row>
    <row r="54">
      <c r="A54" s="121">
        <v>53.0</v>
      </c>
      <c r="B54" s="121" t="s">
        <v>3593</v>
      </c>
      <c r="C54" s="121" t="s">
        <v>3622</v>
      </c>
      <c r="D54" s="121" t="s">
        <v>3710</v>
      </c>
      <c r="E54" s="121" t="s">
        <v>3719</v>
      </c>
      <c r="F54" s="121" t="s">
        <v>3720</v>
      </c>
    </row>
    <row r="55">
      <c r="A55" s="121">
        <v>54.0</v>
      </c>
      <c r="B55" s="121" t="s">
        <v>3593</v>
      </c>
      <c r="C55" s="121" t="s">
        <v>3622</v>
      </c>
      <c r="D55" s="121" t="s">
        <v>3710</v>
      </c>
      <c r="E55" s="121" t="s">
        <v>3721</v>
      </c>
      <c r="F55" s="122" t="s">
        <v>3722</v>
      </c>
    </row>
    <row r="56">
      <c r="A56" s="121">
        <v>55.0</v>
      </c>
      <c r="B56" s="121" t="s">
        <v>3593</v>
      </c>
      <c r="C56" s="121" t="s">
        <v>3622</v>
      </c>
      <c r="D56" s="121" t="s">
        <v>3710</v>
      </c>
      <c r="E56" s="121" t="s">
        <v>3723</v>
      </c>
      <c r="F56" s="121" t="s">
        <v>3724</v>
      </c>
    </row>
    <row r="57">
      <c r="A57" s="121">
        <v>56.0</v>
      </c>
      <c r="B57" s="121" t="s">
        <v>3605</v>
      </c>
      <c r="C57" s="121" t="s">
        <v>3606</v>
      </c>
      <c r="D57" s="121" t="s">
        <v>3710</v>
      </c>
      <c r="E57" s="121" t="s">
        <v>3725</v>
      </c>
      <c r="F57" s="121" t="s">
        <v>3726</v>
      </c>
    </row>
    <row r="58">
      <c r="A58" s="121">
        <v>57.0</v>
      </c>
      <c r="B58" s="121" t="s">
        <v>3605</v>
      </c>
      <c r="C58" s="121" t="s">
        <v>3606</v>
      </c>
      <c r="D58" s="121" t="s">
        <v>3710</v>
      </c>
      <c r="E58" s="121" t="s">
        <v>3727</v>
      </c>
      <c r="F58" s="121" t="s">
        <v>3728</v>
      </c>
    </row>
    <row r="59">
      <c r="A59" s="121">
        <v>58.0</v>
      </c>
      <c r="B59" s="121" t="s">
        <v>3609</v>
      </c>
      <c r="C59" s="121" t="s">
        <v>3639</v>
      </c>
      <c r="D59" s="121" t="s">
        <v>3710</v>
      </c>
      <c r="E59" s="121" t="s">
        <v>3729</v>
      </c>
      <c r="F59" s="121" t="s">
        <v>3730</v>
      </c>
    </row>
    <row r="60">
      <c r="A60" s="121">
        <v>59.0</v>
      </c>
      <c r="B60" s="121" t="s">
        <v>3609</v>
      </c>
      <c r="C60" s="121" t="s">
        <v>3664</v>
      </c>
      <c r="D60" s="121" t="s">
        <v>3710</v>
      </c>
      <c r="E60" s="121" t="s">
        <v>3731</v>
      </c>
      <c r="F60" s="121" t="s">
        <v>3732</v>
      </c>
    </row>
    <row r="61">
      <c r="A61" s="121">
        <v>60.0</v>
      </c>
      <c r="B61" s="121" t="s">
        <v>3609</v>
      </c>
      <c r="C61" s="121" t="s">
        <v>3664</v>
      </c>
      <c r="D61" s="121" t="s">
        <v>3710</v>
      </c>
      <c r="E61" s="121" t="s">
        <v>3733</v>
      </c>
      <c r="F61" s="121" t="s">
        <v>3734</v>
      </c>
    </row>
    <row r="62">
      <c r="A62" s="121">
        <v>61.0</v>
      </c>
      <c r="B62" s="121" t="s">
        <v>3609</v>
      </c>
      <c r="C62" s="121" t="s">
        <v>3615</v>
      </c>
      <c r="D62" s="121" t="s">
        <v>3710</v>
      </c>
      <c r="E62" s="121" t="s">
        <v>3735</v>
      </c>
      <c r="F62" s="121" t="s">
        <v>3736</v>
      </c>
    </row>
    <row r="63">
      <c r="A63" s="121">
        <v>62.0</v>
      </c>
      <c r="B63" s="121" t="s">
        <v>3609</v>
      </c>
      <c r="C63" s="121" t="s">
        <v>3615</v>
      </c>
      <c r="D63" s="121" t="s">
        <v>3710</v>
      </c>
      <c r="E63" s="121" t="s">
        <v>3737</v>
      </c>
      <c r="F63" s="121" t="s">
        <v>3738</v>
      </c>
    </row>
    <row r="64">
      <c r="A64" s="121">
        <v>63.0</v>
      </c>
      <c r="B64" s="121" t="s">
        <v>3593</v>
      </c>
      <c r="C64" s="121" t="s">
        <v>3644</v>
      </c>
      <c r="D64" s="121" t="s">
        <v>3739</v>
      </c>
      <c r="E64" s="121" t="s">
        <v>3740</v>
      </c>
      <c r="F64" s="121" t="s">
        <v>3741</v>
      </c>
    </row>
    <row r="65">
      <c r="A65" s="121">
        <v>64.0</v>
      </c>
      <c r="B65" s="121" t="s">
        <v>3593</v>
      </c>
      <c r="C65" s="121" t="s">
        <v>3644</v>
      </c>
      <c r="D65" s="121" t="s">
        <v>3739</v>
      </c>
      <c r="E65" s="121" t="s">
        <v>3742</v>
      </c>
      <c r="F65" s="121" t="s">
        <v>3743</v>
      </c>
    </row>
    <row r="66">
      <c r="A66" s="121">
        <v>65.0</v>
      </c>
      <c r="B66" s="121" t="s">
        <v>3593</v>
      </c>
      <c r="C66" s="121" t="s">
        <v>3644</v>
      </c>
      <c r="D66" s="121" t="s">
        <v>3739</v>
      </c>
      <c r="E66" s="121" t="s">
        <v>3744</v>
      </c>
      <c r="F66" s="121" t="s">
        <v>3745</v>
      </c>
    </row>
    <row r="67">
      <c r="A67" s="121">
        <v>66.0</v>
      </c>
      <c r="B67" s="121" t="s">
        <v>3593</v>
      </c>
      <c r="C67" s="121" t="s">
        <v>3644</v>
      </c>
      <c r="D67" s="121" t="s">
        <v>3739</v>
      </c>
      <c r="E67" s="121" t="s">
        <v>3746</v>
      </c>
      <c r="F67" s="121" t="s">
        <v>3747</v>
      </c>
    </row>
    <row r="68">
      <c r="A68" s="121">
        <v>67.0</v>
      </c>
      <c r="B68" s="121" t="s">
        <v>3593</v>
      </c>
      <c r="C68" s="121" t="s">
        <v>3594</v>
      </c>
      <c r="D68" s="121" t="s">
        <v>3739</v>
      </c>
      <c r="E68" s="121" t="s">
        <v>3748</v>
      </c>
      <c r="F68" s="121" t="s">
        <v>3749</v>
      </c>
    </row>
    <row r="69">
      <c r="A69" s="121">
        <v>68.0</v>
      </c>
      <c r="B69" s="121" t="s">
        <v>3593</v>
      </c>
      <c r="C69" s="121" t="s">
        <v>3600</v>
      </c>
      <c r="D69" s="121" t="s">
        <v>3739</v>
      </c>
      <c r="E69" s="121" t="s">
        <v>3750</v>
      </c>
      <c r="F69" s="121" t="s">
        <v>3751</v>
      </c>
    </row>
    <row r="70">
      <c r="A70" s="121">
        <v>69.0</v>
      </c>
      <c r="B70" s="121" t="s">
        <v>3605</v>
      </c>
      <c r="C70" s="121" t="s">
        <v>3606</v>
      </c>
      <c r="D70" s="121" t="s">
        <v>3739</v>
      </c>
      <c r="E70" s="121" t="s">
        <v>3752</v>
      </c>
      <c r="F70" s="121" t="s">
        <v>3753</v>
      </c>
    </row>
    <row r="71">
      <c r="A71" s="121">
        <v>70.0</v>
      </c>
      <c r="B71" s="121" t="s">
        <v>3605</v>
      </c>
      <c r="C71" s="121" t="s">
        <v>3654</v>
      </c>
      <c r="D71" s="121" t="s">
        <v>3739</v>
      </c>
      <c r="E71" s="121" t="s">
        <v>3754</v>
      </c>
      <c r="F71" s="122" t="s">
        <v>3755</v>
      </c>
    </row>
    <row r="72">
      <c r="A72" s="121">
        <v>71.0</v>
      </c>
      <c r="B72" s="121" t="s">
        <v>3609</v>
      </c>
      <c r="C72" s="121" t="s">
        <v>3639</v>
      </c>
      <c r="D72" s="121" t="s">
        <v>3739</v>
      </c>
      <c r="E72" s="121" t="s">
        <v>3756</v>
      </c>
      <c r="F72" s="121" t="s">
        <v>3757</v>
      </c>
    </row>
    <row r="73">
      <c r="A73" s="121">
        <v>72.0</v>
      </c>
      <c r="B73" s="121" t="s">
        <v>3609</v>
      </c>
      <c r="C73" s="121" t="s">
        <v>3639</v>
      </c>
      <c r="D73" s="121" t="s">
        <v>3739</v>
      </c>
      <c r="E73" s="121" t="s">
        <v>3758</v>
      </c>
      <c r="F73" s="121" t="s">
        <v>3759</v>
      </c>
    </row>
    <row r="74">
      <c r="A74" s="121">
        <v>73.0</v>
      </c>
      <c r="B74" s="121" t="s">
        <v>3609</v>
      </c>
      <c r="C74" s="121" t="s">
        <v>3664</v>
      </c>
      <c r="D74" s="121" t="s">
        <v>3739</v>
      </c>
      <c r="E74" s="121" t="s">
        <v>3760</v>
      </c>
      <c r="F74" s="121" t="s">
        <v>3761</v>
      </c>
    </row>
    <row r="75">
      <c r="A75" s="121">
        <v>74.0</v>
      </c>
      <c r="B75" s="121" t="s">
        <v>3609</v>
      </c>
      <c r="C75" s="121" t="s">
        <v>3664</v>
      </c>
      <c r="D75" s="121" t="s">
        <v>3739</v>
      </c>
      <c r="E75" s="121" t="s">
        <v>3762</v>
      </c>
      <c r="F75" s="121" t="s">
        <v>3763</v>
      </c>
    </row>
    <row r="76">
      <c r="A76" s="121">
        <v>75.0</v>
      </c>
      <c r="B76" s="121" t="s">
        <v>3609</v>
      </c>
      <c r="C76" s="121" t="s">
        <v>3615</v>
      </c>
      <c r="D76" s="121" t="s">
        <v>3739</v>
      </c>
      <c r="E76" s="121" t="s">
        <v>3764</v>
      </c>
      <c r="F76" s="121" t="s">
        <v>3765</v>
      </c>
    </row>
    <row r="77">
      <c r="A77" s="121">
        <v>76.0</v>
      </c>
      <c r="B77" s="121" t="s">
        <v>3671</v>
      </c>
      <c r="C77" s="121" t="s">
        <v>3672</v>
      </c>
      <c r="D77" s="121" t="s">
        <v>3739</v>
      </c>
      <c r="E77" s="121" t="s">
        <v>3766</v>
      </c>
      <c r="F77" s="121" t="s">
        <v>3767</v>
      </c>
    </row>
    <row r="78">
      <c r="A78" s="121">
        <v>77.0</v>
      </c>
      <c r="B78" s="121" t="s">
        <v>3671</v>
      </c>
      <c r="C78" s="121" t="s">
        <v>3672</v>
      </c>
      <c r="D78" s="121" t="s">
        <v>3739</v>
      </c>
      <c r="E78" s="121" t="s">
        <v>3768</v>
      </c>
      <c r="F78" s="121" t="s">
        <v>3769</v>
      </c>
    </row>
    <row r="79">
      <c r="A79" s="121">
        <v>78.0</v>
      </c>
      <c r="B79" s="121" t="s">
        <v>3671</v>
      </c>
      <c r="C79" s="121" t="s">
        <v>3672</v>
      </c>
      <c r="D79" s="121" t="s">
        <v>3739</v>
      </c>
      <c r="E79" s="121" t="s">
        <v>3770</v>
      </c>
      <c r="F79" s="121" t="s">
        <v>3771</v>
      </c>
    </row>
    <row r="80">
      <c r="A80" s="121">
        <v>79.0</v>
      </c>
      <c r="B80" s="121" t="s">
        <v>3593</v>
      </c>
      <c r="C80" s="121" t="s">
        <v>3644</v>
      </c>
      <c r="D80" s="121" t="s">
        <v>3772</v>
      </c>
      <c r="E80" s="121" t="s">
        <v>2096</v>
      </c>
      <c r="F80" s="121" t="s">
        <v>3773</v>
      </c>
    </row>
    <row r="81">
      <c r="A81" s="121">
        <v>80.0</v>
      </c>
      <c r="B81" s="121" t="s">
        <v>3593</v>
      </c>
      <c r="C81" s="121" t="s">
        <v>3644</v>
      </c>
      <c r="D81" s="121" t="s">
        <v>3772</v>
      </c>
      <c r="E81" s="121" t="s">
        <v>2203</v>
      </c>
      <c r="F81" s="121" t="s">
        <v>3774</v>
      </c>
    </row>
    <row r="82">
      <c r="A82" s="121">
        <v>81.0</v>
      </c>
      <c r="B82" s="121" t="s">
        <v>3593</v>
      </c>
      <c r="C82" s="121" t="s">
        <v>3644</v>
      </c>
      <c r="D82" s="121" t="s">
        <v>3772</v>
      </c>
      <c r="E82" s="121" t="s">
        <v>3340</v>
      </c>
      <c r="F82" s="121" t="s">
        <v>3775</v>
      </c>
    </row>
    <row r="83">
      <c r="A83" s="121">
        <v>82.0</v>
      </c>
      <c r="B83" s="121" t="s">
        <v>3593</v>
      </c>
      <c r="C83" s="121" t="s">
        <v>3644</v>
      </c>
      <c r="D83" s="121" t="s">
        <v>3772</v>
      </c>
      <c r="E83" s="121" t="s">
        <v>2514</v>
      </c>
      <c r="F83" s="121" t="s">
        <v>3776</v>
      </c>
    </row>
    <row r="84">
      <c r="A84" s="121">
        <v>83.0</v>
      </c>
      <c r="B84" s="121" t="s">
        <v>3593</v>
      </c>
      <c r="C84" s="121" t="s">
        <v>3644</v>
      </c>
      <c r="D84" s="121" t="s">
        <v>3772</v>
      </c>
      <c r="E84" s="121" t="s">
        <v>2376</v>
      </c>
      <c r="F84" s="121" t="s">
        <v>3777</v>
      </c>
    </row>
    <row r="85">
      <c r="A85" s="121">
        <v>84.0</v>
      </c>
      <c r="B85" s="121" t="s">
        <v>3593</v>
      </c>
      <c r="C85" s="121" t="s">
        <v>3644</v>
      </c>
      <c r="D85" s="121" t="s">
        <v>3772</v>
      </c>
      <c r="E85" s="121" t="s">
        <v>3373</v>
      </c>
      <c r="F85" s="121" t="s">
        <v>3778</v>
      </c>
    </row>
    <row r="86">
      <c r="A86" s="121">
        <v>85.0</v>
      </c>
      <c r="B86" s="121" t="s">
        <v>3593</v>
      </c>
      <c r="C86" s="121" t="s">
        <v>3594</v>
      </c>
      <c r="D86" s="121" t="s">
        <v>3772</v>
      </c>
      <c r="E86" s="121" t="s">
        <v>2132</v>
      </c>
      <c r="F86" s="122" t="s">
        <v>3779</v>
      </c>
    </row>
    <row r="87">
      <c r="A87" s="121">
        <v>86.0</v>
      </c>
      <c r="B87" s="121" t="s">
        <v>3593</v>
      </c>
      <c r="C87" s="121" t="s">
        <v>3594</v>
      </c>
      <c r="D87" s="121" t="s">
        <v>3772</v>
      </c>
      <c r="E87" s="121" t="s">
        <v>2239</v>
      </c>
      <c r="F87" s="121" t="s">
        <v>3780</v>
      </c>
    </row>
    <row r="88">
      <c r="A88" s="121">
        <v>87.0</v>
      </c>
      <c r="B88" s="121" t="s">
        <v>3593</v>
      </c>
      <c r="C88" s="121" t="s">
        <v>3594</v>
      </c>
      <c r="D88" s="121" t="s">
        <v>3772</v>
      </c>
      <c r="E88" s="121" t="s">
        <v>2479</v>
      </c>
      <c r="F88" s="122" t="s">
        <v>3781</v>
      </c>
    </row>
    <row r="89">
      <c r="A89" s="121">
        <v>88.0</v>
      </c>
      <c r="B89" s="121" t="s">
        <v>3593</v>
      </c>
      <c r="C89" s="121" t="s">
        <v>3594</v>
      </c>
      <c r="D89" s="121" t="s">
        <v>3772</v>
      </c>
      <c r="E89" s="121" t="s">
        <v>3419</v>
      </c>
      <c r="F89" s="121" t="s">
        <v>3782</v>
      </c>
    </row>
    <row r="90">
      <c r="A90" s="121">
        <v>89.0</v>
      </c>
      <c r="B90" s="121" t="s">
        <v>3593</v>
      </c>
      <c r="C90" s="121" t="s">
        <v>3594</v>
      </c>
      <c r="D90" s="121" t="s">
        <v>3772</v>
      </c>
      <c r="E90" s="121" t="s">
        <v>2616</v>
      </c>
      <c r="F90" s="121" t="s">
        <v>3783</v>
      </c>
    </row>
    <row r="91">
      <c r="A91" s="121">
        <v>90.0</v>
      </c>
      <c r="B91" s="121" t="s">
        <v>3593</v>
      </c>
      <c r="C91" s="121" t="s">
        <v>3600</v>
      </c>
      <c r="D91" s="121" t="s">
        <v>3772</v>
      </c>
      <c r="E91" s="121" t="s">
        <v>2341</v>
      </c>
      <c r="F91" s="121" t="s">
        <v>3784</v>
      </c>
    </row>
    <row r="92">
      <c r="A92" s="121">
        <v>91.0</v>
      </c>
      <c r="B92" s="121" t="s">
        <v>3593</v>
      </c>
      <c r="C92" s="121" t="s">
        <v>3600</v>
      </c>
      <c r="D92" s="121" t="s">
        <v>3772</v>
      </c>
      <c r="E92" s="121" t="s">
        <v>3453</v>
      </c>
      <c r="F92" s="121" t="s">
        <v>3785</v>
      </c>
    </row>
    <row r="93">
      <c r="A93" s="121">
        <v>92.0</v>
      </c>
      <c r="B93" s="121" t="s">
        <v>3593</v>
      </c>
      <c r="C93" s="121" t="s">
        <v>3600</v>
      </c>
      <c r="D93" s="121" t="s">
        <v>3772</v>
      </c>
      <c r="E93" s="121" t="s">
        <v>2651</v>
      </c>
      <c r="F93" s="121" t="s">
        <v>3786</v>
      </c>
    </row>
    <row r="94">
      <c r="A94" s="121">
        <v>93.0</v>
      </c>
      <c r="B94" s="121" t="s">
        <v>3593</v>
      </c>
      <c r="C94" s="121" t="s">
        <v>3600</v>
      </c>
      <c r="D94" s="121" t="s">
        <v>3772</v>
      </c>
      <c r="E94" s="121" t="s">
        <v>2720</v>
      </c>
      <c r="F94" s="122" t="s">
        <v>3787</v>
      </c>
    </row>
    <row r="95">
      <c r="A95" s="121">
        <v>94.0</v>
      </c>
      <c r="B95" s="121" t="s">
        <v>3593</v>
      </c>
      <c r="C95" s="121" t="s">
        <v>3600</v>
      </c>
      <c r="D95" s="121" t="s">
        <v>3772</v>
      </c>
      <c r="E95" s="121" t="s">
        <v>3486</v>
      </c>
      <c r="F95" s="121" t="s">
        <v>3788</v>
      </c>
    </row>
    <row r="96">
      <c r="A96" s="121">
        <v>95.0</v>
      </c>
      <c r="B96" s="121" t="s">
        <v>3593</v>
      </c>
      <c r="C96" s="121" t="s">
        <v>3622</v>
      </c>
      <c r="D96" s="121" t="s">
        <v>3772</v>
      </c>
      <c r="E96" s="121" t="s">
        <v>3499</v>
      </c>
      <c r="F96" s="121" t="s">
        <v>3789</v>
      </c>
    </row>
    <row r="97">
      <c r="A97" s="121">
        <v>96.0</v>
      </c>
      <c r="B97" s="121" t="s">
        <v>3593</v>
      </c>
      <c r="C97" s="121" t="s">
        <v>3622</v>
      </c>
      <c r="D97" s="121" t="s">
        <v>3772</v>
      </c>
      <c r="E97" s="121" t="s">
        <v>3513</v>
      </c>
      <c r="F97" s="121" t="s">
        <v>3790</v>
      </c>
    </row>
    <row r="98">
      <c r="A98" s="121">
        <v>97.0</v>
      </c>
      <c r="B98" s="121" t="s">
        <v>3593</v>
      </c>
      <c r="C98" s="121" t="s">
        <v>3622</v>
      </c>
      <c r="D98" s="121" t="s">
        <v>3772</v>
      </c>
      <c r="E98" s="121" t="s">
        <v>3524</v>
      </c>
      <c r="F98" s="121" t="s">
        <v>3791</v>
      </c>
    </row>
    <row r="99">
      <c r="A99" s="121">
        <v>98.0</v>
      </c>
      <c r="B99" s="121" t="s">
        <v>3605</v>
      </c>
      <c r="C99" s="121" t="s">
        <v>3606</v>
      </c>
      <c r="D99" s="121" t="s">
        <v>3772</v>
      </c>
      <c r="E99" s="121" t="s">
        <v>2833</v>
      </c>
      <c r="F99" s="121" t="s">
        <v>3792</v>
      </c>
    </row>
    <row r="100">
      <c r="A100" s="121">
        <v>99.0</v>
      </c>
      <c r="B100" s="121" t="s">
        <v>3605</v>
      </c>
      <c r="C100" s="121" t="s">
        <v>3606</v>
      </c>
      <c r="D100" s="121" t="s">
        <v>3772</v>
      </c>
      <c r="E100" s="121" t="s">
        <v>2851</v>
      </c>
      <c r="F100" s="121" t="s">
        <v>3793</v>
      </c>
    </row>
    <row r="101">
      <c r="A101" s="121">
        <v>100.0</v>
      </c>
      <c r="B101" s="121" t="s">
        <v>3605</v>
      </c>
      <c r="C101" s="121" t="s">
        <v>3606</v>
      </c>
      <c r="D101" s="121" t="s">
        <v>3772</v>
      </c>
      <c r="E101" s="121" t="s">
        <v>2868</v>
      </c>
      <c r="F101" s="121" t="s">
        <v>3794</v>
      </c>
    </row>
    <row r="102">
      <c r="A102" s="121">
        <v>101.0</v>
      </c>
      <c r="B102" s="121" t="s">
        <v>3605</v>
      </c>
      <c r="C102" s="121" t="s">
        <v>3606</v>
      </c>
      <c r="D102" s="121" t="s">
        <v>3772</v>
      </c>
      <c r="E102" s="121" t="s">
        <v>2882</v>
      </c>
      <c r="F102" s="121" t="s">
        <v>3795</v>
      </c>
    </row>
    <row r="103">
      <c r="A103" s="121">
        <v>102.0</v>
      </c>
      <c r="B103" s="121" t="s">
        <v>3605</v>
      </c>
      <c r="C103" s="121" t="s">
        <v>3606</v>
      </c>
      <c r="D103" s="121" t="s">
        <v>3772</v>
      </c>
      <c r="E103" s="121" t="s">
        <v>2899</v>
      </c>
      <c r="F103" s="121" t="s">
        <v>3796</v>
      </c>
    </row>
    <row r="104">
      <c r="A104" s="121">
        <v>103.0</v>
      </c>
      <c r="B104" s="121" t="s">
        <v>3605</v>
      </c>
      <c r="C104" s="121" t="s">
        <v>3606</v>
      </c>
      <c r="D104" s="121" t="s">
        <v>3772</v>
      </c>
      <c r="E104" s="121" t="s">
        <v>2911</v>
      </c>
      <c r="F104" s="121" t="s">
        <v>3797</v>
      </c>
    </row>
    <row r="105">
      <c r="A105" s="121">
        <v>104.0</v>
      </c>
      <c r="B105" s="121" t="s">
        <v>3605</v>
      </c>
      <c r="C105" s="121" t="s">
        <v>3606</v>
      </c>
      <c r="D105" s="121" t="s">
        <v>3772</v>
      </c>
      <c r="E105" s="121" t="s">
        <v>2927</v>
      </c>
      <c r="F105" s="121" t="s">
        <v>3798</v>
      </c>
    </row>
    <row r="106">
      <c r="A106" s="121">
        <v>105.0</v>
      </c>
      <c r="B106" s="121" t="s">
        <v>3605</v>
      </c>
      <c r="C106" s="121" t="s">
        <v>3606</v>
      </c>
      <c r="D106" s="121" t="s">
        <v>3772</v>
      </c>
      <c r="E106" s="121" t="s">
        <v>2938</v>
      </c>
      <c r="F106" s="121" t="s">
        <v>3799</v>
      </c>
    </row>
    <row r="107">
      <c r="A107" s="121">
        <v>106.0</v>
      </c>
      <c r="B107" s="121" t="s">
        <v>3605</v>
      </c>
      <c r="C107" s="121" t="s">
        <v>3654</v>
      </c>
      <c r="D107" s="121" t="s">
        <v>3772</v>
      </c>
      <c r="E107" s="121" t="s">
        <v>2954</v>
      </c>
      <c r="F107" s="121" t="s">
        <v>3800</v>
      </c>
    </row>
    <row r="108">
      <c r="A108" s="121">
        <v>107.0</v>
      </c>
      <c r="B108" s="121" t="s">
        <v>3605</v>
      </c>
      <c r="C108" s="121" t="s">
        <v>3654</v>
      </c>
      <c r="D108" s="121" t="s">
        <v>3772</v>
      </c>
      <c r="E108" s="121" t="s">
        <v>2970</v>
      </c>
      <c r="F108" s="122" t="s">
        <v>3801</v>
      </c>
    </row>
    <row r="109">
      <c r="A109" s="121">
        <v>108.0</v>
      </c>
      <c r="B109" s="121" t="s">
        <v>3605</v>
      </c>
      <c r="C109" s="121" t="s">
        <v>3654</v>
      </c>
      <c r="D109" s="121" t="s">
        <v>3772</v>
      </c>
      <c r="E109" s="121" t="s">
        <v>2983</v>
      </c>
      <c r="F109" s="121" t="s">
        <v>3802</v>
      </c>
    </row>
    <row r="110">
      <c r="A110" s="121">
        <v>109.0</v>
      </c>
      <c r="B110" s="121" t="s">
        <v>3605</v>
      </c>
      <c r="C110" s="121" t="s">
        <v>3654</v>
      </c>
      <c r="D110" s="121" t="s">
        <v>3772</v>
      </c>
      <c r="E110" s="121" t="s">
        <v>2996</v>
      </c>
      <c r="F110" s="121" t="s">
        <v>3803</v>
      </c>
    </row>
    <row r="111">
      <c r="A111" s="121">
        <v>110.0</v>
      </c>
      <c r="B111" s="121" t="s">
        <v>3605</v>
      </c>
      <c r="C111" s="121" t="s">
        <v>3654</v>
      </c>
      <c r="D111" s="121" t="s">
        <v>3772</v>
      </c>
      <c r="E111" s="121" t="s">
        <v>3011</v>
      </c>
      <c r="F111" s="121" t="s">
        <v>3804</v>
      </c>
    </row>
    <row r="112">
      <c r="A112" s="121">
        <v>111.0</v>
      </c>
      <c r="B112" s="121" t="s">
        <v>3605</v>
      </c>
      <c r="C112" s="121" t="s">
        <v>3636</v>
      </c>
      <c r="D112" s="121" t="s">
        <v>3772</v>
      </c>
      <c r="E112" s="121" t="s">
        <v>3022</v>
      </c>
      <c r="F112" s="121" t="s">
        <v>3805</v>
      </c>
    </row>
    <row r="113">
      <c r="A113" s="121">
        <v>112.0</v>
      </c>
      <c r="B113" s="121" t="s">
        <v>3605</v>
      </c>
      <c r="C113" s="121" t="s">
        <v>3636</v>
      </c>
      <c r="D113" s="121" t="s">
        <v>3772</v>
      </c>
      <c r="E113" s="121" t="s">
        <v>3037</v>
      </c>
      <c r="F113" s="121" t="s">
        <v>3806</v>
      </c>
    </row>
    <row r="114">
      <c r="A114" s="121">
        <v>113.0</v>
      </c>
      <c r="B114" s="121" t="s">
        <v>3605</v>
      </c>
      <c r="C114" s="121" t="s">
        <v>3659</v>
      </c>
      <c r="D114" s="121" t="s">
        <v>3772</v>
      </c>
      <c r="E114" s="121" t="s">
        <v>3050</v>
      </c>
      <c r="F114" s="121" t="s">
        <v>3807</v>
      </c>
    </row>
    <row r="115">
      <c r="A115" s="121">
        <v>114.0</v>
      </c>
      <c r="B115" s="121" t="s">
        <v>3605</v>
      </c>
      <c r="C115" s="121" t="s">
        <v>3659</v>
      </c>
      <c r="D115" s="121" t="s">
        <v>3772</v>
      </c>
      <c r="E115" s="121" t="s">
        <v>3063</v>
      </c>
      <c r="F115" s="121" t="s">
        <v>3808</v>
      </c>
    </row>
    <row r="116">
      <c r="A116" s="121">
        <v>115.0</v>
      </c>
      <c r="B116" s="121" t="s">
        <v>3605</v>
      </c>
      <c r="C116" s="121" t="s">
        <v>3659</v>
      </c>
      <c r="D116" s="121" t="s">
        <v>3772</v>
      </c>
      <c r="E116" s="121" t="s">
        <v>3074</v>
      </c>
      <c r="F116" s="121" t="s">
        <v>3809</v>
      </c>
    </row>
    <row r="117">
      <c r="A117" s="121">
        <v>116.0</v>
      </c>
      <c r="B117" s="121" t="s">
        <v>3605</v>
      </c>
      <c r="C117" s="121" t="s">
        <v>3659</v>
      </c>
      <c r="D117" s="121" t="s">
        <v>3772</v>
      </c>
      <c r="E117" s="121" t="s">
        <v>3085</v>
      </c>
      <c r="F117" s="121" t="s">
        <v>3810</v>
      </c>
    </row>
    <row r="118">
      <c r="A118" s="121">
        <v>117.0</v>
      </c>
      <c r="B118" s="121" t="s">
        <v>3605</v>
      </c>
      <c r="C118" s="121" t="s">
        <v>3659</v>
      </c>
      <c r="D118" s="121" t="s">
        <v>3772</v>
      </c>
      <c r="E118" s="121" t="s">
        <v>3098</v>
      </c>
      <c r="F118" s="121" t="s">
        <v>3811</v>
      </c>
    </row>
    <row r="119">
      <c r="A119" s="121">
        <v>118.0</v>
      </c>
      <c r="B119" s="121" t="s">
        <v>3605</v>
      </c>
      <c r="C119" s="121" t="s">
        <v>3659</v>
      </c>
      <c r="D119" s="121" t="s">
        <v>3772</v>
      </c>
      <c r="E119" s="121" t="s">
        <v>3109</v>
      </c>
      <c r="F119" s="121" t="s">
        <v>3812</v>
      </c>
    </row>
    <row r="120">
      <c r="A120" s="121">
        <v>119.0</v>
      </c>
      <c r="B120" s="121" t="s">
        <v>3609</v>
      </c>
      <c r="C120" s="121" t="s">
        <v>3639</v>
      </c>
      <c r="D120" s="121" t="s">
        <v>3772</v>
      </c>
      <c r="E120" s="121" t="s">
        <v>3124</v>
      </c>
      <c r="F120" s="121" t="s">
        <v>3813</v>
      </c>
    </row>
    <row r="121">
      <c r="A121" s="121">
        <v>120.0</v>
      </c>
      <c r="B121" s="121" t="s">
        <v>3609</v>
      </c>
      <c r="C121" s="121" t="s">
        <v>3639</v>
      </c>
      <c r="D121" s="121" t="s">
        <v>3772</v>
      </c>
      <c r="E121" s="121" t="s">
        <v>3139</v>
      </c>
      <c r="F121" s="122" t="s">
        <v>3814</v>
      </c>
    </row>
    <row r="122">
      <c r="A122" s="121">
        <v>121.0</v>
      </c>
      <c r="B122" s="121" t="s">
        <v>3609</v>
      </c>
      <c r="C122" s="121" t="s">
        <v>3639</v>
      </c>
      <c r="D122" s="121" t="s">
        <v>3772</v>
      </c>
      <c r="E122" s="121" t="s">
        <v>3152</v>
      </c>
      <c r="F122" s="121" t="s">
        <v>3815</v>
      </c>
    </row>
    <row r="123">
      <c r="A123" s="121">
        <v>122.0</v>
      </c>
      <c r="B123" s="121" t="s">
        <v>3609</v>
      </c>
      <c r="C123" s="121" t="s">
        <v>3639</v>
      </c>
      <c r="D123" s="121" t="s">
        <v>3772</v>
      </c>
      <c r="E123" s="121" t="s">
        <v>3164</v>
      </c>
      <c r="F123" s="121" t="s">
        <v>3816</v>
      </c>
    </row>
    <row r="124">
      <c r="A124" s="121">
        <v>123.0</v>
      </c>
      <c r="B124" s="121" t="s">
        <v>3609</v>
      </c>
      <c r="C124" s="121" t="s">
        <v>3664</v>
      </c>
      <c r="D124" s="121" t="s">
        <v>3772</v>
      </c>
      <c r="E124" s="121" t="s">
        <v>3177</v>
      </c>
      <c r="F124" s="122" t="s">
        <v>3817</v>
      </c>
    </row>
    <row r="125">
      <c r="A125" s="121">
        <v>124.0</v>
      </c>
      <c r="B125" s="121" t="s">
        <v>3609</v>
      </c>
      <c r="C125" s="121" t="s">
        <v>3664</v>
      </c>
      <c r="D125" s="121" t="s">
        <v>3772</v>
      </c>
      <c r="E125" s="121" t="s">
        <v>3190</v>
      </c>
      <c r="F125" s="121" t="s">
        <v>3818</v>
      </c>
    </row>
    <row r="126">
      <c r="A126" s="121">
        <v>125.0</v>
      </c>
      <c r="B126" s="121" t="s">
        <v>3609</v>
      </c>
      <c r="C126" s="121" t="s">
        <v>3664</v>
      </c>
      <c r="D126" s="121" t="s">
        <v>3772</v>
      </c>
      <c r="E126" s="121" t="s">
        <v>3201</v>
      </c>
      <c r="F126" s="121" t="s">
        <v>3819</v>
      </c>
    </row>
    <row r="127">
      <c r="A127" s="121">
        <v>126.0</v>
      </c>
      <c r="B127" s="121" t="s">
        <v>3609</v>
      </c>
      <c r="C127" s="121" t="s">
        <v>3664</v>
      </c>
      <c r="D127" s="121" t="s">
        <v>3772</v>
      </c>
      <c r="E127" s="121" t="s">
        <v>3214</v>
      </c>
      <c r="F127" s="121" t="s">
        <v>3820</v>
      </c>
    </row>
    <row r="128">
      <c r="A128" s="121">
        <v>127.0</v>
      </c>
      <c r="B128" s="121" t="s">
        <v>3609</v>
      </c>
      <c r="C128" s="121" t="s">
        <v>3664</v>
      </c>
      <c r="D128" s="121" t="s">
        <v>3772</v>
      </c>
      <c r="E128" s="121" t="s">
        <v>3227</v>
      </c>
      <c r="F128" s="121" t="s">
        <v>3821</v>
      </c>
    </row>
    <row r="129">
      <c r="A129" s="121">
        <v>128.0</v>
      </c>
      <c r="B129" s="121" t="s">
        <v>3609</v>
      </c>
      <c r="C129" s="121" t="s">
        <v>3664</v>
      </c>
      <c r="D129" s="121" t="s">
        <v>3772</v>
      </c>
      <c r="E129" s="121" t="s">
        <v>3238</v>
      </c>
      <c r="F129" s="121" t="s">
        <v>3822</v>
      </c>
    </row>
    <row r="130">
      <c r="A130" s="121">
        <v>129.0</v>
      </c>
      <c r="B130" s="121" t="s">
        <v>3609</v>
      </c>
      <c r="C130" s="121" t="s">
        <v>3615</v>
      </c>
      <c r="D130" s="121" t="s">
        <v>3772</v>
      </c>
      <c r="E130" s="121" t="s">
        <v>3251</v>
      </c>
      <c r="F130" s="121" t="s">
        <v>3823</v>
      </c>
    </row>
    <row r="131">
      <c r="A131" s="121">
        <v>130.0</v>
      </c>
      <c r="B131" s="121" t="s">
        <v>3609</v>
      </c>
      <c r="C131" s="121" t="s">
        <v>3615</v>
      </c>
      <c r="D131" s="121" t="s">
        <v>3772</v>
      </c>
      <c r="E131" s="121" t="s">
        <v>3264</v>
      </c>
      <c r="F131" s="121" t="s">
        <v>3824</v>
      </c>
    </row>
    <row r="132">
      <c r="A132" s="121">
        <v>131.0</v>
      </c>
      <c r="B132" s="121" t="s">
        <v>3609</v>
      </c>
      <c r="C132" s="121" t="s">
        <v>3615</v>
      </c>
      <c r="D132" s="121" t="s">
        <v>3772</v>
      </c>
      <c r="E132" s="121" t="s">
        <v>3277</v>
      </c>
      <c r="F132" s="122" t="s">
        <v>3825</v>
      </c>
    </row>
    <row r="133">
      <c r="A133" s="121">
        <v>132.0</v>
      </c>
      <c r="B133" s="121" t="s">
        <v>3609</v>
      </c>
      <c r="C133" s="121" t="s">
        <v>3615</v>
      </c>
      <c r="D133" s="121" t="s">
        <v>3772</v>
      </c>
      <c r="E133" s="121" t="s">
        <v>3291</v>
      </c>
      <c r="F133" s="121" t="s">
        <v>3826</v>
      </c>
    </row>
    <row r="134">
      <c r="A134" s="121">
        <v>133.0</v>
      </c>
      <c r="B134" s="121" t="s">
        <v>3609</v>
      </c>
      <c r="C134" s="121" t="s">
        <v>3615</v>
      </c>
      <c r="D134" s="121" t="s">
        <v>3772</v>
      </c>
      <c r="E134" s="121" t="s">
        <v>3302</v>
      </c>
      <c r="F134" s="121" t="s">
        <v>3827</v>
      </c>
    </row>
    <row r="135">
      <c r="A135" s="121">
        <v>134.0</v>
      </c>
      <c r="B135" s="121" t="s">
        <v>3671</v>
      </c>
      <c r="C135" s="121" t="s">
        <v>3672</v>
      </c>
      <c r="D135" s="121" t="s">
        <v>3772</v>
      </c>
      <c r="E135" s="121" t="s">
        <v>3537</v>
      </c>
      <c r="F135" s="121" t="s">
        <v>3538</v>
      </c>
    </row>
    <row r="136">
      <c r="A136" s="121">
        <v>135.0</v>
      </c>
      <c r="B136" s="121" t="s">
        <v>3671</v>
      </c>
      <c r="C136" s="121" t="s">
        <v>3672</v>
      </c>
      <c r="D136" s="121" t="s">
        <v>3772</v>
      </c>
      <c r="E136" s="121" t="s">
        <v>3551</v>
      </c>
      <c r="F136" s="121" t="s">
        <v>3552</v>
      </c>
    </row>
    <row r="137">
      <c r="A137" s="121">
        <v>136.0</v>
      </c>
      <c r="B137" s="121" t="s">
        <v>3671</v>
      </c>
      <c r="C137" s="121" t="s">
        <v>3672</v>
      </c>
      <c r="D137" s="121" t="s">
        <v>3772</v>
      </c>
      <c r="E137" s="121" t="s">
        <v>3565</v>
      </c>
      <c r="F137" s="121" t="s">
        <v>3566</v>
      </c>
    </row>
    <row r="138">
      <c r="A138" s="121">
        <v>137.0</v>
      </c>
      <c r="B138" s="121" t="s">
        <v>3671</v>
      </c>
      <c r="C138" s="121" t="s">
        <v>3672</v>
      </c>
      <c r="D138" s="121" t="s">
        <v>3772</v>
      </c>
      <c r="E138" s="121" t="s">
        <v>3577</v>
      </c>
      <c r="F138" s="121" t="s">
        <v>3578</v>
      </c>
    </row>
    <row r="139">
      <c r="A139" s="121">
        <v>138.0</v>
      </c>
      <c r="B139" s="121" t="s">
        <v>3593</v>
      </c>
      <c r="C139" s="121" t="s">
        <v>3644</v>
      </c>
      <c r="D139" s="121" t="s">
        <v>3828</v>
      </c>
      <c r="E139" s="121" t="s">
        <v>3829</v>
      </c>
      <c r="F139" s="121" t="s">
        <v>3830</v>
      </c>
    </row>
    <row r="140">
      <c r="A140" s="121">
        <v>139.0</v>
      </c>
      <c r="B140" s="121" t="s">
        <v>3593</v>
      </c>
      <c r="C140" s="121" t="s">
        <v>3644</v>
      </c>
      <c r="D140" s="121" t="s">
        <v>3828</v>
      </c>
      <c r="E140" s="121" t="s">
        <v>3831</v>
      </c>
      <c r="F140" s="122" t="s">
        <v>3832</v>
      </c>
    </row>
    <row r="141">
      <c r="A141" s="121">
        <v>140.0</v>
      </c>
      <c r="B141" s="121" t="s">
        <v>3593</v>
      </c>
      <c r="C141" s="121" t="s">
        <v>3644</v>
      </c>
      <c r="D141" s="121" t="s">
        <v>3828</v>
      </c>
      <c r="E141" s="121" t="s">
        <v>3833</v>
      </c>
      <c r="F141" s="121" t="s">
        <v>3834</v>
      </c>
    </row>
    <row r="142">
      <c r="A142" s="121">
        <v>141.0</v>
      </c>
      <c r="B142" s="121" t="s">
        <v>3593</v>
      </c>
      <c r="C142" s="121" t="s">
        <v>3644</v>
      </c>
      <c r="D142" s="121" t="s">
        <v>3828</v>
      </c>
      <c r="E142" s="121" t="s">
        <v>3835</v>
      </c>
      <c r="F142" s="121" t="s">
        <v>3836</v>
      </c>
    </row>
    <row r="143">
      <c r="A143" s="121">
        <v>142.0</v>
      </c>
      <c r="B143" s="121" t="s">
        <v>3593</v>
      </c>
      <c r="C143" s="121" t="s">
        <v>3644</v>
      </c>
      <c r="D143" s="121" t="s">
        <v>3828</v>
      </c>
      <c r="E143" s="121" t="s">
        <v>3837</v>
      </c>
      <c r="F143" s="121" t="s">
        <v>3838</v>
      </c>
    </row>
    <row r="144">
      <c r="A144" s="121">
        <v>143.0</v>
      </c>
      <c r="B144" s="121" t="s">
        <v>3593</v>
      </c>
      <c r="C144" s="121" t="s">
        <v>3644</v>
      </c>
      <c r="D144" s="121" t="s">
        <v>3828</v>
      </c>
      <c r="E144" s="121" t="s">
        <v>3839</v>
      </c>
      <c r="F144" s="121" t="s">
        <v>3840</v>
      </c>
    </row>
    <row r="145">
      <c r="A145" s="121">
        <v>144.0</v>
      </c>
      <c r="B145" s="121" t="s">
        <v>3593</v>
      </c>
      <c r="C145" s="121" t="s">
        <v>3644</v>
      </c>
      <c r="D145" s="121" t="s">
        <v>3828</v>
      </c>
      <c r="E145" s="121" t="s">
        <v>3841</v>
      </c>
      <c r="F145" s="121" t="s">
        <v>3842</v>
      </c>
    </row>
    <row r="146">
      <c r="A146" s="121">
        <v>145.0</v>
      </c>
      <c r="B146" s="121" t="s">
        <v>3593</v>
      </c>
      <c r="C146" s="121" t="s">
        <v>3644</v>
      </c>
      <c r="D146" s="121" t="s">
        <v>3828</v>
      </c>
      <c r="E146" s="121" t="s">
        <v>3843</v>
      </c>
      <c r="F146" s="121" t="s">
        <v>3844</v>
      </c>
    </row>
    <row r="147">
      <c r="A147" s="121">
        <v>146.0</v>
      </c>
      <c r="B147" s="121" t="s">
        <v>3593</v>
      </c>
      <c r="C147" s="121" t="s">
        <v>3594</v>
      </c>
      <c r="D147" s="121" t="s">
        <v>3828</v>
      </c>
      <c r="E147" s="121" t="s">
        <v>3845</v>
      </c>
      <c r="F147" s="121" t="s">
        <v>3846</v>
      </c>
    </row>
    <row r="148">
      <c r="A148" s="121">
        <v>147.0</v>
      </c>
      <c r="B148" s="121" t="s">
        <v>3593</v>
      </c>
      <c r="C148" s="121" t="s">
        <v>3594</v>
      </c>
      <c r="D148" s="121" t="s">
        <v>3828</v>
      </c>
      <c r="E148" s="121" t="s">
        <v>3847</v>
      </c>
      <c r="F148" s="121" t="s">
        <v>3848</v>
      </c>
    </row>
    <row r="149">
      <c r="A149" s="121">
        <v>148.0</v>
      </c>
      <c r="B149" s="121" t="s">
        <v>3593</v>
      </c>
      <c r="C149" s="121" t="s">
        <v>3594</v>
      </c>
      <c r="D149" s="121" t="s">
        <v>3828</v>
      </c>
      <c r="E149" s="121" t="s">
        <v>3849</v>
      </c>
      <c r="F149" s="121" t="s">
        <v>3850</v>
      </c>
    </row>
    <row r="150">
      <c r="A150" s="121">
        <v>149.0</v>
      </c>
      <c r="B150" s="121" t="s">
        <v>3593</v>
      </c>
      <c r="C150" s="121" t="s">
        <v>3594</v>
      </c>
      <c r="D150" s="121" t="s">
        <v>3828</v>
      </c>
      <c r="E150" s="121" t="s">
        <v>3851</v>
      </c>
      <c r="F150" s="121" t="s">
        <v>3852</v>
      </c>
    </row>
    <row r="151">
      <c r="A151" s="121">
        <v>150.0</v>
      </c>
      <c r="B151" s="121" t="s">
        <v>3593</v>
      </c>
      <c r="C151" s="121" t="s">
        <v>3594</v>
      </c>
      <c r="D151" s="121" t="s">
        <v>3828</v>
      </c>
      <c r="E151" s="121" t="s">
        <v>3853</v>
      </c>
      <c r="F151" s="121" t="s">
        <v>3854</v>
      </c>
    </row>
    <row r="152">
      <c r="A152" s="121">
        <v>151.0</v>
      </c>
      <c r="B152" s="121" t="s">
        <v>3593</v>
      </c>
      <c r="C152" s="121" t="s">
        <v>3594</v>
      </c>
      <c r="D152" s="121" t="s">
        <v>3828</v>
      </c>
      <c r="E152" s="121" t="s">
        <v>3855</v>
      </c>
      <c r="F152" s="121" t="s">
        <v>3856</v>
      </c>
    </row>
    <row r="153">
      <c r="A153" s="121">
        <v>152.0</v>
      </c>
      <c r="B153" s="121" t="s">
        <v>3593</v>
      </c>
      <c r="C153" s="121" t="s">
        <v>3600</v>
      </c>
      <c r="D153" s="121" t="s">
        <v>3828</v>
      </c>
      <c r="E153" s="121" t="s">
        <v>3857</v>
      </c>
      <c r="F153" s="121" t="s">
        <v>3858</v>
      </c>
    </row>
    <row r="154">
      <c r="A154" s="121">
        <v>153.0</v>
      </c>
      <c r="B154" s="121" t="s">
        <v>3593</v>
      </c>
      <c r="C154" s="121" t="s">
        <v>3600</v>
      </c>
      <c r="D154" s="121" t="s">
        <v>3828</v>
      </c>
      <c r="E154" s="121" t="s">
        <v>3859</v>
      </c>
      <c r="F154" s="121" t="s">
        <v>3860</v>
      </c>
    </row>
    <row r="155">
      <c r="A155" s="121">
        <v>154.0</v>
      </c>
      <c r="B155" s="121" t="s">
        <v>3593</v>
      </c>
      <c r="C155" s="121" t="s">
        <v>3600</v>
      </c>
      <c r="D155" s="121" t="s">
        <v>3828</v>
      </c>
      <c r="E155" s="121" t="s">
        <v>3861</v>
      </c>
      <c r="F155" s="121" t="s">
        <v>3862</v>
      </c>
    </row>
    <row r="156">
      <c r="A156" s="121">
        <v>155.0</v>
      </c>
      <c r="B156" s="121" t="s">
        <v>3593</v>
      </c>
      <c r="C156" s="121" t="s">
        <v>3600</v>
      </c>
      <c r="D156" s="121" t="s">
        <v>3828</v>
      </c>
      <c r="E156" s="121" t="s">
        <v>3863</v>
      </c>
      <c r="F156" s="121" t="s">
        <v>3864</v>
      </c>
    </row>
    <row r="157">
      <c r="A157" s="121">
        <v>156.0</v>
      </c>
      <c r="B157" s="121" t="s">
        <v>3593</v>
      </c>
      <c r="C157" s="121" t="s">
        <v>3600</v>
      </c>
      <c r="D157" s="121" t="s">
        <v>3828</v>
      </c>
      <c r="E157" s="121" t="s">
        <v>3865</v>
      </c>
      <c r="F157" s="121" t="s">
        <v>3866</v>
      </c>
    </row>
    <row r="158">
      <c r="A158" s="121">
        <v>157.0</v>
      </c>
      <c r="B158" s="121" t="s">
        <v>3593</v>
      </c>
      <c r="C158" s="121" t="s">
        <v>3622</v>
      </c>
      <c r="D158" s="121" t="s">
        <v>3828</v>
      </c>
      <c r="E158" s="121" t="s">
        <v>3867</v>
      </c>
      <c r="F158" s="121" t="s">
        <v>3868</v>
      </c>
    </row>
    <row r="159">
      <c r="A159" s="121">
        <v>158.0</v>
      </c>
      <c r="B159" s="121" t="s">
        <v>3593</v>
      </c>
      <c r="C159" s="121" t="s">
        <v>3622</v>
      </c>
      <c r="D159" s="121" t="s">
        <v>3828</v>
      </c>
      <c r="E159" s="121" t="s">
        <v>3869</v>
      </c>
      <c r="F159" s="121" t="s">
        <v>3870</v>
      </c>
    </row>
    <row r="160">
      <c r="A160" s="121">
        <v>159.0</v>
      </c>
      <c r="B160" s="121" t="s">
        <v>3593</v>
      </c>
      <c r="C160" s="121" t="s">
        <v>3622</v>
      </c>
      <c r="D160" s="121" t="s">
        <v>3828</v>
      </c>
      <c r="E160" s="121" t="s">
        <v>3871</v>
      </c>
      <c r="F160" s="122" t="s">
        <v>3872</v>
      </c>
    </row>
    <row r="161">
      <c r="A161" s="121">
        <v>160.0</v>
      </c>
      <c r="B161" s="121" t="s">
        <v>3593</v>
      </c>
      <c r="C161" s="121" t="s">
        <v>3622</v>
      </c>
      <c r="D161" s="121" t="s">
        <v>3828</v>
      </c>
      <c r="E161" s="121" t="s">
        <v>3873</v>
      </c>
      <c r="F161" s="121" t="s">
        <v>3874</v>
      </c>
    </row>
    <row r="162">
      <c r="A162" s="121">
        <v>161.0</v>
      </c>
      <c r="B162" s="121" t="s">
        <v>3593</v>
      </c>
      <c r="C162" s="121" t="s">
        <v>3622</v>
      </c>
      <c r="D162" s="121" t="s">
        <v>3828</v>
      </c>
      <c r="E162" s="121" t="s">
        <v>3875</v>
      </c>
      <c r="F162" s="121" t="s">
        <v>3876</v>
      </c>
    </row>
    <row r="163">
      <c r="A163" s="121">
        <v>162.0</v>
      </c>
      <c r="B163" s="121" t="s">
        <v>3605</v>
      </c>
      <c r="C163" s="121" t="s">
        <v>3606</v>
      </c>
      <c r="D163" s="121" t="s">
        <v>3828</v>
      </c>
      <c r="E163" s="121" t="s">
        <v>3877</v>
      </c>
      <c r="F163" s="121" t="s">
        <v>3878</v>
      </c>
    </row>
    <row r="164">
      <c r="A164" s="121">
        <v>163.0</v>
      </c>
      <c r="B164" s="121" t="s">
        <v>3605</v>
      </c>
      <c r="C164" s="121" t="s">
        <v>3606</v>
      </c>
      <c r="D164" s="121" t="s">
        <v>3828</v>
      </c>
      <c r="E164" s="121" t="s">
        <v>3879</v>
      </c>
      <c r="F164" s="121" t="s">
        <v>3880</v>
      </c>
    </row>
    <row r="165">
      <c r="A165" s="121">
        <v>164.0</v>
      </c>
      <c r="B165" s="121" t="s">
        <v>3605</v>
      </c>
      <c r="C165" s="121" t="s">
        <v>3606</v>
      </c>
      <c r="D165" s="121" t="s">
        <v>3828</v>
      </c>
      <c r="E165" s="121" t="s">
        <v>3881</v>
      </c>
      <c r="F165" s="122" t="s">
        <v>3882</v>
      </c>
    </row>
    <row r="166">
      <c r="A166" s="121">
        <v>165.0</v>
      </c>
      <c r="B166" s="121" t="s">
        <v>3605</v>
      </c>
      <c r="C166" s="121" t="s">
        <v>3606</v>
      </c>
      <c r="D166" s="121" t="s">
        <v>3828</v>
      </c>
      <c r="E166" s="121" t="s">
        <v>3883</v>
      </c>
      <c r="F166" s="121" t="s">
        <v>3884</v>
      </c>
    </row>
    <row r="167">
      <c r="A167" s="121">
        <v>166.0</v>
      </c>
      <c r="B167" s="121" t="s">
        <v>3605</v>
      </c>
      <c r="C167" s="121" t="s">
        <v>3606</v>
      </c>
      <c r="D167" s="121" t="s">
        <v>3828</v>
      </c>
      <c r="E167" s="121" t="s">
        <v>3885</v>
      </c>
      <c r="F167" s="121" t="s">
        <v>3886</v>
      </c>
    </row>
    <row r="168">
      <c r="A168" s="121">
        <v>167.0</v>
      </c>
      <c r="B168" s="121" t="s">
        <v>3605</v>
      </c>
      <c r="C168" s="121" t="s">
        <v>3606</v>
      </c>
      <c r="D168" s="121" t="s">
        <v>3828</v>
      </c>
      <c r="E168" s="121" t="s">
        <v>3887</v>
      </c>
      <c r="F168" s="122" t="s">
        <v>3888</v>
      </c>
    </row>
    <row r="169">
      <c r="A169" s="121">
        <v>168.0</v>
      </c>
      <c r="B169" s="121" t="s">
        <v>3605</v>
      </c>
      <c r="C169" s="121" t="s">
        <v>3606</v>
      </c>
      <c r="D169" s="121" t="s">
        <v>3828</v>
      </c>
      <c r="E169" s="121" t="s">
        <v>3889</v>
      </c>
      <c r="F169" s="121" t="s">
        <v>3890</v>
      </c>
    </row>
    <row r="170">
      <c r="A170" s="121">
        <v>169.0</v>
      </c>
      <c r="B170" s="121" t="s">
        <v>3605</v>
      </c>
      <c r="C170" s="121" t="s">
        <v>3654</v>
      </c>
      <c r="D170" s="121" t="s">
        <v>3828</v>
      </c>
      <c r="E170" s="121" t="s">
        <v>3891</v>
      </c>
      <c r="F170" s="121" t="s">
        <v>3892</v>
      </c>
    </row>
    <row r="171">
      <c r="A171" s="121">
        <v>170.0</v>
      </c>
      <c r="B171" s="121" t="s">
        <v>3605</v>
      </c>
      <c r="C171" s="121" t="s">
        <v>3654</v>
      </c>
      <c r="D171" s="121" t="s">
        <v>3828</v>
      </c>
      <c r="E171" s="121" t="s">
        <v>3893</v>
      </c>
      <c r="F171" s="121" t="s">
        <v>3894</v>
      </c>
    </row>
    <row r="172">
      <c r="A172" s="121">
        <v>171.0</v>
      </c>
      <c r="B172" s="121" t="s">
        <v>3605</v>
      </c>
      <c r="C172" s="121" t="s">
        <v>3654</v>
      </c>
      <c r="D172" s="121" t="s">
        <v>3828</v>
      </c>
      <c r="E172" s="121" t="s">
        <v>3895</v>
      </c>
      <c r="F172" s="121" t="s">
        <v>3896</v>
      </c>
    </row>
    <row r="173">
      <c r="A173" s="121">
        <v>172.0</v>
      </c>
      <c r="B173" s="121" t="s">
        <v>3605</v>
      </c>
      <c r="C173" s="121" t="s">
        <v>3654</v>
      </c>
      <c r="D173" s="121" t="s">
        <v>3828</v>
      </c>
      <c r="E173" s="121" t="s">
        <v>3897</v>
      </c>
      <c r="F173" s="121" t="s">
        <v>3898</v>
      </c>
    </row>
    <row r="174">
      <c r="A174" s="121">
        <v>173.0</v>
      </c>
      <c r="B174" s="121" t="s">
        <v>3605</v>
      </c>
      <c r="C174" s="121" t="s">
        <v>3654</v>
      </c>
      <c r="D174" s="121" t="s">
        <v>3828</v>
      </c>
      <c r="E174" s="121" t="s">
        <v>3899</v>
      </c>
      <c r="F174" s="121" t="s">
        <v>3900</v>
      </c>
    </row>
    <row r="175">
      <c r="A175" s="121">
        <v>174.0</v>
      </c>
      <c r="B175" s="121" t="s">
        <v>3605</v>
      </c>
      <c r="C175" s="121" t="s">
        <v>3654</v>
      </c>
      <c r="D175" s="121" t="s">
        <v>3828</v>
      </c>
      <c r="E175" s="121" t="s">
        <v>3901</v>
      </c>
      <c r="F175" s="121" t="s">
        <v>3902</v>
      </c>
    </row>
    <row r="176">
      <c r="A176" s="121">
        <v>175.0</v>
      </c>
      <c r="B176" s="121" t="s">
        <v>3605</v>
      </c>
      <c r="C176" s="121" t="s">
        <v>3654</v>
      </c>
      <c r="D176" s="121" t="s">
        <v>3828</v>
      </c>
      <c r="E176" s="121" t="s">
        <v>3903</v>
      </c>
      <c r="F176" s="121" t="s">
        <v>3904</v>
      </c>
    </row>
    <row r="177">
      <c r="A177" s="121">
        <v>176.0</v>
      </c>
      <c r="B177" s="121" t="s">
        <v>3605</v>
      </c>
      <c r="C177" s="121" t="s">
        <v>3654</v>
      </c>
      <c r="D177" s="121" t="s">
        <v>3828</v>
      </c>
      <c r="E177" s="121" t="s">
        <v>3905</v>
      </c>
      <c r="F177" s="122" t="s">
        <v>3906</v>
      </c>
    </row>
    <row r="178">
      <c r="A178" s="121">
        <v>177.0</v>
      </c>
      <c r="B178" s="121" t="s">
        <v>3605</v>
      </c>
      <c r="C178" s="121" t="s">
        <v>3636</v>
      </c>
      <c r="D178" s="121" t="s">
        <v>3828</v>
      </c>
      <c r="E178" s="121" t="s">
        <v>3907</v>
      </c>
      <c r="F178" s="121" t="s">
        <v>3908</v>
      </c>
    </row>
    <row r="179">
      <c r="A179" s="121">
        <v>178.0</v>
      </c>
      <c r="B179" s="121" t="s">
        <v>3605</v>
      </c>
      <c r="C179" s="121" t="s">
        <v>3636</v>
      </c>
      <c r="D179" s="121" t="s">
        <v>3828</v>
      </c>
      <c r="E179" s="121" t="s">
        <v>3909</v>
      </c>
      <c r="F179" s="121" t="s">
        <v>3910</v>
      </c>
    </row>
    <row r="180">
      <c r="A180" s="121">
        <v>179.0</v>
      </c>
      <c r="B180" s="121" t="s">
        <v>3605</v>
      </c>
      <c r="C180" s="121" t="s">
        <v>3636</v>
      </c>
      <c r="D180" s="121" t="s">
        <v>3828</v>
      </c>
      <c r="E180" s="121" t="s">
        <v>3911</v>
      </c>
      <c r="F180" s="121" t="s">
        <v>3912</v>
      </c>
    </row>
    <row r="181">
      <c r="A181" s="121">
        <v>180.0</v>
      </c>
      <c r="B181" s="121" t="s">
        <v>3605</v>
      </c>
      <c r="C181" s="121" t="s">
        <v>3659</v>
      </c>
      <c r="D181" s="121" t="s">
        <v>3828</v>
      </c>
      <c r="E181" s="121" t="s">
        <v>3913</v>
      </c>
      <c r="F181" s="121" t="s">
        <v>3914</v>
      </c>
    </row>
    <row r="182">
      <c r="A182" s="121">
        <v>181.0</v>
      </c>
      <c r="B182" s="121" t="s">
        <v>3605</v>
      </c>
      <c r="C182" s="121" t="s">
        <v>3659</v>
      </c>
      <c r="D182" s="121" t="s">
        <v>3828</v>
      </c>
      <c r="E182" s="121" t="s">
        <v>3915</v>
      </c>
      <c r="F182" s="121" t="s">
        <v>3916</v>
      </c>
    </row>
    <row r="183">
      <c r="A183" s="121">
        <v>182.0</v>
      </c>
      <c r="B183" s="121" t="s">
        <v>3605</v>
      </c>
      <c r="C183" s="121" t="s">
        <v>3659</v>
      </c>
      <c r="D183" s="121" t="s">
        <v>3828</v>
      </c>
      <c r="E183" s="121" t="s">
        <v>3917</v>
      </c>
      <c r="F183" s="121" t="s">
        <v>3918</v>
      </c>
    </row>
    <row r="184">
      <c r="A184" s="121">
        <v>183.0</v>
      </c>
      <c r="B184" s="121" t="s">
        <v>3605</v>
      </c>
      <c r="C184" s="121" t="s">
        <v>3659</v>
      </c>
      <c r="D184" s="121" t="s">
        <v>3828</v>
      </c>
      <c r="E184" s="121" t="s">
        <v>3919</v>
      </c>
      <c r="F184" s="122" t="s">
        <v>3920</v>
      </c>
    </row>
    <row r="185">
      <c r="A185" s="121">
        <v>184.0</v>
      </c>
      <c r="B185" s="121" t="s">
        <v>3605</v>
      </c>
      <c r="C185" s="121" t="s">
        <v>3659</v>
      </c>
      <c r="D185" s="121" t="s">
        <v>3828</v>
      </c>
      <c r="E185" s="121" t="s">
        <v>3921</v>
      </c>
      <c r="F185" s="121" t="s">
        <v>3922</v>
      </c>
    </row>
    <row r="186">
      <c r="A186" s="121">
        <v>185.0</v>
      </c>
      <c r="B186" s="121" t="s">
        <v>3605</v>
      </c>
      <c r="C186" s="121" t="s">
        <v>3659</v>
      </c>
      <c r="D186" s="121" t="s">
        <v>3828</v>
      </c>
      <c r="E186" s="121" t="s">
        <v>3923</v>
      </c>
      <c r="F186" s="122" t="s">
        <v>3924</v>
      </c>
    </row>
    <row r="187">
      <c r="A187" s="121">
        <v>186.0</v>
      </c>
      <c r="B187" s="121" t="s">
        <v>3609</v>
      </c>
      <c r="C187" s="121" t="s">
        <v>3639</v>
      </c>
      <c r="D187" s="121" t="s">
        <v>3828</v>
      </c>
      <c r="E187" s="121" t="s">
        <v>3925</v>
      </c>
      <c r="F187" s="121" t="s">
        <v>3926</v>
      </c>
    </row>
    <row r="188">
      <c r="A188" s="121">
        <v>187.0</v>
      </c>
      <c r="B188" s="121" t="s">
        <v>3609</v>
      </c>
      <c r="C188" s="121" t="s">
        <v>3639</v>
      </c>
      <c r="D188" s="121" t="s">
        <v>3828</v>
      </c>
      <c r="E188" s="121" t="s">
        <v>3927</v>
      </c>
      <c r="F188" s="121" t="s">
        <v>3928</v>
      </c>
    </row>
    <row r="189">
      <c r="A189" s="121">
        <v>188.0</v>
      </c>
      <c r="B189" s="121" t="s">
        <v>3609</v>
      </c>
      <c r="C189" s="121" t="s">
        <v>3639</v>
      </c>
      <c r="D189" s="121" t="s">
        <v>3828</v>
      </c>
      <c r="E189" s="121" t="s">
        <v>3929</v>
      </c>
      <c r="F189" s="121" t="s">
        <v>3930</v>
      </c>
    </row>
    <row r="190">
      <c r="A190" s="121">
        <v>189.0</v>
      </c>
      <c r="B190" s="121" t="s">
        <v>3609</v>
      </c>
      <c r="C190" s="121" t="s">
        <v>3639</v>
      </c>
      <c r="D190" s="121" t="s">
        <v>3828</v>
      </c>
      <c r="E190" s="121" t="s">
        <v>3931</v>
      </c>
      <c r="F190" s="121" t="s">
        <v>3932</v>
      </c>
    </row>
    <row r="191">
      <c r="A191" s="121">
        <v>190.0</v>
      </c>
      <c r="B191" s="121" t="s">
        <v>3609</v>
      </c>
      <c r="C191" s="121" t="s">
        <v>3639</v>
      </c>
      <c r="D191" s="121" t="s">
        <v>3828</v>
      </c>
      <c r="E191" s="121" t="s">
        <v>3933</v>
      </c>
      <c r="F191" s="121" t="s">
        <v>3934</v>
      </c>
    </row>
    <row r="192">
      <c r="A192" s="121">
        <v>191.0</v>
      </c>
      <c r="B192" s="121" t="s">
        <v>3609</v>
      </c>
      <c r="C192" s="121" t="s">
        <v>3639</v>
      </c>
      <c r="D192" s="121" t="s">
        <v>3828</v>
      </c>
      <c r="E192" s="121" t="s">
        <v>3935</v>
      </c>
      <c r="F192" s="121" t="s">
        <v>3936</v>
      </c>
    </row>
    <row r="193">
      <c r="A193" s="121">
        <v>192.0</v>
      </c>
      <c r="B193" s="121" t="s">
        <v>3609</v>
      </c>
      <c r="C193" s="121" t="s">
        <v>3664</v>
      </c>
      <c r="D193" s="121" t="s">
        <v>3828</v>
      </c>
      <c r="E193" s="121" t="s">
        <v>3937</v>
      </c>
      <c r="F193" s="121" t="s">
        <v>3938</v>
      </c>
    </row>
    <row r="194">
      <c r="A194" s="121">
        <v>193.0</v>
      </c>
      <c r="B194" s="121" t="s">
        <v>3609</v>
      </c>
      <c r="C194" s="121" t="s">
        <v>3664</v>
      </c>
      <c r="D194" s="121" t="s">
        <v>3828</v>
      </c>
      <c r="E194" s="121" t="s">
        <v>3939</v>
      </c>
      <c r="F194" s="121" t="s">
        <v>3940</v>
      </c>
    </row>
    <row r="195">
      <c r="A195" s="121">
        <v>194.0</v>
      </c>
      <c r="B195" s="121" t="s">
        <v>3609</v>
      </c>
      <c r="C195" s="121" t="s">
        <v>3664</v>
      </c>
      <c r="D195" s="121" t="s">
        <v>3828</v>
      </c>
      <c r="E195" s="121" t="s">
        <v>3941</v>
      </c>
      <c r="F195" s="122" t="s">
        <v>3942</v>
      </c>
    </row>
    <row r="196">
      <c r="A196" s="121">
        <v>195.0</v>
      </c>
      <c r="B196" s="121" t="s">
        <v>3609</v>
      </c>
      <c r="C196" s="121" t="s">
        <v>3664</v>
      </c>
      <c r="D196" s="121" t="s">
        <v>3828</v>
      </c>
      <c r="E196" s="121" t="s">
        <v>3943</v>
      </c>
      <c r="F196" s="121" t="s">
        <v>3944</v>
      </c>
    </row>
    <row r="197">
      <c r="A197" s="121">
        <v>196.0</v>
      </c>
      <c r="B197" s="121" t="s">
        <v>3609</v>
      </c>
      <c r="C197" s="121" t="s">
        <v>3664</v>
      </c>
      <c r="D197" s="121" t="s">
        <v>3828</v>
      </c>
      <c r="E197" s="121" t="s">
        <v>3945</v>
      </c>
      <c r="F197" s="121" t="s">
        <v>3946</v>
      </c>
    </row>
    <row r="198">
      <c r="A198" s="121">
        <v>197.0</v>
      </c>
      <c r="B198" s="121" t="s">
        <v>3609</v>
      </c>
      <c r="C198" s="121" t="s">
        <v>3664</v>
      </c>
      <c r="D198" s="121" t="s">
        <v>3828</v>
      </c>
      <c r="E198" s="121" t="s">
        <v>3947</v>
      </c>
      <c r="F198" s="121" t="s">
        <v>3948</v>
      </c>
    </row>
    <row r="199">
      <c r="A199" s="121">
        <v>198.0</v>
      </c>
      <c r="B199" s="121" t="s">
        <v>3609</v>
      </c>
      <c r="C199" s="121" t="s">
        <v>3664</v>
      </c>
      <c r="D199" s="121" t="s">
        <v>3828</v>
      </c>
      <c r="E199" s="121" t="s">
        <v>3949</v>
      </c>
      <c r="F199" s="121" t="s">
        <v>3950</v>
      </c>
    </row>
    <row r="200">
      <c r="A200" s="121">
        <v>199.0</v>
      </c>
      <c r="B200" s="121" t="s">
        <v>3609</v>
      </c>
      <c r="C200" s="121" t="s">
        <v>3615</v>
      </c>
      <c r="D200" s="121" t="s">
        <v>3828</v>
      </c>
      <c r="E200" s="121" t="s">
        <v>3951</v>
      </c>
      <c r="F200" s="121" t="s">
        <v>3952</v>
      </c>
    </row>
    <row r="201">
      <c r="A201" s="121">
        <v>200.0</v>
      </c>
      <c r="B201" s="121" t="s">
        <v>3609</v>
      </c>
      <c r="C201" s="121" t="s">
        <v>3615</v>
      </c>
      <c r="D201" s="121" t="s">
        <v>3828</v>
      </c>
      <c r="E201" s="121" t="s">
        <v>3953</v>
      </c>
      <c r="F201" s="121" t="s">
        <v>3954</v>
      </c>
    </row>
    <row r="202">
      <c r="A202" s="121">
        <v>201.0</v>
      </c>
      <c r="B202" s="121" t="s">
        <v>3609</v>
      </c>
      <c r="C202" s="121" t="s">
        <v>3615</v>
      </c>
      <c r="D202" s="121" t="s">
        <v>3828</v>
      </c>
      <c r="E202" s="121" t="s">
        <v>3955</v>
      </c>
      <c r="F202" s="121" t="s">
        <v>3956</v>
      </c>
    </row>
    <row r="203">
      <c r="A203" s="121">
        <v>202.0</v>
      </c>
      <c r="B203" s="121" t="s">
        <v>3609</v>
      </c>
      <c r="C203" s="121" t="s">
        <v>3615</v>
      </c>
      <c r="D203" s="121" t="s">
        <v>3828</v>
      </c>
      <c r="E203" s="121" t="s">
        <v>3957</v>
      </c>
      <c r="F203" s="122" t="s">
        <v>3958</v>
      </c>
    </row>
    <row r="204">
      <c r="A204" s="121">
        <v>203.0</v>
      </c>
      <c r="B204" s="121" t="s">
        <v>3609</v>
      </c>
      <c r="C204" s="121" t="s">
        <v>3615</v>
      </c>
      <c r="D204" s="121" t="s">
        <v>3828</v>
      </c>
      <c r="E204" s="121" t="s">
        <v>3959</v>
      </c>
      <c r="F204" s="121" t="s">
        <v>3960</v>
      </c>
    </row>
    <row r="205">
      <c r="A205" s="121">
        <v>204.0</v>
      </c>
      <c r="B205" s="121" t="s">
        <v>3609</v>
      </c>
      <c r="C205" s="121" t="s">
        <v>3615</v>
      </c>
      <c r="D205" s="121" t="s">
        <v>3828</v>
      </c>
      <c r="E205" s="121" t="s">
        <v>3961</v>
      </c>
      <c r="F205" s="121" t="s">
        <v>3962</v>
      </c>
    </row>
    <row r="206">
      <c r="A206" s="121">
        <v>205.0</v>
      </c>
      <c r="B206" s="121" t="s">
        <v>3671</v>
      </c>
      <c r="C206" s="121" t="s">
        <v>3672</v>
      </c>
      <c r="D206" s="121" t="s">
        <v>3828</v>
      </c>
      <c r="E206" s="121" t="s">
        <v>3963</v>
      </c>
      <c r="F206" s="121" t="s">
        <v>3964</v>
      </c>
    </row>
    <row r="207">
      <c r="A207" s="121">
        <v>206.0</v>
      </c>
      <c r="B207" s="121" t="s">
        <v>3671</v>
      </c>
      <c r="C207" s="121" t="s">
        <v>3672</v>
      </c>
      <c r="D207" s="121" t="s">
        <v>3828</v>
      </c>
      <c r="E207" s="121" t="s">
        <v>3965</v>
      </c>
      <c r="F207" s="121" t="s">
        <v>3966</v>
      </c>
    </row>
    <row r="208">
      <c r="A208" s="121">
        <v>207.0</v>
      </c>
      <c r="B208" s="121" t="s">
        <v>3671</v>
      </c>
      <c r="C208" s="121" t="s">
        <v>3672</v>
      </c>
      <c r="D208" s="121" t="s">
        <v>3828</v>
      </c>
      <c r="E208" s="121" t="s">
        <v>3967</v>
      </c>
      <c r="F208" s="121" t="s">
        <v>3968</v>
      </c>
    </row>
    <row r="209">
      <c r="A209" s="121">
        <v>208.0</v>
      </c>
      <c r="B209" s="121" t="s">
        <v>3671</v>
      </c>
      <c r="C209" s="121" t="s">
        <v>3672</v>
      </c>
      <c r="D209" s="121" t="s">
        <v>3828</v>
      </c>
      <c r="E209" s="121" t="s">
        <v>3969</v>
      </c>
      <c r="F209" s="121" t="s">
        <v>3970</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6" max="6" width="26.0"/>
  </cols>
  <sheetData>
    <row r="1">
      <c r="A1" s="123" t="s">
        <v>3971</v>
      </c>
      <c r="B1" s="123" t="s">
        <v>39</v>
      </c>
      <c r="C1" s="123" t="s">
        <v>40</v>
      </c>
      <c r="D1" s="123" t="s">
        <v>3972</v>
      </c>
      <c r="E1" s="123" t="s">
        <v>3973</v>
      </c>
      <c r="F1" s="123" t="s">
        <v>3974</v>
      </c>
      <c r="G1" s="123" t="s">
        <v>3975</v>
      </c>
      <c r="H1" s="123" t="s">
        <v>3976</v>
      </c>
      <c r="I1" s="123" t="s">
        <v>3977</v>
      </c>
      <c r="J1" s="123" t="s">
        <v>3978</v>
      </c>
    </row>
    <row r="2">
      <c r="A2" s="123" t="s">
        <v>3979</v>
      </c>
      <c r="B2" s="124">
        <v>8.0</v>
      </c>
      <c r="C2" s="124">
        <v>1.0</v>
      </c>
      <c r="D2" s="124">
        <v>2.0</v>
      </c>
      <c r="E2" s="124" t="s">
        <v>3980</v>
      </c>
      <c r="F2" s="124" t="s">
        <v>3981</v>
      </c>
      <c r="G2" s="124" t="s">
        <v>3982</v>
      </c>
      <c r="H2" s="124" t="s">
        <v>3983</v>
      </c>
      <c r="I2" s="124" t="s">
        <v>3984</v>
      </c>
      <c r="J2" s="124" t="s">
        <v>3985</v>
      </c>
    </row>
    <row r="3">
      <c r="A3" s="123" t="s">
        <v>3986</v>
      </c>
      <c r="B3" s="124">
        <v>8.0</v>
      </c>
      <c r="C3" s="124">
        <v>1.0</v>
      </c>
      <c r="D3" s="124">
        <v>3.0</v>
      </c>
      <c r="E3" s="124" t="s">
        <v>3987</v>
      </c>
      <c r="F3" s="124" t="s">
        <v>3988</v>
      </c>
      <c r="G3" s="124" t="s">
        <v>3989</v>
      </c>
      <c r="H3" s="124" t="s">
        <v>3990</v>
      </c>
      <c r="I3" s="124" t="s">
        <v>3991</v>
      </c>
      <c r="J3" s="124" t="s">
        <v>3992</v>
      </c>
    </row>
    <row r="4">
      <c r="A4" s="123" t="s">
        <v>3993</v>
      </c>
      <c r="B4" s="124">
        <v>8.0</v>
      </c>
      <c r="C4" s="124">
        <v>1.0</v>
      </c>
      <c r="D4" s="124">
        <v>2.0</v>
      </c>
      <c r="E4" s="124" t="s">
        <v>3994</v>
      </c>
      <c r="F4" s="124" t="s">
        <v>3995</v>
      </c>
      <c r="G4" s="124" t="s">
        <v>3996</v>
      </c>
      <c r="H4" s="124" t="s">
        <v>3997</v>
      </c>
      <c r="I4" s="124" t="s">
        <v>3998</v>
      </c>
      <c r="J4" s="124" t="s">
        <v>3999</v>
      </c>
    </row>
    <row r="5">
      <c r="A5" s="123" t="s">
        <v>4000</v>
      </c>
      <c r="B5" s="124">
        <v>8.0</v>
      </c>
      <c r="C5" s="124">
        <v>1.0</v>
      </c>
      <c r="D5" s="124">
        <v>3.0</v>
      </c>
      <c r="E5" s="124" t="s">
        <v>4001</v>
      </c>
      <c r="F5" s="124" t="s">
        <v>4002</v>
      </c>
      <c r="G5" s="124" t="s">
        <v>4003</v>
      </c>
      <c r="H5" s="124" t="s">
        <v>4004</v>
      </c>
      <c r="I5" s="124" t="s">
        <v>4005</v>
      </c>
      <c r="J5" s="124" t="s">
        <v>4006</v>
      </c>
    </row>
    <row r="6">
      <c r="A6" s="123" t="s">
        <v>4007</v>
      </c>
      <c r="B6" s="124">
        <v>8.0</v>
      </c>
      <c r="C6" s="124">
        <v>1.0</v>
      </c>
      <c r="D6" s="124">
        <v>2.0</v>
      </c>
      <c r="E6" s="124" t="s">
        <v>4008</v>
      </c>
      <c r="F6" s="124" t="s">
        <v>4009</v>
      </c>
      <c r="G6" s="124" t="s">
        <v>4010</v>
      </c>
      <c r="H6" s="124" t="s">
        <v>4011</v>
      </c>
      <c r="I6" s="124" t="s">
        <v>4012</v>
      </c>
      <c r="J6" s="124" t="s">
        <v>4013</v>
      </c>
    </row>
    <row r="7">
      <c r="A7" s="123" t="s">
        <v>4014</v>
      </c>
      <c r="B7" s="124">
        <v>8.0</v>
      </c>
      <c r="C7" s="124">
        <v>1.0</v>
      </c>
      <c r="D7" s="124">
        <v>3.0</v>
      </c>
      <c r="E7" s="124" t="s">
        <v>4015</v>
      </c>
      <c r="F7" s="124" t="s">
        <v>4016</v>
      </c>
      <c r="G7" s="124" t="s">
        <v>4017</v>
      </c>
      <c r="H7" s="124" t="s">
        <v>4018</v>
      </c>
      <c r="I7" s="124" t="s">
        <v>4019</v>
      </c>
      <c r="J7" s="124" t="s">
        <v>4020</v>
      </c>
    </row>
    <row r="8">
      <c r="A8" s="123" t="s">
        <v>3971</v>
      </c>
      <c r="B8" s="125">
        <v>7.0</v>
      </c>
      <c r="C8" s="125">
        <v>1.0</v>
      </c>
      <c r="D8" s="124">
        <v>2.0</v>
      </c>
      <c r="E8" s="124" t="s">
        <v>4021</v>
      </c>
      <c r="F8" s="124" t="s">
        <v>4022</v>
      </c>
      <c r="G8" s="124" t="s">
        <v>4023</v>
      </c>
      <c r="H8" s="124" t="s">
        <v>4024</v>
      </c>
      <c r="I8" s="124" t="s">
        <v>4025</v>
      </c>
      <c r="J8" s="124" t="s">
        <v>4026</v>
      </c>
    </row>
    <row r="9">
      <c r="A9" s="123" t="s">
        <v>4027</v>
      </c>
      <c r="B9" s="126"/>
      <c r="C9" s="126"/>
      <c r="D9" s="124">
        <v>2.0</v>
      </c>
      <c r="E9" s="124" t="s">
        <v>4028</v>
      </c>
      <c r="F9" s="124" t="s">
        <v>4029</v>
      </c>
      <c r="G9" s="124" t="s">
        <v>4030</v>
      </c>
      <c r="H9" s="124" t="s">
        <v>4031</v>
      </c>
      <c r="I9" s="124" t="s">
        <v>4032</v>
      </c>
      <c r="J9" s="124" t="s">
        <v>4033</v>
      </c>
    </row>
    <row r="10">
      <c r="A10" s="123" t="s">
        <v>4034</v>
      </c>
      <c r="B10" s="126"/>
      <c r="C10" s="126"/>
      <c r="D10" s="124">
        <v>2.0</v>
      </c>
      <c r="E10" s="124" t="s">
        <v>4035</v>
      </c>
      <c r="F10" s="124" t="s">
        <v>4036</v>
      </c>
      <c r="G10" s="124" t="s">
        <v>4037</v>
      </c>
      <c r="H10" s="124" t="s">
        <v>4038</v>
      </c>
      <c r="I10" s="124" t="s">
        <v>4039</v>
      </c>
      <c r="J10" s="124" t="s">
        <v>4040</v>
      </c>
    </row>
    <row r="11">
      <c r="A11" s="123" t="s">
        <v>4041</v>
      </c>
      <c r="B11" s="126"/>
      <c r="C11" s="126"/>
      <c r="D11" s="124">
        <v>3.0</v>
      </c>
      <c r="E11" s="124" t="s">
        <v>4042</v>
      </c>
      <c r="F11" s="124" t="s">
        <v>4043</v>
      </c>
      <c r="G11" s="124" t="s">
        <v>4044</v>
      </c>
      <c r="H11" s="124" t="s">
        <v>4045</v>
      </c>
      <c r="I11" s="124" t="s">
        <v>4046</v>
      </c>
      <c r="J11" s="124" t="s">
        <v>4047</v>
      </c>
    </row>
    <row r="12">
      <c r="A12" s="123" t="s">
        <v>4048</v>
      </c>
      <c r="B12" s="126"/>
      <c r="C12" s="126"/>
      <c r="D12" s="124">
        <v>3.0</v>
      </c>
      <c r="E12" s="124" t="s">
        <v>4049</v>
      </c>
      <c r="F12" s="124" t="s">
        <v>4050</v>
      </c>
      <c r="G12" s="124" t="s">
        <v>4051</v>
      </c>
      <c r="H12" s="124" t="s">
        <v>4052</v>
      </c>
      <c r="I12" s="124" t="s">
        <v>4053</v>
      </c>
      <c r="J12" s="124" t="s">
        <v>4054</v>
      </c>
    </row>
    <row r="13">
      <c r="A13" s="123" t="s">
        <v>4055</v>
      </c>
      <c r="B13" s="126"/>
      <c r="C13" s="126"/>
      <c r="D13" s="124">
        <v>3.0</v>
      </c>
      <c r="E13" s="124" t="s">
        <v>4056</v>
      </c>
      <c r="F13" s="124" t="s">
        <v>4057</v>
      </c>
      <c r="G13" s="124" t="s">
        <v>4058</v>
      </c>
      <c r="H13" s="124" t="s">
        <v>4059</v>
      </c>
      <c r="I13" s="124" t="s">
        <v>4060</v>
      </c>
      <c r="J13" s="124" t="s">
        <v>4061</v>
      </c>
    </row>
    <row r="14">
      <c r="A14" s="123" t="s">
        <v>4062</v>
      </c>
      <c r="B14" s="126"/>
      <c r="C14" s="126"/>
      <c r="D14" s="126"/>
      <c r="E14" s="126"/>
      <c r="F14" s="126"/>
      <c r="G14" s="126"/>
      <c r="H14" s="126"/>
      <c r="I14" s="126"/>
      <c r="J14" s="126"/>
    </row>
    <row r="15">
      <c r="A15" s="127"/>
      <c r="B15" s="126"/>
      <c r="C15" s="126"/>
      <c r="D15" s="126"/>
      <c r="E15" s="126"/>
      <c r="F15" s="126"/>
      <c r="G15" s="126"/>
      <c r="H15" s="126"/>
      <c r="I15" s="126"/>
      <c r="J15" s="126"/>
    </row>
    <row r="16">
      <c r="A16" s="127"/>
      <c r="B16" s="126"/>
      <c r="C16" s="126"/>
      <c r="D16" s="126"/>
      <c r="E16" s="126"/>
      <c r="F16" s="126"/>
      <c r="G16" s="126"/>
      <c r="H16" s="126"/>
      <c r="I16" s="126"/>
      <c r="J16" s="126"/>
    </row>
    <row r="17">
      <c r="A17" s="127"/>
      <c r="B17" s="126"/>
      <c r="C17" s="126"/>
      <c r="D17" s="126"/>
      <c r="E17" s="126"/>
      <c r="F17" s="126"/>
      <c r="G17" s="126"/>
      <c r="H17" s="126"/>
      <c r="I17" s="126"/>
      <c r="J17" s="126"/>
    </row>
    <row r="18">
      <c r="A18" s="127"/>
      <c r="B18" s="126"/>
      <c r="C18" s="126"/>
      <c r="D18" s="126"/>
      <c r="E18" s="126"/>
      <c r="F18" s="126"/>
      <c r="G18" s="126"/>
      <c r="H18" s="126"/>
      <c r="I18" s="126"/>
      <c r="J18" s="126"/>
    </row>
    <row r="19">
      <c r="A19" s="127"/>
      <c r="B19" s="126"/>
      <c r="C19" s="126"/>
      <c r="D19" s="126"/>
      <c r="E19" s="126"/>
      <c r="F19" s="126"/>
      <c r="G19" s="126"/>
      <c r="H19" s="126"/>
      <c r="I19" s="126"/>
      <c r="J19" s="126"/>
    </row>
    <row r="20">
      <c r="A20" s="127"/>
      <c r="B20" s="126"/>
      <c r="C20" s="126"/>
      <c r="D20" s="126"/>
      <c r="E20" s="126"/>
      <c r="F20" s="126"/>
      <c r="G20" s="126"/>
      <c r="H20" s="126"/>
      <c r="I20" s="126"/>
      <c r="J20" s="126"/>
    </row>
    <row r="21">
      <c r="A21" s="127"/>
      <c r="B21" s="126"/>
      <c r="C21" s="126"/>
      <c r="D21" s="126"/>
      <c r="E21" s="126"/>
      <c r="F21" s="126"/>
      <c r="G21" s="126"/>
      <c r="H21" s="126"/>
      <c r="I21" s="126"/>
      <c r="J21" s="126"/>
    </row>
    <row r="22">
      <c r="A22" s="127"/>
      <c r="B22" s="126"/>
      <c r="C22" s="126"/>
      <c r="D22" s="126"/>
      <c r="E22" s="126"/>
      <c r="F22" s="126"/>
      <c r="G22" s="126"/>
      <c r="H22" s="126"/>
      <c r="I22" s="126"/>
      <c r="J22" s="126"/>
    </row>
    <row r="23">
      <c r="A23" s="127"/>
      <c r="B23" s="126"/>
      <c r="C23" s="126"/>
      <c r="D23" s="126"/>
      <c r="E23" s="126"/>
      <c r="F23" s="126"/>
      <c r="G23" s="126"/>
      <c r="H23" s="126"/>
      <c r="I23" s="126"/>
      <c r="J23" s="126"/>
    </row>
    <row r="24">
      <c r="A24" s="127"/>
      <c r="B24" s="126"/>
      <c r="C24" s="126"/>
      <c r="D24" s="126"/>
      <c r="E24" s="126"/>
      <c r="F24" s="126"/>
      <c r="G24" s="126"/>
      <c r="H24" s="126"/>
      <c r="I24" s="126"/>
      <c r="J24" s="126"/>
    </row>
    <row r="25">
      <c r="A25" s="127"/>
      <c r="B25" s="126"/>
      <c r="C25" s="126"/>
      <c r="D25" s="126"/>
      <c r="E25" s="126"/>
      <c r="F25" s="126"/>
      <c r="G25" s="126"/>
      <c r="H25" s="126"/>
      <c r="I25" s="126"/>
      <c r="J25" s="126"/>
    </row>
    <row r="26">
      <c r="A26" s="127"/>
      <c r="B26" s="126"/>
      <c r="C26" s="126"/>
      <c r="D26" s="126"/>
      <c r="E26" s="126"/>
      <c r="F26" s="126"/>
      <c r="G26" s="126"/>
      <c r="H26" s="126"/>
      <c r="I26" s="126"/>
      <c r="J26" s="126"/>
    </row>
    <row r="27">
      <c r="A27" s="127"/>
      <c r="B27" s="126"/>
      <c r="C27" s="126"/>
      <c r="D27" s="126"/>
      <c r="E27" s="126"/>
      <c r="F27" s="126"/>
      <c r="G27" s="126"/>
      <c r="H27" s="126"/>
      <c r="I27" s="126"/>
      <c r="J27" s="126"/>
    </row>
    <row r="28">
      <c r="A28" s="127"/>
      <c r="B28" s="126"/>
      <c r="C28" s="126"/>
      <c r="D28" s="126"/>
      <c r="E28" s="126"/>
      <c r="F28" s="126"/>
      <c r="G28" s="126"/>
      <c r="H28" s="126"/>
      <c r="I28" s="126"/>
      <c r="J28" s="126"/>
    </row>
    <row r="29">
      <c r="A29" s="127"/>
      <c r="B29" s="126"/>
      <c r="C29" s="126"/>
      <c r="D29" s="126"/>
      <c r="E29" s="126"/>
      <c r="F29" s="126"/>
      <c r="G29" s="126"/>
      <c r="H29" s="126"/>
      <c r="I29" s="126"/>
      <c r="J29" s="126"/>
    </row>
    <row r="30">
      <c r="A30" s="127"/>
      <c r="B30" s="126"/>
      <c r="C30" s="126"/>
      <c r="D30" s="126"/>
      <c r="E30" s="126"/>
      <c r="F30" s="126"/>
      <c r="G30" s="126"/>
      <c r="H30" s="126"/>
      <c r="I30" s="126"/>
      <c r="J30" s="126"/>
    </row>
    <row r="31">
      <c r="A31" s="127"/>
      <c r="B31" s="126"/>
      <c r="C31" s="126"/>
      <c r="D31" s="126"/>
      <c r="E31" s="126"/>
      <c r="F31" s="126"/>
      <c r="G31" s="126"/>
      <c r="H31" s="126"/>
      <c r="I31" s="126"/>
      <c r="J31" s="126"/>
    </row>
    <row r="32">
      <c r="A32" s="127"/>
      <c r="B32" s="126"/>
      <c r="C32" s="126"/>
      <c r="D32" s="126"/>
      <c r="E32" s="126"/>
      <c r="F32" s="126"/>
      <c r="G32" s="126"/>
      <c r="H32" s="126"/>
      <c r="I32" s="126"/>
      <c r="J32" s="126"/>
    </row>
    <row r="33">
      <c r="A33" s="127"/>
      <c r="B33" s="126"/>
      <c r="C33" s="126"/>
      <c r="D33" s="126"/>
      <c r="E33" s="126"/>
      <c r="F33" s="126"/>
      <c r="G33" s="126"/>
      <c r="H33" s="126"/>
      <c r="I33" s="126"/>
      <c r="J33" s="126"/>
    </row>
    <row r="34">
      <c r="A34" s="127"/>
      <c r="B34" s="126"/>
      <c r="C34" s="126"/>
      <c r="D34" s="126"/>
      <c r="E34" s="126"/>
      <c r="F34" s="126"/>
      <c r="G34" s="126"/>
      <c r="H34" s="126"/>
      <c r="I34" s="126"/>
      <c r="J34" s="126"/>
    </row>
    <row r="35">
      <c r="A35" s="127"/>
      <c r="B35" s="126"/>
      <c r="C35" s="126"/>
      <c r="D35" s="126"/>
      <c r="E35" s="126"/>
      <c r="F35" s="126"/>
      <c r="G35" s="126"/>
      <c r="H35" s="126"/>
      <c r="I35" s="126"/>
      <c r="J35" s="126"/>
    </row>
    <row r="36">
      <c r="A36" s="127"/>
      <c r="B36" s="126"/>
      <c r="C36" s="126"/>
      <c r="D36" s="126"/>
      <c r="E36" s="126"/>
      <c r="F36" s="126"/>
      <c r="G36" s="126"/>
      <c r="H36" s="126"/>
      <c r="I36" s="126"/>
      <c r="J36" s="126"/>
    </row>
    <row r="37">
      <c r="A37" s="127"/>
      <c r="B37" s="126"/>
      <c r="C37" s="126"/>
      <c r="D37" s="126"/>
      <c r="E37" s="126"/>
      <c r="F37" s="126"/>
      <c r="G37" s="126"/>
      <c r="H37" s="126"/>
      <c r="I37" s="126"/>
      <c r="J37" s="126"/>
    </row>
    <row r="38">
      <c r="A38" s="127"/>
      <c r="B38" s="126"/>
      <c r="C38" s="126"/>
      <c r="D38" s="126"/>
      <c r="E38" s="126"/>
      <c r="F38" s="126"/>
      <c r="G38" s="126"/>
      <c r="H38" s="126"/>
      <c r="I38" s="126"/>
      <c r="J38" s="126"/>
    </row>
    <row r="39">
      <c r="A39" s="127"/>
      <c r="B39" s="126"/>
      <c r="C39" s="126"/>
      <c r="D39" s="126"/>
      <c r="E39" s="126"/>
      <c r="F39" s="126"/>
      <c r="G39" s="126"/>
      <c r="H39" s="126"/>
      <c r="I39" s="126"/>
      <c r="J39" s="126"/>
    </row>
    <row r="40">
      <c r="A40" s="127"/>
      <c r="B40" s="126"/>
      <c r="C40" s="126"/>
      <c r="D40" s="126"/>
      <c r="E40" s="126"/>
      <c r="F40" s="126"/>
      <c r="G40" s="126"/>
      <c r="H40" s="126"/>
      <c r="I40" s="126"/>
      <c r="J40" s="126"/>
    </row>
    <row r="41">
      <c r="A41" s="127"/>
      <c r="B41" s="126"/>
      <c r="C41" s="126"/>
      <c r="D41" s="126"/>
      <c r="E41" s="126"/>
      <c r="F41" s="126"/>
      <c r="G41" s="126"/>
      <c r="H41" s="126"/>
      <c r="I41" s="126"/>
      <c r="J41" s="126"/>
    </row>
    <row r="42">
      <c r="A42" s="127"/>
      <c r="B42" s="126"/>
      <c r="C42" s="126"/>
      <c r="D42" s="126"/>
      <c r="E42" s="126"/>
      <c r="F42" s="126"/>
      <c r="G42" s="126"/>
      <c r="H42" s="126"/>
      <c r="I42" s="126"/>
      <c r="J42" s="126"/>
    </row>
    <row r="43">
      <c r="A43" s="127"/>
      <c r="B43" s="126"/>
      <c r="C43" s="126"/>
      <c r="D43" s="126"/>
      <c r="E43" s="126"/>
      <c r="F43" s="126"/>
      <c r="G43" s="126"/>
      <c r="H43" s="126"/>
      <c r="I43" s="126"/>
      <c r="J43" s="126"/>
    </row>
    <row r="44">
      <c r="A44" s="127"/>
      <c r="B44" s="126"/>
      <c r="C44" s="126"/>
      <c r="D44" s="126"/>
      <c r="E44" s="126"/>
      <c r="F44" s="126"/>
      <c r="G44" s="126"/>
      <c r="H44" s="126"/>
      <c r="I44" s="126"/>
      <c r="J44" s="126"/>
    </row>
    <row r="45">
      <c r="A45" s="127"/>
      <c r="B45" s="126"/>
      <c r="C45" s="126"/>
      <c r="D45" s="126"/>
      <c r="E45" s="126"/>
      <c r="F45" s="126"/>
      <c r="G45" s="126"/>
      <c r="H45" s="126"/>
      <c r="I45" s="126"/>
      <c r="J45" s="126"/>
    </row>
    <row r="46">
      <c r="A46" s="127"/>
      <c r="B46" s="126"/>
      <c r="C46" s="126"/>
      <c r="D46" s="126"/>
      <c r="E46" s="126"/>
      <c r="F46" s="126"/>
      <c r="G46" s="126"/>
      <c r="H46" s="126"/>
      <c r="I46" s="126"/>
      <c r="J46" s="126"/>
    </row>
    <row r="47">
      <c r="A47" s="127"/>
      <c r="B47" s="126"/>
      <c r="C47" s="126"/>
      <c r="D47" s="126"/>
      <c r="E47" s="126"/>
      <c r="F47" s="126"/>
      <c r="G47" s="126"/>
      <c r="H47" s="126"/>
      <c r="I47" s="126"/>
      <c r="J47" s="126"/>
    </row>
    <row r="48">
      <c r="A48" s="127"/>
      <c r="B48" s="126"/>
      <c r="C48" s="126"/>
      <c r="D48" s="126"/>
      <c r="E48" s="126"/>
      <c r="F48" s="126"/>
      <c r="G48" s="126"/>
      <c r="H48" s="126"/>
      <c r="I48" s="126"/>
      <c r="J48" s="126"/>
    </row>
    <row r="49">
      <c r="A49" s="127"/>
      <c r="B49" s="126"/>
      <c r="C49" s="126"/>
      <c r="D49" s="126"/>
      <c r="E49" s="126"/>
      <c r="F49" s="126"/>
      <c r="G49" s="126"/>
      <c r="H49" s="126"/>
      <c r="I49" s="126"/>
      <c r="J49" s="126"/>
    </row>
    <row r="50">
      <c r="A50" s="127"/>
      <c r="B50" s="126"/>
      <c r="C50" s="126"/>
      <c r="D50" s="126"/>
      <c r="E50" s="126"/>
      <c r="F50" s="126"/>
      <c r="G50" s="126"/>
      <c r="H50" s="126"/>
      <c r="I50" s="126"/>
      <c r="J50" s="126"/>
    </row>
    <row r="51">
      <c r="A51" s="127"/>
      <c r="B51" s="126"/>
      <c r="C51" s="126"/>
      <c r="D51" s="126"/>
      <c r="E51" s="126"/>
      <c r="F51" s="126"/>
      <c r="G51" s="126"/>
      <c r="H51" s="126"/>
      <c r="I51" s="126"/>
      <c r="J51" s="126"/>
    </row>
    <row r="52">
      <c r="A52" s="127"/>
      <c r="B52" s="126"/>
      <c r="C52" s="126"/>
      <c r="D52" s="126"/>
      <c r="E52" s="126"/>
      <c r="F52" s="126"/>
      <c r="G52" s="126"/>
      <c r="H52" s="126"/>
      <c r="I52" s="126"/>
      <c r="J52" s="126"/>
    </row>
    <row r="53">
      <c r="A53" s="127"/>
      <c r="B53" s="126"/>
      <c r="C53" s="126"/>
      <c r="D53" s="126"/>
      <c r="E53" s="126"/>
      <c r="F53" s="126"/>
      <c r="G53" s="126"/>
      <c r="H53" s="126"/>
      <c r="I53" s="126"/>
      <c r="J53" s="126"/>
    </row>
    <row r="54">
      <c r="A54" s="127"/>
      <c r="B54" s="126"/>
      <c r="C54" s="126"/>
      <c r="D54" s="126"/>
      <c r="E54" s="126"/>
      <c r="F54" s="126"/>
      <c r="G54" s="126"/>
      <c r="H54" s="126"/>
      <c r="I54" s="126"/>
      <c r="J54" s="126"/>
    </row>
    <row r="55">
      <c r="A55" s="127"/>
      <c r="B55" s="126"/>
      <c r="C55" s="126"/>
      <c r="D55" s="126"/>
      <c r="E55" s="126"/>
      <c r="F55" s="126"/>
      <c r="G55" s="126"/>
      <c r="H55" s="126"/>
      <c r="I55" s="126"/>
      <c r="J55" s="126"/>
    </row>
    <row r="56">
      <c r="A56" s="127"/>
      <c r="B56" s="126"/>
      <c r="C56" s="126"/>
      <c r="D56" s="126"/>
      <c r="E56" s="126"/>
      <c r="F56" s="126"/>
      <c r="G56" s="126"/>
      <c r="H56" s="126"/>
      <c r="I56" s="126"/>
      <c r="J56" s="126"/>
    </row>
    <row r="57">
      <c r="A57" s="127"/>
      <c r="B57" s="126"/>
      <c r="C57" s="126"/>
      <c r="D57" s="126"/>
      <c r="E57" s="126"/>
      <c r="F57" s="126"/>
      <c r="G57" s="126"/>
      <c r="H57" s="126"/>
      <c r="I57" s="126"/>
      <c r="J57" s="126"/>
    </row>
    <row r="58">
      <c r="A58" s="127"/>
      <c r="B58" s="126"/>
      <c r="C58" s="126"/>
      <c r="D58" s="126"/>
      <c r="E58" s="126"/>
      <c r="F58" s="126"/>
      <c r="G58" s="126"/>
      <c r="H58" s="126"/>
      <c r="I58" s="126"/>
      <c r="J58" s="126"/>
    </row>
    <row r="59">
      <c r="A59" s="127"/>
      <c r="B59" s="126"/>
      <c r="C59" s="126"/>
      <c r="D59" s="126"/>
      <c r="E59" s="126"/>
      <c r="F59" s="126"/>
      <c r="G59" s="126"/>
      <c r="H59" s="126"/>
      <c r="I59" s="126"/>
      <c r="J59" s="126"/>
    </row>
    <row r="60">
      <c r="A60" s="127"/>
      <c r="B60" s="126"/>
      <c r="C60" s="126"/>
      <c r="D60" s="126"/>
      <c r="E60" s="126"/>
      <c r="F60" s="126"/>
      <c r="G60" s="126"/>
      <c r="H60" s="126"/>
      <c r="I60" s="126"/>
      <c r="J60" s="126"/>
    </row>
    <row r="61">
      <c r="A61" s="127"/>
      <c r="B61" s="126"/>
      <c r="C61" s="126"/>
      <c r="D61" s="126"/>
      <c r="E61" s="126"/>
      <c r="F61" s="126"/>
      <c r="G61" s="126"/>
      <c r="H61" s="126"/>
      <c r="I61" s="126"/>
      <c r="J61" s="126"/>
    </row>
    <row r="62">
      <c r="A62" s="127"/>
      <c r="B62" s="126"/>
      <c r="C62" s="126"/>
      <c r="D62" s="126"/>
      <c r="E62" s="126"/>
      <c r="F62" s="126"/>
      <c r="G62" s="126"/>
      <c r="H62" s="126"/>
      <c r="I62" s="126"/>
      <c r="J62" s="126"/>
    </row>
    <row r="63">
      <c r="A63" s="127"/>
      <c r="B63" s="126"/>
      <c r="C63" s="126"/>
      <c r="D63" s="126"/>
      <c r="E63" s="126"/>
      <c r="F63" s="126"/>
      <c r="G63" s="126"/>
      <c r="H63" s="126"/>
      <c r="I63" s="126"/>
      <c r="J63" s="126"/>
    </row>
    <row r="64">
      <c r="A64" s="127"/>
      <c r="B64" s="126"/>
      <c r="C64" s="126"/>
      <c r="D64" s="126"/>
      <c r="E64" s="126"/>
      <c r="F64" s="126"/>
      <c r="G64" s="126"/>
      <c r="H64" s="126"/>
      <c r="I64" s="126"/>
      <c r="J64" s="126"/>
    </row>
    <row r="65">
      <c r="A65" s="127"/>
      <c r="B65" s="126"/>
      <c r="C65" s="126"/>
      <c r="D65" s="126"/>
      <c r="E65" s="126"/>
      <c r="F65" s="126"/>
      <c r="G65" s="126"/>
      <c r="H65" s="126"/>
      <c r="I65" s="126"/>
      <c r="J65" s="126"/>
    </row>
    <row r="66">
      <c r="A66" s="127"/>
      <c r="B66" s="126"/>
      <c r="C66" s="126"/>
      <c r="D66" s="126"/>
      <c r="E66" s="126"/>
      <c r="F66" s="126"/>
      <c r="G66" s="126"/>
      <c r="H66" s="126"/>
      <c r="I66" s="126"/>
      <c r="J66" s="126"/>
    </row>
    <row r="67">
      <c r="A67" s="127"/>
      <c r="B67" s="126"/>
      <c r="C67" s="126"/>
      <c r="D67" s="126"/>
      <c r="E67" s="126"/>
      <c r="F67" s="126"/>
      <c r="G67" s="126"/>
      <c r="H67" s="126"/>
      <c r="I67" s="126"/>
      <c r="J67" s="126"/>
    </row>
    <row r="68">
      <c r="A68" s="127"/>
      <c r="B68" s="126"/>
      <c r="C68" s="126"/>
      <c r="D68" s="126"/>
      <c r="E68" s="126"/>
      <c r="F68" s="126"/>
      <c r="G68" s="126"/>
      <c r="H68" s="126"/>
      <c r="I68" s="126"/>
      <c r="J68" s="126"/>
    </row>
    <row r="69">
      <c r="A69" s="127"/>
      <c r="B69" s="126"/>
      <c r="C69" s="126"/>
      <c r="D69" s="126"/>
      <c r="E69" s="126"/>
      <c r="F69" s="126"/>
      <c r="G69" s="126"/>
      <c r="H69" s="126"/>
      <c r="I69" s="126"/>
      <c r="J69" s="126"/>
    </row>
    <row r="70">
      <c r="A70" s="127"/>
      <c r="B70" s="126"/>
      <c r="C70" s="126"/>
      <c r="D70" s="126"/>
      <c r="E70" s="126"/>
      <c r="F70" s="126"/>
      <c r="G70" s="126"/>
      <c r="H70" s="126"/>
      <c r="I70" s="126"/>
      <c r="J70" s="126"/>
    </row>
    <row r="71">
      <c r="A71" s="127"/>
      <c r="B71" s="126"/>
      <c r="C71" s="126"/>
      <c r="D71" s="126"/>
      <c r="E71" s="126"/>
      <c r="F71" s="126"/>
      <c r="G71" s="126"/>
      <c r="H71" s="126"/>
      <c r="I71" s="126"/>
      <c r="J71" s="126"/>
    </row>
    <row r="72">
      <c r="A72" s="127"/>
      <c r="B72" s="126"/>
      <c r="C72" s="126"/>
      <c r="D72" s="126"/>
      <c r="E72" s="126"/>
      <c r="F72" s="126"/>
      <c r="G72" s="126"/>
      <c r="H72" s="126"/>
      <c r="I72" s="126"/>
      <c r="J72" s="126"/>
    </row>
    <row r="73">
      <c r="A73" s="127"/>
      <c r="B73" s="126"/>
      <c r="C73" s="126"/>
      <c r="D73" s="126"/>
      <c r="E73" s="126"/>
      <c r="F73" s="126"/>
      <c r="G73" s="126"/>
      <c r="H73" s="126"/>
      <c r="I73" s="126"/>
      <c r="J73" s="126"/>
    </row>
    <row r="74">
      <c r="A74" s="127"/>
      <c r="B74" s="126"/>
      <c r="C74" s="126"/>
      <c r="D74" s="126"/>
      <c r="E74" s="126"/>
      <c r="F74" s="126"/>
      <c r="G74" s="126"/>
      <c r="H74" s="126"/>
      <c r="I74" s="126"/>
      <c r="J74" s="126"/>
    </row>
    <row r="75">
      <c r="A75" s="127"/>
      <c r="B75" s="126"/>
      <c r="C75" s="126"/>
      <c r="D75" s="126"/>
      <c r="E75" s="126"/>
      <c r="F75" s="126"/>
      <c r="G75" s="126"/>
      <c r="H75" s="126"/>
      <c r="I75" s="126"/>
      <c r="J75" s="126"/>
    </row>
    <row r="76">
      <c r="A76" s="127"/>
      <c r="B76" s="126"/>
      <c r="C76" s="126"/>
      <c r="D76" s="126"/>
      <c r="E76" s="126"/>
      <c r="F76" s="126"/>
      <c r="G76" s="126"/>
      <c r="H76" s="126"/>
      <c r="I76" s="126"/>
      <c r="J76" s="126"/>
    </row>
    <row r="77">
      <c r="A77" s="127"/>
      <c r="B77" s="126"/>
      <c r="C77" s="126"/>
      <c r="D77" s="126"/>
      <c r="E77" s="126"/>
      <c r="F77" s="126"/>
      <c r="G77" s="126"/>
      <c r="H77" s="126"/>
      <c r="I77" s="126"/>
      <c r="J77" s="126"/>
    </row>
    <row r="78">
      <c r="A78" s="127"/>
      <c r="B78" s="126"/>
      <c r="C78" s="126"/>
      <c r="D78" s="126"/>
      <c r="E78" s="126"/>
      <c r="F78" s="126"/>
      <c r="G78" s="126"/>
      <c r="H78" s="126"/>
      <c r="I78" s="126"/>
      <c r="J78" s="126"/>
    </row>
    <row r="79">
      <c r="A79" s="127"/>
      <c r="B79" s="126"/>
      <c r="C79" s="126"/>
      <c r="D79" s="126"/>
      <c r="E79" s="126"/>
      <c r="F79" s="126"/>
      <c r="G79" s="126"/>
      <c r="H79" s="126"/>
      <c r="I79" s="126"/>
      <c r="J79" s="126"/>
    </row>
    <row r="80">
      <c r="A80" s="127"/>
      <c r="B80" s="126"/>
      <c r="C80" s="126"/>
      <c r="D80" s="126"/>
      <c r="E80" s="126"/>
      <c r="F80" s="126"/>
      <c r="G80" s="126"/>
      <c r="H80" s="126"/>
      <c r="I80" s="126"/>
      <c r="J80" s="126"/>
    </row>
    <row r="81">
      <c r="A81" s="127"/>
      <c r="B81" s="126"/>
      <c r="C81" s="126"/>
      <c r="D81" s="126"/>
      <c r="E81" s="126"/>
      <c r="F81" s="126"/>
      <c r="G81" s="126"/>
      <c r="H81" s="126"/>
      <c r="I81" s="126"/>
      <c r="J81" s="126"/>
    </row>
    <row r="82">
      <c r="A82" s="127"/>
      <c r="B82" s="126"/>
      <c r="C82" s="126"/>
      <c r="D82" s="126"/>
      <c r="E82" s="126"/>
      <c r="F82" s="126"/>
      <c r="G82" s="126"/>
      <c r="H82" s="126"/>
      <c r="I82" s="126"/>
      <c r="J82" s="126"/>
    </row>
    <row r="83">
      <c r="A83" s="127"/>
      <c r="B83" s="126"/>
      <c r="C83" s="126"/>
      <c r="D83" s="126"/>
      <c r="E83" s="126"/>
      <c r="F83" s="126"/>
      <c r="G83" s="126"/>
      <c r="H83" s="126"/>
      <c r="I83" s="126"/>
      <c r="J83" s="126"/>
    </row>
    <row r="84">
      <c r="A84" s="127"/>
      <c r="B84" s="126"/>
      <c r="C84" s="126"/>
      <c r="D84" s="126"/>
      <c r="E84" s="126"/>
      <c r="F84" s="126"/>
      <c r="G84" s="126"/>
      <c r="H84" s="126"/>
      <c r="I84" s="126"/>
      <c r="J84" s="126"/>
    </row>
    <row r="85">
      <c r="A85" s="127"/>
      <c r="B85" s="126"/>
      <c r="C85" s="126"/>
      <c r="D85" s="126"/>
      <c r="E85" s="126"/>
      <c r="F85" s="126"/>
      <c r="G85" s="126"/>
      <c r="H85" s="126"/>
      <c r="I85" s="126"/>
      <c r="J85" s="126"/>
    </row>
    <row r="86">
      <c r="A86" s="127"/>
      <c r="B86" s="126"/>
      <c r="C86" s="126"/>
      <c r="D86" s="126"/>
      <c r="E86" s="126"/>
      <c r="F86" s="126"/>
      <c r="G86" s="126"/>
      <c r="H86" s="126"/>
      <c r="I86" s="126"/>
      <c r="J86" s="126"/>
    </row>
    <row r="87">
      <c r="A87" s="127"/>
      <c r="B87" s="126"/>
      <c r="C87" s="126"/>
      <c r="D87" s="126"/>
      <c r="E87" s="126"/>
      <c r="F87" s="126"/>
      <c r="G87" s="126"/>
      <c r="H87" s="126"/>
      <c r="I87" s="126"/>
      <c r="J87" s="126"/>
    </row>
    <row r="88">
      <c r="A88" s="127"/>
      <c r="B88" s="126"/>
      <c r="C88" s="126"/>
      <c r="D88" s="126"/>
      <c r="E88" s="126"/>
      <c r="F88" s="126"/>
      <c r="G88" s="126"/>
      <c r="H88" s="126"/>
      <c r="I88" s="126"/>
      <c r="J88" s="126"/>
    </row>
    <row r="89">
      <c r="A89" s="127"/>
      <c r="B89" s="126"/>
      <c r="C89" s="126"/>
      <c r="D89" s="126"/>
      <c r="E89" s="126"/>
      <c r="F89" s="126"/>
      <c r="G89" s="126"/>
      <c r="H89" s="126"/>
      <c r="I89" s="126"/>
      <c r="J89" s="126"/>
    </row>
    <row r="90">
      <c r="A90" s="127"/>
      <c r="B90" s="126"/>
      <c r="C90" s="126"/>
      <c r="D90" s="126"/>
      <c r="E90" s="126"/>
      <c r="F90" s="126"/>
      <c r="G90" s="126"/>
      <c r="H90" s="126"/>
      <c r="I90" s="126"/>
      <c r="J90" s="126"/>
    </row>
    <row r="91">
      <c r="A91" s="127"/>
      <c r="B91" s="126"/>
      <c r="C91" s="126"/>
      <c r="D91" s="126"/>
      <c r="E91" s="126"/>
      <c r="F91" s="126"/>
      <c r="G91" s="126"/>
      <c r="H91" s="126"/>
      <c r="I91" s="126"/>
      <c r="J91" s="126"/>
    </row>
    <row r="92">
      <c r="A92" s="127"/>
      <c r="B92" s="126"/>
      <c r="C92" s="126"/>
      <c r="D92" s="126"/>
      <c r="E92" s="126"/>
      <c r="F92" s="126"/>
      <c r="G92" s="126"/>
      <c r="H92" s="126"/>
      <c r="I92" s="126"/>
      <c r="J92" s="126"/>
    </row>
    <row r="93">
      <c r="A93" s="127"/>
      <c r="B93" s="126"/>
      <c r="C93" s="126"/>
      <c r="D93" s="126"/>
      <c r="E93" s="126"/>
      <c r="F93" s="126"/>
      <c r="G93" s="126"/>
      <c r="H93" s="126"/>
      <c r="I93" s="126"/>
      <c r="J93" s="126"/>
    </row>
    <row r="94">
      <c r="A94" s="127"/>
      <c r="B94" s="126"/>
      <c r="C94" s="126"/>
      <c r="D94" s="126"/>
      <c r="E94" s="126"/>
      <c r="F94" s="126"/>
      <c r="G94" s="126"/>
      <c r="H94" s="126"/>
      <c r="I94" s="126"/>
      <c r="J94" s="126"/>
    </row>
    <row r="95">
      <c r="A95" s="127"/>
      <c r="B95" s="126"/>
      <c r="C95" s="126"/>
      <c r="D95" s="126"/>
      <c r="E95" s="126"/>
      <c r="F95" s="126"/>
      <c r="G95" s="126"/>
      <c r="H95" s="126"/>
      <c r="I95" s="126"/>
      <c r="J95" s="126"/>
    </row>
    <row r="96">
      <c r="A96" s="127"/>
      <c r="B96" s="126"/>
      <c r="C96" s="126"/>
      <c r="D96" s="126"/>
      <c r="E96" s="126"/>
      <c r="F96" s="126"/>
      <c r="G96" s="126"/>
      <c r="H96" s="126"/>
      <c r="I96" s="126"/>
      <c r="J96" s="126"/>
    </row>
    <row r="97">
      <c r="A97" s="127"/>
      <c r="B97" s="126"/>
      <c r="C97" s="126"/>
      <c r="D97" s="126"/>
      <c r="E97" s="126"/>
      <c r="F97" s="126"/>
      <c r="G97" s="126"/>
      <c r="H97" s="126"/>
      <c r="I97" s="126"/>
      <c r="J97" s="126"/>
    </row>
    <row r="98">
      <c r="A98" s="127"/>
      <c r="B98" s="126"/>
      <c r="C98" s="126"/>
      <c r="D98" s="126"/>
      <c r="E98" s="126"/>
      <c r="F98" s="126"/>
      <c r="G98" s="126"/>
      <c r="H98" s="126"/>
      <c r="I98" s="126"/>
      <c r="J98" s="126"/>
    </row>
    <row r="99">
      <c r="A99" s="127"/>
      <c r="B99" s="126"/>
      <c r="C99" s="126"/>
      <c r="D99" s="126"/>
      <c r="E99" s="126"/>
      <c r="F99" s="126"/>
      <c r="G99" s="126"/>
      <c r="H99" s="126"/>
      <c r="I99" s="126"/>
      <c r="J99" s="126"/>
    </row>
    <row r="100">
      <c r="A100" s="127"/>
      <c r="B100" s="126"/>
      <c r="C100" s="126"/>
      <c r="D100" s="126"/>
      <c r="E100" s="126"/>
      <c r="F100" s="126"/>
      <c r="G100" s="126"/>
      <c r="H100" s="126"/>
      <c r="I100" s="126"/>
      <c r="J100" s="126"/>
    </row>
    <row r="101">
      <c r="A101" s="127"/>
      <c r="B101" s="126"/>
      <c r="C101" s="126"/>
      <c r="D101" s="126"/>
      <c r="E101" s="126"/>
      <c r="F101" s="126"/>
      <c r="G101" s="126"/>
      <c r="H101" s="126"/>
      <c r="I101" s="126"/>
      <c r="J101" s="126"/>
    </row>
    <row r="102">
      <c r="A102" s="127"/>
      <c r="B102" s="126"/>
      <c r="C102" s="126"/>
      <c r="D102" s="126"/>
      <c r="E102" s="126"/>
      <c r="F102" s="126"/>
      <c r="G102" s="126"/>
      <c r="H102" s="126"/>
      <c r="I102" s="126"/>
      <c r="J102" s="126"/>
    </row>
    <row r="103">
      <c r="A103" s="127"/>
      <c r="B103" s="126"/>
      <c r="C103" s="126"/>
      <c r="D103" s="126"/>
      <c r="E103" s="126"/>
      <c r="F103" s="126"/>
      <c r="G103" s="126"/>
      <c r="H103" s="126"/>
      <c r="I103" s="126"/>
      <c r="J103" s="126"/>
    </row>
    <row r="104">
      <c r="A104" s="127"/>
      <c r="B104" s="126"/>
      <c r="C104" s="126"/>
      <c r="D104" s="126"/>
      <c r="E104" s="126"/>
      <c r="F104" s="126"/>
      <c r="G104" s="126"/>
      <c r="H104" s="126"/>
      <c r="I104" s="126"/>
      <c r="J104" s="126"/>
    </row>
    <row r="105">
      <c r="A105" s="127"/>
      <c r="B105" s="126"/>
      <c r="C105" s="126"/>
      <c r="D105" s="126"/>
      <c r="E105" s="126"/>
      <c r="F105" s="126"/>
      <c r="G105" s="126"/>
      <c r="H105" s="126"/>
      <c r="I105" s="126"/>
      <c r="J105" s="126"/>
    </row>
    <row r="106">
      <c r="A106" s="127"/>
      <c r="B106" s="126"/>
      <c r="C106" s="126"/>
      <c r="D106" s="126"/>
      <c r="E106" s="126"/>
      <c r="F106" s="126"/>
      <c r="G106" s="126"/>
      <c r="H106" s="126"/>
      <c r="I106" s="126"/>
      <c r="J106" s="126"/>
    </row>
    <row r="107">
      <c r="A107" s="127"/>
      <c r="B107" s="126"/>
      <c r="C107" s="126"/>
      <c r="D107" s="126"/>
      <c r="E107" s="126"/>
      <c r="F107" s="126"/>
      <c r="G107" s="126"/>
      <c r="H107" s="126"/>
      <c r="I107" s="126"/>
      <c r="J107" s="126"/>
    </row>
    <row r="108">
      <c r="A108" s="127"/>
      <c r="B108" s="126"/>
      <c r="C108" s="126"/>
      <c r="D108" s="126"/>
      <c r="E108" s="126"/>
      <c r="F108" s="126"/>
      <c r="G108" s="126"/>
      <c r="H108" s="126"/>
      <c r="I108" s="126"/>
      <c r="J108" s="126"/>
    </row>
    <row r="109">
      <c r="A109" s="127"/>
      <c r="B109" s="126"/>
      <c r="C109" s="126"/>
      <c r="D109" s="126"/>
      <c r="E109" s="126"/>
      <c r="F109" s="126"/>
      <c r="G109" s="126"/>
      <c r="H109" s="126"/>
      <c r="I109" s="126"/>
      <c r="J109" s="126"/>
    </row>
    <row r="110">
      <c r="A110" s="127"/>
      <c r="B110" s="126"/>
      <c r="C110" s="126"/>
      <c r="D110" s="126"/>
      <c r="E110" s="126"/>
      <c r="F110" s="126"/>
      <c r="G110" s="126"/>
      <c r="H110" s="126"/>
      <c r="I110" s="126"/>
      <c r="J110" s="126"/>
    </row>
    <row r="111">
      <c r="A111" s="127"/>
      <c r="B111" s="126"/>
      <c r="C111" s="126"/>
      <c r="D111" s="126"/>
      <c r="E111" s="126"/>
      <c r="F111" s="126"/>
      <c r="G111" s="126"/>
      <c r="H111" s="126"/>
      <c r="I111" s="126"/>
      <c r="J111" s="126"/>
    </row>
    <row r="112">
      <c r="A112" s="127"/>
      <c r="B112" s="126"/>
      <c r="C112" s="126"/>
      <c r="D112" s="126"/>
      <c r="E112" s="126"/>
      <c r="F112" s="126"/>
      <c r="G112" s="126"/>
      <c r="H112" s="126"/>
      <c r="I112" s="126"/>
      <c r="J112" s="126"/>
    </row>
    <row r="113">
      <c r="A113" s="127"/>
      <c r="B113" s="126"/>
      <c r="C113" s="126"/>
      <c r="D113" s="126"/>
      <c r="E113" s="126"/>
      <c r="F113" s="126"/>
      <c r="G113" s="126"/>
      <c r="H113" s="126"/>
      <c r="I113" s="126"/>
      <c r="J113" s="126"/>
    </row>
    <row r="114">
      <c r="A114" s="127"/>
      <c r="B114" s="126"/>
      <c r="C114" s="126"/>
      <c r="D114" s="126"/>
      <c r="E114" s="126"/>
      <c r="F114" s="126"/>
      <c r="G114" s="126"/>
      <c r="H114" s="126"/>
      <c r="I114" s="126"/>
      <c r="J114" s="126"/>
    </row>
    <row r="115">
      <c r="A115" s="127"/>
      <c r="B115" s="126"/>
      <c r="C115" s="126"/>
      <c r="D115" s="126"/>
      <c r="E115" s="126"/>
      <c r="F115" s="126"/>
      <c r="G115" s="126"/>
      <c r="H115" s="126"/>
      <c r="I115" s="126"/>
      <c r="J115" s="126"/>
    </row>
    <row r="116">
      <c r="A116" s="127"/>
      <c r="B116" s="126"/>
      <c r="C116" s="126"/>
      <c r="D116" s="126"/>
      <c r="E116" s="126"/>
      <c r="F116" s="126"/>
      <c r="G116" s="126"/>
      <c r="H116" s="126"/>
      <c r="I116" s="126"/>
      <c r="J116" s="126"/>
    </row>
    <row r="117">
      <c r="A117" s="127"/>
      <c r="B117" s="126"/>
      <c r="C117" s="126"/>
      <c r="D117" s="126"/>
      <c r="E117" s="126"/>
      <c r="F117" s="126"/>
      <c r="G117" s="126"/>
      <c r="H117" s="126"/>
      <c r="I117" s="126"/>
      <c r="J117" s="126"/>
    </row>
    <row r="118">
      <c r="A118" s="127"/>
      <c r="B118" s="126"/>
      <c r="C118" s="126"/>
      <c r="D118" s="126"/>
      <c r="E118" s="126"/>
      <c r="F118" s="126"/>
      <c r="G118" s="126"/>
      <c r="H118" s="126"/>
      <c r="I118" s="126"/>
      <c r="J118" s="126"/>
    </row>
    <row r="119">
      <c r="A119" s="127"/>
      <c r="B119" s="126"/>
      <c r="C119" s="126"/>
      <c r="D119" s="126"/>
      <c r="E119" s="126"/>
      <c r="F119" s="126"/>
      <c r="G119" s="126"/>
      <c r="H119" s="126"/>
      <c r="I119" s="126"/>
      <c r="J119" s="126"/>
    </row>
    <row r="120">
      <c r="A120" s="127"/>
      <c r="B120" s="126"/>
      <c r="C120" s="126"/>
      <c r="D120" s="126"/>
      <c r="E120" s="126"/>
      <c r="F120" s="126"/>
      <c r="G120" s="126"/>
      <c r="H120" s="126"/>
      <c r="I120" s="126"/>
      <c r="J120" s="126"/>
    </row>
    <row r="121">
      <c r="A121" s="127"/>
      <c r="B121" s="126"/>
      <c r="C121" s="126"/>
      <c r="D121" s="126"/>
      <c r="E121" s="126"/>
      <c r="F121" s="126"/>
      <c r="G121" s="126"/>
      <c r="H121" s="126"/>
      <c r="I121" s="126"/>
      <c r="J121" s="126"/>
    </row>
    <row r="122">
      <c r="A122" s="127"/>
      <c r="B122" s="126"/>
      <c r="C122" s="126"/>
      <c r="D122" s="126"/>
      <c r="E122" s="126"/>
      <c r="F122" s="126"/>
      <c r="G122" s="126"/>
      <c r="H122" s="126"/>
      <c r="I122" s="126"/>
      <c r="J122" s="126"/>
    </row>
    <row r="123">
      <c r="A123" s="127"/>
      <c r="B123" s="126"/>
      <c r="C123" s="126"/>
      <c r="D123" s="126"/>
      <c r="E123" s="126"/>
      <c r="F123" s="126"/>
      <c r="G123" s="126"/>
      <c r="H123" s="126"/>
      <c r="I123" s="126"/>
      <c r="J123" s="126"/>
    </row>
    <row r="124">
      <c r="A124" s="127"/>
      <c r="B124" s="126"/>
      <c r="C124" s="126"/>
      <c r="D124" s="126"/>
      <c r="E124" s="126"/>
      <c r="F124" s="126"/>
      <c r="G124" s="126"/>
      <c r="H124" s="126"/>
      <c r="I124" s="126"/>
      <c r="J124" s="126"/>
    </row>
    <row r="125">
      <c r="A125" s="127"/>
      <c r="B125" s="126"/>
      <c r="C125" s="126"/>
      <c r="D125" s="126"/>
      <c r="E125" s="126"/>
      <c r="F125" s="126"/>
      <c r="G125" s="126"/>
      <c r="H125" s="126"/>
      <c r="I125" s="126"/>
      <c r="J125" s="126"/>
    </row>
    <row r="126">
      <c r="A126" s="127"/>
      <c r="B126" s="126"/>
      <c r="C126" s="126"/>
      <c r="D126" s="126"/>
      <c r="E126" s="126"/>
      <c r="F126" s="126"/>
      <c r="G126" s="126"/>
      <c r="H126" s="126"/>
      <c r="I126" s="126"/>
      <c r="J126" s="126"/>
    </row>
    <row r="127">
      <c r="A127" s="127"/>
      <c r="B127" s="126"/>
      <c r="C127" s="126"/>
      <c r="D127" s="126"/>
      <c r="E127" s="126"/>
      <c r="F127" s="126"/>
      <c r="G127" s="126"/>
      <c r="H127" s="126"/>
      <c r="I127" s="126"/>
      <c r="J127" s="126"/>
    </row>
    <row r="128">
      <c r="A128" s="127"/>
      <c r="B128" s="126"/>
      <c r="C128" s="126"/>
      <c r="D128" s="126"/>
      <c r="E128" s="126"/>
      <c r="F128" s="126"/>
      <c r="G128" s="126"/>
      <c r="H128" s="126"/>
      <c r="I128" s="126"/>
      <c r="J128" s="126"/>
    </row>
    <row r="129">
      <c r="A129" s="127"/>
      <c r="B129" s="126"/>
      <c r="C129" s="126"/>
      <c r="D129" s="126"/>
      <c r="E129" s="126"/>
      <c r="F129" s="126"/>
      <c r="G129" s="126"/>
      <c r="H129" s="126"/>
      <c r="I129" s="126"/>
      <c r="J129" s="126"/>
    </row>
    <row r="130">
      <c r="A130" s="127"/>
      <c r="B130" s="126"/>
      <c r="C130" s="126"/>
      <c r="D130" s="126"/>
      <c r="E130" s="126"/>
      <c r="F130" s="126"/>
      <c r="G130" s="126"/>
      <c r="H130" s="126"/>
      <c r="I130" s="126"/>
      <c r="J130" s="126"/>
    </row>
    <row r="131">
      <c r="A131" s="127"/>
      <c r="B131" s="126"/>
      <c r="C131" s="126"/>
      <c r="D131" s="126"/>
      <c r="E131" s="126"/>
      <c r="F131" s="126"/>
      <c r="G131" s="126"/>
      <c r="H131" s="126"/>
      <c r="I131" s="126"/>
      <c r="J131" s="126"/>
    </row>
    <row r="132">
      <c r="A132" s="127"/>
      <c r="B132" s="126"/>
      <c r="C132" s="126"/>
      <c r="D132" s="126"/>
      <c r="E132" s="126"/>
      <c r="F132" s="126"/>
      <c r="G132" s="126"/>
      <c r="H132" s="126"/>
      <c r="I132" s="126"/>
      <c r="J132" s="126"/>
    </row>
    <row r="133">
      <c r="A133" s="127"/>
      <c r="B133" s="126"/>
      <c r="C133" s="126"/>
      <c r="D133" s="126"/>
      <c r="E133" s="126"/>
      <c r="F133" s="126"/>
      <c r="G133" s="126"/>
      <c r="H133" s="126"/>
      <c r="I133" s="126"/>
      <c r="J133" s="126"/>
    </row>
    <row r="134">
      <c r="A134" s="127"/>
      <c r="B134" s="126"/>
      <c r="C134" s="126"/>
      <c r="D134" s="126"/>
      <c r="E134" s="126"/>
      <c r="F134" s="126"/>
      <c r="G134" s="126"/>
      <c r="H134" s="126"/>
      <c r="I134" s="126"/>
      <c r="J134" s="126"/>
    </row>
    <row r="135">
      <c r="A135" s="127"/>
      <c r="B135" s="126"/>
      <c r="C135" s="126"/>
      <c r="D135" s="126"/>
      <c r="E135" s="126"/>
      <c r="F135" s="126"/>
      <c r="G135" s="126"/>
      <c r="H135" s="126"/>
      <c r="I135" s="126"/>
      <c r="J135" s="126"/>
    </row>
    <row r="136">
      <c r="A136" s="127"/>
      <c r="B136" s="126"/>
      <c r="C136" s="126"/>
      <c r="D136" s="126"/>
      <c r="E136" s="126"/>
      <c r="F136" s="126"/>
      <c r="G136" s="126"/>
      <c r="H136" s="126"/>
      <c r="I136" s="126"/>
      <c r="J136" s="126"/>
    </row>
    <row r="137">
      <c r="A137" s="127"/>
      <c r="B137" s="126"/>
      <c r="C137" s="126"/>
      <c r="D137" s="126"/>
      <c r="E137" s="126"/>
      <c r="F137" s="126"/>
      <c r="G137" s="126"/>
      <c r="H137" s="126"/>
      <c r="I137" s="126"/>
      <c r="J137" s="126"/>
    </row>
    <row r="138">
      <c r="A138" s="127"/>
      <c r="B138" s="126"/>
      <c r="C138" s="126"/>
      <c r="D138" s="126"/>
      <c r="E138" s="126"/>
      <c r="F138" s="126"/>
      <c r="G138" s="126"/>
      <c r="H138" s="126"/>
      <c r="I138" s="126"/>
      <c r="J138" s="126"/>
    </row>
    <row r="139">
      <c r="A139" s="127"/>
      <c r="B139" s="126"/>
      <c r="C139" s="126"/>
      <c r="D139" s="126"/>
      <c r="E139" s="126"/>
      <c r="F139" s="126"/>
      <c r="G139" s="126"/>
      <c r="H139" s="126"/>
      <c r="I139" s="126"/>
      <c r="J139" s="126"/>
    </row>
    <row r="140">
      <c r="A140" s="127"/>
      <c r="B140" s="126"/>
      <c r="C140" s="126"/>
      <c r="D140" s="126"/>
      <c r="E140" s="126"/>
      <c r="F140" s="126"/>
      <c r="G140" s="126"/>
      <c r="H140" s="126"/>
      <c r="I140" s="126"/>
      <c r="J140" s="126"/>
    </row>
    <row r="141">
      <c r="A141" s="127"/>
      <c r="B141" s="126"/>
      <c r="C141" s="126"/>
      <c r="D141" s="126"/>
      <c r="E141" s="126"/>
      <c r="F141" s="126"/>
      <c r="G141" s="126"/>
      <c r="H141" s="126"/>
      <c r="I141" s="126"/>
      <c r="J141" s="126"/>
    </row>
    <row r="142">
      <c r="A142" s="127"/>
      <c r="B142" s="126"/>
      <c r="C142" s="126"/>
      <c r="D142" s="126"/>
      <c r="E142" s="126"/>
      <c r="F142" s="126"/>
      <c r="G142" s="126"/>
      <c r="H142" s="126"/>
      <c r="I142" s="126"/>
      <c r="J142" s="126"/>
    </row>
    <row r="143">
      <c r="A143" s="127"/>
      <c r="B143" s="126"/>
      <c r="C143" s="126"/>
      <c r="D143" s="126"/>
      <c r="E143" s="126"/>
      <c r="F143" s="126"/>
      <c r="G143" s="126"/>
      <c r="H143" s="126"/>
      <c r="I143" s="126"/>
      <c r="J143" s="126"/>
    </row>
    <row r="144">
      <c r="A144" s="127"/>
      <c r="B144" s="126"/>
      <c r="C144" s="126"/>
      <c r="D144" s="126"/>
      <c r="E144" s="126"/>
      <c r="F144" s="126"/>
      <c r="G144" s="126"/>
      <c r="H144" s="126"/>
      <c r="I144" s="126"/>
      <c r="J144" s="126"/>
    </row>
    <row r="145">
      <c r="A145" s="127"/>
      <c r="B145" s="126"/>
      <c r="C145" s="126"/>
      <c r="D145" s="126"/>
      <c r="E145" s="126"/>
      <c r="F145" s="126"/>
      <c r="G145" s="126"/>
      <c r="H145" s="126"/>
      <c r="I145" s="126"/>
      <c r="J145" s="126"/>
    </row>
    <row r="146">
      <c r="A146" s="127"/>
      <c r="B146" s="126"/>
      <c r="C146" s="126"/>
      <c r="D146" s="126"/>
      <c r="E146" s="126"/>
      <c r="F146" s="126"/>
      <c r="G146" s="126"/>
      <c r="H146" s="126"/>
      <c r="I146" s="126"/>
      <c r="J146" s="126"/>
    </row>
    <row r="147">
      <c r="A147" s="127"/>
      <c r="B147" s="126"/>
      <c r="C147" s="126"/>
      <c r="D147" s="126"/>
      <c r="E147" s="126"/>
      <c r="F147" s="126"/>
      <c r="G147" s="126"/>
      <c r="H147" s="126"/>
      <c r="I147" s="126"/>
      <c r="J147" s="126"/>
    </row>
    <row r="148">
      <c r="A148" s="127"/>
      <c r="B148" s="126"/>
      <c r="C148" s="126"/>
      <c r="D148" s="126"/>
      <c r="E148" s="126"/>
      <c r="F148" s="126"/>
      <c r="G148" s="126"/>
      <c r="H148" s="126"/>
      <c r="I148" s="126"/>
      <c r="J148" s="126"/>
    </row>
    <row r="149">
      <c r="A149" s="127"/>
      <c r="B149" s="126"/>
      <c r="C149" s="126"/>
      <c r="D149" s="126"/>
      <c r="E149" s="126"/>
      <c r="F149" s="126"/>
      <c r="G149" s="126"/>
      <c r="H149" s="126"/>
      <c r="I149" s="126"/>
      <c r="J149" s="126"/>
    </row>
    <row r="150">
      <c r="A150" s="127"/>
      <c r="B150" s="126"/>
      <c r="C150" s="126"/>
      <c r="D150" s="126"/>
      <c r="E150" s="126"/>
      <c r="F150" s="126"/>
      <c r="G150" s="126"/>
      <c r="H150" s="126"/>
      <c r="I150" s="126"/>
      <c r="J150" s="126"/>
    </row>
    <row r="151">
      <c r="A151" s="127"/>
      <c r="B151" s="126"/>
      <c r="C151" s="126"/>
      <c r="D151" s="126"/>
      <c r="E151" s="126"/>
      <c r="F151" s="126"/>
      <c r="G151" s="126"/>
      <c r="H151" s="126"/>
      <c r="I151" s="126"/>
      <c r="J151" s="126"/>
    </row>
    <row r="152">
      <c r="A152" s="127"/>
      <c r="B152" s="126"/>
      <c r="C152" s="126"/>
      <c r="D152" s="126"/>
      <c r="E152" s="126"/>
      <c r="F152" s="126"/>
      <c r="G152" s="126"/>
      <c r="H152" s="126"/>
      <c r="I152" s="126"/>
      <c r="J152" s="126"/>
    </row>
    <row r="153">
      <c r="A153" s="127"/>
      <c r="B153" s="126"/>
      <c r="C153" s="126"/>
      <c r="D153" s="126"/>
      <c r="E153" s="126"/>
      <c r="F153" s="126"/>
      <c r="G153" s="126"/>
      <c r="H153" s="126"/>
      <c r="I153" s="126"/>
      <c r="J153" s="126"/>
    </row>
    <row r="154">
      <c r="A154" s="127"/>
      <c r="B154" s="126"/>
      <c r="C154" s="126"/>
      <c r="D154" s="126"/>
      <c r="E154" s="126"/>
      <c r="F154" s="126"/>
      <c r="G154" s="126"/>
      <c r="H154" s="126"/>
      <c r="I154" s="126"/>
      <c r="J154" s="126"/>
    </row>
    <row r="155">
      <c r="A155" s="127"/>
      <c r="B155" s="126"/>
      <c r="C155" s="126"/>
      <c r="D155" s="126"/>
      <c r="E155" s="126"/>
      <c r="F155" s="126"/>
      <c r="G155" s="126"/>
      <c r="H155" s="126"/>
      <c r="I155" s="126"/>
      <c r="J155" s="126"/>
    </row>
    <row r="156">
      <c r="A156" s="127"/>
      <c r="B156" s="126"/>
      <c r="C156" s="126"/>
      <c r="D156" s="126"/>
      <c r="E156" s="126"/>
      <c r="F156" s="126"/>
      <c r="G156" s="126"/>
      <c r="H156" s="126"/>
      <c r="I156" s="126"/>
      <c r="J156" s="126"/>
    </row>
    <row r="157">
      <c r="A157" s="127"/>
      <c r="B157" s="126"/>
      <c r="C157" s="126"/>
      <c r="D157" s="126"/>
      <c r="E157" s="126"/>
      <c r="F157" s="126"/>
      <c r="G157" s="126"/>
      <c r="H157" s="126"/>
      <c r="I157" s="126"/>
      <c r="J157" s="126"/>
    </row>
    <row r="158">
      <c r="A158" s="127"/>
      <c r="B158" s="126"/>
      <c r="C158" s="126"/>
      <c r="D158" s="126"/>
      <c r="E158" s="126"/>
      <c r="F158" s="126"/>
      <c r="G158" s="126"/>
      <c r="H158" s="126"/>
      <c r="I158" s="126"/>
      <c r="J158" s="126"/>
    </row>
    <row r="159">
      <c r="A159" s="127"/>
      <c r="B159" s="126"/>
      <c r="C159" s="126"/>
      <c r="D159" s="126"/>
      <c r="E159" s="126"/>
      <c r="F159" s="126"/>
      <c r="G159" s="126"/>
      <c r="H159" s="126"/>
      <c r="I159" s="126"/>
      <c r="J159" s="126"/>
    </row>
    <row r="160">
      <c r="A160" s="127"/>
      <c r="B160" s="126"/>
      <c r="C160" s="126"/>
      <c r="D160" s="126"/>
      <c r="E160" s="126"/>
      <c r="F160" s="126"/>
      <c r="G160" s="126"/>
      <c r="H160" s="126"/>
      <c r="I160" s="126"/>
      <c r="J160" s="126"/>
    </row>
    <row r="161">
      <c r="A161" s="127"/>
      <c r="B161" s="126"/>
      <c r="C161" s="126"/>
      <c r="D161" s="126"/>
      <c r="E161" s="126"/>
      <c r="F161" s="126"/>
      <c r="G161" s="126"/>
      <c r="H161" s="126"/>
      <c r="I161" s="126"/>
      <c r="J161" s="126"/>
    </row>
    <row r="162">
      <c r="A162" s="127"/>
      <c r="B162" s="126"/>
      <c r="C162" s="126"/>
      <c r="D162" s="126"/>
      <c r="E162" s="126"/>
      <c r="F162" s="126"/>
      <c r="G162" s="126"/>
      <c r="H162" s="126"/>
      <c r="I162" s="126"/>
      <c r="J162" s="126"/>
    </row>
    <row r="163">
      <c r="A163" s="127"/>
      <c r="B163" s="126"/>
      <c r="C163" s="126"/>
      <c r="D163" s="126"/>
      <c r="E163" s="126"/>
      <c r="F163" s="126"/>
      <c r="G163" s="126"/>
      <c r="H163" s="126"/>
      <c r="I163" s="126"/>
      <c r="J163" s="126"/>
    </row>
    <row r="164">
      <c r="A164" s="127"/>
      <c r="B164" s="126"/>
      <c r="C164" s="126"/>
      <c r="D164" s="126"/>
      <c r="E164" s="126"/>
      <c r="F164" s="126"/>
      <c r="G164" s="126"/>
      <c r="H164" s="126"/>
      <c r="I164" s="126"/>
      <c r="J164" s="126"/>
    </row>
    <row r="165">
      <c r="A165" s="127"/>
      <c r="B165" s="126"/>
      <c r="C165" s="126"/>
      <c r="D165" s="126"/>
      <c r="E165" s="126"/>
      <c r="F165" s="126"/>
      <c r="G165" s="126"/>
      <c r="H165" s="126"/>
      <c r="I165" s="126"/>
      <c r="J165" s="126"/>
    </row>
    <row r="166">
      <c r="A166" s="127"/>
      <c r="B166" s="126"/>
      <c r="C166" s="126"/>
      <c r="D166" s="126"/>
      <c r="E166" s="126"/>
      <c r="F166" s="126"/>
      <c r="G166" s="126"/>
      <c r="H166" s="126"/>
      <c r="I166" s="126"/>
      <c r="J166" s="126"/>
    </row>
    <row r="167">
      <c r="A167" s="127"/>
      <c r="B167" s="126"/>
      <c r="C167" s="126"/>
      <c r="D167" s="126"/>
      <c r="E167" s="126"/>
      <c r="F167" s="126"/>
      <c r="G167" s="126"/>
      <c r="H167" s="126"/>
      <c r="I167" s="126"/>
      <c r="J167" s="126"/>
    </row>
    <row r="168">
      <c r="A168" s="127"/>
      <c r="B168" s="126"/>
      <c r="C168" s="126"/>
      <c r="D168" s="126"/>
      <c r="E168" s="126"/>
      <c r="F168" s="126"/>
      <c r="G168" s="126"/>
      <c r="H168" s="126"/>
      <c r="I168" s="126"/>
      <c r="J168" s="126"/>
    </row>
    <row r="169">
      <c r="A169" s="127"/>
      <c r="B169" s="126"/>
      <c r="C169" s="126"/>
      <c r="D169" s="126"/>
      <c r="E169" s="126"/>
      <c r="F169" s="126"/>
      <c r="G169" s="126"/>
      <c r="H169" s="126"/>
      <c r="I169" s="126"/>
      <c r="J169" s="126"/>
    </row>
    <row r="170">
      <c r="A170" s="127"/>
      <c r="B170" s="126"/>
      <c r="C170" s="126"/>
      <c r="D170" s="126"/>
      <c r="E170" s="126"/>
      <c r="F170" s="126"/>
      <c r="G170" s="126"/>
      <c r="H170" s="126"/>
      <c r="I170" s="126"/>
      <c r="J170" s="126"/>
    </row>
    <row r="171">
      <c r="A171" s="127"/>
      <c r="B171" s="126"/>
      <c r="C171" s="126"/>
      <c r="D171" s="126"/>
      <c r="E171" s="126"/>
      <c r="F171" s="126"/>
      <c r="G171" s="126"/>
      <c r="H171" s="126"/>
      <c r="I171" s="126"/>
      <c r="J171" s="126"/>
    </row>
    <row r="172">
      <c r="A172" s="127"/>
      <c r="B172" s="126"/>
      <c r="C172" s="126"/>
      <c r="D172" s="126"/>
      <c r="E172" s="126"/>
      <c r="F172" s="126"/>
      <c r="G172" s="126"/>
      <c r="H172" s="126"/>
      <c r="I172" s="126"/>
      <c r="J172" s="126"/>
    </row>
    <row r="173">
      <c r="A173" s="127"/>
      <c r="B173" s="126"/>
      <c r="C173" s="126"/>
      <c r="D173" s="126"/>
      <c r="E173" s="126"/>
      <c r="F173" s="126"/>
      <c r="G173" s="126"/>
      <c r="H173" s="126"/>
      <c r="I173" s="126"/>
      <c r="J173" s="126"/>
    </row>
    <row r="174">
      <c r="A174" s="127"/>
      <c r="B174" s="126"/>
      <c r="C174" s="126"/>
      <c r="D174" s="126"/>
      <c r="E174" s="126"/>
      <c r="F174" s="126"/>
      <c r="G174" s="126"/>
      <c r="H174" s="126"/>
      <c r="I174" s="126"/>
      <c r="J174" s="126"/>
    </row>
    <row r="175">
      <c r="A175" s="127"/>
      <c r="B175" s="126"/>
      <c r="C175" s="126"/>
      <c r="D175" s="126"/>
      <c r="E175" s="126"/>
      <c r="F175" s="126"/>
      <c r="G175" s="126"/>
      <c r="H175" s="126"/>
      <c r="I175" s="126"/>
      <c r="J175" s="126"/>
    </row>
    <row r="176">
      <c r="A176" s="127"/>
      <c r="B176" s="126"/>
      <c r="C176" s="126"/>
      <c r="D176" s="126"/>
      <c r="E176" s="126"/>
      <c r="F176" s="126"/>
      <c r="G176" s="126"/>
      <c r="H176" s="126"/>
      <c r="I176" s="126"/>
      <c r="J176" s="126"/>
    </row>
    <row r="177">
      <c r="A177" s="127"/>
      <c r="B177" s="126"/>
      <c r="C177" s="126"/>
      <c r="D177" s="126"/>
      <c r="E177" s="126"/>
      <c r="F177" s="126"/>
      <c r="G177" s="126"/>
      <c r="H177" s="126"/>
      <c r="I177" s="126"/>
      <c r="J177" s="126"/>
    </row>
    <row r="178">
      <c r="A178" s="127"/>
      <c r="B178" s="126"/>
      <c r="C178" s="126"/>
      <c r="D178" s="126"/>
      <c r="E178" s="126"/>
      <c r="F178" s="126"/>
      <c r="G178" s="126"/>
      <c r="H178" s="126"/>
      <c r="I178" s="126"/>
      <c r="J178" s="126"/>
    </row>
    <row r="179">
      <c r="A179" s="127"/>
      <c r="B179" s="126"/>
      <c r="C179" s="126"/>
      <c r="D179" s="126"/>
      <c r="E179" s="126"/>
      <c r="F179" s="126"/>
      <c r="G179" s="126"/>
      <c r="H179" s="126"/>
      <c r="I179" s="126"/>
      <c r="J179" s="126"/>
    </row>
    <row r="180">
      <c r="A180" s="127"/>
      <c r="B180" s="126"/>
      <c r="C180" s="126"/>
      <c r="D180" s="126"/>
      <c r="E180" s="126"/>
      <c r="F180" s="126"/>
      <c r="G180" s="126"/>
      <c r="H180" s="126"/>
      <c r="I180" s="126"/>
      <c r="J180" s="126"/>
    </row>
    <row r="181">
      <c r="A181" s="127"/>
      <c r="B181" s="126"/>
      <c r="C181" s="126"/>
      <c r="D181" s="126"/>
      <c r="E181" s="126"/>
      <c r="F181" s="126"/>
      <c r="G181" s="126"/>
      <c r="H181" s="126"/>
      <c r="I181" s="126"/>
      <c r="J181" s="126"/>
    </row>
    <row r="182">
      <c r="A182" s="127"/>
      <c r="B182" s="126"/>
      <c r="C182" s="126"/>
      <c r="D182" s="126"/>
      <c r="E182" s="126"/>
      <c r="F182" s="126"/>
      <c r="G182" s="126"/>
      <c r="H182" s="126"/>
      <c r="I182" s="126"/>
      <c r="J182" s="126"/>
    </row>
    <row r="183">
      <c r="A183" s="127"/>
      <c r="B183" s="126"/>
      <c r="C183" s="126"/>
      <c r="D183" s="126"/>
      <c r="E183" s="126"/>
      <c r="F183" s="126"/>
      <c r="G183" s="126"/>
      <c r="H183" s="126"/>
      <c r="I183" s="126"/>
      <c r="J183" s="126"/>
    </row>
    <row r="184">
      <c r="A184" s="127"/>
      <c r="B184" s="126"/>
      <c r="C184" s="126"/>
      <c r="D184" s="126"/>
      <c r="E184" s="126"/>
      <c r="F184" s="126"/>
      <c r="G184" s="126"/>
      <c r="H184" s="126"/>
      <c r="I184" s="126"/>
      <c r="J184" s="126"/>
    </row>
    <row r="185">
      <c r="A185" s="127"/>
      <c r="B185" s="126"/>
      <c r="C185" s="126"/>
      <c r="D185" s="126"/>
      <c r="E185" s="126"/>
      <c r="F185" s="126"/>
      <c r="G185" s="126"/>
      <c r="H185" s="126"/>
      <c r="I185" s="126"/>
      <c r="J185" s="126"/>
    </row>
    <row r="186">
      <c r="A186" s="127"/>
      <c r="B186" s="126"/>
      <c r="C186" s="126"/>
      <c r="D186" s="126"/>
      <c r="E186" s="126"/>
      <c r="F186" s="126"/>
      <c r="G186" s="126"/>
      <c r="H186" s="126"/>
      <c r="I186" s="126"/>
      <c r="J186" s="126"/>
    </row>
    <row r="187">
      <c r="A187" s="127"/>
      <c r="B187" s="126"/>
      <c r="C187" s="126"/>
      <c r="D187" s="126"/>
      <c r="E187" s="126"/>
      <c r="F187" s="126"/>
      <c r="G187" s="126"/>
      <c r="H187" s="126"/>
      <c r="I187" s="126"/>
      <c r="J187" s="126"/>
    </row>
    <row r="188">
      <c r="A188" s="127"/>
      <c r="B188" s="126"/>
      <c r="C188" s="126"/>
      <c r="D188" s="126"/>
      <c r="E188" s="126"/>
      <c r="F188" s="126"/>
      <c r="G188" s="126"/>
      <c r="H188" s="126"/>
      <c r="I188" s="126"/>
      <c r="J188" s="126"/>
    </row>
    <row r="189">
      <c r="A189" s="127"/>
      <c r="B189" s="126"/>
      <c r="C189" s="126"/>
      <c r="D189" s="126"/>
      <c r="E189" s="126"/>
      <c r="F189" s="126"/>
      <c r="G189" s="126"/>
      <c r="H189" s="126"/>
      <c r="I189" s="126"/>
      <c r="J189" s="126"/>
    </row>
    <row r="190">
      <c r="A190" s="127"/>
      <c r="B190" s="126"/>
      <c r="C190" s="126"/>
      <c r="D190" s="126"/>
      <c r="E190" s="126"/>
      <c r="F190" s="126"/>
      <c r="G190" s="126"/>
      <c r="H190" s="126"/>
      <c r="I190" s="126"/>
      <c r="J190" s="126"/>
    </row>
    <row r="191">
      <c r="A191" s="127"/>
      <c r="B191" s="126"/>
      <c r="C191" s="126"/>
      <c r="D191" s="126"/>
      <c r="E191" s="126"/>
      <c r="F191" s="126"/>
      <c r="G191" s="126"/>
      <c r="H191" s="126"/>
      <c r="I191" s="126"/>
      <c r="J191" s="126"/>
    </row>
    <row r="192">
      <c r="A192" s="127"/>
      <c r="B192" s="126"/>
      <c r="C192" s="126"/>
      <c r="D192" s="126"/>
      <c r="E192" s="126"/>
      <c r="F192" s="126"/>
      <c r="G192" s="126"/>
      <c r="H192" s="126"/>
      <c r="I192" s="126"/>
      <c r="J192" s="126"/>
    </row>
    <row r="193">
      <c r="A193" s="127"/>
      <c r="B193" s="126"/>
      <c r="C193" s="126"/>
      <c r="D193" s="126"/>
      <c r="E193" s="126"/>
      <c r="F193" s="126"/>
      <c r="G193" s="126"/>
      <c r="H193" s="126"/>
      <c r="I193" s="126"/>
      <c r="J193" s="126"/>
    </row>
    <row r="194">
      <c r="A194" s="127"/>
      <c r="B194" s="126"/>
      <c r="C194" s="126"/>
      <c r="D194" s="126"/>
      <c r="E194" s="126"/>
      <c r="F194" s="126"/>
      <c r="G194" s="126"/>
      <c r="H194" s="126"/>
      <c r="I194" s="126"/>
      <c r="J194" s="126"/>
    </row>
    <row r="195">
      <c r="A195" s="127"/>
      <c r="B195" s="126"/>
      <c r="C195" s="126"/>
      <c r="D195" s="126"/>
      <c r="E195" s="126"/>
      <c r="F195" s="126"/>
      <c r="G195" s="126"/>
      <c r="H195" s="126"/>
      <c r="I195" s="126"/>
      <c r="J195" s="126"/>
    </row>
    <row r="196">
      <c r="A196" s="127"/>
      <c r="B196" s="126"/>
      <c r="C196" s="126"/>
      <c r="D196" s="126"/>
      <c r="E196" s="126"/>
      <c r="F196" s="126"/>
      <c r="G196" s="126"/>
      <c r="H196" s="126"/>
      <c r="I196" s="126"/>
      <c r="J196" s="126"/>
    </row>
    <row r="197">
      <c r="A197" s="127"/>
      <c r="B197" s="126"/>
      <c r="C197" s="126"/>
      <c r="D197" s="126"/>
      <c r="E197" s="126"/>
      <c r="F197" s="126"/>
      <c r="G197" s="126"/>
      <c r="H197" s="126"/>
      <c r="I197" s="126"/>
      <c r="J197" s="126"/>
    </row>
    <row r="198">
      <c r="A198" s="127"/>
      <c r="B198" s="126"/>
      <c r="C198" s="126"/>
      <c r="D198" s="126"/>
      <c r="E198" s="126"/>
      <c r="F198" s="126"/>
      <c r="G198" s="126"/>
      <c r="H198" s="126"/>
      <c r="I198" s="126"/>
      <c r="J198" s="126"/>
    </row>
    <row r="199">
      <c r="A199" s="127"/>
      <c r="B199" s="126"/>
      <c r="C199" s="126"/>
      <c r="D199" s="126"/>
      <c r="E199" s="126"/>
      <c r="F199" s="126"/>
      <c r="G199" s="126"/>
      <c r="H199" s="126"/>
      <c r="I199" s="126"/>
      <c r="J199" s="126"/>
    </row>
    <row r="200">
      <c r="A200" s="127"/>
      <c r="B200" s="126"/>
      <c r="C200" s="126"/>
      <c r="D200" s="126"/>
      <c r="E200" s="126"/>
      <c r="F200" s="126"/>
      <c r="G200" s="126"/>
      <c r="H200" s="126"/>
      <c r="I200" s="126"/>
      <c r="J200" s="126"/>
    </row>
    <row r="201">
      <c r="A201" s="127"/>
      <c r="B201" s="126"/>
      <c r="C201" s="126"/>
      <c r="D201" s="126"/>
      <c r="E201" s="126"/>
      <c r="F201" s="126"/>
      <c r="G201" s="126"/>
      <c r="H201" s="126"/>
      <c r="I201" s="126"/>
      <c r="J201" s="126"/>
    </row>
    <row r="202">
      <c r="A202" s="127"/>
      <c r="B202" s="126"/>
      <c r="C202" s="126"/>
      <c r="D202" s="126"/>
      <c r="E202" s="126"/>
      <c r="F202" s="126"/>
      <c r="G202" s="126"/>
      <c r="H202" s="126"/>
      <c r="I202" s="126"/>
      <c r="J202" s="126"/>
    </row>
    <row r="203">
      <c r="A203" s="127"/>
      <c r="B203" s="126"/>
      <c r="C203" s="126"/>
      <c r="D203" s="126"/>
      <c r="E203" s="126"/>
      <c r="F203" s="126"/>
      <c r="G203" s="126"/>
      <c r="H203" s="126"/>
      <c r="I203" s="126"/>
      <c r="J203" s="126"/>
    </row>
    <row r="204">
      <c r="A204" s="127"/>
      <c r="B204" s="126"/>
      <c r="C204" s="126"/>
      <c r="D204" s="126"/>
      <c r="E204" s="126"/>
      <c r="F204" s="126"/>
      <c r="G204" s="126"/>
      <c r="H204" s="126"/>
      <c r="I204" s="126"/>
      <c r="J204" s="126"/>
    </row>
    <row r="205">
      <c r="A205" s="127"/>
      <c r="B205" s="126"/>
      <c r="C205" s="126"/>
      <c r="D205" s="126"/>
      <c r="E205" s="126"/>
      <c r="F205" s="126"/>
      <c r="G205" s="126"/>
      <c r="H205" s="126"/>
      <c r="I205" s="126"/>
      <c r="J205" s="126"/>
    </row>
    <row r="206">
      <c r="A206" s="127"/>
      <c r="B206" s="126"/>
      <c r="C206" s="126"/>
      <c r="D206" s="126"/>
      <c r="E206" s="126"/>
      <c r="F206" s="126"/>
      <c r="G206" s="126"/>
      <c r="H206" s="126"/>
      <c r="I206" s="126"/>
      <c r="J206" s="126"/>
    </row>
    <row r="207">
      <c r="A207" s="127"/>
      <c r="B207" s="126"/>
      <c r="C207" s="126"/>
      <c r="D207" s="126"/>
      <c r="E207" s="126"/>
      <c r="F207" s="126"/>
      <c r="G207" s="126"/>
      <c r="H207" s="126"/>
      <c r="I207" s="126"/>
      <c r="J207" s="126"/>
    </row>
    <row r="208">
      <c r="A208" s="127"/>
      <c r="B208" s="126"/>
      <c r="C208" s="126"/>
      <c r="D208" s="126"/>
      <c r="E208" s="126"/>
      <c r="F208" s="126"/>
      <c r="G208" s="126"/>
      <c r="H208" s="126"/>
      <c r="I208" s="126"/>
      <c r="J208" s="126"/>
    </row>
    <row r="209">
      <c r="A209" s="127"/>
      <c r="B209" s="126"/>
      <c r="C209" s="126"/>
      <c r="D209" s="126"/>
      <c r="E209" s="126"/>
      <c r="F209" s="126"/>
      <c r="G209" s="126"/>
      <c r="H209" s="126"/>
      <c r="I209" s="126"/>
      <c r="J209" s="126"/>
    </row>
    <row r="210">
      <c r="A210" s="127"/>
      <c r="B210" s="126"/>
      <c r="C210" s="126"/>
      <c r="D210" s="126"/>
      <c r="E210" s="126"/>
      <c r="F210" s="126"/>
      <c r="G210" s="126"/>
      <c r="H210" s="126"/>
      <c r="I210" s="126"/>
      <c r="J210" s="126"/>
    </row>
    <row r="211">
      <c r="A211" s="127"/>
      <c r="B211" s="126"/>
      <c r="C211" s="126"/>
      <c r="D211" s="126"/>
      <c r="E211" s="126"/>
      <c r="F211" s="126"/>
      <c r="G211" s="126"/>
      <c r="H211" s="126"/>
      <c r="I211" s="126"/>
      <c r="J211" s="126"/>
    </row>
    <row r="212">
      <c r="A212" s="127"/>
      <c r="B212" s="126"/>
      <c r="C212" s="126"/>
      <c r="D212" s="126"/>
      <c r="E212" s="126"/>
      <c r="F212" s="126"/>
      <c r="G212" s="126"/>
      <c r="H212" s="126"/>
      <c r="I212" s="126"/>
      <c r="J212" s="126"/>
    </row>
    <row r="213">
      <c r="A213" s="127"/>
      <c r="B213" s="126"/>
      <c r="C213" s="126"/>
      <c r="D213" s="126"/>
      <c r="E213" s="126"/>
      <c r="F213" s="126"/>
      <c r="G213" s="126"/>
      <c r="H213" s="126"/>
      <c r="I213" s="126"/>
      <c r="J213" s="126"/>
    </row>
    <row r="214">
      <c r="A214" s="127"/>
      <c r="B214" s="126"/>
      <c r="C214" s="126"/>
      <c r="D214" s="126"/>
      <c r="E214" s="126"/>
      <c r="F214" s="126"/>
      <c r="G214" s="126"/>
      <c r="H214" s="126"/>
      <c r="I214" s="126"/>
      <c r="J214" s="126"/>
    </row>
    <row r="215">
      <c r="A215" s="127"/>
      <c r="B215" s="126"/>
      <c r="C215" s="126"/>
      <c r="D215" s="126"/>
      <c r="E215" s="126"/>
      <c r="F215" s="126"/>
      <c r="G215" s="126"/>
      <c r="H215" s="126"/>
      <c r="I215" s="126"/>
      <c r="J215" s="126"/>
    </row>
    <row r="216">
      <c r="A216" s="127"/>
      <c r="B216" s="126"/>
      <c r="C216" s="126"/>
      <c r="D216" s="126"/>
      <c r="E216" s="126"/>
      <c r="F216" s="126"/>
      <c r="G216" s="126"/>
      <c r="H216" s="126"/>
      <c r="I216" s="126"/>
      <c r="J216" s="126"/>
    </row>
    <row r="217">
      <c r="A217" s="127"/>
      <c r="B217" s="126"/>
      <c r="C217" s="126"/>
      <c r="D217" s="126"/>
      <c r="E217" s="126"/>
      <c r="F217" s="126"/>
      <c r="G217" s="126"/>
      <c r="H217" s="126"/>
      <c r="I217" s="126"/>
      <c r="J217" s="126"/>
    </row>
    <row r="218">
      <c r="A218" s="127"/>
      <c r="B218" s="126"/>
      <c r="C218" s="126"/>
      <c r="D218" s="126"/>
      <c r="E218" s="126"/>
      <c r="F218" s="126"/>
      <c r="G218" s="126"/>
      <c r="H218" s="126"/>
      <c r="I218" s="126"/>
      <c r="J218" s="126"/>
    </row>
    <row r="219">
      <c r="A219" s="127"/>
      <c r="B219" s="126"/>
      <c r="C219" s="126"/>
      <c r="D219" s="126"/>
      <c r="E219" s="126"/>
      <c r="F219" s="126"/>
      <c r="G219" s="126"/>
      <c r="H219" s="126"/>
      <c r="I219" s="126"/>
      <c r="J219" s="126"/>
    </row>
    <row r="220">
      <c r="A220" s="127"/>
      <c r="B220" s="126"/>
      <c r="C220" s="126"/>
      <c r="D220" s="126"/>
      <c r="E220" s="126"/>
      <c r="F220" s="126"/>
      <c r="G220" s="126"/>
      <c r="H220" s="126"/>
      <c r="I220" s="126"/>
      <c r="J220" s="126"/>
    </row>
    <row r="221">
      <c r="A221" s="127"/>
      <c r="B221" s="126"/>
      <c r="C221" s="126"/>
      <c r="D221" s="126"/>
      <c r="E221" s="126"/>
      <c r="F221" s="126"/>
      <c r="G221" s="126"/>
      <c r="H221" s="126"/>
      <c r="I221" s="126"/>
      <c r="J221" s="126"/>
    </row>
    <row r="222">
      <c r="A222" s="127"/>
      <c r="B222" s="126"/>
      <c r="C222" s="126"/>
      <c r="D222" s="126"/>
      <c r="E222" s="126"/>
      <c r="F222" s="126"/>
      <c r="G222" s="126"/>
      <c r="H222" s="126"/>
      <c r="I222" s="126"/>
      <c r="J222" s="126"/>
    </row>
    <row r="223">
      <c r="A223" s="127"/>
      <c r="B223" s="126"/>
      <c r="C223" s="126"/>
      <c r="D223" s="126"/>
      <c r="E223" s="126"/>
      <c r="F223" s="126"/>
      <c r="G223" s="126"/>
      <c r="H223" s="126"/>
      <c r="I223" s="126"/>
      <c r="J223" s="126"/>
    </row>
    <row r="224">
      <c r="A224" s="127"/>
      <c r="B224" s="126"/>
      <c r="C224" s="126"/>
      <c r="D224" s="126"/>
      <c r="E224" s="126"/>
      <c r="F224" s="126"/>
      <c r="G224" s="126"/>
      <c r="H224" s="126"/>
      <c r="I224" s="126"/>
      <c r="J224" s="126"/>
    </row>
    <row r="225">
      <c r="A225" s="127"/>
      <c r="B225" s="126"/>
      <c r="C225" s="126"/>
      <c r="D225" s="126"/>
      <c r="E225" s="126"/>
      <c r="F225" s="126"/>
      <c r="G225" s="126"/>
      <c r="H225" s="126"/>
      <c r="I225" s="126"/>
      <c r="J225" s="126"/>
    </row>
    <row r="226">
      <c r="A226" s="127"/>
      <c r="B226" s="126"/>
      <c r="C226" s="126"/>
      <c r="D226" s="126"/>
      <c r="E226" s="126"/>
      <c r="F226" s="126"/>
      <c r="G226" s="126"/>
      <c r="H226" s="126"/>
      <c r="I226" s="126"/>
      <c r="J226" s="126"/>
    </row>
    <row r="227">
      <c r="A227" s="127"/>
      <c r="B227" s="126"/>
      <c r="C227" s="126"/>
      <c r="D227" s="126"/>
      <c r="E227" s="126"/>
      <c r="F227" s="126"/>
      <c r="G227" s="126"/>
      <c r="H227" s="126"/>
      <c r="I227" s="126"/>
      <c r="J227" s="126"/>
    </row>
    <row r="228">
      <c r="A228" s="127"/>
      <c r="B228" s="126"/>
      <c r="C228" s="126"/>
      <c r="D228" s="126"/>
      <c r="E228" s="126"/>
      <c r="F228" s="126"/>
      <c r="G228" s="126"/>
      <c r="H228" s="126"/>
      <c r="I228" s="126"/>
      <c r="J228" s="126"/>
    </row>
    <row r="229">
      <c r="A229" s="127"/>
      <c r="B229" s="126"/>
      <c r="C229" s="126"/>
      <c r="D229" s="126"/>
      <c r="E229" s="126"/>
      <c r="F229" s="126"/>
      <c r="G229" s="126"/>
      <c r="H229" s="126"/>
      <c r="I229" s="126"/>
      <c r="J229" s="126"/>
    </row>
    <row r="230">
      <c r="A230" s="127"/>
      <c r="B230" s="126"/>
      <c r="C230" s="126"/>
      <c r="D230" s="126"/>
      <c r="E230" s="126"/>
      <c r="F230" s="126"/>
      <c r="G230" s="126"/>
      <c r="H230" s="126"/>
      <c r="I230" s="126"/>
      <c r="J230" s="126"/>
    </row>
    <row r="231">
      <c r="A231" s="127"/>
      <c r="B231" s="126"/>
      <c r="C231" s="126"/>
      <c r="D231" s="126"/>
      <c r="E231" s="126"/>
      <c r="F231" s="126"/>
      <c r="G231" s="126"/>
      <c r="H231" s="126"/>
      <c r="I231" s="126"/>
      <c r="J231" s="126"/>
    </row>
    <row r="232">
      <c r="A232" s="127"/>
      <c r="B232" s="126"/>
      <c r="C232" s="126"/>
      <c r="D232" s="126"/>
      <c r="E232" s="126"/>
      <c r="F232" s="126"/>
      <c r="G232" s="126"/>
      <c r="H232" s="126"/>
      <c r="I232" s="126"/>
      <c r="J232" s="126"/>
    </row>
    <row r="233">
      <c r="A233" s="127"/>
      <c r="B233" s="126"/>
      <c r="C233" s="126"/>
      <c r="D233" s="126"/>
      <c r="E233" s="126"/>
      <c r="F233" s="126"/>
      <c r="G233" s="126"/>
      <c r="H233" s="126"/>
      <c r="I233" s="126"/>
      <c r="J233" s="126"/>
    </row>
    <row r="234">
      <c r="A234" s="127"/>
      <c r="B234" s="126"/>
      <c r="C234" s="126"/>
      <c r="D234" s="126"/>
      <c r="E234" s="126"/>
      <c r="F234" s="126"/>
      <c r="G234" s="126"/>
      <c r="H234" s="126"/>
      <c r="I234" s="126"/>
      <c r="J234" s="126"/>
    </row>
    <row r="235">
      <c r="A235" s="127"/>
      <c r="B235" s="126"/>
      <c r="C235" s="126"/>
      <c r="D235" s="126"/>
      <c r="E235" s="126"/>
      <c r="F235" s="126"/>
      <c r="G235" s="126"/>
      <c r="H235" s="126"/>
      <c r="I235" s="126"/>
      <c r="J235" s="126"/>
    </row>
    <row r="236">
      <c r="A236" s="127"/>
      <c r="B236" s="126"/>
      <c r="C236" s="126"/>
      <c r="D236" s="126"/>
      <c r="E236" s="126"/>
      <c r="F236" s="126"/>
      <c r="G236" s="126"/>
      <c r="H236" s="126"/>
      <c r="I236" s="126"/>
      <c r="J236" s="126"/>
    </row>
    <row r="237">
      <c r="A237" s="127"/>
      <c r="B237" s="126"/>
      <c r="C237" s="126"/>
      <c r="D237" s="126"/>
      <c r="E237" s="126"/>
      <c r="F237" s="126"/>
      <c r="G237" s="126"/>
      <c r="H237" s="126"/>
      <c r="I237" s="126"/>
      <c r="J237" s="126"/>
    </row>
    <row r="238">
      <c r="A238" s="127"/>
      <c r="B238" s="126"/>
      <c r="C238" s="126"/>
      <c r="D238" s="126"/>
      <c r="E238" s="126"/>
      <c r="F238" s="126"/>
      <c r="G238" s="126"/>
      <c r="H238" s="126"/>
      <c r="I238" s="126"/>
      <c r="J238" s="126"/>
    </row>
    <row r="239">
      <c r="A239" s="127"/>
      <c r="B239" s="126"/>
      <c r="C239" s="126"/>
      <c r="D239" s="126"/>
      <c r="E239" s="126"/>
      <c r="F239" s="126"/>
      <c r="G239" s="126"/>
      <c r="H239" s="126"/>
      <c r="I239" s="126"/>
      <c r="J239" s="126"/>
    </row>
    <row r="240">
      <c r="A240" s="127"/>
      <c r="B240" s="126"/>
      <c r="C240" s="126"/>
      <c r="D240" s="126"/>
      <c r="E240" s="126"/>
      <c r="F240" s="126"/>
      <c r="G240" s="126"/>
      <c r="H240" s="126"/>
      <c r="I240" s="126"/>
      <c r="J240" s="126"/>
    </row>
    <row r="241">
      <c r="A241" s="127"/>
      <c r="B241" s="126"/>
      <c r="C241" s="126"/>
      <c r="D241" s="126"/>
      <c r="E241" s="126"/>
      <c r="F241" s="126"/>
      <c r="G241" s="126"/>
      <c r="H241" s="126"/>
      <c r="I241" s="126"/>
      <c r="J241" s="126"/>
    </row>
    <row r="242">
      <c r="A242" s="127"/>
      <c r="B242" s="126"/>
      <c r="C242" s="126"/>
      <c r="D242" s="126"/>
      <c r="E242" s="126"/>
      <c r="F242" s="126"/>
      <c r="G242" s="126"/>
      <c r="H242" s="126"/>
      <c r="I242" s="126"/>
      <c r="J242" s="126"/>
    </row>
    <row r="243">
      <c r="A243" s="127"/>
      <c r="B243" s="126"/>
      <c r="C243" s="126"/>
      <c r="D243" s="126"/>
      <c r="E243" s="126"/>
      <c r="F243" s="126"/>
      <c r="G243" s="126"/>
      <c r="H243" s="126"/>
      <c r="I243" s="126"/>
      <c r="J243" s="126"/>
    </row>
    <row r="244">
      <c r="A244" s="127"/>
      <c r="B244" s="126"/>
      <c r="C244" s="126"/>
      <c r="D244" s="126"/>
      <c r="E244" s="126"/>
      <c r="F244" s="126"/>
      <c r="G244" s="126"/>
      <c r="H244" s="126"/>
      <c r="I244" s="126"/>
      <c r="J244" s="126"/>
    </row>
    <row r="245">
      <c r="A245" s="127"/>
      <c r="B245" s="126"/>
      <c r="C245" s="126"/>
      <c r="D245" s="126"/>
      <c r="E245" s="126"/>
      <c r="F245" s="126"/>
      <c r="G245" s="126"/>
      <c r="H245" s="126"/>
      <c r="I245" s="126"/>
      <c r="J245" s="126"/>
    </row>
    <row r="246">
      <c r="A246" s="127"/>
      <c r="B246" s="126"/>
      <c r="C246" s="126"/>
      <c r="D246" s="126"/>
      <c r="E246" s="126"/>
      <c r="F246" s="126"/>
      <c r="G246" s="126"/>
      <c r="H246" s="126"/>
      <c r="I246" s="126"/>
      <c r="J246" s="126"/>
    </row>
    <row r="247">
      <c r="A247" s="127"/>
      <c r="B247" s="126"/>
      <c r="C247" s="126"/>
      <c r="D247" s="126"/>
      <c r="E247" s="126"/>
      <c r="F247" s="126"/>
      <c r="G247" s="126"/>
      <c r="H247" s="126"/>
      <c r="I247" s="126"/>
      <c r="J247" s="126"/>
    </row>
    <row r="248">
      <c r="A248" s="127"/>
      <c r="B248" s="126"/>
      <c r="C248" s="126"/>
      <c r="D248" s="126"/>
      <c r="E248" s="126"/>
      <c r="F248" s="126"/>
      <c r="G248" s="126"/>
      <c r="H248" s="126"/>
      <c r="I248" s="126"/>
      <c r="J248" s="126"/>
    </row>
    <row r="249">
      <c r="A249" s="127"/>
      <c r="B249" s="126"/>
      <c r="C249" s="126"/>
      <c r="D249" s="126"/>
      <c r="E249" s="126"/>
      <c r="F249" s="126"/>
      <c r="G249" s="126"/>
      <c r="H249" s="126"/>
      <c r="I249" s="126"/>
      <c r="J249" s="126"/>
    </row>
    <row r="250">
      <c r="A250" s="127"/>
      <c r="B250" s="126"/>
      <c r="C250" s="126"/>
      <c r="D250" s="126"/>
      <c r="E250" s="126"/>
      <c r="F250" s="126"/>
      <c r="G250" s="126"/>
      <c r="H250" s="126"/>
      <c r="I250" s="126"/>
      <c r="J250" s="126"/>
    </row>
    <row r="251">
      <c r="A251" s="127"/>
      <c r="B251" s="126"/>
      <c r="C251" s="126"/>
      <c r="D251" s="126"/>
      <c r="E251" s="126"/>
      <c r="F251" s="126"/>
      <c r="G251" s="126"/>
      <c r="H251" s="126"/>
      <c r="I251" s="126"/>
      <c r="J251" s="126"/>
    </row>
    <row r="252">
      <c r="A252" s="127"/>
      <c r="B252" s="126"/>
      <c r="C252" s="126"/>
      <c r="D252" s="126"/>
      <c r="E252" s="126"/>
      <c r="F252" s="126"/>
      <c r="G252" s="126"/>
      <c r="H252" s="126"/>
      <c r="I252" s="126"/>
      <c r="J252" s="126"/>
    </row>
    <row r="253">
      <c r="A253" s="127"/>
      <c r="B253" s="126"/>
      <c r="C253" s="126"/>
      <c r="D253" s="126"/>
      <c r="E253" s="126"/>
      <c r="F253" s="126"/>
      <c r="G253" s="126"/>
      <c r="H253" s="126"/>
      <c r="I253" s="126"/>
      <c r="J253" s="126"/>
    </row>
    <row r="254">
      <c r="A254" s="127"/>
      <c r="B254" s="126"/>
      <c r="C254" s="126"/>
      <c r="D254" s="126"/>
      <c r="E254" s="126"/>
      <c r="F254" s="126"/>
      <c r="G254" s="126"/>
      <c r="H254" s="126"/>
      <c r="I254" s="126"/>
      <c r="J254" s="126"/>
    </row>
    <row r="255">
      <c r="A255" s="127"/>
      <c r="B255" s="126"/>
      <c r="C255" s="126"/>
      <c r="D255" s="126"/>
      <c r="E255" s="126"/>
      <c r="F255" s="126"/>
      <c r="G255" s="126"/>
      <c r="H255" s="126"/>
      <c r="I255" s="126"/>
      <c r="J255" s="126"/>
    </row>
    <row r="256">
      <c r="A256" s="127"/>
      <c r="B256" s="126"/>
      <c r="C256" s="126"/>
      <c r="D256" s="126"/>
      <c r="E256" s="126"/>
      <c r="F256" s="126"/>
      <c r="G256" s="126"/>
      <c r="H256" s="126"/>
      <c r="I256" s="126"/>
      <c r="J256" s="126"/>
    </row>
    <row r="257">
      <c r="A257" s="127"/>
      <c r="B257" s="126"/>
      <c r="C257" s="126"/>
      <c r="D257" s="126"/>
      <c r="E257" s="126"/>
      <c r="F257" s="126"/>
      <c r="G257" s="126"/>
      <c r="H257" s="126"/>
      <c r="I257" s="126"/>
      <c r="J257" s="126"/>
    </row>
    <row r="258">
      <c r="A258" s="127"/>
      <c r="B258" s="126"/>
      <c r="C258" s="126"/>
      <c r="D258" s="126"/>
      <c r="E258" s="126"/>
      <c r="F258" s="126"/>
      <c r="G258" s="126"/>
      <c r="H258" s="126"/>
      <c r="I258" s="126"/>
      <c r="J258" s="126"/>
    </row>
    <row r="259">
      <c r="A259" s="127"/>
      <c r="B259" s="126"/>
      <c r="C259" s="126"/>
      <c r="D259" s="126"/>
      <c r="E259" s="126"/>
      <c r="F259" s="126"/>
      <c r="G259" s="126"/>
      <c r="H259" s="126"/>
      <c r="I259" s="126"/>
      <c r="J259" s="126"/>
    </row>
    <row r="260">
      <c r="A260" s="127"/>
      <c r="B260" s="126"/>
      <c r="C260" s="126"/>
      <c r="D260" s="126"/>
      <c r="E260" s="126"/>
      <c r="F260" s="126"/>
      <c r="G260" s="126"/>
      <c r="H260" s="126"/>
      <c r="I260" s="126"/>
      <c r="J260" s="126"/>
    </row>
    <row r="261">
      <c r="A261" s="127"/>
      <c r="B261" s="126"/>
      <c r="C261" s="126"/>
      <c r="D261" s="126"/>
      <c r="E261" s="126"/>
      <c r="F261" s="126"/>
      <c r="G261" s="126"/>
      <c r="H261" s="126"/>
      <c r="I261" s="126"/>
      <c r="J261" s="126"/>
    </row>
    <row r="262">
      <c r="A262" s="127"/>
      <c r="B262" s="126"/>
      <c r="C262" s="126"/>
      <c r="D262" s="126"/>
      <c r="E262" s="126"/>
      <c r="F262" s="126"/>
      <c r="G262" s="126"/>
      <c r="H262" s="126"/>
      <c r="I262" s="126"/>
      <c r="J262" s="126"/>
    </row>
    <row r="263">
      <c r="A263" s="127"/>
      <c r="B263" s="126"/>
      <c r="C263" s="126"/>
      <c r="D263" s="126"/>
      <c r="E263" s="126"/>
      <c r="F263" s="126"/>
      <c r="G263" s="126"/>
      <c r="H263" s="126"/>
      <c r="I263" s="126"/>
      <c r="J263" s="126"/>
    </row>
    <row r="264">
      <c r="A264" s="127"/>
      <c r="B264" s="126"/>
      <c r="C264" s="126"/>
      <c r="D264" s="126"/>
      <c r="E264" s="126"/>
      <c r="F264" s="126"/>
      <c r="G264" s="126"/>
      <c r="H264" s="126"/>
      <c r="I264" s="126"/>
      <c r="J264" s="126"/>
    </row>
    <row r="265">
      <c r="A265" s="127"/>
      <c r="B265" s="126"/>
      <c r="C265" s="126"/>
      <c r="D265" s="126"/>
      <c r="E265" s="126"/>
      <c r="F265" s="126"/>
      <c r="G265" s="126"/>
      <c r="H265" s="126"/>
      <c r="I265" s="126"/>
      <c r="J265" s="126"/>
    </row>
    <row r="266">
      <c r="A266" s="127"/>
      <c r="B266" s="126"/>
      <c r="C266" s="126"/>
      <c r="D266" s="126"/>
      <c r="E266" s="126"/>
      <c r="F266" s="126"/>
      <c r="G266" s="126"/>
      <c r="H266" s="126"/>
      <c r="I266" s="126"/>
      <c r="J266" s="126"/>
    </row>
    <row r="267">
      <c r="A267" s="127"/>
      <c r="B267" s="126"/>
      <c r="C267" s="126"/>
      <c r="D267" s="126"/>
      <c r="E267" s="126"/>
      <c r="F267" s="126"/>
      <c r="G267" s="126"/>
      <c r="H267" s="126"/>
      <c r="I267" s="126"/>
      <c r="J267" s="126"/>
    </row>
    <row r="268">
      <c r="A268" s="127"/>
      <c r="B268" s="126"/>
      <c r="C268" s="126"/>
      <c r="D268" s="126"/>
      <c r="E268" s="126"/>
      <c r="F268" s="126"/>
      <c r="G268" s="126"/>
      <c r="H268" s="126"/>
      <c r="I268" s="126"/>
      <c r="J268" s="126"/>
    </row>
    <row r="269">
      <c r="A269" s="127"/>
      <c r="B269" s="126"/>
      <c r="C269" s="126"/>
      <c r="D269" s="126"/>
      <c r="E269" s="126"/>
      <c r="F269" s="126"/>
      <c r="G269" s="126"/>
      <c r="H269" s="126"/>
      <c r="I269" s="126"/>
      <c r="J269" s="126"/>
    </row>
    <row r="270">
      <c r="A270" s="127"/>
      <c r="B270" s="126"/>
      <c r="C270" s="126"/>
      <c r="D270" s="126"/>
      <c r="E270" s="126"/>
      <c r="F270" s="126"/>
      <c r="G270" s="126"/>
      <c r="H270" s="126"/>
      <c r="I270" s="126"/>
      <c r="J270" s="126"/>
    </row>
    <row r="271">
      <c r="A271" s="127"/>
      <c r="B271" s="126"/>
      <c r="C271" s="126"/>
      <c r="D271" s="126"/>
      <c r="E271" s="126"/>
      <c r="F271" s="126"/>
      <c r="G271" s="126"/>
      <c r="H271" s="126"/>
      <c r="I271" s="126"/>
      <c r="J271" s="126"/>
    </row>
    <row r="272">
      <c r="A272" s="127"/>
      <c r="B272" s="126"/>
      <c r="C272" s="126"/>
      <c r="D272" s="126"/>
      <c r="E272" s="126"/>
      <c r="F272" s="126"/>
      <c r="G272" s="126"/>
      <c r="H272" s="126"/>
      <c r="I272" s="126"/>
      <c r="J272" s="126"/>
    </row>
    <row r="273">
      <c r="A273" s="127"/>
      <c r="B273" s="126"/>
      <c r="C273" s="126"/>
      <c r="D273" s="126"/>
      <c r="E273" s="126"/>
      <c r="F273" s="126"/>
      <c r="G273" s="126"/>
      <c r="H273" s="126"/>
      <c r="I273" s="126"/>
      <c r="J273" s="126"/>
    </row>
    <row r="274">
      <c r="A274" s="127"/>
      <c r="B274" s="126"/>
      <c r="C274" s="126"/>
      <c r="D274" s="126"/>
      <c r="E274" s="126"/>
      <c r="F274" s="126"/>
      <c r="G274" s="126"/>
      <c r="H274" s="126"/>
      <c r="I274" s="126"/>
      <c r="J274" s="126"/>
    </row>
    <row r="275">
      <c r="A275" s="127"/>
      <c r="B275" s="126"/>
      <c r="C275" s="126"/>
      <c r="D275" s="126"/>
      <c r="E275" s="126"/>
      <c r="F275" s="126"/>
      <c r="G275" s="126"/>
      <c r="H275" s="126"/>
      <c r="I275" s="126"/>
      <c r="J275" s="126"/>
    </row>
    <row r="276">
      <c r="A276" s="127"/>
      <c r="B276" s="126"/>
      <c r="C276" s="126"/>
      <c r="D276" s="126"/>
      <c r="E276" s="126"/>
      <c r="F276" s="126"/>
      <c r="G276" s="126"/>
      <c r="H276" s="126"/>
      <c r="I276" s="126"/>
      <c r="J276" s="126"/>
    </row>
    <row r="277">
      <c r="A277" s="127"/>
      <c r="B277" s="126"/>
      <c r="C277" s="126"/>
      <c r="D277" s="126"/>
      <c r="E277" s="126"/>
      <c r="F277" s="126"/>
      <c r="G277" s="126"/>
      <c r="H277" s="126"/>
      <c r="I277" s="126"/>
      <c r="J277" s="126"/>
    </row>
    <row r="278">
      <c r="A278" s="127"/>
      <c r="B278" s="126"/>
      <c r="C278" s="126"/>
      <c r="D278" s="126"/>
      <c r="E278" s="126"/>
      <c r="F278" s="126"/>
      <c r="G278" s="126"/>
      <c r="H278" s="126"/>
      <c r="I278" s="126"/>
      <c r="J278" s="126"/>
    </row>
    <row r="279">
      <c r="A279" s="127"/>
      <c r="B279" s="126"/>
      <c r="C279" s="126"/>
      <c r="D279" s="126"/>
      <c r="E279" s="126"/>
      <c r="F279" s="126"/>
      <c r="G279" s="126"/>
      <c r="H279" s="126"/>
      <c r="I279" s="126"/>
      <c r="J279" s="126"/>
    </row>
    <row r="280">
      <c r="A280" s="127"/>
      <c r="B280" s="126"/>
      <c r="C280" s="126"/>
      <c r="D280" s="126"/>
      <c r="E280" s="126"/>
      <c r="F280" s="126"/>
      <c r="G280" s="126"/>
      <c r="H280" s="126"/>
      <c r="I280" s="126"/>
      <c r="J280" s="126"/>
    </row>
    <row r="281">
      <c r="A281" s="127"/>
      <c r="B281" s="126"/>
      <c r="C281" s="126"/>
      <c r="D281" s="126"/>
      <c r="E281" s="126"/>
      <c r="F281" s="126"/>
      <c r="G281" s="126"/>
      <c r="H281" s="126"/>
      <c r="I281" s="126"/>
      <c r="J281" s="126"/>
    </row>
    <row r="282">
      <c r="A282" s="127"/>
      <c r="B282" s="126"/>
      <c r="C282" s="126"/>
      <c r="D282" s="126"/>
      <c r="E282" s="126"/>
      <c r="F282" s="126"/>
      <c r="G282" s="126"/>
      <c r="H282" s="126"/>
      <c r="I282" s="126"/>
      <c r="J282" s="126"/>
    </row>
    <row r="283">
      <c r="A283" s="127"/>
      <c r="B283" s="126"/>
      <c r="C283" s="126"/>
      <c r="D283" s="126"/>
      <c r="E283" s="126"/>
      <c r="F283" s="126"/>
      <c r="G283" s="126"/>
      <c r="H283" s="126"/>
      <c r="I283" s="126"/>
      <c r="J283" s="126"/>
    </row>
    <row r="284">
      <c r="A284" s="127"/>
      <c r="B284" s="126"/>
      <c r="C284" s="126"/>
      <c r="D284" s="126"/>
      <c r="E284" s="126"/>
      <c r="F284" s="126"/>
      <c r="G284" s="126"/>
      <c r="H284" s="126"/>
      <c r="I284" s="126"/>
      <c r="J284" s="126"/>
    </row>
    <row r="285">
      <c r="A285" s="127"/>
      <c r="B285" s="126"/>
      <c r="C285" s="126"/>
      <c r="D285" s="126"/>
      <c r="E285" s="126"/>
      <c r="F285" s="126"/>
      <c r="G285" s="126"/>
      <c r="H285" s="126"/>
      <c r="I285" s="126"/>
      <c r="J285" s="126"/>
    </row>
    <row r="286">
      <c r="A286" s="127"/>
      <c r="B286" s="126"/>
      <c r="C286" s="126"/>
      <c r="D286" s="126"/>
      <c r="E286" s="126"/>
      <c r="F286" s="126"/>
      <c r="G286" s="126"/>
      <c r="H286" s="126"/>
      <c r="I286" s="126"/>
      <c r="J286" s="126"/>
    </row>
    <row r="287">
      <c r="A287" s="127"/>
      <c r="B287" s="126"/>
      <c r="C287" s="126"/>
      <c r="D287" s="126"/>
      <c r="E287" s="126"/>
      <c r="F287" s="126"/>
      <c r="G287" s="126"/>
      <c r="H287" s="126"/>
      <c r="I287" s="126"/>
      <c r="J287" s="126"/>
    </row>
    <row r="288">
      <c r="A288" s="127"/>
      <c r="B288" s="126"/>
      <c r="C288" s="126"/>
      <c r="D288" s="126"/>
      <c r="E288" s="126"/>
      <c r="F288" s="126"/>
      <c r="G288" s="126"/>
      <c r="H288" s="126"/>
      <c r="I288" s="126"/>
      <c r="J288" s="126"/>
    </row>
    <row r="289">
      <c r="A289" s="127"/>
      <c r="B289" s="126"/>
      <c r="C289" s="126"/>
      <c r="D289" s="126"/>
      <c r="E289" s="126"/>
      <c r="F289" s="126"/>
      <c r="G289" s="126"/>
      <c r="H289" s="126"/>
      <c r="I289" s="126"/>
      <c r="J289" s="126"/>
    </row>
    <row r="290">
      <c r="A290" s="127"/>
      <c r="B290" s="126"/>
      <c r="C290" s="126"/>
      <c r="D290" s="126"/>
      <c r="E290" s="126"/>
      <c r="F290" s="126"/>
      <c r="G290" s="126"/>
      <c r="H290" s="126"/>
      <c r="I290" s="126"/>
      <c r="J290" s="126"/>
    </row>
    <row r="291">
      <c r="A291" s="127"/>
      <c r="B291" s="126"/>
      <c r="C291" s="126"/>
      <c r="D291" s="126"/>
      <c r="E291" s="126"/>
      <c r="F291" s="126"/>
      <c r="G291" s="126"/>
      <c r="H291" s="126"/>
      <c r="I291" s="126"/>
      <c r="J291" s="126"/>
    </row>
    <row r="292">
      <c r="A292" s="127"/>
      <c r="B292" s="126"/>
      <c r="C292" s="126"/>
      <c r="D292" s="126"/>
      <c r="E292" s="126"/>
      <c r="F292" s="126"/>
      <c r="G292" s="126"/>
      <c r="H292" s="126"/>
      <c r="I292" s="126"/>
      <c r="J292" s="126"/>
    </row>
    <row r="293">
      <c r="A293" s="127"/>
      <c r="B293" s="126"/>
      <c r="C293" s="126"/>
      <c r="D293" s="126"/>
      <c r="E293" s="126"/>
      <c r="F293" s="126"/>
      <c r="G293" s="126"/>
      <c r="H293" s="126"/>
      <c r="I293" s="126"/>
      <c r="J293" s="126"/>
    </row>
    <row r="294">
      <c r="A294" s="127"/>
      <c r="B294" s="126"/>
      <c r="C294" s="126"/>
      <c r="D294" s="126"/>
      <c r="E294" s="126"/>
      <c r="F294" s="126"/>
      <c r="G294" s="126"/>
      <c r="H294" s="126"/>
      <c r="I294" s="126"/>
      <c r="J294" s="126"/>
    </row>
    <row r="295">
      <c r="A295" s="127"/>
      <c r="B295" s="126"/>
      <c r="C295" s="126"/>
      <c r="D295" s="126"/>
      <c r="E295" s="126"/>
      <c r="F295" s="126"/>
      <c r="G295" s="126"/>
      <c r="H295" s="126"/>
      <c r="I295" s="126"/>
      <c r="J295" s="126"/>
    </row>
    <row r="296">
      <c r="A296" s="127"/>
      <c r="B296" s="126"/>
      <c r="C296" s="126"/>
      <c r="D296" s="126"/>
      <c r="E296" s="126"/>
      <c r="F296" s="126"/>
      <c r="G296" s="126"/>
      <c r="H296" s="126"/>
      <c r="I296" s="126"/>
      <c r="J296" s="126"/>
    </row>
    <row r="297">
      <c r="A297" s="127"/>
      <c r="B297" s="126"/>
      <c r="C297" s="126"/>
      <c r="D297" s="126"/>
      <c r="E297" s="126"/>
      <c r="F297" s="126"/>
      <c r="G297" s="126"/>
      <c r="H297" s="126"/>
      <c r="I297" s="126"/>
      <c r="J297" s="126"/>
    </row>
    <row r="298">
      <c r="A298" s="127"/>
      <c r="B298" s="126"/>
      <c r="C298" s="126"/>
      <c r="D298" s="126"/>
      <c r="E298" s="126"/>
      <c r="F298" s="126"/>
      <c r="G298" s="126"/>
      <c r="H298" s="126"/>
      <c r="I298" s="126"/>
      <c r="J298" s="126"/>
    </row>
    <row r="299">
      <c r="A299" s="127"/>
      <c r="B299" s="126"/>
      <c r="C299" s="126"/>
      <c r="D299" s="126"/>
      <c r="E299" s="126"/>
      <c r="F299" s="126"/>
      <c r="G299" s="126"/>
      <c r="H299" s="126"/>
      <c r="I299" s="126"/>
      <c r="J299" s="126"/>
    </row>
    <row r="300">
      <c r="A300" s="127"/>
      <c r="B300" s="126"/>
      <c r="C300" s="126"/>
      <c r="D300" s="126"/>
      <c r="E300" s="126"/>
      <c r="F300" s="126"/>
      <c r="G300" s="126"/>
      <c r="H300" s="126"/>
      <c r="I300" s="126"/>
      <c r="J300" s="126"/>
    </row>
    <row r="301">
      <c r="A301" s="127"/>
      <c r="B301" s="126"/>
      <c r="C301" s="126"/>
      <c r="D301" s="126"/>
      <c r="E301" s="126"/>
      <c r="F301" s="126"/>
      <c r="G301" s="126"/>
      <c r="H301" s="126"/>
      <c r="I301" s="126"/>
      <c r="J301" s="126"/>
    </row>
    <row r="302">
      <c r="A302" s="127"/>
      <c r="B302" s="126"/>
      <c r="C302" s="126"/>
      <c r="D302" s="126"/>
      <c r="E302" s="126"/>
      <c r="F302" s="126"/>
      <c r="G302" s="126"/>
      <c r="H302" s="126"/>
      <c r="I302" s="126"/>
      <c r="J302" s="126"/>
    </row>
    <row r="303">
      <c r="A303" s="127"/>
      <c r="B303" s="126"/>
      <c r="C303" s="126"/>
      <c r="D303" s="126"/>
      <c r="E303" s="126"/>
      <c r="F303" s="126"/>
      <c r="G303" s="126"/>
      <c r="H303" s="126"/>
      <c r="I303" s="126"/>
      <c r="J303" s="126"/>
    </row>
    <row r="304">
      <c r="A304" s="127"/>
      <c r="B304" s="126"/>
      <c r="C304" s="126"/>
      <c r="D304" s="126"/>
      <c r="E304" s="126"/>
      <c r="F304" s="126"/>
      <c r="G304" s="126"/>
      <c r="H304" s="126"/>
      <c r="I304" s="126"/>
      <c r="J304" s="126"/>
    </row>
    <row r="305">
      <c r="A305" s="127"/>
      <c r="B305" s="126"/>
      <c r="C305" s="126"/>
      <c r="D305" s="126"/>
      <c r="E305" s="126"/>
      <c r="F305" s="126"/>
      <c r="G305" s="126"/>
      <c r="H305" s="126"/>
      <c r="I305" s="126"/>
      <c r="J305" s="126"/>
    </row>
    <row r="306">
      <c r="A306" s="127"/>
      <c r="B306" s="126"/>
      <c r="C306" s="126"/>
      <c r="D306" s="126"/>
      <c r="E306" s="126"/>
      <c r="F306" s="126"/>
      <c r="G306" s="126"/>
      <c r="H306" s="126"/>
      <c r="I306" s="126"/>
      <c r="J306" s="126"/>
    </row>
    <row r="307">
      <c r="A307" s="127"/>
      <c r="B307" s="126"/>
      <c r="C307" s="126"/>
      <c r="D307" s="126"/>
      <c r="E307" s="126"/>
      <c r="F307" s="126"/>
      <c r="G307" s="126"/>
      <c r="H307" s="126"/>
      <c r="I307" s="126"/>
      <c r="J307" s="126"/>
    </row>
    <row r="308">
      <c r="A308" s="127"/>
      <c r="B308" s="126"/>
      <c r="C308" s="126"/>
      <c r="D308" s="126"/>
      <c r="E308" s="126"/>
      <c r="F308" s="126"/>
      <c r="G308" s="126"/>
      <c r="H308" s="126"/>
      <c r="I308" s="126"/>
      <c r="J308" s="126"/>
    </row>
    <row r="309">
      <c r="A309" s="127"/>
      <c r="B309" s="126"/>
      <c r="C309" s="126"/>
      <c r="D309" s="126"/>
      <c r="E309" s="126"/>
      <c r="F309" s="126"/>
      <c r="G309" s="126"/>
      <c r="H309" s="126"/>
      <c r="I309" s="126"/>
      <c r="J309" s="126"/>
    </row>
    <row r="310">
      <c r="A310" s="127"/>
      <c r="B310" s="126"/>
      <c r="C310" s="126"/>
      <c r="D310" s="126"/>
      <c r="E310" s="126"/>
      <c r="F310" s="126"/>
      <c r="G310" s="126"/>
      <c r="H310" s="126"/>
      <c r="I310" s="126"/>
      <c r="J310" s="126"/>
    </row>
    <row r="311">
      <c r="A311" s="127"/>
      <c r="B311" s="126"/>
      <c r="C311" s="126"/>
      <c r="D311" s="126"/>
      <c r="E311" s="126"/>
      <c r="F311" s="126"/>
      <c r="G311" s="126"/>
      <c r="H311" s="126"/>
      <c r="I311" s="126"/>
      <c r="J311" s="126"/>
    </row>
    <row r="312">
      <c r="A312" s="127"/>
      <c r="B312" s="126"/>
      <c r="C312" s="126"/>
      <c r="D312" s="126"/>
      <c r="E312" s="126"/>
      <c r="F312" s="126"/>
      <c r="G312" s="126"/>
      <c r="H312" s="126"/>
      <c r="I312" s="126"/>
      <c r="J312" s="126"/>
    </row>
    <row r="313">
      <c r="A313" s="127"/>
      <c r="B313" s="126"/>
      <c r="C313" s="126"/>
      <c r="D313" s="126"/>
      <c r="E313" s="126"/>
      <c r="F313" s="126"/>
      <c r="G313" s="126"/>
      <c r="H313" s="126"/>
      <c r="I313" s="126"/>
      <c r="J313" s="126"/>
    </row>
    <row r="314">
      <c r="A314" s="127"/>
      <c r="B314" s="126"/>
      <c r="C314" s="126"/>
      <c r="D314" s="126"/>
      <c r="E314" s="126"/>
      <c r="F314" s="126"/>
      <c r="G314" s="126"/>
      <c r="H314" s="126"/>
      <c r="I314" s="126"/>
      <c r="J314" s="126"/>
    </row>
    <row r="315">
      <c r="A315" s="127"/>
      <c r="B315" s="126"/>
      <c r="C315" s="126"/>
      <c r="D315" s="126"/>
      <c r="E315" s="126"/>
      <c r="F315" s="126"/>
      <c r="G315" s="126"/>
      <c r="H315" s="126"/>
      <c r="I315" s="126"/>
      <c r="J315" s="126"/>
    </row>
    <row r="316">
      <c r="A316" s="127"/>
      <c r="B316" s="126"/>
      <c r="C316" s="126"/>
      <c r="D316" s="126"/>
      <c r="E316" s="126"/>
      <c r="F316" s="126"/>
      <c r="G316" s="126"/>
      <c r="H316" s="126"/>
      <c r="I316" s="126"/>
      <c r="J316" s="126"/>
    </row>
    <row r="317">
      <c r="A317" s="127"/>
      <c r="B317" s="126"/>
      <c r="C317" s="126"/>
      <c r="D317" s="126"/>
      <c r="E317" s="126"/>
      <c r="F317" s="126"/>
      <c r="G317" s="126"/>
      <c r="H317" s="126"/>
      <c r="I317" s="126"/>
      <c r="J317" s="126"/>
    </row>
    <row r="318">
      <c r="A318" s="127"/>
      <c r="B318" s="126"/>
      <c r="C318" s="126"/>
      <c r="D318" s="126"/>
      <c r="E318" s="126"/>
      <c r="F318" s="126"/>
      <c r="G318" s="126"/>
      <c r="H318" s="126"/>
      <c r="I318" s="126"/>
      <c r="J318" s="126"/>
    </row>
    <row r="319">
      <c r="A319" s="127"/>
      <c r="B319" s="126"/>
      <c r="C319" s="126"/>
      <c r="D319" s="126"/>
      <c r="E319" s="126"/>
      <c r="F319" s="126"/>
      <c r="G319" s="126"/>
      <c r="H319" s="126"/>
      <c r="I319" s="126"/>
      <c r="J319" s="126"/>
    </row>
    <row r="320">
      <c r="A320" s="127"/>
      <c r="B320" s="126"/>
      <c r="C320" s="126"/>
      <c r="D320" s="126"/>
      <c r="E320" s="126"/>
      <c r="F320" s="126"/>
      <c r="G320" s="126"/>
      <c r="H320" s="126"/>
      <c r="I320" s="126"/>
      <c r="J320" s="126"/>
    </row>
    <row r="321">
      <c r="A321" s="127"/>
      <c r="B321" s="126"/>
      <c r="C321" s="126"/>
      <c r="D321" s="126"/>
      <c r="E321" s="126"/>
      <c r="F321" s="126"/>
      <c r="G321" s="126"/>
      <c r="H321" s="126"/>
      <c r="I321" s="126"/>
      <c r="J321" s="126"/>
    </row>
    <row r="322">
      <c r="A322" s="127"/>
      <c r="B322" s="126"/>
      <c r="C322" s="126"/>
      <c r="D322" s="126"/>
      <c r="E322" s="126"/>
      <c r="F322" s="126"/>
      <c r="G322" s="126"/>
      <c r="H322" s="126"/>
      <c r="I322" s="126"/>
      <c r="J322" s="126"/>
    </row>
    <row r="323">
      <c r="A323" s="127"/>
      <c r="B323" s="126"/>
      <c r="C323" s="126"/>
      <c r="D323" s="126"/>
      <c r="E323" s="126"/>
      <c r="F323" s="126"/>
      <c r="G323" s="126"/>
      <c r="H323" s="126"/>
      <c r="I323" s="126"/>
      <c r="J323" s="126"/>
    </row>
    <row r="324">
      <c r="A324" s="127"/>
      <c r="B324" s="126"/>
      <c r="C324" s="126"/>
      <c r="D324" s="126"/>
      <c r="E324" s="126"/>
      <c r="F324" s="126"/>
      <c r="G324" s="126"/>
      <c r="H324" s="126"/>
      <c r="I324" s="126"/>
      <c r="J324" s="126"/>
    </row>
    <row r="325">
      <c r="A325" s="127"/>
      <c r="B325" s="126"/>
      <c r="C325" s="126"/>
      <c r="D325" s="126"/>
      <c r="E325" s="126"/>
      <c r="F325" s="126"/>
      <c r="G325" s="126"/>
      <c r="H325" s="126"/>
      <c r="I325" s="126"/>
      <c r="J325" s="126"/>
    </row>
    <row r="326">
      <c r="A326" s="127"/>
      <c r="B326" s="126"/>
      <c r="C326" s="126"/>
      <c r="D326" s="126"/>
      <c r="E326" s="126"/>
      <c r="F326" s="126"/>
      <c r="G326" s="126"/>
      <c r="H326" s="126"/>
      <c r="I326" s="126"/>
      <c r="J326" s="126"/>
    </row>
    <row r="327">
      <c r="A327" s="127"/>
      <c r="B327" s="126"/>
      <c r="C327" s="126"/>
      <c r="D327" s="126"/>
      <c r="E327" s="126"/>
      <c r="F327" s="126"/>
      <c r="G327" s="126"/>
      <c r="H327" s="126"/>
      <c r="I327" s="126"/>
      <c r="J327" s="126"/>
    </row>
    <row r="328">
      <c r="A328" s="127"/>
      <c r="B328" s="126"/>
      <c r="C328" s="126"/>
      <c r="D328" s="126"/>
      <c r="E328" s="126"/>
      <c r="F328" s="126"/>
      <c r="G328" s="126"/>
      <c r="H328" s="126"/>
      <c r="I328" s="126"/>
      <c r="J328" s="126"/>
    </row>
    <row r="329">
      <c r="A329" s="127"/>
      <c r="B329" s="126"/>
      <c r="C329" s="126"/>
      <c r="D329" s="126"/>
      <c r="E329" s="126"/>
      <c r="F329" s="126"/>
      <c r="G329" s="126"/>
      <c r="H329" s="126"/>
      <c r="I329" s="126"/>
      <c r="J329" s="126"/>
    </row>
    <row r="330">
      <c r="A330" s="127"/>
      <c r="B330" s="126"/>
      <c r="C330" s="126"/>
      <c r="D330" s="126"/>
      <c r="E330" s="126"/>
      <c r="F330" s="126"/>
      <c r="G330" s="126"/>
      <c r="H330" s="126"/>
      <c r="I330" s="126"/>
      <c r="J330" s="126"/>
    </row>
    <row r="331">
      <c r="A331" s="127"/>
      <c r="B331" s="126"/>
      <c r="C331" s="126"/>
      <c r="D331" s="126"/>
      <c r="E331" s="126"/>
      <c r="F331" s="126"/>
      <c r="G331" s="126"/>
      <c r="H331" s="126"/>
      <c r="I331" s="126"/>
      <c r="J331" s="126"/>
    </row>
    <row r="332">
      <c r="A332" s="127"/>
      <c r="B332" s="126"/>
      <c r="C332" s="126"/>
      <c r="D332" s="126"/>
      <c r="E332" s="126"/>
      <c r="F332" s="126"/>
      <c r="G332" s="126"/>
      <c r="H332" s="126"/>
      <c r="I332" s="126"/>
      <c r="J332" s="126"/>
    </row>
    <row r="333">
      <c r="A333" s="127"/>
      <c r="B333" s="126"/>
      <c r="C333" s="126"/>
      <c r="D333" s="126"/>
      <c r="E333" s="126"/>
      <c r="F333" s="126"/>
      <c r="G333" s="126"/>
      <c r="H333" s="126"/>
      <c r="I333" s="126"/>
      <c r="J333" s="126"/>
    </row>
    <row r="334">
      <c r="A334" s="127"/>
      <c r="B334" s="126"/>
      <c r="C334" s="126"/>
      <c r="D334" s="126"/>
      <c r="E334" s="126"/>
      <c r="F334" s="126"/>
      <c r="G334" s="126"/>
      <c r="H334" s="126"/>
      <c r="I334" s="126"/>
      <c r="J334" s="126"/>
    </row>
    <row r="335">
      <c r="A335" s="127"/>
      <c r="B335" s="126"/>
      <c r="C335" s="126"/>
      <c r="D335" s="126"/>
      <c r="E335" s="126"/>
      <c r="F335" s="126"/>
      <c r="G335" s="126"/>
      <c r="H335" s="126"/>
      <c r="I335" s="126"/>
      <c r="J335" s="126"/>
    </row>
    <row r="336">
      <c r="A336" s="127"/>
      <c r="B336" s="126"/>
      <c r="C336" s="126"/>
      <c r="D336" s="126"/>
      <c r="E336" s="126"/>
      <c r="F336" s="126"/>
      <c r="G336" s="126"/>
      <c r="H336" s="126"/>
      <c r="I336" s="126"/>
      <c r="J336" s="126"/>
    </row>
    <row r="337">
      <c r="A337" s="127"/>
      <c r="B337" s="126"/>
      <c r="C337" s="126"/>
      <c r="D337" s="126"/>
      <c r="E337" s="126"/>
      <c r="F337" s="126"/>
      <c r="G337" s="126"/>
      <c r="H337" s="126"/>
      <c r="I337" s="126"/>
      <c r="J337" s="126"/>
    </row>
    <row r="338">
      <c r="A338" s="127"/>
      <c r="B338" s="126"/>
      <c r="C338" s="126"/>
      <c r="D338" s="126"/>
      <c r="E338" s="126"/>
      <c r="F338" s="126"/>
      <c r="G338" s="126"/>
      <c r="H338" s="126"/>
      <c r="I338" s="126"/>
      <c r="J338" s="126"/>
    </row>
    <row r="339">
      <c r="A339" s="127"/>
      <c r="B339" s="126"/>
      <c r="C339" s="126"/>
      <c r="D339" s="126"/>
      <c r="E339" s="126"/>
      <c r="F339" s="126"/>
      <c r="G339" s="126"/>
      <c r="H339" s="126"/>
      <c r="I339" s="126"/>
      <c r="J339" s="126"/>
    </row>
    <row r="340">
      <c r="A340" s="127"/>
      <c r="B340" s="126"/>
      <c r="C340" s="126"/>
      <c r="D340" s="126"/>
      <c r="E340" s="126"/>
      <c r="F340" s="126"/>
      <c r="G340" s="126"/>
      <c r="H340" s="126"/>
      <c r="I340" s="126"/>
      <c r="J340" s="126"/>
    </row>
    <row r="341">
      <c r="A341" s="127"/>
      <c r="B341" s="126"/>
      <c r="C341" s="126"/>
      <c r="D341" s="126"/>
      <c r="E341" s="126"/>
      <c r="F341" s="126"/>
      <c r="G341" s="126"/>
      <c r="H341" s="126"/>
      <c r="I341" s="126"/>
      <c r="J341" s="126"/>
    </row>
    <row r="342">
      <c r="A342" s="127"/>
      <c r="B342" s="126"/>
      <c r="C342" s="126"/>
      <c r="D342" s="126"/>
      <c r="E342" s="126"/>
      <c r="F342" s="126"/>
      <c r="G342" s="126"/>
      <c r="H342" s="126"/>
      <c r="I342" s="126"/>
      <c r="J342" s="126"/>
    </row>
    <row r="343">
      <c r="A343" s="127"/>
      <c r="B343" s="126"/>
      <c r="C343" s="126"/>
      <c r="D343" s="126"/>
      <c r="E343" s="126"/>
      <c r="F343" s="126"/>
      <c r="G343" s="126"/>
      <c r="H343" s="126"/>
      <c r="I343" s="126"/>
      <c r="J343" s="126"/>
    </row>
    <row r="344">
      <c r="A344" s="127"/>
      <c r="B344" s="126"/>
      <c r="C344" s="126"/>
      <c r="D344" s="126"/>
      <c r="E344" s="126"/>
      <c r="F344" s="126"/>
      <c r="G344" s="126"/>
      <c r="H344" s="126"/>
      <c r="I344" s="126"/>
      <c r="J344" s="126"/>
    </row>
    <row r="345">
      <c r="A345" s="127"/>
      <c r="B345" s="126"/>
      <c r="C345" s="126"/>
      <c r="D345" s="126"/>
      <c r="E345" s="126"/>
      <c r="F345" s="126"/>
      <c r="G345" s="126"/>
      <c r="H345" s="126"/>
      <c r="I345" s="126"/>
      <c r="J345" s="126"/>
    </row>
    <row r="346">
      <c r="A346" s="127"/>
      <c r="B346" s="126"/>
      <c r="C346" s="126"/>
      <c r="D346" s="126"/>
      <c r="E346" s="126"/>
      <c r="F346" s="126"/>
      <c r="G346" s="126"/>
      <c r="H346" s="126"/>
      <c r="I346" s="126"/>
      <c r="J346" s="126"/>
    </row>
    <row r="347">
      <c r="A347" s="127"/>
      <c r="B347" s="126"/>
      <c r="C347" s="126"/>
      <c r="D347" s="126"/>
      <c r="E347" s="126"/>
      <c r="F347" s="126"/>
      <c r="G347" s="126"/>
      <c r="H347" s="126"/>
      <c r="I347" s="126"/>
      <c r="J347" s="126"/>
    </row>
    <row r="348">
      <c r="A348" s="127"/>
      <c r="B348" s="126"/>
      <c r="C348" s="126"/>
      <c r="D348" s="126"/>
      <c r="E348" s="126"/>
      <c r="F348" s="126"/>
      <c r="G348" s="126"/>
      <c r="H348" s="126"/>
      <c r="I348" s="126"/>
      <c r="J348" s="126"/>
    </row>
    <row r="349">
      <c r="A349" s="127"/>
      <c r="B349" s="126"/>
      <c r="C349" s="126"/>
      <c r="D349" s="126"/>
      <c r="E349" s="126"/>
      <c r="F349" s="126"/>
      <c r="G349" s="126"/>
      <c r="H349" s="126"/>
      <c r="I349" s="126"/>
      <c r="J349" s="126"/>
    </row>
    <row r="350">
      <c r="A350" s="127"/>
      <c r="B350" s="126"/>
      <c r="C350" s="126"/>
      <c r="D350" s="126"/>
      <c r="E350" s="126"/>
      <c r="F350" s="126"/>
      <c r="G350" s="126"/>
      <c r="H350" s="126"/>
      <c r="I350" s="126"/>
      <c r="J350" s="126"/>
    </row>
    <row r="351">
      <c r="A351" s="127"/>
      <c r="B351" s="126"/>
      <c r="C351" s="126"/>
      <c r="D351" s="126"/>
      <c r="E351" s="126"/>
      <c r="F351" s="126"/>
      <c r="G351" s="126"/>
      <c r="H351" s="126"/>
      <c r="I351" s="126"/>
      <c r="J351" s="126"/>
    </row>
    <row r="352">
      <c r="A352" s="127"/>
      <c r="B352" s="126"/>
      <c r="C352" s="126"/>
      <c r="D352" s="126"/>
      <c r="E352" s="126"/>
      <c r="F352" s="126"/>
      <c r="G352" s="126"/>
      <c r="H352" s="126"/>
      <c r="I352" s="126"/>
      <c r="J352" s="126"/>
    </row>
    <row r="353">
      <c r="A353" s="127"/>
      <c r="B353" s="126"/>
      <c r="C353" s="126"/>
      <c r="D353" s="126"/>
      <c r="E353" s="126"/>
      <c r="F353" s="126"/>
      <c r="G353" s="126"/>
      <c r="H353" s="126"/>
      <c r="I353" s="126"/>
      <c r="J353" s="126"/>
    </row>
    <row r="354">
      <c r="A354" s="127"/>
      <c r="B354" s="126"/>
      <c r="C354" s="126"/>
      <c r="D354" s="126"/>
      <c r="E354" s="126"/>
      <c r="F354" s="126"/>
      <c r="G354" s="126"/>
      <c r="H354" s="126"/>
      <c r="I354" s="126"/>
      <c r="J354" s="126"/>
    </row>
    <row r="355">
      <c r="A355" s="127"/>
      <c r="B355" s="126"/>
      <c r="C355" s="126"/>
      <c r="D355" s="126"/>
      <c r="E355" s="126"/>
      <c r="F355" s="126"/>
      <c r="G355" s="126"/>
      <c r="H355" s="126"/>
      <c r="I355" s="126"/>
      <c r="J355" s="126"/>
    </row>
    <row r="356">
      <c r="A356" s="127"/>
      <c r="B356" s="126"/>
      <c r="C356" s="126"/>
      <c r="D356" s="126"/>
      <c r="E356" s="126"/>
      <c r="F356" s="126"/>
      <c r="G356" s="126"/>
      <c r="H356" s="126"/>
      <c r="I356" s="126"/>
      <c r="J356" s="126"/>
    </row>
    <row r="357">
      <c r="A357" s="127"/>
      <c r="B357" s="126"/>
      <c r="C357" s="126"/>
      <c r="D357" s="126"/>
      <c r="E357" s="126"/>
      <c r="F357" s="126"/>
      <c r="G357" s="126"/>
      <c r="H357" s="126"/>
      <c r="I357" s="126"/>
      <c r="J357" s="126"/>
    </row>
    <row r="358">
      <c r="A358" s="127"/>
      <c r="B358" s="126"/>
      <c r="C358" s="126"/>
      <c r="D358" s="126"/>
      <c r="E358" s="126"/>
      <c r="F358" s="126"/>
      <c r="G358" s="126"/>
      <c r="H358" s="126"/>
      <c r="I358" s="126"/>
      <c r="J358" s="126"/>
    </row>
    <row r="359">
      <c r="A359" s="127"/>
      <c r="B359" s="126"/>
      <c r="C359" s="126"/>
      <c r="D359" s="126"/>
      <c r="E359" s="126"/>
      <c r="F359" s="126"/>
      <c r="G359" s="126"/>
      <c r="H359" s="126"/>
      <c r="I359" s="126"/>
      <c r="J359" s="126"/>
    </row>
    <row r="360">
      <c r="A360" s="127"/>
      <c r="B360" s="126"/>
      <c r="C360" s="126"/>
      <c r="D360" s="126"/>
      <c r="E360" s="126"/>
      <c r="F360" s="126"/>
      <c r="G360" s="126"/>
      <c r="H360" s="126"/>
      <c r="I360" s="126"/>
      <c r="J360" s="126"/>
    </row>
    <row r="361">
      <c r="A361" s="127"/>
      <c r="B361" s="126"/>
      <c r="C361" s="126"/>
      <c r="D361" s="126"/>
      <c r="E361" s="126"/>
      <c r="F361" s="126"/>
      <c r="G361" s="126"/>
      <c r="H361" s="126"/>
      <c r="I361" s="126"/>
      <c r="J361" s="126"/>
    </row>
    <row r="362">
      <c r="A362" s="127"/>
      <c r="B362" s="126"/>
      <c r="C362" s="126"/>
      <c r="D362" s="126"/>
      <c r="E362" s="126"/>
      <c r="F362" s="126"/>
      <c r="G362" s="126"/>
      <c r="H362" s="126"/>
      <c r="I362" s="126"/>
      <c r="J362" s="126"/>
    </row>
    <row r="363">
      <c r="A363" s="127"/>
      <c r="B363" s="126"/>
      <c r="C363" s="126"/>
      <c r="D363" s="126"/>
      <c r="E363" s="126"/>
      <c r="F363" s="126"/>
      <c r="G363" s="126"/>
      <c r="H363" s="126"/>
      <c r="I363" s="126"/>
      <c r="J363" s="126"/>
    </row>
    <row r="364">
      <c r="A364" s="127"/>
      <c r="B364" s="126"/>
      <c r="C364" s="126"/>
      <c r="D364" s="126"/>
      <c r="E364" s="126"/>
      <c r="F364" s="126"/>
      <c r="G364" s="126"/>
      <c r="H364" s="126"/>
      <c r="I364" s="126"/>
      <c r="J364" s="126"/>
    </row>
    <row r="365">
      <c r="A365" s="127"/>
      <c r="B365" s="126"/>
      <c r="C365" s="126"/>
      <c r="D365" s="126"/>
      <c r="E365" s="126"/>
      <c r="F365" s="126"/>
      <c r="G365" s="126"/>
      <c r="H365" s="126"/>
      <c r="I365" s="126"/>
      <c r="J365" s="126"/>
    </row>
    <row r="366">
      <c r="A366" s="127"/>
      <c r="B366" s="126"/>
      <c r="C366" s="126"/>
      <c r="D366" s="126"/>
      <c r="E366" s="126"/>
      <c r="F366" s="126"/>
      <c r="G366" s="126"/>
      <c r="H366" s="126"/>
      <c r="I366" s="126"/>
      <c r="J366" s="126"/>
    </row>
    <row r="367">
      <c r="A367" s="127"/>
      <c r="B367" s="126"/>
      <c r="C367" s="126"/>
      <c r="D367" s="126"/>
      <c r="E367" s="126"/>
      <c r="F367" s="126"/>
      <c r="G367" s="126"/>
      <c r="H367" s="126"/>
      <c r="I367" s="126"/>
      <c r="J367" s="126"/>
    </row>
    <row r="368">
      <c r="A368" s="127"/>
      <c r="B368" s="126"/>
      <c r="C368" s="126"/>
      <c r="D368" s="126"/>
      <c r="E368" s="126"/>
      <c r="F368" s="126"/>
      <c r="G368" s="126"/>
      <c r="H368" s="126"/>
      <c r="I368" s="126"/>
      <c r="J368" s="126"/>
    </row>
    <row r="369">
      <c r="A369" s="127"/>
      <c r="B369" s="126"/>
      <c r="C369" s="126"/>
      <c r="D369" s="126"/>
      <c r="E369" s="126"/>
      <c r="F369" s="126"/>
      <c r="G369" s="126"/>
      <c r="H369" s="126"/>
      <c r="I369" s="126"/>
      <c r="J369" s="126"/>
    </row>
    <row r="370">
      <c r="A370" s="127"/>
      <c r="B370" s="126"/>
      <c r="C370" s="126"/>
      <c r="D370" s="126"/>
      <c r="E370" s="126"/>
      <c r="F370" s="126"/>
      <c r="G370" s="126"/>
      <c r="H370" s="126"/>
      <c r="I370" s="126"/>
      <c r="J370" s="126"/>
    </row>
    <row r="371">
      <c r="A371" s="127"/>
      <c r="B371" s="126"/>
      <c r="C371" s="126"/>
      <c r="D371" s="126"/>
      <c r="E371" s="126"/>
      <c r="F371" s="126"/>
      <c r="G371" s="126"/>
      <c r="H371" s="126"/>
      <c r="I371" s="126"/>
      <c r="J371" s="126"/>
    </row>
    <row r="372">
      <c r="A372" s="127"/>
      <c r="B372" s="126"/>
      <c r="C372" s="126"/>
      <c r="D372" s="126"/>
      <c r="E372" s="126"/>
      <c r="F372" s="126"/>
      <c r="G372" s="126"/>
      <c r="H372" s="126"/>
      <c r="I372" s="126"/>
      <c r="J372" s="126"/>
    </row>
    <row r="373">
      <c r="A373" s="127"/>
      <c r="B373" s="126"/>
      <c r="C373" s="126"/>
      <c r="D373" s="126"/>
      <c r="E373" s="126"/>
      <c r="F373" s="126"/>
      <c r="G373" s="126"/>
      <c r="H373" s="126"/>
      <c r="I373" s="126"/>
      <c r="J373" s="126"/>
    </row>
    <row r="374">
      <c r="A374" s="127"/>
      <c r="B374" s="126"/>
      <c r="C374" s="126"/>
      <c r="D374" s="126"/>
      <c r="E374" s="126"/>
      <c r="F374" s="126"/>
      <c r="G374" s="126"/>
      <c r="H374" s="126"/>
      <c r="I374" s="126"/>
      <c r="J374" s="126"/>
    </row>
    <row r="375">
      <c r="A375" s="127"/>
      <c r="B375" s="126"/>
      <c r="C375" s="126"/>
      <c r="D375" s="126"/>
      <c r="E375" s="126"/>
      <c r="F375" s="126"/>
      <c r="G375" s="126"/>
      <c r="H375" s="126"/>
      <c r="I375" s="126"/>
      <c r="J375" s="126"/>
    </row>
    <row r="376">
      <c r="A376" s="127"/>
      <c r="B376" s="126"/>
      <c r="C376" s="126"/>
      <c r="D376" s="126"/>
      <c r="E376" s="126"/>
      <c r="F376" s="126"/>
      <c r="G376" s="126"/>
      <c r="H376" s="126"/>
      <c r="I376" s="126"/>
      <c r="J376" s="126"/>
    </row>
    <row r="377">
      <c r="A377" s="127"/>
      <c r="B377" s="126"/>
      <c r="C377" s="126"/>
      <c r="D377" s="126"/>
      <c r="E377" s="126"/>
      <c r="F377" s="126"/>
      <c r="G377" s="126"/>
      <c r="H377" s="126"/>
      <c r="I377" s="126"/>
      <c r="J377" s="126"/>
    </row>
    <row r="378">
      <c r="A378" s="127"/>
      <c r="B378" s="126"/>
      <c r="C378" s="126"/>
      <c r="D378" s="126"/>
      <c r="E378" s="126"/>
      <c r="F378" s="126"/>
      <c r="G378" s="126"/>
      <c r="H378" s="126"/>
      <c r="I378" s="126"/>
      <c r="J378" s="126"/>
    </row>
    <row r="379">
      <c r="A379" s="127"/>
      <c r="B379" s="126"/>
      <c r="C379" s="126"/>
      <c r="D379" s="126"/>
      <c r="E379" s="126"/>
      <c r="F379" s="126"/>
      <c r="G379" s="126"/>
      <c r="H379" s="126"/>
      <c r="I379" s="126"/>
      <c r="J379" s="126"/>
    </row>
    <row r="380">
      <c r="A380" s="127"/>
      <c r="B380" s="126"/>
      <c r="C380" s="126"/>
      <c r="D380" s="126"/>
      <c r="E380" s="126"/>
      <c r="F380" s="126"/>
      <c r="G380" s="126"/>
      <c r="H380" s="126"/>
      <c r="I380" s="126"/>
      <c r="J380" s="126"/>
    </row>
    <row r="381">
      <c r="A381" s="127"/>
      <c r="B381" s="126"/>
      <c r="C381" s="126"/>
      <c r="D381" s="126"/>
      <c r="E381" s="126"/>
      <c r="F381" s="126"/>
      <c r="G381" s="126"/>
      <c r="H381" s="126"/>
      <c r="I381" s="126"/>
      <c r="J381" s="126"/>
    </row>
    <row r="382">
      <c r="A382" s="127"/>
      <c r="B382" s="126"/>
      <c r="C382" s="126"/>
      <c r="D382" s="126"/>
      <c r="E382" s="126"/>
      <c r="F382" s="126"/>
      <c r="G382" s="126"/>
      <c r="H382" s="126"/>
      <c r="I382" s="126"/>
      <c r="J382" s="126"/>
    </row>
    <row r="383">
      <c r="A383" s="127"/>
      <c r="B383" s="126"/>
      <c r="C383" s="126"/>
      <c r="D383" s="126"/>
      <c r="E383" s="126"/>
      <c r="F383" s="126"/>
      <c r="G383" s="126"/>
      <c r="H383" s="126"/>
      <c r="I383" s="126"/>
      <c r="J383" s="126"/>
    </row>
    <row r="384">
      <c r="A384" s="127"/>
      <c r="B384" s="126"/>
      <c r="C384" s="126"/>
      <c r="D384" s="126"/>
      <c r="E384" s="126"/>
      <c r="F384" s="126"/>
      <c r="G384" s="126"/>
      <c r="H384" s="126"/>
      <c r="I384" s="126"/>
      <c r="J384" s="126"/>
    </row>
    <row r="385">
      <c r="A385" s="127"/>
      <c r="B385" s="126"/>
      <c r="C385" s="126"/>
      <c r="D385" s="126"/>
      <c r="E385" s="126"/>
      <c r="F385" s="126"/>
      <c r="G385" s="126"/>
      <c r="H385" s="126"/>
      <c r="I385" s="126"/>
      <c r="J385" s="126"/>
    </row>
    <row r="386">
      <c r="A386" s="127"/>
      <c r="B386" s="126"/>
      <c r="C386" s="126"/>
      <c r="D386" s="126"/>
      <c r="E386" s="126"/>
      <c r="F386" s="126"/>
      <c r="G386" s="126"/>
      <c r="H386" s="126"/>
      <c r="I386" s="126"/>
      <c r="J386" s="126"/>
    </row>
    <row r="387">
      <c r="A387" s="127"/>
      <c r="B387" s="126"/>
      <c r="C387" s="126"/>
      <c r="D387" s="126"/>
      <c r="E387" s="126"/>
      <c r="F387" s="126"/>
      <c r="G387" s="126"/>
      <c r="H387" s="126"/>
      <c r="I387" s="126"/>
      <c r="J387" s="126"/>
    </row>
    <row r="388">
      <c r="A388" s="127"/>
      <c r="B388" s="126"/>
      <c r="C388" s="126"/>
      <c r="D388" s="126"/>
      <c r="E388" s="126"/>
      <c r="F388" s="126"/>
      <c r="G388" s="126"/>
      <c r="H388" s="126"/>
      <c r="I388" s="126"/>
      <c r="J388" s="126"/>
    </row>
    <row r="389">
      <c r="A389" s="127"/>
      <c r="B389" s="126"/>
      <c r="C389" s="126"/>
      <c r="D389" s="126"/>
      <c r="E389" s="126"/>
      <c r="F389" s="126"/>
      <c r="G389" s="126"/>
      <c r="H389" s="126"/>
      <c r="I389" s="126"/>
      <c r="J389" s="126"/>
    </row>
    <row r="390">
      <c r="A390" s="127"/>
      <c r="B390" s="126"/>
      <c r="C390" s="126"/>
      <c r="D390" s="126"/>
      <c r="E390" s="126"/>
      <c r="F390" s="126"/>
      <c r="G390" s="126"/>
      <c r="H390" s="126"/>
      <c r="I390" s="126"/>
      <c r="J390" s="126"/>
    </row>
    <row r="391">
      <c r="A391" s="127"/>
      <c r="B391" s="126"/>
      <c r="C391" s="126"/>
      <c r="D391" s="126"/>
      <c r="E391" s="126"/>
      <c r="F391" s="126"/>
      <c r="G391" s="126"/>
      <c r="H391" s="126"/>
      <c r="I391" s="126"/>
      <c r="J391" s="126"/>
    </row>
    <row r="392">
      <c r="A392" s="127"/>
      <c r="B392" s="126"/>
      <c r="C392" s="126"/>
      <c r="D392" s="126"/>
      <c r="E392" s="126"/>
      <c r="F392" s="126"/>
      <c r="G392" s="126"/>
      <c r="H392" s="126"/>
      <c r="I392" s="126"/>
      <c r="J392" s="126"/>
    </row>
    <row r="393">
      <c r="A393" s="127"/>
      <c r="B393" s="126"/>
      <c r="C393" s="126"/>
      <c r="D393" s="126"/>
      <c r="E393" s="126"/>
      <c r="F393" s="126"/>
      <c r="G393" s="126"/>
      <c r="H393" s="126"/>
      <c r="I393" s="126"/>
      <c r="J393" s="126"/>
    </row>
    <row r="394">
      <c r="A394" s="127"/>
      <c r="B394" s="126"/>
      <c r="C394" s="126"/>
      <c r="D394" s="126"/>
      <c r="E394" s="126"/>
      <c r="F394" s="126"/>
      <c r="G394" s="126"/>
      <c r="H394" s="126"/>
      <c r="I394" s="126"/>
      <c r="J394" s="126"/>
    </row>
    <row r="395">
      <c r="A395" s="127"/>
      <c r="B395" s="126"/>
      <c r="C395" s="126"/>
      <c r="D395" s="126"/>
      <c r="E395" s="126"/>
      <c r="F395" s="126"/>
      <c r="G395" s="126"/>
      <c r="H395" s="126"/>
      <c r="I395" s="126"/>
      <c r="J395" s="126"/>
    </row>
    <row r="396">
      <c r="A396" s="127"/>
      <c r="B396" s="126"/>
      <c r="C396" s="126"/>
      <c r="D396" s="126"/>
      <c r="E396" s="126"/>
      <c r="F396" s="126"/>
      <c r="G396" s="126"/>
      <c r="H396" s="126"/>
      <c r="I396" s="126"/>
      <c r="J396" s="126"/>
    </row>
    <row r="397">
      <c r="A397" s="127"/>
      <c r="B397" s="126"/>
      <c r="C397" s="126"/>
      <c r="D397" s="126"/>
      <c r="E397" s="126"/>
      <c r="F397" s="126"/>
      <c r="G397" s="126"/>
      <c r="H397" s="126"/>
      <c r="I397" s="126"/>
      <c r="J397" s="126"/>
    </row>
    <row r="398">
      <c r="A398" s="127"/>
      <c r="B398" s="126"/>
      <c r="C398" s="126"/>
      <c r="D398" s="126"/>
      <c r="E398" s="126"/>
      <c r="F398" s="126"/>
      <c r="G398" s="126"/>
      <c r="H398" s="126"/>
      <c r="I398" s="126"/>
      <c r="J398" s="126"/>
    </row>
    <row r="399">
      <c r="A399" s="127"/>
      <c r="B399" s="126"/>
      <c r="C399" s="126"/>
      <c r="D399" s="126"/>
      <c r="E399" s="126"/>
      <c r="F399" s="126"/>
      <c r="G399" s="126"/>
      <c r="H399" s="126"/>
      <c r="I399" s="126"/>
      <c r="J399" s="126"/>
    </row>
    <row r="400">
      <c r="A400" s="127"/>
      <c r="B400" s="126"/>
      <c r="C400" s="126"/>
      <c r="D400" s="126"/>
      <c r="E400" s="126"/>
      <c r="F400" s="126"/>
      <c r="G400" s="126"/>
      <c r="H400" s="126"/>
      <c r="I400" s="126"/>
      <c r="J400" s="126"/>
    </row>
    <row r="401">
      <c r="A401" s="127"/>
      <c r="B401" s="126"/>
      <c r="C401" s="126"/>
      <c r="D401" s="126"/>
      <c r="E401" s="126"/>
      <c r="F401" s="126"/>
      <c r="G401" s="126"/>
      <c r="H401" s="126"/>
      <c r="I401" s="126"/>
      <c r="J401" s="126"/>
    </row>
    <row r="402">
      <c r="A402" s="127"/>
      <c r="B402" s="126"/>
      <c r="C402" s="126"/>
      <c r="D402" s="126"/>
      <c r="E402" s="126"/>
      <c r="F402" s="126"/>
      <c r="G402" s="126"/>
      <c r="H402" s="126"/>
      <c r="I402" s="126"/>
      <c r="J402" s="126"/>
    </row>
    <row r="403">
      <c r="A403" s="127"/>
      <c r="B403" s="126"/>
      <c r="C403" s="126"/>
      <c r="D403" s="126"/>
      <c r="E403" s="126"/>
      <c r="F403" s="126"/>
      <c r="G403" s="126"/>
      <c r="H403" s="126"/>
      <c r="I403" s="126"/>
      <c r="J403" s="126"/>
    </row>
    <row r="404">
      <c r="A404" s="127"/>
      <c r="B404" s="126"/>
      <c r="C404" s="126"/>
      <c r="D404" s="126"/>
      <c r="E404" s="126"/>
      <c r="F404" s="126"/>
      <c r="G404" s="126"/>
      <c r="H404" s="126"/>
      <c r="I404" s="126"/>
      <c r="J404" s="126"/>
    </row>
    <row r="405">
      <c r="A405" s="127"/>
      <c r="B405" s="126"/>
      <c r="C405" s="126"/>
      <c r="D405" s="126"/>
      <c r="E405" s="126"/>
      <c r="F405" s="126"/>
      <c r="G405" s="126"/>
      <c r="H405" s="126"/>
      <c r="I405" s="126"/>
      <c r="J405" s="126"/>
    </row>
    <row r="406">
      <c r="A406" s="127"/>
      <c r="B406" s="126"/>
      <c r="C406" s="126"/>
      <c r="D406" s="126"/>
      <c r="E406" s="126"/>
      <c r="F406" s="126"/>
      <c r="G406" s="126"/>
      <c r="H406" s="126"/>
      <c r="I406" s="126"/>
      <c r="J406" s="126"/>
    </row>
    <row r="407">
      <c r="A407" s="127"/>
      <c r="B407" s="126"/>
      <c r="C407" s="126"/>
      <c r="D407" s="126"/>
      <c r="E407" s="126"/>
      <c r="F407" s="126"/>
      <c r="G407" s="126"/>
      <c r="H407" s="126"/>
      <c r="I407" s="126"/>
      <c r="J407" s="126"/>
    </row>
    <row r="408">
      <c r="A408" s="127"/>
      <c r="B408" s="126"/>
      <c r="C408" s="126"/>
      <c r="D408" s="126"/>
      <c r="E408" s="126"/>
      <c r="F408" s="126"/>
      <c r="G408" s="126"/>
      <c r="H408" s="126"/>
      <c r="I408" s="126"/>
      <c r="J408" s="126"/>
    </row>
    <row r="409">
      <c r="A409" s="127"/>
      <c r="B409" s="126"/>
      <c r="C409" s="126"/>
      <c r="D409" s="126"/>
      <c r="E409" s="126"/>
      <c r="F409" s="126"/>
      <c r="G409" s="126"/>
      <c r="H409" s="126"/>
      <c r="I409" s="126"/>
      <c r="J409" s="126"/>
    </row>
    <row r="410">
      <c r="A410" s="127"/>
      <c r="B410" s="126"/>
      <c r="C410" s="126"/>
      <c r="D410" s="126"/>
      <c r="E410" s="126"/>
      <c r="F410" s="126"/>
      <c r="G410" s="126"/>
      <c r="H410" s="126"/>
      <c r="I410" s="126"/>
      <c r="J410" s="126"/>
    </row>
    <row r="411">
      <c r="A411" s="127"/>
      <c r="B411" s="126"/>
      <c r="C411" s="126"/>
      <c r="D411" s="126"/>
      <c r="E411" s="126"/>
      <c r="F411" s="126"/>
      <c r="G411" s="126"/>
      <c r="H411" s="126"/>
      <c r="I411" s="126"/>
      <c r="J411" s="126"/>
    </row>
    <row r="412">
      <c r="A412" s="127"/>
      <c r="B412" s="126"/>
      <c r="C412" s="126"/>
      <c r="D412" s="126"/>
      <c r="E412" s="126"/>
      <c r="F412" s="126"/>
      <c r="G412" s="126"/>
      <c r="H412" s="126"/>
      <c r="I412" s="126"/>
      <c r="J412" s="126"/>
    </row>
    <row r="413">
      <c r="A413" s="127"/>
      <c r="B413" s="126"/>
      <c r="C413" s="126"/>
      <c r="D413" s="126"/>
      <c r="E413" s="126"/>
      <c r="F413" s="126"/>
      <c r="G413" s="126"/>
      <c r="H413" s="126"/>
      <c r="I413" s="126"/>
      <c r="J413" s="126"/>
    </row>
    <row r="414">
      <c r="A414" s="127"/>
      <c r="B414" s="126"/>
      <c r="C414" s="126"/>
      <c r="D414" s="126"/>
      <c r="E414" s="126"/>
      <c r="F414" s="126"/>
      <c r="G414" s="126"/>
      <c r="H414" s="126"/>
      <c r="I414" s="126"/>
      <c r="J414" s="126"/>
    </row>
    <row r="415">
      <c r="A415" s="127"/>
      <c r="B415" s="126"/>
      <c r="C415" s="126"/>
      <c r="D415" s="126"/>
      <c r="E415" s="126"/>
      <c r="F415" s="126"/>
      <c r="G415" s="126"/>
      <c r="H415" s="126"/>
      <c r="I415" s="126"/>
      <c r="J415" s="126"/>
    </row>
    <row r="416">
      <c r="A416" s="127"/>
      <c r="B416" s="126"/>
      <c r="C416" s="126"/>
      <c r="D416" s="126"/>
      <c r="E416" s="126"/>
      <c r="F416" s="126"/>
      <c r="G416" s="126"/>
      <c r="H416" s="126"/>
      <c r="I416" s="126"/>
      <c r="J416" s="126"/>
    </row>
    <row r="417">
      <c r="A417" s="127"/>
      <c r="B417" s="126"/>
      <c r="C417" s="126"/>
      <c r="D417" s="126"/>
      <c r="E417" s="126"/>
      <c r="F417" s="126"/>
      <c r="G417" s="126"/>
      <c r="H417" s="126"/>
      <c r="I417" s="126"/>
      <c r="J417" s="126"/>
    </row>
    <row r="418">
      <c r="A418" s="127"/>
      <c r="B418" s="126"/>
      <c r="C418" s="126"/>
      <c r="D418" s="126"/>
      <c r="E418" s="126"/>
      <c r="F418" s="126"/>
      <c r="G418" s="126"/>
      <c r="H418" s="126"/>
      <c r="I418" s="126"/>
      <c r="J418" s="126"/>
    </row>
    <row r="419">
      <c r="A419" s="127"/>
      <c r="B419" s="126"/>
      <c r="C419" s="126"/>
      <c r="D419" s="126"/>
      <c r="E419" s="126"/>
      <c r="F419" s="126"/>
      <c r="G419" s="126"/>
      <c r="H419" s="126"/>
      <c r="I419" s="126"/>
      <c r="J419" s="126"/>
    </row>
    <row r="420">
      <c r="A420" s="127"/>
      <c r="B420" s="126"/>
      <c r="C420" s="126"/>
      <c r="D420" s="126"/>
      <c r="E420" s="126"/>
      <c r="F420" s="126"/>
      <c r="G420" s="126"/>
      <c r="H420" s="126"/>
      <c r="I420" s="126"/>
      <c r="J420" s="126"/>
    </row>
    <row r="421">
      <c r="A421" s="127"/>
      <c r="B421" s="126"/>
      <c r="C421" s="126"/>
      <c r="D421" s="126"/>
      <c r="E421" s="126"/>
      <c r="F421" s="126"/>
      <c r="G421" s="126"/>
      <c r="H421" s="126"/>
      <c r="I421" s="126"/>
      <c r="J421" s="126"/>
    </row>
    <row r="422">
      <c r="A422" s="127"/>
      <c r="B422" s="126"/>
      <c r="C422" s="126"/>
      <c r="D422" s="126"/>
      <c r="E422" s="126"/>
      <c r="F422" s="126"/>
      <c r="G422" s="126"/>
      <c r="H422" s="126"/>
      <c r="I422" s="126"/>
      <c r="J422" s="126"/>
    </row>
    <row r="423">
      <c r="A423" s="127"/>
      <c r="B423" s="126"/>
      <c r="C423" s="126"/>
      <c r="D423" s="126"/>
      <c r="E423" s="126"/>
      <c r="F423" s="126"/>
      <c r="G423" s="126"/>
      <c r="H423" s="126"/>
      <c r="I423" s="126"/>
      <c r="J423" s="126"/>
    </row>
    <row r="424">
      <c r="A424" s="127"/>
      <c r="B424" s="126"/>
      <c r="C424" s="126"/>
      <c r="D424" s="126"/>
      <c r="E424" s="126"/>
      <c r="F424" s="126"/>
      <c r="G424" s="126"/>
      <c r="H424" s="126"/>
      <c r="I424" s="126"/>
      <c r="J424" s="126"/>
    </row>
    <row r="425">
      <c r="A425" s="127"/>
      <c r="B425" s="126"/>
      <c r="C425" s="126"/>
      <c r="D425" s="126"/>
      <c r="E425" s="126"/>
      <c r="F425" s="126"/>
      <c r="G425" s="126"/>
      <c r="H425" s="126"/>
      <c r="I425" s="126"/>
      <c r="J425" s="126"/>
    </row>
    <row r="426">
      <c r="A426" s="127"/>
      <c r="B426" s="126"/>
      <c r="C426" s="126"/>
      <c r="D426" s="126"/>
      <c r="E426" s="126"/>
      <c r="F426" s="126"/>
      <c r="G426" s="126"/>
      <c r="H426" s="126"/>
      <c r="I426" s="126"/>
      <c r="J426" s="126"/>
    </row>
    <row r="427">
      <c r="A427" s="127"/>
      <c r="B427" s="126"/>
      <c r="C427" s="126"/>
      <c r="D427" s="126"/>
      <c r="E427" s="126"/>
      <c r="F427" s="126"/>
      <c r="G427" s="126"/>
      <c r="H427" s="126"/>
      <c r="I427" s="126"/>
      <c r="J427" s="126"/>
    </row>
    <row r="428">
      <c r="A428" s="127"/>
      <c r="B428" s="126"/>
      <c r="C428" s="126"/>
      <c r="D428" s="126"/>
      <c r="E428" s="126"/>
      <c r="F428" s="126"/>
      <c r="G428" s="126"/>
      <c r="H428" s="126"/>
      <c r="I428" s="126"/>
      <c r="J428" s="126"/>
    </row>
    <row r="429">
      <c r="A429" s="127"/>
      <c r="B429" s="126"/>
      <c r="C429" s="126"/>
      <c r="D429" s="126"/>
      <c r="E429" s="126"/>
      <c r="F429" s="126"/>
      <c r="G429" s="126"/>
      <c r="H429" s="126"/>
      <c r="I429" s="126"/>
      <c r="J429" s="126"/>
    </row>
    <row r="430">
      <c r="A430" s="127"/>
      <c r="B430" s="126"/>
      <c r="C430" s="126"/>
      <c r="D430" s="126"/>
      <c r="E430" s="126"/>
      <c r="F430" s="126"/>
      <c r="G430" s="126"/>
      <c r="H430" s="126"/>
      <c r="I430" s="126"/>
      <c r="J430" s="126"/>
    </row>
    <row r="431">
      <c r="A431" s="127"/>
      <c r="B431" s="126"/>
      <c r="C431" s="126"/>
      <c r="D431" s="126"/>
      <c r="E431" s="126"/>
      <c r="F431" s="126"/>
      <c r="G431" s="126"/>
      <c r="H431" s="126"/>
      <c r="I431" s="126"/>
      <c r="J431" s="126"/>
    </row>
    <row r="432">
      <c r="A432" s="127"/>
      <c r="B432" s="126"/>
      <c r="C432" s="126"/>
      <c r="D432" s="126"/>
      <c r="E432" s="126"/>
      <c r="F432" s="126"/>
      <c r="G432" s="126"/>
      <c r="H432" s="126"/>
      <c r="I432" s="126"/>
      <c r="J432" s="126"/>
    </row>
    <row r="433">
      <c r="A433" s="127"/>
      <c r="B433" s="126"/>
      <c r="C433" s="126"/>
      <c r="D433" s="126"/>
      <c r="E433" s="126"/>
      <c r="F433" s="126"/>
      <c r="G433" s="126"/>
      <c r="H433" s="126"/>
      <c r="I433" s="126"/>
      <c r="J433" s="126"/>
    </row>
    <row r="434">
      <c r="A434" s="127"/>
      <c r="B434" s="126"/>
      <c r="C434" s="126"/>
      <c r="D434" s="126"/>
      <c r="E434" s="126"/>
      <c r="F434" s="126"/>
      <c r="G434" s="126"/>
      <c r="H434" s="126"/>
      <c r="I434" s="126"/>
      <c r="J434" s="126"/>
    </row>
    <row r="435">
      <c r="A435" s="127"/>
      <c r="B435" s="126"/>
      <c r="C435" s="126"/>
      <c r="D435" s="126"/>
      <c r="E435" s="126"/>
      <c r="F435" s="126"/>
      <c r="G435" s="126"/>
      <c r="H435" s="126"/>
      <c r="I435" s="126"/>
      <c r="J435" s="126"/>
    </row>
    <row r="436">
      <c r="A436" s="127"/>
      <c r="B436" s="126"/>
      <c r="C436" s="126"/>
      <c r="D436" s="126"/>
      <c r="E436" s="126"/>
      <c r="F436" s="126"/>
      <c r="G436" s="126"/>
      <c r="H436" s="126"/>
      <c r="I436" s="126"/>
      <c r="J436" s="126"/>
    </row>
    <row r="437">
      <c r="A437" s="127"/>
      <c r="B437" s="126"/>
      <c r="C437" s="126"/>
      <c r="D437" s="126"/>
      <c r="E437" s="126"/>
      <c r="F437" s="126"/>
      <c r="G437" s="126"/>
      <c r="H437" s="126"/>
      <c r="I437" s="126"/>
      <c r="J437" s="126"/>
    </row>
    <row r="438">
      <c r="A438" s="127"/>
      <c r="B438" s="126"/>
      <c r="C438" s="126"/>
      <c r="D438" s="126"/>
      <c r="E438" s="126"/>
      <c r="F438" s="126"/>
      <c r="G438" s="126"/>
      <c r="H438" s="126"/>
      <c r="I438" s="126"/>
      <c r="J438" s="126"/>
    </row>
    <row r="439">
      <c r="A439" s="127"/>
      <c r="B439" s="126"/>
      <c r="C439" s="126"/>
      <c r="D439" s="126"/>
      <c r="E439" s="126"/>
      <c r="F439" s="126"/>
      <c r="G439" s="126"/>
      <c r="H439" s="126"/>
      <c r="I439" s="126"/>
      <c r="J439" s="126"/>
    </row>
    <row r="440">
      <c r="A440" s="127"/>
      <c r="B440" s="126"/>
      <c r="C440" s="126"/>
      <c r="D440" s="126"/>
      <c r="E440" s="126"/>
      <c r="F440" s="126"/>
      <c r="G440" s="126"/>
      <c r="H440" s="126"/>
      <c r="I440" s="126"/>
      <c r="J440" s="126"/>
    </row>
    <row r="441">
      <c r="A441" s="127"/>
      <c r="B441" s="126"/>
      <c r="C441" s="126"/>
      <c r="D441" s="126"/>
      <c r="E441" s="126"/>
      <c r="F441" s="126"/>
      <c r="G441" s="126"/>
      <c r="H441" s="126"/>
      <c r="I441" s="126"/>
      <c r="J441" s="126"/>
    </row>
    <row r="442">
      <c r="A442" s="127"/>
      <c r="B442" s="126"/>
      <c r="C442" s="126"/>
      <c r="D442" s="126"/>
      <c r="E442" s="126"/>
      <c r="F442" s="126"/>
      <c r="G442" s="126"/>
      <c r="H442" s="126"/>
      <c r="I442" s="126"/>
      <c r="J442" s="126"/>
    </row>
    <row r="443">
      <c r="A443" s="127"/>
      <c r="B443" s="126"/>
      <c r="C443" s="126"/>
      <c r="D443" s="126"/>
      <c r="E443" s="126"/>
      <c r="F443" s="126"/>
      <c r="G443" s="126"/>
      <c r="H443" s="126"/>
      <c r="I443" s="126"/>
      <c r="J443" s="126"/>
    </row>
    <row r="444">
      <c r="A444" s="127"/>
      <c r="B444" s="126"/>
      <c r="C444" s="126"/>
      <c r="D444" s="126"/>
      <c r="E444" s="126"/>
      <c r="F444" s="126"/>
      <c r="G444" s="126"/>
      <c r="H444" s="126"/>
      <c r="I444" s="126"/>
      <c r="J444" s="126"/>
    </row>
    <row r="445">
      <c r="A445" s="127"/>
      <c r="B445" s="126"/>
      <c r="C445" s="126"/>
      <c r="D445" s="126"/>
      <c r="E445" s="126"/>
      <c r="F445" s="126"/>
      <c r="G445" s="126"/>
      <c r="H445" s="126"/>
      <c r="I445" s="126"/>
      <c r="J445" s="126"/>
    </row>
    <row r="446">
      <c r="A446" s="127"/>
      <c r="B446" s="126"/>
      <c r="C446" s="126"/>
      <c r="D446" s="126"/>
      <c r="E446" s="126"/>
      <c r="F446" s="126"/>
      <c r="G446" s="126"/>
      <c r="H446" s="126"/>
      <c r="I446" s="126"/>
      <c r="J446" s="126"/>
    </row>
    <row r="447">
      <c r="A447" s="127"/>
      <c r="B447" s="126"/>
      <c r="C447" s="126"/>
      <c r="D447" s="126"/>
      <c r="E447" s="126"/>
      <c r="F447" s="126"/>
      <c r="G447" s="126"/>
      <c r="H447" s="126"/>
      <c r="I447" s="126"/>
      <c r="J447" s="126"/>
    </row>
    <row r="448">
      <c r="A448" s="127"/>
      <c r="B448" s="126"/>
      <c r="C448" s="126"/>
      <c r="D448" s="126"/>
      <c r="E448" s="126"/>
      <c r="F448" s="126"/>
      <c r="G448" s="126"/>
      <c r="H448" s="126"/>
      <c r="I448" s="126"/>
      <c r="J448" s="126"/>
    </row>
    <row r="449">
      <c r="A449" s="127"/>
      <c r="B449" s="126"/>
      <c r="C449" s="126"/>
      <c r="D449" s="126"/>
      <c r="E449" s="126"/>
      <c r="F449" s="126"/>
      <c r="G449" s="126"/>
      <c r="H449" s="126"/>
      <c r="I449" s="126"/>
      <c r="J449" s="126"/>
    </row>
    <row r="450">
      <c r="A450" s="127"/>
      <c r="B450" s="126"/>
      <c r="C450" s="126"/>
      <c r="D450" s="126"/>
      <c r="E450" s="126"/>
      <c r="F450" s="126"/>
      <c r="G450" s="126"/>
      <c r="H450" s="126"/>
      <c r="I450" s="126"/>
      <c r="J450" s="126"/>
    </row>
    <row r="451">
      <c r="A451" s="127"/>
      <c r="B451" s="126"/>
      <c r="C451" s="126"/>
      <c r="D451" s="126"/>
      <c r="E451" s="126"/>
      <c r="F451" s="126"/>
      <c r="G451" s="126"/>
      <c r="H451" s="126"/>
      <c r="I451" s="126"/>
      <c r="J451" s="126"/>
    </row>
    <row r="452">
      <c r="A452" s="127"/>
      <c r="B452" s="126"/>
      <c r="C452" s="126"/>
      <c r="D452" s="126"/>
      <c r="E452" s="126"/>
      <c r="F452" s="126"/>
      <c r="G452" s="126"/>
      <c r="H452" s="126"/>
      <c r="I452" s="126"/>
      <c r="J452" s="126"/>
    </row>
    <row r="453">
      <c r="A453" s="127"/>
      <c r="B453" s="126"/>
      <c r="C453" s="126"/>
      <c r="D453" s="126"/>
      <c r="E453" s="126"/>
      <c r="F453" s="126"/>
      <c r="G453" s="126"/>
      <c r="H453" s="126"/>
      <c r="I453" s="126"/>
      <c r="J453" s="126"/>
    </row>
    <row r="454">
      <c r="A454" s="127"/>
      <c r="B454" s="126"/>
      <c r="C454" s="126"/>
      <c r="D454" s="126"/>
      <c r="E454" s="126"/>
      <c r="F454" s="126"/>
      <c r="G454" s="126"/>
      <c r="H454" s="126"/>
      <c r="I454" s="126"/>
      <c r="J454" s="126"/>
    </row>
    <row r="455">
      <c r="A455" s="127"/>
      <c r="B455" s="126"/>
      <c r="C455" s="126"/>
      <c r="D455" s="126"/>
      <c r="E455" s="126"/>
      <c r="F455" s="126"/>
      <c r="G455" s="126"/>
      <c r="H455" s="126"/>
      <c r="I455" s="126"/>
      <c r="J455" s="126"/>
    </row>
    <row r="456">
      <c r="A456" s="127"/>
      <c r="B456" s="126"/>
      <c r="C456" s="126"/>
      <c r="D456" s="126"/>
      <c r="E456" s="126"/>
      <c r="F456" s="126"/>
      <c r="G456" s="126"/>
      <c r="H456" s="126"/>
      <c r="I456" s="126"/>
      <c r="J456" s="126"/>
    </row>
    <row r="457">
      <c r="A457" s="127"/>
      <c r="B457" s="126"/>
      <c r="C457" s="126"/>
      <c r="D457" s="126"/>
      <c r="E457" s="126"/>
      <c r="F457" s="126"/>
      <c r="G457" s="126"/>
      <c r="H457" s="126"/>
      <c r="I457" s="126"/>
      <c r="J457" s="126"/>
    </row>
    <row r="458">
      <c r="A458" s="127"/>
      <c r="B458" s="126"/>
      <c r="C458" s="126"/>
      <c r="D458" s="126"/>
      <c r="E458" s="126"/>
      <c r="F458" s="126"/>
      <c r="G458" s="126"/>
      <c r="H458" s="126"/>
      <c r="I458" s="126"/>
      <c r="J458" s="126"/>
    </row>
    <row r="459">
      <c r="A459" s="127"/>
      <c r="B459" s="126"/>
      <c r="C459" s="126"/>
      <c r="D459" s="126"/>
      <c r="E459" s="126"/>
      <c r="F459" s="126"/>
      <c r="G459" s="126"/>
      <c r="H459" s="126"/>
      <c r="I459" s="126"/>
      <c r="J459" s="126"/>
    </row>
    <row r="460">
      <c r="A460" s="127"/>
      <c r="B460" s="126"/>
      <c r="C460" s="126"/>
      <c r="D460" s="126"/>
      <c r="E460" s="126"/>
      <c r="F460" s="126"/>
      <c r="G460" s="126"/>
      <c r="H460" s="126"/>
      <c r="I460" s="126"/>
      <c r="J460" s="126"/>
    </row>
    <row r="461">
      <c r="A461" s="127"/>
      <c r="B461" s="126"/>
      <c r="C461" s="126"/>
      <c r="D461" s="126"/>
      <c r="E461" s="126"/>
      <c r="F461" s="126"/>
      <c r="G461" s="126"/>
      <c r="H461" s="126"/>
      <c r="I461" s="126"/>
      <c r="J461" s="126"/>
    </row>
    <row r="462">
      <c r="A462" s="127"/>
      <c r="B462" s="126"/>
      <c r="C462" s="126"/>
      <c r="D462" s="126"/>
      <c r="E462" s="126"/>
      <c r="F462" s="126"/>
      <c r="G462" s="126"/>
      <c r="H462" s="126"/>
      <c r="I462" s="126"/>
      <c r="J462" s="126"/>
    </row>
    <row r="463">
      <c r="A463" s="127"/>
      <c r="B463" s="126"/>
      <c r="C463" s="126"/>
      <c r="D463" s="126"/>
      <c r="E463" s="126"/>
      <c r="F463" s="126"/>
      <c r="G463" s="126"/>
      <c r="H463" s="126"/>
      <c r="I463" s="126"/>
      <c r="J463" s="126"/>
    </row>
    <row r="464">
      <c r="A464" s="127"/>
      <c r="B464" s="126"/>
      <c r="C464" s="126"/>
      <c r="D464" s="126"/>
      <c r="E464" s="126"/>
      <c r="F464" s="126"/>
      <c r="G464" s="126"/>
      <c r="H464" s="126"/>
      <c r="I464" s="126"/>
      <c r="J464" s="126"/>
    </row>
    <row r="465">
      <c r="A465" s="127"/>
      <c r="B465" s="126"/>
      <c r="C465" s="126"/>
      <c r="D465" s="126"/>
      <c r="E465" s="126"/>
      <c r="F465" s="126"/>
      <c r="G465" s="126"/>
      <c r="H465" s="126"/>
      <c r="I465" s="126"/>
      <c r="J465" s="126"/>
    </row>
    <row r="466">
      <c r="A466" s="127"/>
      <c r="B466" s="126"/>
      <c r="C466" s="126"/>
      <c r="D466" s="126"/>
      <c r="E466" s="126"/>
      <c r="F466" s="126"/>
      <c r="G466" s="126"/>
      <c r="H466" s="126"/>
      <c r="I466" s="126"/>
      <c r="J466" s="126"/>
    </row>
    <row r="467">
      <c r="A467" s="127"/>
      <c r="B467" s="126"/>
      <c r="C467" s="126"/>
      <c r="D467" s="126"/>
      <c r="E467" s="126"/>
      <c r="F467" s="126"/>
      <c r="G467" s="126"/>
      <c r="H467" s="126"/>
      <c r="I467" s="126"/>
      <c r="J467" s="126"/>
    </row>
    <row r="468">
      <c r="A468" s="127"/>
      <c r="B468" s="126"/>
      <c r="C468" s="126"/>
      <c r="D468" s="126"/>
      <c r="E468" s="126"/>
      <c r="F468" s="126"/>
      <c r="G468" s="126"/>
      <c r="H468" s="126"/>
      <c r="I468" s="126"/>
      <c r="J468" s="126"/>
    </row>
    <row r="469">
      <c r="A469" s="127"/>
      <c r="B469" s="126"/>
      <c r="C469" s="126"/>
      <c r="D469" s="126"/>
      <c r="E469" s="126"/>
      <c r="F469" s="126"/>
      <c r="G469" s="126"/>
      <c r="H469" s="126"/>
      <c r="I469" s="126"/>
      <c r="J469" s="126"/>
    </row>
    <row r="470">
      <c r="A470" s="127"/>
      <c r="B470" s="126"/>
      <c r="C470" s="126"/>
      <c r="D470" s="126"/>
      <c r="E470" s="126"/>
      <c r="F470" s="126"/>
      <c r="G470" s="126"/>
      <c r="H470" s="126"/>
      <c r="I470" s="126"/>
      <c r="J470" s="126"/>
    </row>
    <row r="471">
      <c r="A471" s="127"/>
      <c r="B471" s="126"/>
      <c r="C471" s="126"/>
      <c r="D471" s="126"/>
      <c r="E471" s="126"/>
      <c r="F471" s="126"/>
      <c r="G471" s="126"/>
      <c r="H471" s="126"/>
      <c r="I471" s="126"/>
      <c r="J471" s="126"/>
    </row>
    <row r="472">
      <c r="A472" s="127"/>
      <c r="B472" s="126"/>
      <c r="C472" s="126"/>
      <c r="D472" s="126"/>
      <c r="E472" s="126"/>
      <c r="F472" s="126"/>
      <c r="G472" s="126"/>
      <c r="H472" s="126"/>
      <c r="I472" s="126"/>
      <c r="J472" s="126"/>
    </row>
    <row r="473">
      <c r="A473" s="127"/>
      <c r="B473" s="126"/>
      <c r="C473" s="126"/>
      <c r="D473" s="126"/>
      <c r="E473" s="126"/>
      <c r="F473" s="126"/>
      <c r="G473" s="126"/>
      <c r="H473" s="126"/>
      <c r="I473" s="126"/>
      <c r="J473" s="126"/>
    </row>
    <row r="474">
      <c r="A474" s="127"/>
      <c r="B474" s="126"/>
      <c r="C474" s="126"/>
      <c r="D474" s="126"/>
      <c r="E474" s="126"/>
      <c r="F474" s="126"/>
      <c r="G474" s="126"/>
      <c r="H474" s="126"/>
      <c r="I474" s="126"/>
      <c r="J474" s="126"/>
    </row>
    <row r="475">
      <c r="A475" s="127"/>
      <c r="B475" s="126"/>
      <c r="C475" s="126"/>
      <c r="D475" s="126"/>
      <c r="E475" s="126"/>
      <c r="F475" s="126"/>
      <c r="G475" s="126"/>
      <c r="H475" s="126"/>
      <c r="I475" s="126"/>
      <c r="J475" s="126"/>
    </row>
    <row r="476">
      <c r="A476" s="127"/>
      <c r="B476" s="126"/>
      <c r="C476" s="126"/>
      <c r="D476" s="126"/>
      <c r="E476" s="126"/>
      <c r="F476" s="126"/>
      <c r="G476" s="126"/>
      <c r="H476" s="126"/>
      <c r="I476" s="126"/>
      <c r="J476" s="126"/>
    </row>
    <row r="477">
      <c r="A477" s="127"/>
      <c r="B477" s="126"/>
      <c r="C477" s="126"/>
      <c r="D477" s="126"/>
      <c r="E477" s="126"/>
      <c r="F477" s="126"/>
      <c r="G477" s="126"/>
      <c r="H477" s="126"/>
      <c r="I477" s="126"/>
      <c r="J477" s="126"/>
    </row>
    <row r="478">
      <c r="A478" s="127"/>
      <c r="B478" s="126"/>
      <c r="C478" s="126"/>
      <c r="D478" s="126"/>
      <c r="E478" s="126"/>
      <c r="F478" s="126"/>
      <c r="G478" s="126"/>
      <c r="H478" s="126"/>
      <c r="I478" s="126"/>
      <c r="J478" s="126"/>
    </row>
    <row r="479">
      <c r="A479" s="127"/>
      <c r="B479" s="126"/>
      <c r="C479" s="126"/>
      <c r="D479" s="126"/>
      <c r="E479" s="126"/>
      <c r="F479" s="126"/>
      <c r="G479" s="126"/>
      <c r="H479" s="126"/>
      <c r="I479" s="126"/>
      <c r="J479" s="126"/>
    </row>
    <row r="480">
      <c r="A480" s="127"/>
      <c r="B480" s="126"/>
      <c r="C480" s="126"/>
      <c r="D480" s="126"/>
      <c r="E480" s="126"/>
      <c r="F480" s="126"/>
      <c r="G480" s="126"/>
      <c r="H480" s="126"/>
      <c r="I480" s="126"/>
      <c r="J480" s="126"/>
    </row>
    <row r="481">
      <c r="A481" s="127"/>
      <c r="B481" s="126"/>
      <c r="C481" s="126"/>
      <c r="D481" s="126"/>
      <c r="E481" s="126"/>
      <c r="F481" s="126"/>
      <c r="G481" s="126"/>
      <c r="H481" s="126"/>
      <c r="I481" s="126"/>
      <c r="J481" s="126"/>
    </row>
    <row r="482">
      <c r="A482" s="127"/>
      <c r="B482" s="126"/>
      <c r="C482" s="126"/>
      <c r="D482" s="126"/>
      <c r="E482" s="126"/>
      <c r="F482" s="126"/>
      <c r="G482" s="126"/>
      <c r="H482" s="126"/>
      <c r="I482" s="126"/>
      <c r="J482" s="126"/>
    </row>
    <row r="483">
      <c r="A483" s="127"/>
      <c r="B483" s="126"/>
      <c r="C483" s="126"/>
      <c r="D483" s="126"/>
      <c r="E483" s="126"/>
      <c r="F483" s="126"/>
      <c r="G483" s="126"/>
      <c r="H483" s="126"/>
      <c r="I483" s="126"/>
      <c r="J483" s="126"/>
    </row>
    <row r="484">
      <c r="A484" s="127"/>
      <c r="B484" s="126"/>
      <c r="C484" s="126"/>
      <c r="D484" s="126"/>
      <c r="E484" s="126"/>
      <c r="F484" s="126"/>
      <c r="G484" s="126"/>
      <c r="H484" s="126"/>
      <c r="I484" s="126"/>
      <c r="J484" s="126"/>
    </row>
    <row r="485">
      <c r="A485" s="127"/>
      <c r="B485" s="126"/>
      <c r="C485" s="126"/>
      <c r="D485" s="126"/>
      <c r="E485" s="126"/>
      <c r="F485" s="126"/>
      <c r="G485" s="126"/>
      <c r="H485" s="126"/>
      <c r="I485" s="126"/>
      <c r="J485" s="126"/>
    </row>
    <row r="486">
      <c r="A486" s="127"/>
      <c r="B486" s="126"/>
      <c r="C486" s="126"/>
      <c r="D486" s="126"/>
      <c r="E486" s="126"/>
      <c r="F486" s="126"/>
      <c r="G486" s="126"/>
      <c r="H486" s="126"/>
      <c r="I486" s="126"/>
      <c r="J486" s="126"/>
    </row>
    <row r="487">
      <c r="A487" s="127"/>
      <c r="B487" s="126"/>
      <c r="C487" s="126"/>
      <c r="D487" s="126"/>
      <c r="E487" s="126"/>
      <c r="F487" s="126"/>
      <c r="G487" s="126"/>
      <c r="H487" s="126"/>
      <c r="I487" s="126"/>
      <c r="J487" s="126"/>
    </row>
    <row r="488">
      <c r="A488" s="127"/>
      <c r="B488" s="126"/>
      <c r="C488" s="126"/>
      <c r="D488" s="126"/>
      <c r="E488" s="126"/>
      <c r="F488" s="126"/>
      <c r="G488" s="126"/>
      <c r="H488" s="126"/>
      <c r="I488" s="126"/>
      <c r="J488" s="126"/>
    </row>
    <row r="489">
      <c r="A489" s="127"/>
      <c r="B489" s="126"/>
      <c r="C489" s="126"/>
      <c r="D489" s="126"/>
      <c r="E489" s="126"/>
      <c r="F489" s="126"/>
      <c r="G489" s="126"/>
      <c r="H489" s="126"/>
      <c r="I489" s="126"/>
      <c r="J489" s="126"/>
    </row>
    <row r="490">
      <c r="A490" s="127"/>
      <c r="B490" s="126"/>
      <c r="C490" s="126"/>
      <c r="D490" s="126"/>
      <c r="E490" s="126"/>
      <c r="F490" s="126"/>
      <c r="G490" s="126"/>
      <c r="H490" s="126"/>
      <c r="I490" s="126"/>
      <c r="J490" s="126"/>
    </row>
    <row r="491">
      <c r="A491" s="127"/>
      <c r="B491" s="126"/>
      <c r="C491" s="126"/>
      <c r="D491" s="126"/>
      <c r="E491" s="126"/>
      <c r="F491" s="126"/>
      <c r="G491" s="126"/>
      <c r="H491" s="126"/>
      <c r="I491" s="126"/>
      <c r="J491" s="126"/>
    </row>
    <row r="492">
      <c r="A492" s="127"/>
      <c r="B492" s="126"/>
      <c r="C492" s="126"/>
      <c r="D492" s="126"/>
      <c r="E492" s="126"/>
      <c r="F492" s="126"/>
      <c r="G492" s="126"/>
      <c r="H492" s="126"/>
      <c r="I492" s="126"/>
      <c r="J492" s="126"/>
    </row>
    <row r="493">
      <c r="A493" s="127"/>
      <c r="B493" s="126"/>
      <c r="C493" s="126"/>
      <c r="D493" s="126"/>
      <c r="E493" s="126"/>
      <c r="F493" s="126"/>
      <c r="G493" s="126"/>
      <c r="H493" s="126"/>
      <c r="I493" s="126"/>
      <c r="J493" s="126"/>
    </row>
    <row r="494">
      <c r="A494" s="127"/>
      <c r="B494" s="126"/>
      <c r="C494" s="126"/>
      <c r="D494" s="126"/>
      <c r="E494" s="126"/>
      <c r="F494" s="126"/>
      <c r="G494" s="126"/>
      <c r="H494" s="126"/>
      <c r="I494" s="126"/>
      <c r="J494" s="126"/>
    </row>
    <row r="495">
      <c r="A495" s="127"/>
      <c r="B495" s="126"/>
      <c r="C495" s="126"/>
      <c r="D495" s="126"/>
      <c r="E495" s="126"/>
      <c r="F495" s="126"/>
      <c r="G495" s="126"/>
      <c r="H495" s="126"/>
      <c r="I495" s="126"/>
      <c r="J495" s="126"/>
    </row>
    <row r="496">
      <c r="A496" s="127"/>
      <c r="B496" s="126"/>
      <c r="C496" s="126"/>
      <c r="D496" s="126"/>
      <c r="E496" s="126"/>
      <c r="F496" s="126"/>
      <c r="G496" s="126"/>
      <c r="H496" s="126"/>
      <c r="I496" s="126"/>
      <c r="J496" s="126"/>
    </row>
    <row r="497">
      <c r="A497" s="127"/>
      <c r="B497" s="126"/>
      <c r="C497" s="126"/>
      <c r="D497" s="126"/>
      <c r="E497" s="126"/>
      <c r="F497" s="126"/>
      <c r="G497" s="126"/>
      <c r="H497" s="126"/>
      <c r="I497" s="126"/>
      <c r="J497" s="126"/>
    </row>
    <row r="498">
      <c r="A498" s="127"/>
      <c r="B498" s="126"/>
      <c r="C498" s="126"/>
      <c r="D498" s="126"/>
      <c r="E498" s="126"/>
      <c r="F498" s="126"/>
      <c r="G498" s="126"/>
      <c r="H498" s="126"/>
      <c r="I498" s="126"/>
      <c r="J498" s="126"/>
    </row>
    <row r="499">
      <c r="A499" s="127"/>
      <c r="B499" s="126"/>
      <c r="C499" s="126"/>
      <c r="D499" s="126"/>
      <c r="E499" s="126"/>
      <c r="F499" s="126"/>
      <c r="G499" s="126"/>
      <c r="H499" s="126"/>
      <c r="I499" s="126"/>
      <c r="J499" s="126"/>
    </row>
    <row r="500">
      <c r="A500" s="127"/>
      <c r="B500" s="126"/>
      <c r="C500" s="126"/>
      <c r="D500" s="126"/>
      <c r="E500" s="126"/>
      <c r="F500" s="126"/>
      <c r="G500" s="126"/>
      <c r="H500" s="126"/>
      <c r="I500" s="126"/>
      <c r="J500" s="126"/>
    </row>
    <row r="501">
      <c r="A501" s="127"/>
      <c r="B501" s="126"/>
      <c r="C501" s="126"/>
      <c r="D501" s="126"/>
      <c r="E501" s="126"/>
      <c r="F501" s="126"/>
      <c r="G501" s="126"/>
      <c r="H501" s="126"/>
      <c r="I501" s="126"/>
      <c r="J501" s="126"/>
    </row>
    <row r="502">
      <c r="A502" s="127"/>
      <c r="B502" s="126"/>
      <c r="C502" s="126"/>
      <c r="D502" s="126"/>
      <c r="E502" s="126"/>
      <c r="F502" s="126"/>
      <c r="G502" s="126"/>
      <c r="H502" s="126"/>
      <c r="I502" s="126"/>
      <c r="J502" s="126"/>
    </row>
    <row r="503">
      <c r="A503" s="127"/>
      <c r="B503" s="126"/>
      <c r="C503" s="126"/>
      <c r="D503" s="126"/>
      <c r="E503" s="126"/>
      <c r="F503" s="126"/>
      <c r="G503" s="126"/>
      <c r="H503" s="126"/>
      <c r="I503" s="126"/>
      <c r="J503" s="126"/>
    </row>
    <row r="504">
      <c r="A504" s="127"/>
      <c r="B504" s="126"/>
      <c r="C504" s="126"/>
      <c r="D504" s="126"/>
      <c r="E504" s="126"/>
      <c r="F504" s="126"/>
      <c r="G504" s="126"/>
      <c r="H504" s="126"/>
      <c r="I504" s="126"/>
      <c r="J504" s="126"/>
    </row>
    <row r="505">
      <c r="A505" s="127"/>
      <c r="B505" s="126"/>
      <c r="C505" s="126"/>
      <c r="D505" s="126"/>
      <c r="E505" s="126"/>
      <c r="F505" s="126"/>
      <c r="G505" s="126"/>
      <c r="H505" s="126"/>
      <c r="I505" s="126"/>
      <c r="J505" s="126"/>
    </row>
    <row r="506">
      <c r="A506" s="127"/>
      <c r="B506" s="126"/>
      <c r="C506" s="126"/>
      <c r="D506" s="126"/>
      <c r="E506" s="126"/>
      <c r="F506" s="126"/>
      <c r="G506" s="126"/>
      <c r="H506" s="126"/>
      <c r="I506" s="126"/>
      <c r="J506" s="126"/>
    </row>
    <row r="507">
      <c r="A507" s="127"/>
      <c r="B507" s="126"/>
      <c r="C507" s="126"/>
      <c r="D507" s="126"/>
      <c r="E507" s="126"/>
      <c r="F507" s="126"/>
      <c r="G507" s="126"/>
      <c r="H507" s="126"/>
      <c r="I507" s="126"/>
      <c r="J507" s="126"/>
    </row>
    <row r="508">
      <c r="A508" s="127"/>
      <c r="B508" s="126"/>
      <c r="C508" s="126"/>
      <c r="D508" s="126"/>
      <c r="E508" s="126"/>
      <c r="F508" s="126"/>
      <c r="G508" s="126"/>
      <c r="H508" s="126"/>
      <c r="I508" s="126"/>
      <c r="J508" s="126"/>
    </row>
    <row r="509">
      <c r="A509" s="127"/>
      <c r="B509" s="126"/>
      <c r="C509" s="126"/>
      <c r="D509" s="126"/>
      <c r="E509" s="126"/>
      <c r="F509" s="126"/>
      <c r="G509" s="126"/>
      <c r="H509" s="126"/>
      <c r="I509" s="126"/>
      <c r="J509" s="126"/>
    </row>
    <row r="510">
      <c r="A510" s="127"/>
      <c r="B510" s="126"/>
      <c r="C510" s="126"/>
      <c r="D510" s="126"/>
      <c r="E510" s="126"/>
      <c r="F510" s="126"/>
      <c r="G510" s="126"/>
      <c r="H510" s="126"/>
      <c r="I510" s="126"/>
      <c r="J510" s="126"/>
    </row>
    <row r="511">
      <c r="A511" s="127"/>
      <c r="B511" s="126"/>
      <c r="C511" s="126"/>
      <c r="D511" s="126"/>
      <c r="E511" s="126"/>
      <c r="F511" s="126"/>
      <c r="G511" s="126"/>
      <c r="H511" s="126"/>
      <c r="I511" s="126"/>
      <c r="J511" s="126"/>
    </row>
    <row r="512">
      <c r="A512" s="127"/>
      <c r="B512" s="126"/>
      <c r="C512" s="126"/>
      <c r="D512" s="126"/>
      <c r="E512" s="126"/>
      <c r="F512" s="126"/>
      <c r="G512" s="126"/>
      <c r="H512" s="126"/>
      <c r="I512" s="126"/>
      <c r="J512" s="126"/>
    </row>
    <row r="513">
      <c r="A513" s="127"/>
      <c r="B513" s="126"/>
      <c r="C513" s="126"/>
      <c r="D513" s="126"/>
      <c r="E513" s="126"/>
      <c r="F513" s="126"/>
      <c r="G513" s="126"/>
      <c r="H513" s="126"/>
      <c r="I513" s="126"/>
      <c r="J513" s="126"/>
    </row>
    <row r="514">
      <c r="A514" s="127"/>
      <c r="B514" s="126"/>
      <c r="C514" s="126"/>
      <c r="D514" s="126"/>
      <c r="E514" s="126"/>
      <c r="F514" s="126"/>
      <c r="G514" s="126"/>
      <c r="H514" s="126"/>
      <c r="I514" s="126"/>
      <c r="J514" s="126"/>
    </row>
    <row r="515">
      <c r="A515" s="127"/>
      <c r="B515" s="126"/>
      <c r="C515" s="126"/>
      <c r="D515" s="126"/>
      <c r="E515" s="126"/>
      <c r="F515" s="126"/>
      <c r="G515" s="126"/>
      <c r="H515" s="126"/>
      <c r="I515" s="126"/>
      <c r="J515" s="126"/>
    </row>
    <row r="516">
      <c r="A516" s="127"/>
      <c r="B516" s="126"/>
      <c r="C516" s="126"/>
      <c r="D516" s="126"/>
      <c r="E516" s="126"/>
      <c r="F516" s="126"/>
      <c r="G516" s="126"/>
      <c r="H516" s="126"/>
      <c r="I516" s="126"/>
      <c r="J516" s="126"/>
    </row>
    <row r="517">
      <c r="A517" s="127"/>
      <c r="B517" s="126"/>
      <c r="C517" s="126"/>
      <c r="D517" s="126"/>
      <c r="E517" s="126"/>
      <c r="F517" s="126"/>
      <c r="G517" s="126"/>
      <c r="H517" s="126"/>
      <c r="I517" s="126"/>
      <c r="J517" s="126"/>
    </row>
    <row r="518">
      <c r="A518" s="127"/>
      <c r="B518" s="126"/>
      <c r="C518" s="126"/>
      <c r="D518" s="126"/>
      <c r="E518" s="126"/>
      <c r="F518" s="126"/>
      <c r="G518" s="126"/>
      <c r="H518" s="126"/>
      <c r="I518" s="126"/>
      <c r="J518" s="126"/>
    </row>
    <row r="519">
      <c r="A519" s="127"/>
      <c r="B519" s="126"/>
      <c r="C519" s="126"/>
      <c r="D519" s="126"/>
      <c r="E519" s="126"/>
      <c r="F519" s="126"/>
      <c r="G519" s="126"/>
      <c r="H519" s="126"/>
      <c r="I519" s="126"/>
      <c r="J519" s="126"/>
    </row>
    <row r="520">
      <c r="A520" s="127"/>
      <c r="B520" s="126"/>
      <c r="C520" s="126"/>
      <c r="D520" s="126"/>
      <c r="E520" s="126"/>
      <c r="F520" s="126"/>
      <c r="G520" s="126"/>
      <c r="H520" s="126"/>
      <c r="I520" s="126"/>
      <c r="J520" s="126"/>
    </row>
    <row r="521">
      <c r="A521" s="127"/>
      <c r="B521" s="126"/>
      <c r="C521" s="126"/>
      <c r="D521" s="126"/>
      <c r="E521" s="126"/>
      <c r="F521" s="126"/>
      <c r="G521" s="126"/>
      <c r="H521" s="126"/>
      <c r="I521" s="126"/>
      <c r="J521" s="126"/>
    </row>
    <row r="522">
      <c r="A522" s="127"/>
      <c r="B522" s="126"/>
      <c r="C522" s="126"/>
      <c r="D522" s="126"/>
      <c r="E522" s="126"/>
      <c r="F522" s="126"/>
      <c r="G522" s="126"/>
      <c r="H522" s="126"/>
      <c r="I522" s="126"/>
      <c r="J522" s="126"/>
    </row>
    <row r="523">
      <c r="A523" s="127"/>
      <c r="B523" s="126"/>
      <c r="C523" s="126"/>
      <c r="D523" s="126"/>
      <c r="E523" s="126"/>
      <c r="F523" s="126"/>
      <c r="G523" s="126"/>
      <c r="H523" s="126"/>
      <c r="I523" s="126"/>
      <c r="J523" s="126"/>
    </row>
    <row r="524">
      <c r="A524" s="127"/>
      <c r="B524" s="126"/>
      <c r="C524" s="126"/>
      <c r="D524" s="126"/>
      <c r="E524" s="126"/>
      <c r="F524" s="126"/>
      <c r="G524" s="126"/>
      <c r="H524" s="126"/>
      <c r="I524" s="126"/>
      <c r="J524" s="126"/>
    </row>
    <row r="525">
      <c r="A525" s="127"/>
      <c r="B525" s="126"/>
      <c r="C525" s="126"/>
      <c r="D525" s="126"/>
      <c r="E525" s="126"/>
      <c r="F525" s="126"/>
      <c r="G525" s="126"/>
      <c r="H525" s="126"/>
      <c r="I525" s="126"/>
      <c r="J525" s="126"/>
    </row>
    <row r="526">
      <c r="A526" s="127"/>
      <c r="B526" s="126"/>
      <c r="C526" s="126"/>
      <c r="D526" s="126"/>
      <c r="E526" s="126"/>
      <c r="F526" s="126"/>
      <c r="G526" s="126"/>
      <c r="H526" s="126"/>
      <c r="I526" s="126"/>
      <c r="J526" s="126"/>
    </row>
    <row r="527">
      <c r="A527" s="127"/>
      <c r="B527" s="126"/>
      <c r="C527" s="126"/>
      <c r="D527" s="126"/>
      <c r="E527" s="126"/>
      <c r="F527" s="126"/>
      <c r="G527" s="126"/>
      <c r="H527" s="126"/>
      <c r="I527" s="126"/>
      <c r="J527" s="126"/>
    </row>
    <row r="528">
      <c r="A528" s="127"/>
      <c r="B528" s="126"/>
      <c r="C528" s="126"/>
      <c r="D528" s="126"/>
      <c r="E528" s="126"/>
      <c r="F528" s="126"/>
      <c r="G528" s="126"/>
      <c r="H528" s="126"/>
      <c r="I528" s="126"/>
      <c r="J528" s="126"/>
    </row>
    <row r="529">
      <c r="A529" s="127"/>
      <c r="B529" s="126"/>
      <c r="C529" s="126"/>
      <c r="D529" s="126"/>
      <c r="E529" s="126"/>
      <c r="F529" s="126"/>
      <c r="G529" s="126"/>
      <c r="H529" s="126"/>
      <c r="I529" s="126"/>
      <c r="J529" s="126"/>
    </row>
    <row r="530">
      <c r="A530" s="127"/>
      <c r="B530" s="126"/>
      <c r="C530" s="126"/>
      <c r="D530" s="126"/>
      <c r="E530" s="126"/>
      <c r="F530" s="126"/>
      <c r="G530" s="126"/>
      <c r="H530" s="126"/>
      <c r="I530" s="126"/>
      <c r="J530" s="126"/>
    </row>
    <row r="531">
      <c r="A531" s="127"/>
      <c r="B531" s="126"/>
      <c r="C531" s="126"/>
      <c r="D531" s="126"/>
      <c r="E531" s="126"/>
      <c r="F531" s="126"/>
      <c r="G531" s="126"/>
      <c r="H531" s="126"/>
      <c r="I531" s="126"/>
      <c r="J531" s="126"/>
    </row>
    <row r="532">
      <c r="A532" s="127"/>
      <c r="B532" s="126"/>
      <c r="C532" s="126"/>
      <c r="D532" s="126"/>
      <c r="E532" s="126"/>
      <c r="F532" s="126"/>
      <c r="G532" s="126"/>
      <c r="H532" s="126"/>
      <c r="I532" s="126"/>
      <c r="J532" s="126"/>
    </row>
    <row r="533">
      <c r="A533" s="127"/>
      <c r="B533" s="126"/>
      <c r="C533" s="126"/>
      <c r="D533" s="126"/>
      <c r="E533" s="126"/>
      <c r="F533" s="126"/>
      <c r="G533" s="126"/>
      <c r="H533" s="126"/>
      <c r="I533" s="126"/>
      <c r="J533" s="126"/>
    </row>
    <row r="534">
      <c r="A534" s="127"/>
      <c r="B534" s="126"/>
      <c r="C534" s="126"/>
      <c r="D534" s="126"/>
      <c r="E534" s="126"/>
      <c r="F534" s="126"/>
      <c r="G534" s="126"/>
      <c r="H534" s="126"/>
      <c r="I534" s="126"/>
      <c r="J534" s="126"/>
    </row>
    <row r="535">
      <c r="A535" s="127"/>
      <c r="B535" s="126"/>
      <c r="C535" s="126"/>
      <c r="D535" s="126"/>
      <c r="E535" s="126"/>
      <c r="F535" s="126"/>
      <c r="G535" s="126"/>
      <c r="H535" s="126"/>
      <c r="I535" s="126"/>
      <c r="J535" s="126"/>
    </row>
    <row r="536">
      <c r="A536" s="127"/>
      <c r="B536" s="126"/>
      <c r="C536" s="126"/>
      <c r="D536" s="126"/>
      <c r="E536" s="126"/>
      <c r="F536" s="126"/>
      <c r="G536" s="126"/>
      <c r="H536" s="126"/>
      <c r="I536" s="126"/>
      <c r="J536" s="126"/>
    </row>
    <row r="537">
      <c r="A537" s="127"/>
      <c r="B537" s="126"/>
      <c r="C537" s="126"/>
      <c r="D537" s="126"/>
      <c r="E537" s="126"/>
      <c r="F537" s="126"/>
      <c r="G537" s="126"/>
      <c r="H537" s="126"/>
      <c r="I537" s="126"/>
      <c r="J537" s="126"/>
    </row>
    <row r="538">
      <c r="A538" s="127"/>
      <c r="B538" s="126"/>
      <c r="C538" s="126"/>
      <c r="D538" s="126"/>
      <c r="E538" s="126"/>
      <c r="F538" s="126"/>
      <c r="G538" s="126"/>
      <c r="H538" s="126"/>
      <c r="I538" s="126"/>
      <c r="J538" s="126"/>
    </row>
    <row r="539">
      <c r="A539" s="127"/>
      <c r="B539" s="126"/>
      <c r="C539" s="126"/>
      <c r="D539" s="126"/>
      <c r="E539" s="126"/>
      <c r="F539" s="126"/>
      <c r="G539" s="126"/>
      <c r="H539" s="126"/>
      <c r="I539" s="126"/>
      <c r="J539" s="126"/>
    </row>
    <row r="540">
      <c r="A540" s="127"/>
      <c r="B540" s="126"/>
      <c r="C540" s="126"/>
      <c r="D540" s="126"/>
      <c r="E540" s="126"/>
      <c r="F540" s="126"/>
      <c r="G540" s="126"/>
      <c r="H540" s="126"/>
      <c r="I540" s="126"/>
      <c r="J540" s="126"/>
    </row>
    <row r="541">
      <c r="A541" s="127"/>
      <c r="B541" s="126"/>
      <c r="C541" s="126"/>
      <c r="D541" s="126"/>
      <c r="E541" s="126"/>
      <c r="F541" s="126"/>
      <c r="G541" s="126"/>
      <c r="H541" s="126"/>
      <c r="I541" s="126"/>
      <c r="J541" s="126"/>
    </row>
    <row r="542">
      <c r="A542" s="127"/>
      <c r="B542" s="126"/>
      <c r="C542" s="126"/>
      <c r="D542" s="126"/>
      <c r="E542" s="126"/>
      <c r="F542" s="126"/>
      <c r="G542" s="126"/>
      <c r="H542" s="126"/>
      <c r="I542" s="126"/>
      <c r="J542" s="126"/>
    </row>
    <row r="543">
      <c r="A543" s="127"/>
      <c r="B543" s="126"/>
      <c r="C543" s="126"/>
      <c r="D543" s="126"/>
      <c r="E543" s="126"/>
      <c r="F543" s="126"/>
      <c r="G543" s="126"/>
      <c r="H543" s="126"/>
      <c r="I543" s="126"/>
      <c r="J543" s="126"/>
    </row>
    <row r="544">
      <c r="A544" s="127"/>
      <c r="B544" s="126"/>
      <c r="C544" s="126"/>
      <c r="D544" s="126"/>
      <c r="E544" s="126"/>
      <c r="F544" s="126"/>
      <c r="G544" s="126"/>
      <c r="H544" s="126"/>
      <c r="I544" s="126"/>
      <c r="J544" s="126"/>
    </row>
    <row r="545">
      <c r="A545" s="127"/>
      <c r="B545" s="126"/>
      <c r="C545" s="126"/>
      <c r="D545" s="126"/>
      <c r="E545" s="126"/>
      <c r="F545" s="126"/>
      <c r="G545" s="126"/>
      <c r="H545" s="126"/>
      <c r="I545" s="126"/>
      <c r="J545" s="126"/>
    </row>
    <row r="546">
      <c r="A546" s="127"/>
      <c r="B546" s="126"/>
      <c r="C546" s="126"/>
      <c r="D546" s="126"/>
      <c r="E546" s="126"/>
      <c r="F546" s="126"/>
      <c r="G546" s="126"/>
      <c r="H546" s="126"/>
      <c r="I546" s="126"/>
      <c r="J546" s="126"/>
    </row>
    <row r="547">
      <c r="A547" s="127"/>
      <c r="B547" s="126"/>
      <c r="C547" s="126"/>
      <c r="D547" s="126"/>
      <c r="E547" s="126"/>
      <c r="F547" s="126"/>
      <c r="G547" s="126"/>
      <c r="H547" s="126"/>
      <c r="I547" s="126"/>
      <c r="J547" s="126"/>
    </row>
    <row r="548">
      <c r="A548" s="127"/>
      <c r="B548" s="126"/>
      <c r="C548" s="126"/>
      <c r="D548" s="126"/>
      <c r="E548" s="126"/>
      <c r="F548" s="126"/>
      <c r="G548" s="126"/>
      <c r="H548" s="126"/>
      <c r="I548" s="126"/>
      <c r="J548" s="126"/>
    </row>
    <row r="549">
      <c r="A549" s="127"/>
      <c r="B549" s="126"/>
      <c r="C549" s="126"/>
      <c r="D549" s="126"/>
      <c r="E549" s="126"/>
      <c r="F549" s="126"/>
      <c r="G549" s="126"/>
      <c r="H549" s="126"/>
      <c r="I549" s="126"/>
      <c r="J549" s="126"/>
    </row>
    <row r="550">
      <c r="A550" s="127"/>
      <c r="B550" s="126"/>
      <c r="C550" s="126"/>
      <c r="D550" s="126"/>
      <c r="E550" s="126"/>
      <c r="F550" s="126"/>
      <c r="G550" s="126"/>
      <c r="H550" s="126"/>
      <c r="I550" s="126"/>
      <c r="J550" s="126"/>
    </row>
    <row r="551">
      <c r="A551" s="127"/>
      <c r="B551" s="126"/>
      <c r="C551" s="126"/>
      <c r="D551" s="126"/>
      <c r="E551" s="126"/>
      <c r="F551" s="126"/>
      <c r="G551" s="126"/>
      <c r="H551" s="126"/>
      <c r="I551" s="126"/>
      <c r="J551" s="126"/>
    </row>
    <row r="552">
      <c r="A552" s="127"/>
      <c r="B552" s="126"/>
      <c r="C552" s="126"/>
      <c r="D552" s="126"/>
      <c r="E552" s="126"/>
      <c r="F552" s="126"/>
      <c r="G552" s="126"/>
      <c r="H552" s="126"/>
      <c r="I552" s="126"/>
      <c r="J552" s="126"/>
    </row>
    <row r="553">
      <c r="A553" s="127"/>
      <c r="B553" s="126"/>
      <c r="C553" s="126"/>
      <c r="D553" s="126"/>
      <c r="E553" s="126"/>
      <c r="F553" s="126"/>
      <c r="G553" s="126"/>
      <c r="H553" s="126"/>
      <c r="I553" s="126"/>
      <c r="J553" s="126"/>
    </row>
    <row r="554">
      <c r="A554" s="127"/>
      <c r="B554" s="126"/>
      <c r="C554" s="126"/>
      <c r="D554" s="126"/>
      <c r="E554" s="126"/>
      <c r="F554" s="126"/>
      <c r="G554" s="126"/>
      <c r="H554" s="126"/>
      <c r="I554" s="126"/>
      <c r="J554" s="126"/>
    </row>
    <row r="555">
      <c r="A555" s="127"/>
      <c r="B555" s="126"/>
      <c r="C555" s="126"/>
      <c r="D555" s="126"/>
      <c r="E555" s="126"/>
      <c r="F555" s="126"/>
      <c r="G555" s="126"/>
      <c r="H555" s="126"/>
      <c r="I555" s="126"/>
      <c r="J555" s="126"/>
    </row>
    <row r="556">
      <c r="A556" s="127"/>
      <c r="B556" s="126"/>
      <c r="C556" s="126"/>
      <c r="D556" s="126"/>
      <c r="E556" s="126"/>
      <c r="F556" s="126"/>
      <c r="G556" s="126"/>
      <c r="H556" s="126"/>
      <c r="I556" s="126"/>
      <c r="J556" s="126"/>
    </row>
    <row r="557">
      <c r="A557" s="127"/>
      <c r="B557" s="126"/>
      <c r="C557" s="126"/>
      <c r="D557" s="126"/>
      <c r="E557" s="126"/>
      <c r="F557" s="126"/>
      <c r="G557" s="126"/>
      <c r="H557" s="126"/>
      <c r="I557" s="126"/>
      <c r="J557" s="126"/>
    </row>
    <row r="558">
      <c r="A558" s="127"/>
      <c r="B558" s="126"/>
      <c r="C558" s="126"/>
      <c r="D558" s="126"/>
      <c r="E558" s="126"/>
      <c r="F558" s="126"/>
      <c r="G558" s="126"/>
      <c r="H558" s="126"/>
      <c r="I558" s="126"/>
      <c r="J558" s="126"/>
    </row>
    <row r="559">
      <c r="A559" s="127"/>
      <c r="B559" s="126"/>
      <c r="C559" s="126"/>
      <c r="D559" s="126"/>
      <c r="E559" s="126"/>
      <c r="F559" s="126"/>
      <c r="G559" s="126"/>
      <c r="H559" s="126"/>
      <c r="I559" s="126"/>
      <c r="J559" s="126"/>
    </row>
    <row r="560">
      <c r="A560" s="127"/>
      <c r="B560" s="126"/>
      <c r="C560" s="126"/>
      <c r="D560" s="126"/>
      <c r="E560" s="126"/>
      <c r="F560" s="126"/>
      <c r="G560" s="126"/>
      <c r="H560" s="126"/>
      <c r="I560" s="126"/>
      <c r="J560" s="126"/>
    </row>
    <row r="561">
      <c r="A561" s="127"/>
      <c r="B561" s="126"/>
      <c r="C561" s="126"/>
      <c r="D561" s="126"/>
      <c r="E561" s="126"/>
      <c r="F561" s="126"/>
      <c r="G561" s="126"/>
      <c r="H561" s="126"/>
      <c r="I561" s="126"/>
      <c r="J561" s="126"/>
    </row>
    <row r="562">
      <c r="A562" s="127"/>
      <c r="B562" s="126"/>
      <c r="C562" s="126"/>
      <c r="D562" s="126"/>
      <c r="E562" s="126"/>
      <c r="F562" s="126"/>
      <c r="G562" s="126"/>
      <c r="H562" s="126"/>
      <c r="I562" s="126"/>
      <c r="J562" s="126"/>
    </row>
    <row r="563">
      <c r="A563" s="127"/>
      <c r="B563" s="126"/>
      <c r="C563" s="126"/>
      <c r="D563" s="126"/>
      <c r="E563" s="126"/>
      <c r="F563" s="126"/>
      <c r="G563" s="126"/>
      <c r="H563" s="126"/>
      <c r="I563" s="126"/>
      <c r="J563" s="126"/>
    </row>
    <row r="564">
      <c r="A564" s="127"/>
      <c r="B564" s="126"/>
      <c r="C564" s="126"/>
      <c r="D564" s="126"/>
      <c r="E564" s="126"/>
      <c r="F564" s="126"/>
      <c r="G564" s="126"/>
      <c r="H564" s="126"/>
      <c r="I564" s="126"/>
      <c r="J564" s="126"/>
    </row>
    <row r="565">
      <c r="A565" s="127"/>
      <c r="B565" s="126"/>
      <c r="C565" s="126"/>
      <c r="D565" s="126"/>
      <c r="E565" s="126"/>
      <c r="F565" s="126"/>
      <c r="G565" s="126"/>
      <c r="H565" s="126"/>
      <c r="I565" s="126"/>
      <c r="J565" s="126"/>
    </row>
    <row r="566">
      <c r="A566" s="127"/>
      <c r="B566" s="126"/>
      <c r="C566" s="126"/>
      <c r="D566" s="126"/>
      <c r="E566" s="126"/>
      <c r="F566" s="126"/>
      <c r="G566" s="126"/>
      <c r="H566" s="126"/>
      <c r="I566" s="126"/>
      <c r="J566" s="126"/>
    </row>
    <row r="567">
      <c r="A567" s="127"/>
      <c r="B567" s="126"/>
      <c r="C567" s="126"/>
      <c r="D567" s="126"/>
      <c r="E567" s="126"/>
      <c r="F567" s="126"/>
      <c r="G567" s="126"/>
      <c r="H567" s="126"/>
      <c r="I567" s="126"/>
      <c r="J567" s="126"/>
    </row>
    <row r="568">
      <c r="A568" s="127"/>
      <c r="B568" s="126"/>
      <c r="C568" s="126"/>
      <c r="D568" s="126"/>
      <c r="E568" s="126"/>
      <c r="F568" s="126"/>
      <c r="G568" s="126"/>
      <c r="H568" s="126"/>
      <c r="I568" s="126"/>
      <c r="J568" s="126"/>
    </row>
    <row r="569">
      <c r="A569" s="127"/>
      <c r="B569" s="126"/>
      <c r="C569" s="126"/>
      <c r="D569" s="126"/>
      <c r="E569" s="126"/>
      <c r="F569" s="126"/>
      <c r="G569" s="126"/>
      <c r="H569" s="126"/>
      <c r="I569" s="126"/>
      <c r="J569" s="126"/>
    </row>
    <row r="570">
      <c r="A570" s="127"/>
      <c r="B570" s="126"/>
      <c r="C570" s="126"/>
      <c r="D570" s="126"/>
      <c r="E570" s="126"/>
      <c r="F570" s="126"/>
      <c r="G570" s="126"/>
      <c r="H570" s="126"/>
      <c r="I570" s="126"/>
      <c r="J570" s="126"/>
    </row>
    <row r="571">
      <c r="A571" s="127"/>
      <c r="B571" s="126"/>
      <c r="C571" s="126"/>
      <c r="D571" s="126"/>
      <c r="E571" s="126"/>
      <c r="F571" s="126"/>
      <c r="G571" s="126"/>
      <c r="H571" s="126"/>
      <c r="I571" s="126"/>
      <c r="J571" s="126"/>
    </row>
    <row r="572">
      <c r="A572" s="127"/>
      <c r="B572" s="126"/>
      <c r="C572" s="126"/>
      <c r="D572" s="126"/>
      <c r="E572" s="126"/>
      <c r="F572" s="126"/>
      <c r="G572" s="126"/>
      <c r="H572" s="126"/>
      <c r="I572" s="126"/>
      <c r="J572" s="126"/>
    </row>
    <row r="573">
      <c r="A573" s="127"/>
      <c r="B573" s="126"/>
      <c r="C573" s="126"/>
      <c r="D573" s="126"/>
      <c r="E573" s="126"/>
      <c r="F573" s="126"/>
      <c r="G573" s="126"/>
      <c r="H573" s="126"/>
      <c r="I573" s="126"/>
      <c r="J573" s="126"/>
    </row>
    <row r="574">
      <c r="A574" s="127"/>
      <c r="B574" s="126"/>
      <c r="C574" s="126"/>
      <c r="D574" s="126"/>
      <c r="E574" s="126"/>
      <c r="F574" s="126"/>
      <c r="G574" s="126"/>
      <c r="H574" s="126"/>
      <c r="I574" s="126"/>
      <c r="J574" s="126"/>
    </row>
    <row r="575">
      <c r="A575" s="127"/>
      <c r="B575" s="126"/>
      <c r="C575" s="126"/>
      <c r="D575" s="126"/>
      <c r="E575" s="126"/>
      <c r="F575" s="126"/>
      <c r="G575" s="126"/>
      <c r="H575" s="126"/>
      <c r="I575" s="126"/>
      <c r="J575" s="126"/>
    </row>
    <row r="576">
      <c r="A576" s="127"/>
      <c r="B576" s="126"/>
      <c r="C576" s="126"/>
      <c r="D576" s="126"/>
      <c r="E576" s="126"/>
      <c r="F576" s="126"/>
      <c r="G576" s="126"/>
      <c r="H576" s="126"/>
      <c r="I576" s="126"/>
      <c r="J576" s="126"/>
    </row>
    <row r="577">
      <c r="A577" s="127"/>
      <c r="B577" s="126"/>
      <c r="C577" s="126"/>
      <c r="D577" s="126"/>
      <c r="E577" s="126"/>
      <c r="F577" s="126"/>
      <c r="G577" s="126"/>
      <c r="H577" s="126"/>
      <c r="I577" s="126"/>
      <c r="J577" s="126"/>
    </row>
    <row r="578">
      <c r="A578" s="127"/>
      <c r="B578" s="126"/>
      <c r="C578" s="126"/>
      <c r="D578" s="126"/>
      <c r="E578" s="126"/>
      <c r="F578" s="126"/>
      <c r="G578" s="126"/>
      <c r="H578" s="126"/>
      <c r="I578" s="126"/>
      <c r="J578" s="126"/>
    </row>
    <row r="579">
      <c r="A579" s="127"/>
      <c r="B579" s="126"/>
      <c r="C579" s="126"/>
      <c r="D579" s="126"/>
      <c r="E579" s="126"/>
      <c r="F579" s="126"/>
      <c r="G579" s="126"/>
      <c r="H579" s="126"/>
      <c r="I579" s="126"/>
      <c r="J579" s="126"/>
    </row>
    <row r="580">
      <c r="A580" s="127"/>
      <c r="B580" s="126"/>
      <c r="C580" s="126"/>
      <c r="D580" s="126"/>
      <c r="E580" s="126"/>
      <c r="F580" s="126"/>
      <c r="G580" s="126"/>
      <c r="H580" s="126"/>
      <c r="I580" s="126"/>
      <c r="J580" s="126"/>
    </row>
    <row r="581">
      <c r="A581" s="127"/>
      <c r="B581" s="126"/>
      <c r="C581" s="126"/>
      <c r="D581" s="126"/>
      <c r="E581" s="126"/>
      <c r="F581" s="126"/>
      <c r="G581" s="126"/>
      <c r="H581" s="126"/>
      <c r="I581" s="126"/>
      <c r="J581" s="126"/>
    </row>
    <row r="582">
      <c r="A582" s="127"/>
      <c r="B582" s="126"/>
      <c r="C582" s="126"/>
      <c r="D582" s="126"/>
      <c r="E582" s="126"/>
      <c r="F582" s="126"/>
      <c r="G582" s="126"/>
      <c r="H582" s="126"/>
      <c r="I582" s="126"/>
      <c r="J582" s="126"/>
    </row>
    <row r="583">
      <c r="A583" s="127"/>
      <c r="B583" s="126"/>
      <c r="C583" s="126"/>
      <c r="D583" s="126"/>
      <c r="E583" s="126"/>
      <c r="F583" s="126"/>
      <c r="G583" s="126"/>
      <c r="H583" s="126"/>
      <c r="I583" s="126"/>
      <c r="J583" s="126"/>
    </row>
    <row r="584">
      <c r="A584" s="127"/>
      <c r="B584" s="126"/>
      <c r="C584" s="126"/>
      <c r="D584" s="126"/>
      <c r="E584" s="126"/>
      <c r="F584" s="126"/>
      <c r="G584" s="126"/>
      <c r="H584" s="126"/>
      <c r="I584" s="126"/>
      <c r="J584" s="126"/>
    </row>
    <row r="585">
      <c r="A585" s="127"/>
      <c r="B585" s="126"/>
      <c r="C585" s="126"/>
      <c r="D585" s="126"/>
      <c r="E585" s="126"/>
      <c r="F585" s="126"/>
      <c r="G585" s="126"/>
      <c r="H585" s="126"/>
      <c r="I585" s="126"/>
      <c r="J585" s="126"/>
    </row>
    <row r="586">
      <c r="A586" s="127"/>
      <c r="B586" s="126"/>
      <c r="C586" s="126"/>
      <c r="D586" s="126"/>
      <c r="E586" s="126"/>
      <c r="F586" s="126"/>
      <c r="G586" s="126"/>
      <c r="H586" s="126"/>
      <c r="I586" s="126"/>
      <c r="J586" s="126"/>
    </row>
    <row r="587">
      <c r="A587" s="127"/>
      <c r="B587" s="126"/>
      <c r="C587" s="126"/>
      <c r="D587" s="126"/>
      <c r="E587" s="126"/>
      <c r="F587" s="126"/>
      <c r="G587" s="126"/>
      <c r="H587" s="126"/>
      <c r="I587" s="126"/>
      <c r="J587" s="126"/>
    </row>
    <row r="588">
      <c r="A588" s="127"/>
      <c r="B588" s="126"/>
      <c r="C588" s="126"/>
      <c r="D588" s="126"/>
      <c r="E588" s="126"/>
      <c r="F588" s="126"/>
      <c r="G588" s="126"/>
      <c r="H588" s="126"/>
      <c r="I588" s="126"/>
      <c r="J588" s="126"/>
    </row>
    <row r="589">
      <c r="A589" s="127"/>
      <c r="B589" s="126"/>
      <c r="C589" s="126"/>
      <c r="D589" s="126"/>
      <c r="E589" s="126"/>
      <c r="F589" s="126"/>
      <c r="G589" s="126"/>
      <c r="H589" s="126"/>
      <c r="I589" s="126"/>
      <c r="J589" s="126"/>
    </row>
    <row r="590">
      <c r="A590" s="127"/>
      <c r="B590" s="126"/>
      <c r="C590" s="126"/>
      <c r="D590" s="126"/>
      <c r="E590" s="126"/>
      <c r="F590" s="126"/>
      <c r="G590" s="126"/>
      <c r="H590" s="126"/>
      <c r="I590" s="126"/>
      <c r="J590" s="126"/>
    </row>
    <row r="591">
      <c r="A591" s="127"/>
      <c r="B591" s="126"/>
      <c r="C591" s="126"/>
      <c r="D591" s="126"/>
      <c r="E591" s="126"/>
      <c r="F591" s="126"/>
      <c r="G591" s="126"/>
      <c r="H591" s="126"/>
      <c r="I591" s="126"/>
      <c r="J591" s="126"/>
    </row>
    <row r="592">
      <c r="A592" s="127"/>
      <c r="B592" s="126"/>
      <c r="C592" s="126"/>
      <c r="D592" s="126"/>
      <c r="E592" s="126"/>
      <c r="F592" s="126"/>
      <c r="G592" s="126"/>
      <c r="H592" s="126"/>
      <c r="I592" s="126"/>
      <c r="J592" s="126"/>
    </row>
    <row r="593">
      <c r="A593" s="127"/>
      <c r="B593" s="126"/>
      <c r="C593" s="126"/>
      <c r="D593" s="126"/>
      <c r="E593" s="126"/>
      <c r="F593" s="126"/>
      <c r="G593" s="126"/>
      <c r="H593" s="126"/>
      <c r="I593" s="126"/>
      <c r="J593" s="126"/>
    </row>
    <row r="594">
      <c r="A594" s="127"/>
      <c r="B594" s="126"/>
      <c r="C594" s="126"/>
      <c r="D594" s="126"/>
      <c r="E594" s="126"/>
      <c r="F594" s="126"/>
      <c r="G594" s="126"/>
      <c r="H594" s="126"/>
      <c r="I594" s="126"/>
      <c r="J594" s="126"/>
    </row>
    <row r="595">
      <c r="A595" s="127"/>
      <c r="B595" s="126"/>
      <c r="C595" s="126"/>
      <c r="D595" s="126"/>
      <c r="E595" s="126"/>
      <c r="F595" s="126"/>
      <c r="G595" s="126"/>
      <c r="H595" s="126"/>
      <c r="I595" s="126"/>
      <c r="J595" s="126"/>
    </row>
    <row r="596">
      <c r="A596" s="127"/>
      <c r="B596" s="126"/>
      <c r="C596" s="126"/>
      <c r="D596" s="126"/>
      <c r="E596" s="126"/>
      <c r="F596" s="126"/>
      <c r="G596" s="126"/>
      <c r="H596" s="126"/>
      <c r="I596" s="126"/>
      <c r="J596" s="126"/>
    </row>
    <row r="597">
      <c r="A597" s="127"/>
      <c r="B597" s="126"/>
      <c r="C597" s="126"/>
      <c r="D597" s="126"/>
      <c r="E597" s="126"/>
      <c r="F597" s="126"/>
      <c r="G597" s="126"/>
      <c r="H597" s="126"/>
      <c r="I597" s="126"/>
      <c r="J597" s="126"/>
    </row>
    <row r="598">
      <c r="A598" s="127"/>
      <c r="B598" s="126"/>
      <c r="C598" s="126"/>
      <c r="D598" s="126"/>
      <c r="E598" s="126"/>
      <c r="F598" s="126"/>
      <c r="G598" s="126"/>
      <c r="H598" s="126"/>
      <c r="I598" s="126"/>
      <c r="J598" s="126"/>
    </row>
    <row r="599">
      <c r="A599" s="127"/>
      <c r="B599" s="126"/>
      <c r="C599" s="126"/>
      <c r="D599" s="126"/>
      <c r="E599" s="126"/>
      <c r="F599" s="126"/>
      <c r="G599" s="126"/>
      <c r="H599" s="126"/>
      <c r="I599" s="126"/>
      <c r="J599" s="126"/>
    </row>
    <row r="600">
      <c r="A600" s="127"/>
      <c r="B600" s="126"/>
      <c r="C600" s="126"/>
      <c r="D600" s="126"/>
      <c r="E600" s="126"/>
      <c r="F600" s="126"/>
      <c r="G600" s="126"/>
      <c r="H600" s="126"/>
      <c r="I600" s="126"/>
      <c r="J600" s="126"/>
    </row>
    <row r="601">
      <c r="A601" s="127"/>
      <c r="B601" s="126"/>
      <c r="C601" s="126"/>
      <c r="D601" s="126"/>
      <c r="E601" s="126"/>
      <c r="F601" s="126"/>
      <c r="G601" s="126"/>
      <c r="H601" s="126"/>
      <c r="I601" s="126"/>
      <c r="J601" s="126"/>
    </row>
    <row r="602">
      <c r="A602" s="127"/>
      <c r="B602" s="126"/>
      <c r="C602" s="126"/>
      <c r="D602" s="126"/>
      <c r="E602" s="126"/>
      <c r="F602" s="126"/>
      <c r="G602" s="126"/>
      <c r="H602" s="126"/>
      <c r="I602" s="126"/>
      <c r="J602" s="126"/>
    </row>
    <row r="603">
      <c r="A603" s="127"/>
      <c r="B603" s="126"/>
      <c r="C603" s="126"/>
      <c r="D603" s="126"/>
      <c r="E603" s="126"/>
      <c r="F603" s="126"/>
      <c r="G603" s="126"/>
      <c r="H603" s="126"/>
      <c r="I603" s="126"/>
      <c r="J603" s="126"/>
    </row>
    <row r="604">
      <c r="A604" s="127"/>
      <c r="B604" s="126"/>
      <c r="C604" s="126"/>
      <c r="D604" s="126"/>
      <c r="E604" s="126"/>
      <c r="F604" s="126"/>
      <c r="G604" s="126"/>
      <c r="H604" s="126"/>
      <c r="I604" s="126"/>
      <c r="J604" s="126"/>
    </row>
    <row r="605">
      <c r="A605" s="127"/>
      <c r="B605" s="126"/>
      <c r="C605" s="126"/>
      <c r="D605" s="126"/>
      <c r="E605" s="126"/>
      <c r="F605" s="126"/>
      <c r="G605" s="126"/>
      <c r="H605" s="126"/>
      <c r="I605" s="126"/>
      <c r="J605" s="126"/>
    </row>
    <row r="606">
      <c r="A606" s="127"/>
      <c r="B606" s="126"/>
      <c r="C606" s="126"/>
      <c r="D606" s="126"/>
      <c r="E606" s="126"/>
      <c r="F606" s="126"/>
      <c r="G606" s="126"/>
      <c r="H606" s="126"/>
      <c r="I606" s="126"/>
      <c r="J606" s="126"/>
    </row>
    <row r="607">
      <c r="A607" s="127"/>
      <c r="B607" s="126"/>
      <c r="C607" s="126"/>
      <c r="D607" s="126"/>
      <c r="E607" s="126"/>
      <c r="F607" s="126"/>
      <c r="G607" s="126"/>
      <c r="H607" s="126"/>
      <c r="I607" s="126"/>
      <c r="J607" s="126"/>
    </row>
    <row r="608">
      <c r="A608" s="127"/>
      <c r="B608" s="126"/>
      <c r="C608" s="126"/>
      <c r="D608" s="126"/>
      <c r="E608" s="126"/>
      <c r="F608" s="126"/>
      <c r="G608" s="126"/>
      <c r="H608" s="126"/>
      <c r="I608" s="126"/>
      <c r="J608" s="126"/>
    </row>
    <row r="609">
      <c r="A609" s="127"/>
      <c r="B609" s="126"/>
      <c r="C609" s="126"/>
      <c r="D609" s="126"/>
      <c r="E609" s="126"/>
      <c r="F609" s="126"/>
      <c r="G609" s="126"/>
      <c r="H609" s="126"/>
      <c r="I609" s="126"/>
      <c r="J609" s="126"/>
    </row>
    <row r="610">
      <c r="A610" s="127"/>
      <c r="B610" s="126"/>
      <c r="C610" s="126"/>
      <c r="D610" s="126"/>
      <c r="E610" s="126"/>
      <c r="F610" s="126"/>
      <c r="G610" s="126"/>
      <c r="H610" s="126"/>
      <c r="I610" s="126"/>
      <c r="J610" s="126"/>
    </row>
    <row r="611">
      <c r="A611" s="127"/>
      <c r="B611" s="126"/>
      <c r="C611" s="126"/>
      <c r="D611" s="126"/>
      <c r="E611" s="126"/>
      <c r="F611" s="126"/>
      <c r="G611" s="126"/>
      <c r="H611" s="126"/>
      <c r="I611" s="126"/>
      <c r="J611" s="126"/>
    </row>
    <row r="612">
      <c r="A612" s="127"/>
      <c r="B612" s="126"/>
      <c r="C612" s="126"/>
      <c r="D612" s="126"/>
      <c r="E612" s="126"/>
      <c r="F612" s="126"/>
      <c r="G612" s="126"/>
      <c r="H612" s="126"/>
      <c r="I612" s="126"/>
      <c r="J612" s="126"/>
    </row>
    <row r="613">
      <c r="A613" s="127"/>
      <c r="B613" s="126"/>
      <c r="C613" s="126"/>
      <c r="D613" s="126"/>
      <c r="E613" s="126"/>
      <c r="F613" s="126"/>
      <c r="G613" s="126"/>
      <c r="H613" s="126"/>
      <c r="I613" s="126"/>
      <c r="J613" s="126"/>
    </row>
    <row r="614">
      <c r="A614" s="127"/>
      <c r="B614" s="126"/>
      <c r="C614" s="126"/>
      <c r="D614" s="126"/>
      <c r="E614" s="126"/>
      <c r="F614" s="126"/>
      <c r="G614" s="126"/>
      <c r="H614" s="126"/>
      <c r="I614" s="126"/>
      <c r="J614" s="126"/>
    </row>
    <row r="615">
      <c r="A615" s="127"/>
      <c r="B615" s="126"/>
      <c r="C615" s="126"/>
      <c r="D615" s="126"/>
      <c r="E615" s="126"/>
      <c r="F615" s="126"/>
      <c r="G615" s="126"/>
      <c r="H615" s="126"/>
      <c r="I615" s="126"/>
      <c r="J615" s="126"/>
    </row>
    <row r="616">
      <c r="A616" s="127"/>
      <c r="B616" s="126"/>
      <c r="C616" s="126"/>
      <c r="D616" s="126"/>
      <c r="E616" s="126"/>
      <c r="F616" s="126"/>
      <c r="G616" s="126"/>
      <c r="H616" s="126"/>
      <c r="I616" s="126"/>
      <c r="J616" s="126"/>
    </row>
    <row r="617">
      <c r="A617" s="127"/>
      <c r="B617" s="126"/>
      <c r="C617" s="126"/>
      <c r="D617" s="126"/>
      <c r="E617" s="126"/>
      <c r="F617" s="126"/>
      <c r="G617" s="126"/>
      <c r="H617" s="126"/>
      <c r="I617" s="126"/>
      <c r="J617" s="126"/>
    </row>
    <row r="618">
      <c r="A618" s="127"/>
      <c r="B618" s="126"/>
      <c r="C618" s="126"/>
      <c r="D618" s="126"/>
      <c r="E618" s="126"/>
      <c r="F618" s="126"/>
      <c r="G618" s="126"/>
      <c r="H618" s="126"/>
      <c r="I618" s="126"/>
      <c r="J618" s="126"/>
    </row>
    <row r="619">
      <c r="A619" s="127"/>
      <c r="B619" s="126"/>
      <c r="C619" s="126"/>
      <c r="D619" s="126"/>
      <c r="E619" s="126"/>
      <c r="F619" s="126"/>
      <c r="G619" s="126"/>
      <c r="H619" s="126"/>
      <c r="I619" s="126"/>
      <c r="J619" s="126"/>
    </row>
    <row r="620">
      <c r="A620" s="127"/>
      <c r="B620" s="126"/>
      <c r="C620" s="126"/>
      <c r="D620" s="126"/>
      <c r="E620" s="126"/>
      <c r="F620" s="126"/>
      <c r="G620" s="126"/>
      <c r="H620" s="126"/>
      <c r="I620" s="126"/>
      <c r="J620" s="126"/>
    </row>
    <row r="621">
      <c r="A621" s="127"/>
      <c r="B621" s="126"/>
      <c r="C621" s="126"/>
      <c r="D621" s="126"/>
      <c r="E621" s="126"/>
      <c r="F621" s="126"/>
      <c r="G621" s="126"/>
      <c r="H621" s="126"/>
      <c r="I621" s="126"/>
      <c r="J621" s="126"/>
    </row>
    <row r="622">
      <c r="A622" s="127"/>
      <c r="B622" s="126"/>
      <c r="C622" s="126"/>
      <c r="D622" s="126"/>
      <c r="E622" s="126"/>
      <c r="F622" s="126"/>
      <c r="G622" s="126"/>
      <c r="H622" s="126"/>
      <c r="I622" s="126"/>
      <c r="J622" s="126"/>
    </row>
    <row r="623">
      <c r="A623" s="127"/>
      <c r="B623" s="126"/>
      <c r="C623" s="126"/>
      <c r="D623" s="126"/>
      <c r="E623" s="126"/>
      <c r="F623" s="126"/>
      <c r="G623" s="126"/>
      <c r="H623" s="126"/>
      <c r="I623" s="126"/>
      <c r="J623" s="126"/>
    </row>
    <row r="624">
      <c r="A624" s="127"/>
      <c r="B624" s="126"/>
      <c r="C624" s="126"/>
      <c r="D624" s="126"/>
      <c r="E624" s="126"/>
      <c r="F624" s="126"/>
      <c r="G624" s="126"/>
      <c r="H624" s="126"/>
      <c r="I624" s="126"/>
      <c r="J624" s="126"/>
    </row>
    <row r="625">
      <c r="A625" s="127"/>
      <c r="B625" s="126"/>
      <c r="C625" s="126"/>
      <c r="D625" s="126"/>
      <c r="E625" s="126"/>
      <c r="F625" s="126"/>
      <c r="G625" s="126"/>
      <c r="H625" s="126"/>
      <c r="I625" s="126"/>
      <c r="J625" s="126"/>
    </row>
    <row r="626">
      <c r="A626" s="127"/>
      <c r="B626" s="126"/>
      <c r="C626" s="126"/>
      <c r="D626" s="126"/>
      <c r="E626" s="126"/>
      <c r="F626" s="126"/>
      <c r="G626" s="126"/>
      <c r="H626" s="126"/>
      <c r="I626" s="126"/>
      <c r="J626" s="126"/>
    </row>
    <row r="627">
      <c r="A627" s="127"/>
      <c r="B627" s="126"/>
      <c r="C627" s="126"/>
      <c r="D627" s="126"/>
      <c r="E627" s="126"/>
      <c r="F627" s="126"/>
      <c r="G627" s="126"/>
      <c r="H627" s="126"/>
      <c r="I627" s="126"/>
      <c r="J627" s="126"/>
    </row>
    <row r="628">
      <c r="A628" s="127"/>
      <c r="B628" s="126"/>
      <c r="C628" s="126"/>
      <c r="D628" s="126"/>
      <c r="E628" s="126"/>
      <c r="F628" s="126"/>
      <c r="G628" s="126"/>
      <c r="H628" s="126"/>
      <c r="I628" s="126"/>
      <c r="J628" s="126"/>
    </row>
    <row r="629">
      <c r="A629" s="127"/>
      <c r="B629" s="126"/>
      <c r="C629" s="126"/>
      <c r="D629" s="126"/>
      <c r="E629" s="126"/>
      <c r="F629" s="126"/>
      <c r="G629" s="126"/>
      <c r="H629" s="126"/>
      <c r="I629" s="126"/>
      <c r="J629" s="126"/>
    </row>
    <row r="630">
      <c r="A630" s="127"/>
      <c r="B630" s="126"/>
      <c r="C630" s="126"/>
      <c r="D630" s="126"/>
      <c r="E630" s="126"/>
      <c r="F630" s="126"/>
      <c r="G630" s="126"/>
      <c r="H630" s="126"/>
      <c r="I630" s="126"/>
      <c r="J630" s="126"/>
    </row>
    <row r="631">
      <c r="A631" s="127"/>
      <c r="B631" s="126"/>
      <c r="C631" s="126"/>
      <c r="D631" s="126"/>
      <c r="E631" s="126"/>
      <c r="F631" s="126"/>
      <c r="G631" s="126"/>
      <c r="H631" s="126"/>
      <c r="I631" s="126"/>
      <c r="J631" s="126"/>
    </row>
    <row r="632">
      <c r="A632" s="127"/>
      <c r="B632" s="126"/>
      <c r="C632" s="126"/>
      <c r="D632" s="126"/>
      <c r="E632" s="126"/>
      <c r="F632" s="126"/>
      <c r="G632" s="126"/>
      <c r="H632" s="126"/>
      <c r="I632" s="126"/>
      <c r="J632" s="126"/>
    </row>
    <row r="633">
      <c r="A633" s="127"/>
      <c r="B633" s="126"/>
      <c r="C633" s="126"/>
      <c r="D633" s="126"/>
      <c r="E633" s="126"/>
      <c r="F633" s="126"/>
      <c r="G633" s="126"/>
      <c r="H633" s="126"/>
      <c r="I633" s="126"/>
      <c r="J633" s="126"/>
    </row>
    <row r="634">
      <c r="A634" s="127"/>
      <c r="B634" s="126"/>
      <c r="C634" s="126"/>
      <c r="D634" s="126"/>
      <c r="E634" s="126"/>
      <c r="F634" s="126"/>
      <c r="G634" s="126"/>
      <c r="H634" s="126"/>
      <c r="I634" s="126"/>
      <c r="J634" s="126"/>
    </row>
    <row r="635">
      <c r="A635" s="127"/>
      <c r="B635" s="126"/>
      <c r="C635" s="126"/>
      <c r="D635" s="126"/>
      <c r="E635" s="126"/>
      <c r="F635" s="126"/>
      <c r="G635" s="126"/>
      <c r="H635" s="126"/>
      <c r="I635" s="126"/>
      <c r="J635" s="126"/>
    </row>
    <row r="636">
      <c r="A636" s="127"/>
      <c r="B636" s="126"/>
      <c r="C636" s="126"/>
      <c r="D636" s="126"/>
      <c r="E636" s="126"/>
      <c r="F636" s="126"/>
      <c r="G636" s="126"/>
      <c r="H636" s="126"/>
      <c r="I636" s="126"/>
      <c r="J636" s="126"/>
    </row>
    <row r="637">
      <c r="A637" s="127"/>
      <c r="B637" s="126"/>
      <c r="C637" s="126"/>
      <c r="D637" s="126"/>
      <c r="E637" s="126"/>
      <c r="F637" s="126"/>
      <c r="G637" s="126"/>
      <c r="H637" s="126"/>
      <c r="I637" s="126"/>
      <c r="J637" s="126"/>
    </row>
    <row r="638">
      <c r="A638" s="127"/>
      <c r="B638" s="126"/>
      <c r="C638" s="126"/>
      <c r="D638" s="126"/>
      <c r="E638" s="126"/>
      <c r="F638" s="126"/>
      <c r="G638" s="126"/>
      <c r="H638" s="126"/>
      <c r="I638" s="126"/>
      <c r="J638" s="126"/>
    </row>
    <row r="639">
      <c r="A639" s="127"/>
      <c r="B639" s="126"/>
      <c r="C639" s="126"/>
      <c r="D639" s="126"/>
      <c r="E639" s="126"/>
      <c r="F639" s="126"/>
      <c r="G639" s="126"/>
      <c r="H639" s="126"/>
      <c r="I639" s="126"/>
      <c r="J639" s="126"/>
    </row>
    <row r="640">
      <c r="A640" s="127"/>
      <c r="B640" s="126"/>
      <c r="C640" s="126"/>
      <c r="D640" s="126"/>
      <c r="E640" s="126"/>
      <c r="F640" s="126"/>
      <c r="G640" s="126"/>
      <c r="H640" s="126"/>
      <c r="I640" s="126"/>
      <c r="J640" s="126"/>
    </row>
    <row r="641">
      <c r="A641" s="127"/>
      <c r="B641" s="126"/>
      <c r="C641" s="126"/>
      <c r="D641" s="126"/>
      <c r="E641" s="126"/>
      <c r="F641" s="126"/>
      <c r="G641" s="126"/>
      <c r="H641" s="126"/>
      <c r="I641" s="126"/>
      <c r="J641" s="126"/>
    </row>
    <row r="642">
      <c r="A642" s="127"/>
      <c r="B642" s="126"/>
      <c r="C642" s="126"/>
      <c r="D642" s="126"/>
      <c r="E642" s="126"/>
      <c r="F642" s="126"/>
      <c r="G642" s="126"/>
      <c r="H642" s="126"/>
      <c r="I642" s="126"/>
      <c r="J642" s="126"/>
    </row>
    <row r="643">
      <c r="A643" s="127"/>
      <c r="B643" s="126"/>
      <c r="C643" s="126"/>
      <c r="D643" s="126"/>
      <c r="E643" s="126"/>
      <c r="F643" s="126"/>
      <c r="G643" s="126"/>
      <c r="H643" s="126"/>
      <c r="I643" s="126"/>
      <c r="J643" s="126"/>
    </row>
    <row r="644">
      <c r="A644" s="127"/>
      <c r="B644" s="126"/>
      <c r="C644" s="126"/>
      <c r="D644" s="126"/>
      <c r="E644" s="126"/>
      <c r="F644" s="126"/>
      <c r="G644" s="126"/>
      <c r="H644" s="126"/>
      <c r="I644" s="126"/>
      <c r="J644" s="126"/>
    </row>
    <row r="645">
      <c r="A645" s="127"/>
      <c r="B645" s="126"/>
      <c r="C645" s="126"/>
      <c r="D645" s="126"/>
      <c r="E645" s="126"/>
      <c r="F645" s="126"/>
      <c r="G645" s="126"/>
      <c r="H645" s="126"/>
      <c r="I645" s="126"/>
      <c r="J645" s="126"/>
    </row>
    <row r="646">
      <c r="A646" s="127"/>
      <c r="B646" s="126"/>
      <c r="C646" s="126"/>
      <c r="D646" s="126"/>
      <c r="E646" s="126"/>
      <c r="F646" s="126"/>
      <c r="G646" s="126"/>
      <c r="H646" s="126"/>
      <c r="I646" s="126"/>
      <c r="J646" s="126"/>
    </row>
    <row r="647">
      <c r="A647" s="127"/>
      <c r="B647" s="126"/>
      <c r="C647" s="126"/>
      <c r="D647" s="126"/>
      <c r="E647" s="126"/>
      <c r="F647" s="126"/>
      <c r="G647" s="126"/>
      <c r="H647" s="126"/>
      <c r="I647" s="126"/>
      <c r="J647" s="126"/>
    </row>
    <row r="648">
      <c r="A648" s="127"/>
      <c r="B648" s="126"/>
      <c r="C648" s="126"/>
      <c r="D648" s="126"/>
      <c r="E648" s="126"/>
      <c r="F648" s="126"/>
      <c r="G648" s="126"/>
      <c r="H648" s="126"/>
      <c r="I648" s="126"/>
      <c r="J648" s="126"/>
    </row>
    <row r="649">
      <c r="A649" s="127"/>
      <c r="B649" s="126"/>
      <c r="C649" s="126"/>
      <c r="D649" s="126"/>
      <c r="E649" s="126"/>
      <c r="F649" s="126"/>
      <c r="G649" s="126"/>
      <c r="H649" s="126"/>
      <c r="I649" s="126"/>
      <c r="J649" s="126"/>
    </row>
    <row r="650">
      <c r="A650" s="127"/>
      <c r="B650" s="126"/>
      <c r="C650" s="126"/>
      <c r="D650" s="126"/>
      <c r="E650" s="126"/>
      <c r="F650" s="126"/>
      <c r="G650" s="126"/>
      <c r="H650" s="126"/>
      <c r="I650" s="126"/>
      <c r="J650" s="126"/>
    </row>
    <row r="651">
      <c r="A651" s="127"/>
      <c r="B651" s="126"/>
      <c r="C651" s="126"/>
      <c r="D651" s="126"/>
      <c r="E651" s="126"/>
      <c r="F651" s="126"/>
      <c r="G651" s="126"/>
      <c r="H651" s="126"/>
      <c r="I651" s="126"/>
      <c r="J651" s="126"/>
    </row>
    <row r="652">
      <c r="A652" s="127"/>
      <c r="B652" s="126"/>
      <c r="C652" s="126"/>
      <c r="D652" s="126"/>
      <c r="E652" s="126"/>
      <c r="F652" s="126"/>
      <c r="G652" s="126"/>
      <c r="H652" s="126"/>
      <c r="I652" s="126"/>
      <c r="J652" s="126"/>
    </row>
    <row r="653">
      <c r="A653" s="127"/>
      <c r="B653" s="126"/>
      <c r="C653" s="126"/>
      <c r="D653" s="126"/>
      <c r="E653" s="126"/>
      <c r="F653" s="126"/>
      <c r="G653" s="126"/>
      <c r="H653" s="126"/>
      <c r="I653" s="126"/>
      <c r="J653" s="126"/>
    </row>
    <row r="654">
      <c r="A654" s="127"/>
      <c r="B654" s="126"/>
      <c r="C654" s="126"/>
      <c r="D654" s="126"/>
      <c r="E654" s="126"/>
      <c r="F654" s="126"/>
      <c r="G654" s="126"/>
      <c r="H654" s="126"/>
      <c r="I654" s="126"/>
      <c r="J654" s="126"/>
    </row>
    <row r="655">
      <c r="A655" s="127"/>
      <c r="B655" s="126"/>
      <c r="C655" s="126"/>
      <c r="D655" s="126"/>
      <c r="E655" s="126"/>
      <c r="F655" s="126"/>
      <c r="G655" s="126"/>
      <c r="H655" s="126"/>
      <c r="I655" s="126"/>
      <c r="J655" s="126"/>
    </row>
    <row r="656">
      <c r="A656" s="127"/>
      <c r="B656" s="126"/>
      <c r="C656" s="126"/>
      <c r="D656" s="126"/>
      <c r="E656" s="126"/>
      <c r="F656" s="126"/>
      <c r="G656" s="126"/>
      <c r="H656" s="126"/>
      <c r="I656" s="126"/>
      <c r="J656" s="126"/>
    </row>
    <row r="657">
      <c r="A657" s="127"/>
      <c r="B657" s="126"/>
      <c r="C657" s="126"/>
      <c r="D657" s="126"/>
      <c r="E657" s="126"/>
      <c r="F657" s="126"/>
      <c r="G657" s="126"/>
      <c r="H657" s="126"/>
      <c r="I657" s="126"/>
      <c r="J657" s="126"/>
    </row>
    <row r="658">
      <c r="A658" s="127"/>
      <c r="B658" s="126"/>
      <c r="C658" s="126"/>
      <c r="D658" s="126"/>
      <c r="E658" s="126"/>
      <c r="F658" s="126"/>
      <c r="G658" s="126"/>
      <c r="H658" s="126"/>
      <c r="I658" s="126"/>
      <c r="J658" s="126"/>
    </row>
    <row r="659">
      <c r="A659" s="127"/>
      <c r="B659" s="126"/>
      <c r="C659" s="126"/>
      <c r="D659" s="126"/>
      <c r="E659" s="126"/>
      <c r="F659" s="126"/>
      <c r="G659" s="126"/>
      <c r="H659" s="126"/>
      <c r="I659" s="126"/>
      <c r="J659" s="126"/>
    </row>
    <row r="660">
      <c r="A660" s="127"/>
      <c r="B660" s="126"/>
      <c r="C660" s="126"/>
      <c r="D660" s="126"/>
      <c r="E660" s="126"/>
      <c r="F660" s="126"/>
      <c r="G660" s="126"/>
      <c r="H660" s="126"/>
      <c r="I660" s="126"/>
      <c r="J660" s="126"/>
    </row>
    <row r="661">
      <c r="A661" s="127"/>
      <c r="B661" s="126"/>
      <c r="C661" s="126"/>
      <c r="D661" s="126"/>
      <c r="E661" s="126"/>
      <c r="F661" s="126"/>
      <c r="G661" s="126"/>
      <c r="H661" s="126"/>
      <c r="I661" s="126"/>
      <c r="J661" s="126"/>
    </row>
    <row r="662">
      <c r="A662" s="127"/>
      <c r="B662" s="126"/>
      <c r="C662" s="126"/>
      <c r="D662" s="126"/>
      <c r="E662" s="126"/>
      <c r="F662" s="126"/>
      <c r="G662" s="126"/>
      <c r="H662" s="126"/>
      <c r="I662" s="126"/>
      <c r="J662" s="126"/>
    </row>
    <row r="663">
      <c r="A663" s="127"/>
      <c r="B663" s="126"/>
      <c r="C663" s="126"/>
      <c r="D663" s="126"/>
      <c r="E663" s="126"/>
      <c r="F663" s="126"/>
      <c r="G663" s="126"/>
      <c r="H663" s="126"/>
      <c r="I663" s="126"/>
      <c r="J663" s="126"/>
    </row>
    <row r="664">
      <c r="A664" s="127"/>
      <c r="B664" s="126"/>
      <c r="C664" s="126"/>
      <c r="D664" s="126"/>
      <c r="E664" s="126"/>
      <c r="F664" s="126"/>
      <c r="G664" s="126"/>
      <c r="H664" s="126"/>
      <c r="I664" s="126"/>
      <c r="J664" s="126"/>
    </row>
    <row r="665">
      <c r="A665" s="127"/>
      <c r="B665" s="126"/>
      <c r="C665" s="126"/>
      <c r="D665" s="126"/>
      <c r="E665" s="126"/>
      <c r="F665" s="126"/>
      <c r="G665" s="126"/>
      <c r="H665" s="126"/>
      <c r="I665" s="126"/>
      <c r="J665" s="126"/>
    </row>
    <row r="666">
      <c r="A666" s="127"/>
      <c r="B666" s="126"/>
      <c r="C666" s="126"/>
      <c r="D666" s="126"/>
      <c r="E666" s="126"/>
      <c r="F666" s="126"/>
      <c r="G666" s="126"/>
      <c r="H666" s="126"/>
      <c r="I666" s="126"/>
      <c r="J666" s="126"/>
    </row>
    <row r="667">
      <c r="A667" s="127"/>
      <c r="B667" s="126"/>
      <c r="C667" s="126"/>
      <c r="D667" s="126"/>
      <c r="E667" s="126"/>
      <c r="F667" s="126"/>
      <c r="G667" s="126"/>
      <c r="H667" s="126"/>
      <c r="I667" s="126"/>
      <c r="J667" s="126"/>
    </row>
    <row r="668">
      <c r="A668" s="127"/>
      <c r="B668" s="126"/>
      <c r="C668" s="126"/>
      <c r="D668" s="126"/>
      <c r="E668" s="126"/>
      <c r="F668" s="126"/>
      <c r="G668" s="126"/>
      <c r="H668" s="126"/>
      <c r="I668" s="126"/>
      <c r="J668" s="126"/>
    </row>
    <row r="669">
      <c r="A669" s="127"/>
      <c r="B669" s="126"/>
      <c r="C669" s="126"/>
      <c r="D669" s="126"/>
      <c r="E669" s="126"/>
      <c r="F669" s="126"/>
      <c r="G669" s="126"/>
      <c r="H669" s="126"/>
      <c r="I669" s="126"/>
      <c r="J669" s="126"/>
    </row>
    <row r="670">
      <c r="A670" s="127"/>
      <c r="B670" s="126"/>
      <c r="C670" s="126"/>
      <c r="D670" s="126"/>
      <c r="E670" s="126"/>
      <c r="F670" s="126"/>
      <c r="G670" s="126"/>
      <c r="H670" s="126"/>
      <c r="I670" s="126"/>
      <c r="J670" s="126"/>
    </row>
    <row r="671">
      <c r="A671" s="127"/>
      <c r="B671" s="126"/>
      <c r="C671" s="126"/>
      <c r="D671" s="126"/>
      <c r="E671" s="126"/>
      <c r="F671" s="126"/>
      <c r="G671" s="126"/>
      <c r="H671" s="126"/>
      <c r="I671" s="126"/>
      <c r="J671" s="126"/>
    </row>
    <row r="672">
      <c r="A672" s="127"/>
      <c r="B672" s="126"/>
      <c r="C672" s="126"/>
      <c r="D672" s="126"/>
      <c r="E672" s="126"/>
      <c r="F672" s="126"/>
      <c r="G672" s="126"/>
      <c r="H672" s="126"/>
      <c r="I672" s="126"/>
      <c r="J672" s="126"/>
    </row>
    <row r="673">
      <c r="A673" s="127"/>
      <c r="B673" s="126"/>
      <c r="C673" s="126"/>
      <c r="D673" s="126"/>
      <c r="E673" s="126"/>
      <c r="F673" s="126"/>
      <c r="G673" s="126"/>
      <c r="H673" s="126"/>
      <c r="I673" s="126"/>
      <c r="J673" s="126"/>
    </row>
    <row r="674">
      <c r="A674" s="127"/>
      <c r="B674" s="126"/>
      <c r="C674" s="126"/>
      <c r="D674" s="126"/>
      <c r="E674" s="126"/>
      <c r="F674" s="126"/>
      <c r="G674" s="126"/>
      <c r="H674" s="126"/>
      <c r="I674" s="126"/>
      <c r="J674" s="126"/>
    </row>
    <row r="675">
      <c r="A675" s="127"/>
      <c r="B675" s="126"/>
      <c r="C675" s="126"/>
      <c r="D675" s="126"/>
      <c r="E675" s="126"/>
      <c r="F675" s="126"/>
      <c r="G675" s="126"/>
      <c r="H675" s="126"/>
      <c r="I675" s="126"/>
      <c r="J675" s="126"/>
    </row>
    <row r="676">
      <c r="A676" s="127"/>
      <c r="B676" s="126"/>
      <c r="C676" s="126"/>
      <c r="D676" s="126"/>
      <c r="E676" s="126"/>
      <c r="F676" s="126"/>
      <c r="G676" s="126"/>
      <c r="H676" s="126"/>
      <c r="I676" s="126"/>
      <c r="J676" s="126"/>
    </row>
    <row r="677">
      <c r="A677" s="127"/>
      <c r="B677" s="126"/>
      <c r="C677" s="126"/>
      <c r="D677" s="126"/>
      <c r="E677" s="126"/>
      <c r="F677" s="126"/>
      <c r="G677" s="126"/>
      <c r="H677" s="126"/>
      <c r="I677" s="126"/>
      <c r="J677" s="126"/>
    </row>
    <row r="678">
      <c r="A678" s="127"/>
      <c r="B678" s="126"/>
      <c r="C678" s="126"/>
      <c r="D678" s="126"/>
      <c r="E678" s="126"/>
      <c r="F678" s="126"/>
      <c r="G678" s="126"/>
      <c r="H678" s="126"/>
      <c r="I678" s="126"/>
      <c r="J678" s="126"/>
    </row>
    <row r="679">
      <c r="A679" s="127"/>
      <c r="B679" s="126"/>
      <c r="C679" s="126"/>
      <c r="D679" s="126"/>
      <c r="E679" s="126"/>
      <c r="F679" s="126"/>
      <c r="G679" s="126"/>
      <c r="H679" s="126"/>
      <c r="I679" s="126"/>
      <c r="J679" s="126"/>
    </row>
    <row r="680">
      <c r="A680" s="127"/>
      <c r="B680" s="126"/>
      <c r="C680" s="126"/>
      <c r="D680" s="126"/>
      <c r="E680" s="126"/>
      <c r="F680" s="126"/>
      <c r="G680" s="126"/>
      <c r="H680" s="126"/>
      <c r="I680" s="126"/>
      <c r="J680" s="126"/>
    </row>
    <row r="681">
      <c r="A681" s="127"/>
      <c r="B681" s="126"/>
      <c r="C681" s="126"/>
      <c r="D681" s="126"/>
      <c r="E681" s="126"/>
      <c r="F681" s="126"/>
      <c r="G681" s="126"/>
      <c r="H681" s="126"/>
      <c r="I681" s="126"/>
      <c r="J681" s="126"/>
    </row>
    <row r="682">
      <c r="A682" s="127"/>
      <c r="B682" s="126"/>
      <c r="C682" s="126"/>
      <c r="D682" s="126"/>
      <c r="E682" s="126"/>
      <c r="F682" s="126"/>
      <c r="G682" s="126"/>
      <c r="H682" s="126"/>
      <c r="I682" s="126"/>
      <c r="J682" s="126"/>
    </row>
    <row r="683">
      <c r="A683" s="127"/>
      <c r="B683" s="126"/>
      <c r="C683" s="126"/>
      <c r="D683" s="126"/>
      <c r="E683" s="126"/>
      <c r="F683" s="126"/>
      <c r="G683" s="126"/>
      <c r="H683" s="126"/>
      <c r="I683" s="126"/>
      <c r="J683" s="126"/>
    </row>
    <row r="684">
      <c r="A684" s="127"/>
      <c r="B684" s="126"/>
      <c r="C684" s="126"/>
      <c r="D684" s="126"/>
      <c r="E684" s="126"/>
      <c r="F684" s="126"/>
      <c r="G684" s="126"/>
      <c r="H684" s="126"/>
      <c r="I684" s="126"/>
      <c r="J684" s="126"/>
    </row>
    <row r="685">
      <c r="A685" s="127"/>
      <c r="B685" s="126"/>
      <c r="C685" s="126"/>
      <c r="D685" s="126"/>
      <c r="E685" s="126"/>
      <c r="F685" s="126"/>
      <c r="G685" s="126"/>
      <c r="H685" s="126"/>
      <c r="I685" s="126"/>
      <c r="J685" s="126"/>
    </row>
    <row r="686">
      <c r="A686" s="127"/>
      <c r="B686" s="126"/>
      <c r="C686" s="126"/>
      <c r="D686" s="126"/>
      <c r="E686" s="126"/>
      <c r="F686" s="126"/>
      <c r="G686" s="126"/>
      <c r="H686" s="126"/>
      <c r="I686" s="126"/>
      <c r="J686" s="126"/>
    </row>
    <row r="687">
      <c r="A687" s="127"/>
      <c r="B687" s="126"/>
      <c r="C687" s="126"/>
      <c r="D687" s="126"/>
      <c r="E687" s="126"/>
      <c r="F687" s="126"/>
      <c r="G687" s="126"/>
      <c r="H687" s="126"/>
      <c r="I687" s="126"/>
      <c r="J687" s="126"/>
    </row>
    <row r="688">
      <c r="A688" s="127"/>
      <c r="B688" s="126"/>
      <c r="C688" s="126"/>
      <c r="D688" s="126"/>
      <c r="E688" s="126"/>
      <c r="F688" s="126"/>
      <c r="G688" s="126"/>
      <c r="H688" s="126"/>
      <c r="I688" s="126"/>
      <c r="J688" s="126"/>
    </row>
    <row r="689">
      <c r="A689" s="127"/>
      <c r="B689" s="126"/>
      <c r="C689" s="126"/>
      <c r="D689" s="126"/>
      <c r="E689" s="126"/>
      <c r="F689" s="126"/>
      <c r="G689" s="126"/>
      <c r="H689" s="126"/>
      <c r="I689" s="126"/>
      <c r="J689" s="126"/>
    </row>
    <row r="690">
      <c r="A690" s="127"/>
      <c r="B690" s="126"/>
      <c r="C690" s="126"/>
      <c r="D690" s="126"/>
      <c r="E690" s="126"/>
      <c r="F690" s="126"/>
      <c r="G690" s="126"/>
      <c r="H690" s="126"/>
      <c r="I690" s="126"/>
      <c r="J690" s="126"/>
    </row>
    <row r="691">
      <c r="A691" s="127"/>
      <c r="B691" s="126"/>
      <c r="C691" s="126"/>
      <c r="D691" s="126"/>
      <c r="E691" s="126"/>
      <c r="F691" s="126"/>
      <c r="G691" s="126"/>
      <c r="H691" s="126"/>
      <c r="I691" s="126"/>
      <c r="J691" s="126"/>
    </row>
    <row r="692">
      <c r="A692" s="127"/>
      <c r="B692" s="126"/>
      <c r="C692" s="126"/>
      <c r="D692" s="126"/>
      <c r="E692" s="126"/>
      <c r="F692" s="126"/>
      <c r="G692" s="126"/>
      <c r="H692" s="126"/>
      <c r="I692" s="126"/>
      <c r="J692" s="126"/>
    </row>
    <row r="693">
      <c r="A693" s="127"/>
      <c r="B693" s="126"/>
      <c r="C693" s="126"/>
      <c r="D693" s="126"/>
      <c r="E693" s="126"/>
      <c r="F693" s="126"/>
      <c r="G693" s="126"/>
      <c r="H693" s="126"/>
      <c r="I693" s="126"/>
      <c r="J693" s="126"/>
    </row>
    <row r="694">
      <c r="A694" s="127"/>
      <c r="B694" s="126"/>
      <c r="C694" s="126"/>
      <c r="D694" s="126"/>
      <c r="E694" s="126"/>
      <c r="F694" s="126"/>
      <c r="G694" s="126"/>
      <c r="H694" s="126"/>
      <c r="I694" s="126"/>
      <c r="J694" s="126"/>
    </row>
    <row r="695">
      <c r="A695" s="127"/>
      <c r="B695" s="126"/>
      <c r="C695" s="126"/>
      <c r="D695" s="126"/>
      <c r="E695" s="126"/>
      <c r="F695" s="126"/>
      <c r="G695" s="126"/>
      <c r="H695" s="126"/>
      <c r="I695" s="126"/>
      <c r="J695" s="126"/>
    </row>
    <row r="696">
      <c r="A696" s="127"/>
      <c r="B696" s="126"/>
      <c r="C696" s="126"/>
      <c r="D696" s="126"/>
      <c r="E696" s="126"/>
      <c r="F696" s="126"/>
      <c r="G696" s="126"/>
      <c r="H696" s="126"/>
      <c r="I696" s="126"/>
      <c r="J696" s="126"/>
    </row>
    <row r="697">
      <c r="A697" s="127"/>
      <c r="B697" s="126"/>
      <c r="C697" s="126"/>
      <c r="D697" s="126"/>
      <c r="E697" s="126"/>
      <c r="F697" s="126"/>
      <c r="G697" s="126"/>
      <c r="H697" s="126"/>
      <c r="I697" s="126"/>
      <c r="J697" s="126"/>
    </row>
    <row r="698">
      <c r="A698" s="127"/>
      <c r="B698" s="126"/>
      <c r="C698" s="126"/>
      <c r="D698" s="126"/>
      <c r="E698" s="126"/>
      <c r="F698" s="126"/>
      <c r="G698" s="126"/>
      <c r="H698" s="126"/>
      <c r="I698" s="126"/>
      <c r="J698" s="126"/>
    </row>
    <row r="699">
      <c r="A699" s="127"/>
      <c r="B699" s="126"/>
      <c r="C699" s="126"/>
      <c r="D699" s="126"/>
      <c r="E699" s="126"/>
      <c r="F699" s="126"/>
      <c r="G699" s="126"/>
      <c r="H699" s="126"/>
      <c r="I699" s="126"/>
      <c r="J699" s="126"/>
    </row>
    <row r="700">
      <c r="A700" s="127"/>
      <c r="B700" s="126"/>
      <c r="C700" s="126"/>
      <c r="D700" s="126"/>
      <c r="E700" s="126"/>
      <c r="F700" s="126"/>
      <c r="G700" s="126"/>
      <c r="H700" s="126"/>
      <c r="I700" s="126"/>
      <c r="J700" s="126"/>
    </row>
    <row r="701">
      <c r="A701" s="127"/>
      <c r="B701" s="126"/>
      <c r="C701" s="126"/>
      <c r="D701" s="126"/>
      <c r="E701" s="126"/>
      <c r="F701" s="126"/>
      <c r="G701" s="126"/>
      <c r="H701" s="126"/>
      <c r="I701" s="126"/>
      <c r="J701" s="126"/>
    </row>
    <row r="702">
      <c r="A702" s="127"/>
      <c r="B702" s="126"/>
      <c r="C702" s="126"/>
      <c r="D702" s="126"/>
      <c r="E702" s="126"/>
      <c r="F702" s="126"/>
      <c r="G702" s="126"/>
      <c r="H702" s="126"/>
      <c r="I702" s="126"/>
      <c r="J702" s="126"/>
    </row>
    <row r="703">
      <c r="A703" s="127"/>
      <c r="B703" s="126"/>
      <c r="C703" s="126"/>
      <c r="D703" s="126"/>
      <c r="E703" s="126"/>
      <c r="F703" s="126"/>
      <c r="G703" s="126"/>
      <c r="H703" s="126"/>
      <c r="I703" s="126"/>
      <c r="J703" s="126"/>
    </row>
    <row r="704">
      <c r="A704" s="127"/>
      <c r="B704" s="126"/>
      <c r="C704" s="126"/>
      <c r="D704" s="126"/>
      <c r="E704" s="126"/>
      <c r="F704" s="126"/>
      <c r="G704" s="126"/>
      <c r="H704" s="126"/>
      <c r="I704" s="126"/>
      <c r="J704" s="126"/>
    </row>
    <row r="705">
      <c r="A705" s="127"/>
      <c r="B705" s="126"/>
      <c r="C705" s="126"/>
      <c r="D705" s="126"/>
      <c r="E705" s="126"/>
      <c r="F705" s="126"/>
      <c r="G705" s="126"/>
      <c r="H705" s="126"/>
      <c r="I705" s="126"/>
      <c r="J705" s="126"/>
    </row>
    <row r="706">
      <c r="A706" s="127"/>
      <c r="B706" s="126"/>
      <c r="C706" s="126"/>
      <c r="D706" s="126"/>
      <c r="E706" s="126"/>
      <c r="F706" s="126"/>
      <c r="G706" s="126"/>
      <c r="H706" s="126"/>
      <c r="I706" s="126"/>
      <c r="J706" s="126"/>
    </row>
    <row r="707">
      <c r="A707" s="127"/>
      <c r="B707" s="126"/>
      <c r="C707" s="126"/>
      <c r="D707" s="126"/>
      <c r="E707" s="126"/>
      <c r="F707" s="126"/>
      <c r="G707" s="126"/>
      <c r="H707" s="126"/>
      <c r="I707" s="126"/>
      <c r="J707" s="126"/>
    </row>
    <row r="708">
      <c r="A708" s="127"/>
      <c r="B708" s="126"/>
      <c r="C708" s="126"/>
      <c r="D708" s="126"/>
      <c r="E708" s="126"/>
      <c r="F708" s="126"/>
      <c r="G708" s="126"/>
      <c r="H708" s="126"/>
      <c r="I708" s="126"/>
      <c r="J708" s="126"/>
    </row>
    <row r="709">
      <c r="A709" s="127"/>
      <c r="B709" s="126"/>
      <c r="C709" s="126"/>
      <c r="D709" s="126"/>
      <c r="E709" s="126"/>
      <c r="F709" s="126"/>
      <c r="G709" s="126"/>
      <c r="H709" s="126"/>
      <c r="I709" s="126"/>
      <c r="J709" s="126"/>
    </row>
    <row r="710">
      <c r="A710" s="127"/>
      <c r="B710" s="126"/>
      <c r="C710" s="126"/>
      <c r="D710" s="126"/>
      <c r="E710" s="126"/>
      <c r="F710" s="126"/>
      <c r="G710" s="126"/>
      <c r="H710" s="126"/>
      <c r="I710" s="126"/>
      <c r="J710" s="126"/>
    </row>
    <row r="711">
      <c r="A711" s="127"/>
      <c r="B711" s="126"/>
      <c r="C711" s="126"/>
      <c r="D711" s="126"/>
      <c r="E711" s="126"/>
      <c r="F711" s="126"/>
      <c r="G711" s="126"/>
      <c r="H711" s="126"/>
      <c r="I711" s="126"/>
      <c r="J711" s="126"/>
    </row>
    <row r="712">
      <c r="A712" s="127"/>
      <c r="B712" s="126"/>
      <c r="C712" s="126"/>
      <c r="D712" s="126"/>
      <c r="E712" s="126"/>
      <c r="F712" s="126"/>
      <c r="G712" s="126"/>
      <c r="H712" s="126"/>
      <c r="I712" s="126"/>
      <c r="J712" s="126"/>
    </row>
    <row r="713">
      <c r="A713" s="127"/>
      <c r="B713" s="126"/>
      <c r="C713" s="126"/>
      <c r="D713" s="126"/>
      <c r="E713" s="126"/>
      <c r="F713" s="126"/>
      <c r="G713" s="126"/>
      <c r="H713" s="126"/>
      <c r="I713" s="126"/>
      <c r="J713" s="126"/>
    </row>
    <row r="714">
      <c r="A714" s="127"/>
      <c r="B714" s="126"/>
      <c r="C714" s="126"/>
      <c r="D714" s="126"/>
      <c r="E714" s="126"/>
      <c r="F714" s="126"/>
      <c r="G714" s="126"/>
      <c r="H714" s="126"/>
      <c r="I714" s="126"/>
      <c r="J714" s="126"/>
    </row>
    <row r="715">
      <c r="A715" s="127"/>
      <c r="B715" s="126"/>
      <c r="C715" s="126"/>
      <c r="D715" s="126"/>
      <c r="E715" s="126"/>
      <c r="F715" s="126"/>
      <c r="G715" s="126"/>
      <c r="H715" s="126"/>
      <c r="I715" s="126"/>
      <c r="J715" s="126"/>
    </row>
    <row r="716">
      <c r="A716" s="127"/>
      <c r="B716" s="126"/>
      <c r="C716" s="126"/>
      <c r="D716" s="126"/>
      <c r="E716" s="126"/>
      <c r="F716" s="126"/>
      <c r="G716" s="126"/>
      <c r="H716" s="126"/>
      <c r="I716" s="126"/>
      <c r="J716" s="126"/>
    </row>
    <row r="717">
      <c r="A717" s="127"/>
      <c r="B717" s="126"/>
      <c r="C717" s="126"/>
      <c r="D717" s="126"/>
      <c r="E717" s="126"/>
      <c r="F717" s="126"/>
      <c r="G717" s="126"/>
      <c r="H717" s="126"/>
      <c r="I717" s="126"/>
      <c r="J717" s="126"/>
    </row>
    <row r="718">
      <c r="A718" s="127"/>
      <c r="B718" s="126"/>
      <c r="C718" s="126"/>
      <c r="D718" s="126"/>
      <c r="E718" s="126"/>
      <c r="F718" s="126"/>
      <c r="G718" s="126"/>
      <c r="H718" s="126"/>
      <c r="I718" s="126"/>
      <c r="J718" s="126"/>
    </row>
    <row r="719">
      <c r="A719" s="127"/>
      <c r="B719" s="126"/>
      <c r="C719" s="126"/>
      <c r="D719" s="126"/>
      <c r="E719" s="126"/>
      <c r="F719" s="126"/>
      <c r="G719" s="126"/>
      <c r="H719" s="126"/>
      <c r="I719" s="126"/>
      <c r="J719" s="126"/>
    </row>
    <row r="720">
      <c r="A720" s="127"/>
      <c r="B720" s="126"/>
      <c r="C720" s="126"/>
      <c r="D720" s="126"/>
      <c r="E720" s="126"/>
      <c r="F720" s="126"/>
      <c r="G720" s="126"/>
      <c r="H720" s="126"/>
      <c r="I720" s="126"/>
      <c r="J720" s="126"/>
    </row>
    <row r="721">
      <c r="A721" s="127"/>
      <c r="B721" s="126"/>
      <c r="C721" s="126"/>
      <c r="D721" s="126"/>
      <c r="E721" s="126"/>
      <c r="F721" s="126"/>
      <c r="G721" s="126"/>
      <c r="H721" s="126"/>
      <c r="I721" s="126"/>
      <c r="J721" s="126"/>
    </row>
    <row r="722">
      <c r="A722" s="127"/>
      <c r="B722" s="126"/>
      <c r="C722" s="126"/>
      <c r="D722" s="126"/>
      <c r="E722" s="126"/>
      <c r="F722" s="126"/>
      <c r="G722" s="126"/>
      <c r="H722" s="126"/>
      <c r="I722" s="126"/>
      <c r="J722" s="126"/>
    </row>
    <row r="723">
      <c r="A723" s="127"/>
      <c r="B723" s="126"/>
      <c r="C723" s="126"/>
      <c r="D723" s="126"/>
      <c r="E723" s="126"/>
      <c r="F723" s="126"/>
      <c r="G723" s="126"/>
      <c r="H723" s="126"/>
      <c r="I723" s="126"/>
      <c r="J723" s="126"/>
    </row>
    <row r="724">
      <c r="A724" s="127"/>
      <c r="B724" s="126"/>
      <c r="C724" s="126"/>
      <c r="D724" s="126"/>
      <c r="E724" s="126"/>
      <c r="F724" s="126"/>
      <c r="G724" s="126"/>
      <c r="H724" s="126"/>
      <c r="I724" s="126"/>
      <c r="J724" s="126"/>
    </row>
    <row r="725">
      <c r="A725" s="127"/>
      <c r="B725" s="126"/>
      <c r="C725" s="126"/>
      <c r="D725" s="126"/>
      <c r="E725" s="126"/>
      <c r="F725" s="126"/>
      <c r="G725" s="126"/>
      <c r="H725" s="126"/>
      <c r="I725" s="126"/>
      <c r="J725" s="126"/>
    </row>
    <row r="726">
      <c r="A726" s="127"/>
      <c r="B726" s="126"/>
      <c r="C726" s="126"/>
      <c r="D726" s="126"/>
      <c r="E726" s="126"/>
      <c r="F726" s="126"/>
      <c r="G726" s="126"/>
      <c r="H726" s="126"/>
      <c r="I726" s="126"/>
      <c r="J726" s="126"/>
    </row>
    <row r="727">
      <c r="A727" s="127"/>
      <c r="B727" s="126"/>
      <c r="C727" s="126"/>
      <c r="D727" s="126"/>
      <c r="E727" s="126"/>
      <c r="F727" s="126"/>
      <c r="G727" s="126"/>
      <c r="H727" s="126"/>
      <c r="I727" s="126"/>
      <c r="J727" s="126"/>
    </row>
    <row r="728">
      <c r="A728" s="127"/>
      <c r="B728" s="126"/>
      <c r="C728" s="126"/>
      <c r="D728" s="126"/>
      <c r="E728" s="126"/>
      <c r="F728" s="126"/>
      <c r="G728" s="126"/>
      <c r="H728" s="126"/>
      <c r="I728" s="126"/>
      <c r="J728" s="126"/>
    </row>
    <row r="729">
      <c r="A729" s="127"/>
      <c r="B729" s="126"/>
      <c r="C729" s="126"/>
      <c r="D729" s="126"/>
      <c r="E729" s="126"/>
      <c r="F729" s="126"/>
      <c r="G729" s="126"/>
      <c r="H729" s="126"/>
      <c r="I729" s="126"/>
      <c r="J729" s="126"/>
    </row>
    <row r="730">
      <c r="A730" s="127"/>
      <c r="B730" s="126"/>
      <c r="C730" s="126"/>
      <c r="D730" s="126"/>
      <c r="E730" s="126"/>
      <c r="F730" s="126"/>
      <c r="G730" s="126"/>
      <c r="H730" s="126"/>
      <c r="I730" s="126"/>
      <c r="J730" s="126"/>
    </row>
    <row r="731">
      <c r="A731" s="127"/>
      <c r="B731" s="126"/>
      <c r="C731" s="126"/>
      <c r="D731" s="126"/>
      <c r="E731" s="126"/>
      <c r="F731" s="126"/>
      <c r="G731" s="126"/>
      <c r="H731" s="126"/>
      <c r="I731" s="126"/>
      <c r="J731" s="126"/>
    </row>
    <row r="732">
      <c r="A732" s="127"/>
      <c r="B732" s="126"/>
      <c r="C732" s="126"/>
      <c r="D732" s="126"/>
      <c r="E732" s="126"/>
      <c r="F732" s="126"/>
      <c r="G732" s="126"/>
      <c r="H732" s="126"/>
      <c r="I732" s="126"/>
      <c r="J732" s="126"/>
    </row>
    <row r="733">
      <c r="A733" s="127"/>
      <c r="B733" s="126"/>
      <c r="C733" s="126"/>
      <c r="D733" s="126"/>
      <c r="E733" s="126"/>
      <c r="F733" s="126"/>
      <c r="G733" s="126"/>
      <c r="H733" s="126"/>
      <c r="I733" s="126"/>
      <c r="J733" s="126"/>
    </row>
    <row r="734">
      <c r="A734" s="127"/>
      <c r="B734" s="126"/>
      <c r="C734" s="126"/>
      <c r="D734" s="126"/>
      <c r="E734" s="126"/>
      <c r="F734" s="126"/>
      <c r="G734" s="126"/>
      <c r="H734" s="126"/>
      <c r="I734" s="126"/>
      <c r="J734" s="126"/>
    </row>
    <row r="735">
      <c r="A735" s="127"/>
      <c r="B735" s="126"/>
      <c r="C735" s="126"/>
      <c r="D735" s="126"/>
      <c r="E735" s="126"/>
      <c r="F735" s="126"/>
      <c r="G735" s="126"/>
      <c r="H735" s="126"/>
      <c r="I735" s="126"/>
      <c r="J735" s="126"/>
    </row>
    <row r="736">
      <c r="A736" s="127"/>
      <c r="B736" s="126"/>
      <c r="C736" s="126"/>
      <c r="D736" s="126"/>
      <c r="E736" s="126"/>
      <c r="F736" s="126"/>
      <c r="G736" s="126"/>
      <c r="H736" s="126"/>
      <c r="I736" s="126"/>
      <c r="J736" s="126"/>
    </row>
    <row r="737">
      <c r="A737" s="127"/>
      <c r="B737" s="126"/>
      <c r="C737" s="126"/>
      <c r="D737" s="126"/>
      <c r="E737" s="126"/>
      <c r="F737" s="126"/>
      <c r="G737" s="126"/>
      <c r="H737" s="126"/>
      <c r="I737" s="126"/>
      <c r="J737" s="126"/>
    </row>
    <row r="738">
      <c r="A738" s="127"/>
      <c r="B738" s="126"/>
      <c r="C738" s="126"/>
      <c r="D738" s="126"/>
      <c r="E738" s="126"/>
      <c r="F738" s="126"/>
      <c r="G738" s="126"/>
      <c r="H738" s="126"/>
      <c r="I738" s="126"/>
      <c r="J738" s="126"/>
    </row>
    <row r="739">
      <c r="A739" s="127"/>
      <c r="B739" s="126"/>
      <c r="C739" s="126"/>
      <c r="D739" s="126"/>
      <c r="E739" s="126"/>
      <c r="F739" s="126"/>
      <c r="G739" s="126"/>
      <c r="H739" s="126"/>
      <c r="I739" s="126"/>
      <c r="J739" s="126"/>
    </row>
    <row r="740">
      <c r="A740" s="127"/>
      <c r="B740" s="126"/>
      <c r="C740" s="126"/>
      <c r="D740" s="126"/>
      <c r="E740" s="126"/>
      <c r="F740" s="126"/>
      <c r="G740" s="126"/>
      <c r="H740" s="126"/>
      <c r="I740" s="126"/>
      <c r="J740" s="126"/>
    </row>
    <row r="741">
      <c r="A741" s="127"/>
      <c r="B741" s="126"/>
      <c r="C741" s="126"/>
      <c r="D741" s="126"/>
      <c r="E741" s="126"/>
      <c r="F741" s="126"/>
      <c r="G741" s="126"/>
      <c r="H741" s="126"/>
      <c r="I741" s="126"/>
      <c r="J741" s="126"/>
    </row>
    <row r="742">
      <c r="A742" s="127"/>
      <c r="B742" s="126"/>
      <c r="C742" s="126"/>
      <c r="D742" s="126"/>
      <c r="E742" s="126"/>
      <c r="F742" s="126"/>
      <c r="G742" s="126"/>
      <c r="H742" s="126"/>
      <c r="I742" s="126"/>
      <c r="J742" s="126"/>
    </row>
    <row r="743">
      <c r="A743" s="127"/>
      <c r="B743" s="126"/>
      <c r="C743" s="126"/>
      <c r="D743" s="126"/>
      <c r="E743" s="126"/>
      <c r="F743" s="126"/>
      <c r="G743" s="126"/>
      <c r="H743" s="126"/>
      <c r="I743" s="126"/>
      <c r="J743" s="126"/>
    </row>
    <row r="744">
      <c r="A744" s="127"/>
      <c r="B744" s="126"/>
      <c r="C744" s="126"/>
      <c r="D744" s="126"/>
      <c r="E744" s="126"/>
      <c r="F744" s="126"/>
      <c r="G744" s="126"/>
      <c r="H744" s="126"/>
      <c r="I744" s="126"/>
      <c r="J744" s="126"/>
    </row>
    <row r="745">
      <c r="A745" s="127"/>
      <c r="B745" s="126"/>
      <c r="C745" s="126"/>
      <c r="D745" s="126"/>
      <c r="E745" s="126"/>
      <c r="F745" s="126"/>
      <c r="G745" s="126"/>
      <c r="H745" s="126"/>
      <c r="I745" s="126"/>
      <c r="J745" s="126"/>
    </row>
    <row r="746">
      <c r="A746" s="127"/>
      <c r="B746" s="126"/>
      <c r="C746" s="126"/>
      <c r="D746" s="126"/>
      <c r="E746" s="126"/>
      <c r="F746" s="126"/>
      <c r="G746" s="126"/>
      <c r="H746" s="126"/>
      <c r="I746" s="126"/>
      <c r="J746" s="126"/>
    </row>
    <row r="747">
      <c r="A747" s="127"/>
      <c r="B747" s="126"/>
      <c r="C747" s="126"/>
      <c r="D747" s="126"/>
      <c r="E747" s="126"/>
      <c r="F747" s="126"/>
      <c r="G747" s="126"/>
      <c r="H747" s="126"/>
      <c r="I747" s="126"/>
      <c r="J747" s="126"/>
    </row>
    <row r="748">
      <c r="A748" s="127"/>
      <c r="B748" s="126"/>
      <c r="C748" s="126"/>
      <c r="D748" s="126"/>
      <c r="E748" s="126"/>
      <c r="F748" s="126"/>
      <c r="G748" s="126"/>
      <c r="H748" s="126"/>
      <c r="I748" s="126"/>
      <c r="J748" s="126"/>
    </row>
    <row r="749">
      <c r="A749" s="127"/>
      <c r="B749" s="126"/>
      <c r="C749" s="126"/>
      <c r="D749" s="126"/>
      <c r="E749" s="126"/>
      <c r="F749" s="126"/>
      <c r="G749" s="126"/>
      <c r="H749" s="126"/>
      <c r="I749" s="126"/>
      <c r="J749" s="126"/>
    </row>
    <row r="750">
      <c r="A750" s="127"/>
      <c r="B750" s="126"/>
      <c r="C750" s="126"/>
      <c r="D750" s="126"/>
      <c r="E750" s="126"/>
      <c r="F750" s="126"/>
      <c r="G750" s="126"/>
      <c r="H750" s="126"/>
      <c r="I750" s="126"/>
      <c r="J750" s="126"/>
    </row>
    <row r="751">
      <c r="A751" s="127"/>
      <c r="B751" s="126"/>
      <c r="C751" s="126"/>
      <c r="D751" s="126"/>
      <c r="E751" s="126"/>
      <c r="F751" s="126"/>
      <c r="G751" s="126"/>
      <c r="H751" s="126"/>
      <c r="I751" s="126"/>
      <c r="J751" s="126"/>
    </row>
    <row r="752">
      <c r="A752" s="127"/>
      <c r="B752" s="126"/>
      <c r="C752" s="126"/>
      <c r="D752" s="126"/>
      <c r="E752" s="126"/>
      <c r="F752" s="126"/>
      <c r="G752" s="126"/>
      <c r="H752" s="126"/>
      <c r="I752" s="126"/>
      <c r="J752" s="126"/>
    </row>
    <row r="753">
      <c r="A753" s="127"/>
      <c r="B753" s="126"/>
      <c r="C753" s="126"/>
      <c r="D753" s="126"/>
      <c r="E753" s="126"/>
      <c r="F753" s="126"/>
      <c r="G753" s="126"/>
      <c r="H753" s="126"/>
      <c r="I753" s="126"/>
      <c r="J753" s="126"/>
    </row>
    <row r="754">
      <c r="A754" s="127"/>
      <c r="B754" s="126"/>
      <c r="C754" s="126"/>
      <c r="D754" s="126"/>
      <c r="E754" s="126"/>
      <c r="F754" s="126"/>
      <c r="G754" s="126"/>
      <c r="H754" s="126"/>
      <c r="I754" s="126"/>
      <c r="J754" s="126"/>
    </row>
    <row r="755">
      <c r="A755" s="127"/>
      <c r="B755" s="126"/>
      <c r="C755" s="126"/>
      <c r="D755" s="126"/>
      <c r="E755" s="126"/>
      <c r="F755" s="126"/>
      <c r="G755" s="126"/>
      <c r="H755" s="126"/>
      <c r="I755" s="126"/>
      <c r="J755" s="126"/>
    </row>
    <row r="756">
      <c r="A756" s="127"/>
      <c r="B756" s="126"/>
      <c r="C756" s="126"/>
      <c r="D756" s="126"/>
      <c r="E756" s="126"/>
      <c r="F756" s="126"/>
      <c r="G756" s="126"/>
      <c r="H756" s="126"/>
      <c r="I756" s="126"/>
      <c r="J756" s="126"/>
    </row>
    <row r="757">
      <c r="A757" s="127"/>
      <c r="B757" s="126"/>
      <c r="C757" s="126"/>
      <c r="D757" s="126"/>
      <c r="E757" s="126"/>
      <c r="F757" s="126"/>
      <c r="G757" s="126"/>
      <c r="H757" s="126"/>
      <c r="I757" s="126"/>
      <c r="J757" s="126"/>
    </row>
    <row r="758">
      <c r="A758" s="127"/>
      <c r="B758" s="126"/>
      <c r="C758" s="126"/>
      <c r="D758" s="126"/>
      <c r="E758" s="126"/>
      <c r="F758" s="126"/>
      <c r="G758" s="126"/>
      <c r="H758" s="126"/>
      <c r="I758" s="126"/>
      <c r="J758" s="126"/>
    </row>
    <row r="759">
      <c r="A759" s="127"/>
      <c r="B759" s="126"/>
      <c r="C759" s="126"/>
      <c r="D759" s="126"/>
      <c r="E759" s="126"/>
      <c r="F759" s="126"/>
      <c r="G759" s="126"/>
      <c r="H759" s="126"/>
      <c r="I759" s="126"/>
      <c r="J759" s="126"/>
    </row>
    <row r="760">
      <c r="A760" s="127"/>
      <c r="B760" s="126"/>
      <c r="C760" s="126"/>
      <c r="D760" s="126"/>
      <c r="E760" s="126"/>
      <c r="F760" s="126"/>
      <c r="G760" s="126"/>
      <c r="H760" s="126"/>
      <c r="I760" s="126"/>
      <c r="J760" s="126"/>
    </row>
    <row r="761">
      <c r="A761" s="127"/>
      <c r="B761" s="126"/>
      <c r="C761" s="126"/>
      <c r="D761" s="126"/>
      <c r="E761" s="126"/>
      <c r="F761" s="126"/>
      <c r="G761" s="126"/>
      <c r="H761" s="126"/>
      <c r="I761" s="126"/>
      <c r="J761" s="126"/>
    </row>
    <row r="762">
      <c r="A762" s="127"/>
      <c r="B762" s="126"/>
      <c r="C762" s="126"/>
      <c r="D762" s="126"/>
      <c r="E762" s="126"/>
      <c r="F762" s="126"/>
      <c r="G762" s="126"/>
      <c r="H762" s="126"/>
      <c r="I762" s="126"/>
      <c r="J762" s="126"/>
    </row>
    <row r="763">
      <c r="A763" s="127"/>
      <c r="B763" s="126"/>
      <c r="C763" s="126"/>
      <c r="D763" s="126"/>
      <c r="E763" s="126"/>
      <c r="F763" s="126"/>
      <c r="G763" s="126"/>
      <c r="H763" s="126"/>
      <c r="I763" s="126"/>
      <c r="J763" s="126"/>
    </row>
    <row r="764">
      <c r="A764" s="127"/>
      <c r="B764" s="126"/>
      <c r="C764" s="126"/>
      <c r="D764" s="126"/>
      <c r="E764" s="126"/>
      <c r="F764" s="126"/>
      <c r="G764" s="126"/>
      <c r="H764" s="126"/>
      <c r="I764" s="126"/>
      <c r="J764" s="126"/>
    </row>
    <row r="765">
      <c r="A765" s="127"/>
      <c r="B765" s="126"/>
      <c r="C765" s="126"/>
      <c r="D765" s="126"/>
      <c r="E765" s="126"/>
      <c r="F765" s="126"/>
      <c r="G765" s="126"/>
      <c r="H765" s="126"/>
      <c r="I765" s="126"/>
      <c r="J765" s="126"/>
    </row>
    <row r="766">
      <c r="A766" s="127"/>
      <c r="B766" s="126"/>
      <c r="C766" s="126"/>
      <c r="D766" s="126"/>
      <c r="E766" s="126"/>
      <c r="F766" s="126"/>
      <c r="G766" s="126"/>
      <c r="H766" s="126"/>
      <c r="I766" s="126"/>
      <c r="J766" s="126"/>
    </row>
    <row r="767">
      <c r="A767" s="127"/>
      <c r="B767" s="126"/>
      <c r="C767" s="126"/>
      <c r="D767" s="126"/>
      <c r="E767" s="126"/>
      <c r="F767" s="126"/>
      <c r="G767" s="126"/>
      <c r="H767" s="126"/>
      <c r="I767" s="126"/>
      <c r="J767" s="126"/>
    </row>
    <row r="768">
      <c r="A768" s="127"/>
      <c r="B768" s="126"/>
      <c r="C768" s="126"/>
      <c r="D768" s="126"/>
      <c r="E768" s="126"/>
      <c r="F768" s="126"/>
      <c r="G768" s="126"/>
      <c r="H768" s="126"/>
      <c r="I768" s="126"/>
      <c r="J768" s="126"/>
    </row>
    <row r="769">
      <c r="A769" s="127"/>
      <c r="B769" s="126"/>
      <c r="C769" s="126"/>
      <c r="D769" s="126"/>
      <c r="E769" s="126"/>
      <c r="F769" s="126"/>
      <c r="G769" s="126"/>
      <c r="H769" s="126"/>
      <c r="I769" s="126"/>
      <c r="J769" s="126"/>
    </row>
    <row r="770">
      <c r="A770" s="127"/>
      <c r="B770" s="126"/>
      <c r="C770" s="126"/>
      <c r="D770" s="126"/>
      <c r="E770" s="126"/>
      <c r="F770" s="126"/>
      <c r="G770" s="126"/>
      <c r="H770" s="126"/>
      <c r="I770" s="126"/>
      <c r="J770" s="126"/>
    </row>
    <row r="771">
      <c r="A771" s="127"/>
      <c r="B771" s="126"/>
      <c r="C771" s="126"/>
      <c r="D771" s="126"/>
      <c r="E771" s="126"/>
      <c r="F771" s="126"/>
      <c r="G771" s="126"/>
      <c r="H771" s="126"/>
      <c r="I771" s="126"/>
      <c r="J771" s="126"/>
    </row>
    <row r="772">
      <c r="A772" s="127"/>
      <c r="B772" s="126"/>
      <c r="C772" s="126"/>
      <c r="D772" s="126"/>
      <c r="E772" s="126"/>
      <c r="F772" s="126"/>
      <c r="G772" s="126"/>
      <c r="H772" s="126"/>
      <c r="I772" s="126"/>
      <c r="J772" s="126"/>
    </row>
    <row r="773">
      <c r="A773" s="127"/>
      <c r="B773" s="126"/>
      <c r="C773" s="126"/>
      <c r="D773" s="126"/>
      <c r="E773" s="126"/>
      <c r="F773" s="126"/>
      <c r="G773" s="126"/>
      <c r="H773" s="126"/>
      <c r="I773" s="126"/>
      <c r="J773" s="126"/>
    </row>
    <row r="774">
      <c r="A774" s="127"/>
      <c r="B774" s="126"/>
      <c r="C774" s="126"/>
      <c r="D774" s="126"/>
      <c r="E774" s="126"/>
      <c r="F774" s="126"/>
      <c r="G774" s="126"/>
      <c r="H774" s="126"/>
      <c r="I774" s="126"/>
      <c r="J774" s="126"/>
    </row>
    <row r="775">
      <c r="A775" s="127"/>
      <c r="B775" s="126"/>
      <c r="C775" s="126"/>
      <c r="D775" s="126"/>
      <c r="E775" s="126"/>
      <c r="F775" s="126"/>
      <c r="G775" s="126"/>
      <c r="H775" s="126"/>
      <c r="I775" s="126"/>
      <c r="J775" s="126"/>
    </row>
    <row r="776">
      <c r="A776" s="127"/>
      <c r="B776" s="126"/>
      <c r="C776" s="126"/>
      <c r="D776" s="126"/>
      <c r="E776" s="126"/>
      <c r="F776" s="126"/>
      <c r="G776" s="126"/>
      <c r="H776" s="126"/>
      <c r="I776" s="126"/>
      <c r="J776" s="126"/>
    </row>
    <row r="777">
      <c r="A777" s="127"/>
      <c r="B777" s="126"/>
      <c r="C777" s="126"/>
      <c r="D777" s="126"/>
      <c r="E777" s="126"/>
      <c r="F777" s="126"/>
      <c r="G777" s="126"/>
      <c r="H777" s="126"/>
      <c r="I777" s="126"/>
      <c r="J777" s="126"/>
    </row>
    <row r="778">
      <c r="A778" s="127"/>
      <c r="B778" s="126"/>
      <c r="C778" s="126"/>
      <c r="D778" s="126"/>
      <c r="E778" s="126"/>
      <c r="F778" s="126"/>
      <c r="G778" s="126"/>
      <c r="H778" s="126"/>
      <c r="I778" s="126"/>
      <c r="J778" s="126"/>
    </row>
    <row r="779">
      <c r="A779" s="127"/>
      <c r="B779" s="126"/>
      <c r="C779" s="126"/>
      <c r="D779" s="126"/>
      <c r="E779" s="126"/>
      <c r="F779" s="126"/>
      <c r="G779" s="126"/>
      <c r="H779" s="126"/>
      <c r="I779" s="126"/>
      <c r="J779" s="126"/>
    </row>
    <row r="780">
      <c r="A780" s="127"/>
      <c r="B780" s="126"/>
      <c r="C780" s="126"/>
      <c r="D780" s="126"/>
      <c r="E780" s="126"/>
      <c r="F780" s="126"/>
      <c r="G780" s="126"/>
      <c r="H780" s="126"/>
      <c r="I780" s="126"/>
      <c r="J780" s="126"/>
    </row>
    <row r="781">
      <c r="A781" s="127"/>
      <c r="B781" s="126"/>
      <c r="C781" s="126"/>
      <c r="D781" s="126"/>
      <c r="E781" s="126"/>
      <c r="F781" s="126"/>
      <c r="G781" s="126"/>
      <c r="H781" s="126"/>
      <c r="I781" s="126"/>
      <c r="J781" s="126"/>
    </row>
    <row r="782">
      <c r="A782" s="127"/>
      <c r="B782" s="126"/>
      <c r="C782" s="126"/>
      <c r="D782" s="126"/>
      <c r="E782" s="126"/>
      <c r="F782" s="126"/>
      <c r="G782" s="126"/>
      <c r="H782" s="126"/>
      <c r="I782" s="126"/>
      <c r="J782" s="126"/>
    </row>
    <row r="783">
      <c r="A783" s="127"/>
      <c r="B783" s="126"/>
      <c r="C783" s="126"/>
      <c r="D783" s="126"/>
      <c r="E783" s="126"/>
      <c r="F783" s="126"/>
      <c r="G783" s="126"/>
      <c r="H783" s="126"/>
      <c r="I783" s="126"/>
      <c r="J783" s="126"/>
    </row>
    <row r="784">
      <c r="A784" s="127"/>
      <c r="B784" s="126"/>
      <c r="C784" s="126"/>
      <c r="D784" s="126"/>
      <c r="E784" s="126"/>
      <c r="F784" s="126"/>
      <c r="G784" s="126"/>
      <c r="H784" s="126"/>
      <c r="I784" s="126"/>
      <c r="J784" s="126"/>
    </row>
    <row r="785">
      <c r="A785" s="127"/>
      <c r="B785" s="126"/>
      <c r="C785" s="126"/>
      <c r="D785" s="126"/>
      <c r="E785" s="126"/>
      <c r="F785" s="126"/>
      <c r="G785" s="126"/>
      <c r="H785" s="126"/>
      <c r="I785" s="126"/>
      <c r="J785" s="126"/>
    </row>
    <row r="786">
      <c r="A786" s="127"/>
      <c r="B786" s="126"/>
      <c r="C786" s="126"/>
      <c r="D786" s="126"/>
      <c r="E786" s="126"/>
      <c r="F786" s="126"/>
      <c r="G786" s="126"/>
      <c r="H786" s="126"/>
      <c r="I786" s="126"/>
      <c r="J786" s="126"/>
    </row>
    <row r="787">
      <c r="A787" s="127"/>
      <c r="B787" s="126"/>
      <c r="C787" s="126"/>
      <c r="D787" s="126"/>
      <c r="E787" s="126"/>
      <c r="F787" s="126"/>
      <c r="G787" s="126"/>
      <c r="H787" s="126"/>
      <c r="I787" s="126"/>
      <c r="J787" s="126"/>
    </row>
    <row r="788">
      <c r="A788" s="127"/>
      <c r="B788" s="126"/>
      <c r="C788" s="126"/>
      <c r="D788" s="126"/>
      <c r="E788" s="126"/>
      <c r="F788" s="126"/>
      <c r="G788" s="126"/>
      <c r="H788" s="126"/>
      <c r="I788" s="126"/>
      <c r="J788" s="126"/>
    </row>
    <row r="789">
      <c r="A789" s="127"/>
      <c r="B789" s="126"/>
      <c r="C789" s="126"/>
      <c r="D789" s="126"/>
      <c r="E789" s="126"/>
      <c r="F789" s="126"/>
      <c r="G789" s="126"/>
      <c r="H789" s="126"/>
      <c r="I789" s="126"/>
      <c r="J789" s="126"/>
    </row>
    <row r="790">
      <c r="A790" s="127"/>
      <c r="B790" s="126"/>
      <c r="C790" s="126"/>
      <c r="D790" s="126"/>
      <c r="E790" s="126"/>
      <c r="F790" s="126"/>
      <c r="G790" s="126"/>
      <c r="H790" s="126"/>
      <c r="I790" s="126"/>
      <c r="J790" s="126"/>
    </row>
    <row r="791">
      <c r="A791" s="127"/>
      <c r="B791" s="126"/>
      <c r="C791" s="126"/>
      <c r="D791" s="126"/>
      <c r="E791" s="126"/>
      <c r="F791" s="126"/>
      <c r="G791" s="126"/>
      <c r="H791" s="126"/>
      <c r="I791" s="126"/>
      <c r="J791" s="126"/>
    </row>
    <row r="792">
      <c r="A792" s="127"/>
      <c r="B792" s="126"/>
      <c r="C792" s="126"/>
      <c r="D792" s="126"/>
      <c r="E792" s="126"/>
      <c r="F792" s="126"/>
      <c r="G792" s="126"/>
      <c r="H792" s="126"/>
      <c r="I792" s="126"/>
      <c r="J792" s="126"/>
    </row>
    <row r="793">
      <c r="A793" s="127"/>
      <c r="B793" s="126"/>
      <c r="C793" s="126"/>
      <c r="D793" s="126"/>
      <c r="E793" s="126"/>
      <c r="F793" s="126"/>
      <c r="G793" s="126"/>
      <c r="H793" s="126"/>
      <c r="I793" s="126"/>
      <c r="J793" s="126"/>
    </row>
    <row r="794">
      <c r="A794" s="127"/>
      <c r="B794" s="126"/>
      <c r="C794" s="126"/>
      <c r="D794" s="126"/>
      <c r="E794" s="126"/>
      <c r="F794" s="126"/>
      <c r="G794" s="126"/>
      <c r="H794" s="126"/>
      <c r="I794" s="126"/>
      <c r="J794" s="126"/>
    </row>
    <row r="795">
      <c r="A795" s="127"/>
      <c r="B795" s="126"/>
      <c r="C795" s="126"/>
      <c r="D795" s="126"/>
      <c r="E795" s="126"/>
      <c r="F795" s="126"/>
      <c r="G795" s="126"/>
      <c r="H795" s="126"/>
      <c r="I795" s="126"/>
      <c r="J795" s="126"/>
    </row>
    <row r="796">
      <c r="A796" s="127"/>
      <c r="B796" s="126"/>
      <c r="C796" s="126"/>
      <c r="D796" s="126"/>
      <c r="E796" s="126"/>
      <c r="F796" s="126"/>
      <c r="G796" s="126"/>
      <c r="H796" s="126"/>
      <c r="I796" s="126"/>
      <c r="J796" s="126"/>
    </row>
    <row r="797">
      <c r="A797" s="127"/>
      <c r="B797" s="126"/>
      <c r="C797" s="126"/>
      <c r="D797" s="126"/>
      <c r="E797" s="126"/>
      <c r="F797" s="126"/>
      <c r="G797" s="126"/>
      <c r="H797" s="126"/>
      <c r="I797" s="126"/>
      <c r="J797" s="126"/>
    </row>
    <row r="798">
      <c r="A798" s="127"/>
      <c r="B798" s="126"/>
      <c r="C798" s="126"/>
      <c r="D798" s="126"/>
      <c r="E798" s="126"/>
      <c r="F798" s="126"/>
      <c r="G798" s="126"/>
      <c r="H798" s="126"/>
      <c r="I798" s="126"/>
      <c r="J798" s="126"/>
    </row>
    <row r="799">
      <c r="A799" s="127"/>
      <c r="B799" s="126"/>
      <c r="C799" s="126"/>
      <c r="D799" s="126"/>
      <c r="E799" s="126"/>
      <c r="F799" s="126"/>
      <c r="G799" s="126"/>
      <c r="H799" s="126"/>
      <c r="I799" s="126"/>
      <c r="J799" s="126"/>
    </row>
    <row r="800">
      <c r="A800" s="127"/>
      <c r="B800" s="126"/>
      <c r="C800" s="126"/>
      <c r="D800" s="126"/>
      <c r="E800" s="126"/>
      <c r="F800" s="126"/>
      <c r="G800" s="126"/>
      <c r="H800" s="126"/>
      <c r="I800" s="126"/>
      <c r="J800" s="126"/>
    </row>
    <row r="801">
      <c r="A801" s="127"/>
      <c r="B801" s="126"/>
      <c r="C801" s="126"/>
      <c r="D801" s="126"/>
      <c r="E801" s="126"/>
      <c r="F801" s="126"/>
      <c r="G801" s="126"/>
      <c r="H801" s="126"/>
      <c r="I801" s="126"/>
      <c r="J801" s="126"/>
    </row>
    <row r="802">
      <c r="A802" s="127"/>
      <c r="B802" s="126"/>
      <c r="C802" s="126"/>
      <c r="D802" s="126"/>
      <c r="E802" s="126"/>
      <c r="F802" s="126"/>
      <c r="G802" s="126"/>
      <c r="H802" s="126"/>
      <c r="I802" s="126"/>
      <c r="J802" s="126"/>
    </row>
    <row r="803">
      <c r="A803" s="127"/>
      <c r="B803" s="126"/>
      <c r="C803" s="126"/>
      <c r="D803" s="126"/>
      <c r="E803" s="126"/>
      <c r="F803" s="126"/>
      <c r="G803" s="126"/>
      <c r="H803" s="126"/>
      <c r="I803" s="126"/>
      <c r="J803" s="126"/>
    </row>
    <row r="804">
      <c r="A804" s="127"/>
      <c r="B804" s="126"/>
      <c r="C804" s="126"/>
      <c r="D804" s="126"/>
      <c r="E804" s="126"/>
      <c r="F804" s="126"/>
      <c r="G804" s="126"/>
      <c r="H804" s="126"/>
      <c r="I804" s="126"/>
      <c r="J804" s="126"/>
    </row>
    <row r="805">
      <c r="A805" s="127"/>
      <c r="B805" s="126"/>
      <c r="C805" s="126"/>
      <c r="D805" s="126"/>
      <c r="E805" s="126"/>
      <c r="F805" s="126"/>
      <c r="G805" s="126"/>
      <c r="H805" s="126"/>
      <c r="I805" s="126"/>
      <c r="J805" s="126"/>
    </row>
    <row r="806">
      <c r="A806" s="127"/>
      <c r="B806" s="126"/>
      <c r="C806" s="126"/>
      <c r="D806" s="126"/>
      <c r="E806" s="126"/>
      <c r="F806" s="126"/>
      <c r="G806" s="126"/>
      <c r="H806" s="126"/>
      <c r="I806" s="126"/>
      <c r="J806" s="126"/>
    </row>
    <row r="807">
      <c r="A807" s="127"/>
      <c r="B807" s="126"/>
      <c r="C807" s="126"/>
      <c r="D807" s="126"/>
      <c r="E807" s="126"/>
      <c r="F807" s="126"/>
      <c r="G807" s="126"/>
      <c r="H807" s="126"/>
      <c r="I807" s="126"/>
      <c r="J807" s="126"/>
    </row>
    <row r="808">
      <c r="A808" s="127"/>
      <c r="B808" s="126"/>
      <c r="C808" s="126"/>
      <c r="D808" s="126"/>
      <c r="E808" s="126"/>
      <c r="F808" s="126"/>
      <c r="G808" s="126"/>
      <c r="H808" s="126"/>
      <c r="I808" s="126"/>
      <c r="J808" s="126"/>
    </row>
    <row r="809">
      <c r="A809" s="127"/>
      <c r="B809" s="126"/>
      <c r="C809" s="126"/>
      <c r="D809" s="126"/>
      <c r="E809" s="126"/>
      <c r="F809" s="126"/>
      <c r="G809" s="126"/>
      <c r="H809" s="126"/>
      <c r="I809" s="126"/>
      <c r="J809" s="126"/>
    </row>
    <row r="810">
      <c r="A810" s="127"/>
      <c r="B810" s="126"/>
      <c r="C810" s="126"/>
      <c r="D810" s="126"/>
      <c r="E810" s="126"/>
      <c r="F810" s="126"/>
      <c r="G810" s="126"/>
      <c r="H810" s="126"/>
      <c r="I810" s="126"/>
      <c r="J810" s="126"/>
    </row>
    <row r="811">
      <c r="A811" s="127"/>
      <c r="B811" s="126"/>
      <c r="C811" s="126"/>
      <c r="D811" s="126"/>
      <c r="E811" s="126"/>
      <c r="F811" s="126"/>
      <c r="G811" s="126"/>
      <c r="H811" s="126"/>
      <c r="I811" s="126"/>
      <c r="J811" s="126"/>
    </row>
    <row r="812">
      <c r="A812" s="127"/>
      <c r="B812" s="126"/>
      <c r="C812" s="126"/>
      <c r="D812" s="126"/>
      <c r="E812" s="126"/>
      <c r="F812" s="126"/>
      <c r="G812" s="126"/>
      <c r="H812" s="126"/>
      <c r="I812" s="126"/>
      <c r="J812" s="126"/>
    </row>
    <row r="813">
      <c r="A813" s="127"/>
      <c r="B813" s="126"/>
      <c r="C813" s="126"/>
      <c r="D813" s="126"/>
      <c r="E813" s="126"/>
      <c r="F813" s="126"/>
      <c r="G813" s="126"/>
      <c r="H813" s="126"/>
      <c r="I813" s="126"/>
      <c r="J813" s="126"/>
    </row>
    <row r="814">
      <c r="A814" s="127"/>
      <c r="B814" s="126"/>
      <c r="C814" s="126"/>
      <c r="D814" s="126"/>
      <c r="E814" s="126"/>
      <c r="F814" s="126"/>
      <c r="G814" s="126"/>
      <c r="H814" s="126"/>
      <c r="I814" s="126"/>
      <c r="J814" s="126"/>
    </row>
    <row r="815">
      <c r="A815" s="127"/>
      <c r="B815" s="126"/>
      <c r="C815" s="126"/>
      <c r="D815" s="126"/>
      <c r="E815" s="126"/>
      <c r="F815" s="126"/>
      <c r="G815" s="126"/>
      <c r="H815" s="126"/>
      <c r="I815" s="126"/>
      <c r="J815" s="126"/>
    </row>
    <row r="816">
      <c r="A816" s="127"/>
      <c r="B816" s="126"/>
      <c r="C816" s="126"/>
      <c r="D816" s="126"/>
      <c r="E816" s="126"/>
      <c r="F816" s="126"/>
      <c r="G816" s="126"/>
      <c r="H816" s="126"/>
      <c r="I816" s="126"/>
      <c r="J816" s="126"/>
    </row>
    <row r="817">
      <c r="A817" s="127"/>
      <c r="B817" s="126"/>
      <c r="C817" s="126"/>
      <c r="D817" s="126"/>
      <c r="E817" s="126"/>
      <c r="F817" s="126"/>
      <c r="G817" s="126"/>
      <c r="H817" s="126"/>
      <c r="I817" s="126"/>
      <c r="J817" s="126"/>
    </row>
    <row r="818">
      <c r="A818" s="127"/>
      <c r="B818" s="126"/>
      <c r="C818" s="126"/>
      <c r="D818" s="126"/>
      <c r="E818" s="126"/>
      <c r="F818" s="126"/>
      <c r="G818" s="126"/>
      <c r="H818" s="126"/>
      <c r="I818" s="126"/>
      <c r="J818" s="126"/>
    </row>
    <row r="819">
      <c r="A819" s="127"/>
      <c r="B819" s="126"/>
      <c r="C819" s="126"/>
      <c r="D819" s="126"/>
      <c r="E819" s="126"/>
      <c r="F819" s="126"/>
      <c r="G819" s="126"/>
      <c r="H819" s="126"/>
      <c r="I819" s="126"/>
      <c r="J819" s="126"/>
    </row>
    <row r="820">
      <c r="A820" s="127"/>
      <c r="B820" s="126"/>
      <c r="C820" s="126"/>
      <c r="D820" s="126"/>
      <c r="E820" s="126"/>
      <c r="F820" s="126"/>
      <c r="G820" s="126"/>
      <c r="H820" s="126"/>
      <c r="I820" s="126"/>
      <c r="J820" s="126"/>
    </row>
    <row r="821">
      <c r="A821" s="127"/>
      <c r="B821" s="126"/>
      <c r="C821" s="126"/>
      <c r="D821" s="126"/>
      <c r="E821" s="126"/>
      <c r="F821" s="126"/>
      <c r="G821" s="126"/>
      <c r="H821" s="126"/>
      <c r="I821" s="126"/>
      <c r="J821" s="126"/>
    </row>
    <row r="822">
      <c r="A822" s="127"/>
      <c r="B822" s="126"/>
      <c r="C822" s="126"/>
      <c r="D822" s="126"/>
      <c r="E822" s="126"/>
      <c r="F822" s="126"/>
      <c r="G822" s="126"/>
      <c r="H822" s="126"/>
      <c r="I822" s="126"/>
      <c r="J822" s="126"/>
    </row>
    <row r="823">
      <c r="A823" s="127"/>
      <c r="B823" s="126"/>
      <c r="C823" s="126"/>
      <c r="D823" s="126"/>
      <c r="E823" s="126"/>
      <c r="F823" s="126"/>
      <c r="G823" s="126"/>
      <c r="H823" s="126"/>
      <c r="I823" s="126"/>
      <c r="J823" s="126"/>
    </row>
    <row r="824">
      <c r="A824" s="127"/>
      <c r="B824" s="126"/>
      <c r="C824" s="126"/>
      <c r="D824" s="126"/>
      <c r="E824" s="126"/>
      <c r="F824" s="126"/>
      <c r="G824" s="126"/>
      <c r="H824" s="126"/>
      <c r="I824" s="126"/>
      <c r="J824" s="126"/>
    </row>
    <row r="825">
      <c r="A825" s="127"/>
      <c r="B825" s="126"/>
      <c r="C825" s="126"/>
      <c r="D825" s="126"/>
      <c r="E825" s="126"/>
      <c r="F825" s="126"/>
      <c r="G825" s="126"/>
      <c r="H825" s="126"/>
      <c r="I825" s="126"/>
      <c r="J825" s="126"/>
    </row>
    <row r="826">
      <c r="A826" s="127"/>
      <c r="B826" s="126"/>
      <c r="C826" s="126"/>
      <c r="D826" s="126"/>
      <c r="E826" s="126"/>
      <c r="F826" s="126"/>
      <c r="G826" s="126"/>
      <c r="H826" s="126"/>
      <c r="I826" s="126"/>
      <c r="J826" s="126"/>
    </row>
    <row r="827">
      <c r="A827" s="127"/>
      <c r="B827" s="126"/>
      <c r="C827" s="126"/>
      <c r="D827" s="126"/>
      <c r="E827" s="126"/>
      <c r="F827" s="126"/>
      <c r="G827" s="126"/>
      <c r="H827" s="126"/>
      <c r="I827" s="126"/>
      <c r="J827" s="126"/>
    </row>
    <row r="828">
      <c r="A828" s="127"/>
      <c r="B828" s="126"/>
      <c r="C828" s="126"/>
      <c r="D828" s="126"/>
      <c r="E828" s="126"/>
      <c r="F828" s="126"/>
      <c r="G828" s="126"/>
      <c r="H828" s="126"/>
      <c r="I828" s="126"/>
      <c r="J828" s="126"/>
    </row>
    <row r="829">
      <c r="A829" s="127"/>
      <c r="B829" s="126"/>
      <c r="C829" s="126"/>
      <c r="D829" s="126"/>
      <c r="E829" s="126"/>
      <c r="F829" s="126"/>
      <c r="G829" s="126"/>
      <c r="H829" s="126"/>
      <c r="I829" s="126"/>
      <c r="J829" s="126"/>
    </row>
    <row r="830">
      <c r="A830" s="127"/>
      <c r="B830" s="126"/>
      <c r="C830" s="126"/>
      <c r="D830" s="126"/>
      <c r="E830" s="126"/>
      <c r="F830" s="126"/>
      <c r="G830" s="126"/>
      <c r="H830" s="126"/>
      <c r="I830" s="126"/>
      <c r="J830" s="126"/>
    </row>
    <row r="831">
      <c r="A831" s="127"/>
      <c r="B831" s="126"/>
      <c r="C831" s="126"/>
      <c r="D831" s="126"/>
      <c r="E831" s="126"/>
      <c r="F831" s="126"/>
      <c r="G831" s="126"/>
      <c r="H831" s="126"/>
      <c r="I831" s="126"/>
      <c r="J831" s="126"/>
    </row>
    <row r="832">
      <c r="A832" s="127"/>
      <c r="B832" s="126"/>
      <c r="C832" s="126"/>
      <c r="D832" s="126"/>
      <c r="E832" s="126"/>
      <c r="F832" s="126"/>
      <c r="G832" s="126"/>
      <c r="H832" s="126"/>
      <c r="I832" s="126"/>
      <c r="J832" s="126"/>
    </row>
    <row r="833">
      <c r="A833" s="127"/>
      <c r="B833" s="126"/>
      <c r="C833" s="126"/>
      <c r="D833" s="126"/>
      <c r="E833" s="126"/>
      <c r="F833" s="126"/>
      <c r="G833" s="126"/>
      <c r="H833" s="126"/>
      <c r="I833" s="126"/>
      <c r="J833" s="126"/>
    </row>
    <row r="834">
      <c r="A834" s="127"/>
      <c r="B834" s="126"/>
      <c r="C834" s="126"/>
      <c r="D834" s="126"/>
      <c r="E834" s="126"/>
      <c r="F834" s="126"/>
      <c r="G834" s="126"/>
      <c r="H834" s="126"/>
      <c r="I834" s="126"/>
      <c r="J834" s="126"/>
    </row>
    <row r="835">
      <c r="A835" s="127"/>
      <c r="B835" s="126"/>
      <c r="C835" s="126"/>
      <c r="D835" s="126"/>
      <c r="E835" s="126"/>
      <c r="F835" s="126"/>
      <c r="G835" s="126"/>
      <c r="H835" s="126"/>
      <c r="I835" s="126"/>
      <c r="J835" s="126"/>
    </row>
    <row r="836">
      <c r="A836" s="127"/>
      <c r="B836" s="126"/>
      <c r="C836" s="126"/>
      <c r="D836" s="126"/>
      <c r="E836" s="126"/>
      <c r="F836" s="126"/>
      <c r="G836" s="126"/>
      <c r="H836" s="126"/>
      <c r="I836" s="126"/>
      <c r="J836" s="126"/>
    </row>
    <row r="837">
      <c r="A837" s="127"/>
      <c r="B837" s="126"/>
      <c r="C837" s="126"/>
      <c r="D837" s="126"/>
      <c r="E837" s="126"/>
      <c r="F837" s="126"/>
      <c r="G837" s="126"/>
      <c r="H837" s="126"/>
      <c r="I837" s="126"/>
      <c r="J837" s="126"/>
    </row>
    <row r="838">
      <c r="A838" s="127"/>
      <c r="B838" s="126"/>
      <c r="C838" s="126"/>
      <c r="D838" s="126"/>
      <c r="E838" s="126"/>
      <c r="F838" s="126"/>
      <c r="G838" s="126"/>
      <c r="H838" s="126"/>
      <c r="I838" s="126"/>
      <c r="J838" s="126"/>
    </row>
    <row r="839">
      <c r="A839" s="127"/>
      <c r="B839" s="126"/>
      <c r="C839" s="126"/>
      <c r="D839" s="126"/>
      <c r="E839" s="126"/>
      <c r="F839" s="126"/>
      <c r="G839" s="126"/>
      <c r="H839" s="126"/>
      <c r="I839" s="126"/>
      <c r="J839" s="126"/>
    </row>
    <row r="840">
      <c r="A840" s="127"/>
      <c r="B840" s="126"/>
      <c r="C840" s="126"/>
      <c r="D840" s="126"/>
      <c r="E840" s="126"/>
      <c r="F840" s="126"/>
      <c r="G840" s="126"/>
      <c r="H840" s="126"/>
      <c r="I840" s="126"/>
      <c r="J840" s="126"/>
    </row>
    <row r="841">
      <c r="A841" s="127"/>
      <c r="B841" s="126"/>
      <c r="C841" s="126"/>
      <c r="D841" s="126"/>
      <c r="E841" s="126"/>
      <c r="F841" s="126"/>
      <c r="G841" s="126"/>
      <c r="H841" s="126"/>
      <c r="I841" s="126"/>
      <c r="J841" s="126"/>
    </row>
    <row r="842">
      <c r="A842" s="127"/>
      <c r="B842" s="126"/>
      <c r="C842" s="126"/>
      <c r="D842" s="126"/>
      <c r="E842" s="126"/>
      <c r="F842" s="126"/>
      <c r="G842" s="126"/>
      <c r="H842" s="126"/>
      <c r="I842" s="126"/>
      <c r="J842" s="126"/>
    </row>
    <row r="843">
      <c r="A843" s="127"/>
      <c r="B843" s="126"/>
      <c r="C843" s="126"/>
      <c r="D843" s="126"/>
      <c r="E843" s="126"/>
      <c r="F843" s="126"/>
      <c r="G843" s="126"/>
      <c r="H843" s="126"/>
      <c r="I843" s="126"/>
      <c r="J843" s="126"/>
    </row>
    <row r="844">
      <c r="A844" s="127"/>
      <c r="B844" s="126"/>
      <c r="C844" s="126"/>
      <c r="D844" s="126"/>
      <c r="E844" s="126"/>
      <c r="F844" s="126"/>
      <c r="G844" s="126"/>
      <c r="H844" s="126"/>
      <c r="I844" s="126"/>
      <c r="J844" s="126"/>
    </row>
    <row r="845">
      <c r="A845" s="127"/>
      <c r="B845" s="126"/>
      <c r="C845" s="126"/>
      <c r="D845" s="126"/>
      <c r="E845" s="126"/>
      <c r="F845" s="126"/>
      <c r="G845" s="126"/>
      <c r="H845" s="126"/>
      <c r="I845" s="126"/>
      <c r="J845" s="126"/>
    </row>
    <row r="846">
      <c r="A846" s="127"/>
      <c r="B846" s="126"/>
      <c r="C846" s="126"/>
      <c r="D846" s="126"/>
      <c r="E846" s="126"/>
      <c r="F846" s="126"/>
      <c r="G846" s="126"/>
      <c r="H846" s="126"/>
      <c r="I846" s="126"/>
      <c r="J846" s="126"/>
    </row>
    <row r="847">
      <c r="A847" s="127"/>
      <c r="B847" s="126"/>
      <c r="C847" s="126"/>
      <c r="D847" s="126"/>
      <c r="E847" s="126"/>
      <c r="F847" s="126"/>
      <c r="G847" s="126"/>
      <c r="H847" s="126"/>
      <c r="I847" s="126"/>
      <c r="J847" s="126"/>
    </row>
    <row r="848">
      <c r="A848" s="127"/>
      <c r="B848" s="126"/>
      <c r="C848" s="126"/>
      <c r="D848" s="126"/>
      <c r="E848" s="126"/>
      <c r="F848" s="126"/>
      <c r="G848" s="126"/>
      <c r="H848" s="126"/>
      <c r="I848" s="126"/>
      <c r="J848" s="126"/>
    </row>
    <row r="849">
      <c r="A849" s="127"/>
      <c r="B849" s="126"/>
      <c r="C849" s="126"/>
      <c r="D849" s="126"/>
      <c r="E849" s="126"/>
      <c r="F849" s="126"/>
      <c r="G849" s="126"/>
      <c r="H849" s="126"/>
      <c r="I849" s="126"/>
      <c r="J849" s="126"/>
    </row>
    <row r="850">
      <c r="A850" s="127"/>
      <c r="B850" s="126"/>
      <c r="C850" s="126"/>
      <c r="D850" s="126"/>
      <c r="E850" s="126"/>
      <c r="F850" s="126"/>
      <c r="G850" s="126"/>
      <c r="H850" s="126"/>
      <c r="I850" s="126"/>
      <c r="J850" s="126"/>
    </row>
    <row r="851">
      <c r="A851" s="127"/>
      <c r="B851" s="126"/>
      <c r="C851" s="126"/>
      <c r="D851" s="126"/>
      <c r="E851" s="126"/>
      <c r="F851" s="126"/>
      <c r="G851" s="126"/>
      <c r="H851" s="126"/>
      <c r="I851" s="126"/>
      <c r="J851" s="126"/>
    </row>
    <row r="852">
      <c r="A852" s="127"/>
      <c r="B852" s="126"/>
      <c r="C852" s="126"/>
      <c r="D852" s="126"/>
      <c r="E852" s="126"/>
      <c r="F852" s="126"/>
      <c r="G852" s="126"/>
      <c r="H852" s="126"/>
      <c r="I852" s="126"/>
      <c r="J852" s="126"/>
    </row>
    <row r="853">
      <c r="A853" s="127"/>
      <c r="B853" s="126"/>
      <c r="C853" s="126"/>
      <c r="D853" s="126"/>
      <c r="E853" s="126"/>
      <c r="F853" s="126"/>
      <c r="G853" s="126"/>
      <c r="H853" s="126"/>
      <c r="I853" s="126"/>
      <c r="J853" s="126"/>
    </row>
    <row r="854">
      <c r="A854" s="127"/>
      <c r="B854" s="126"/>
      <c r="C854" s="126"/>
      <c r="D854" s="126"/>
      <c r="E854" s="126"/>
      <c r="F854" s="126"/>
      <c r="G854" s="126"/>
      <c r="H854" s="126"/>
      <c r="I854" s="126"/>
      <c r="J854" s="126"/>
    </row>
    <row r="855">
      <c r="A855" s="127"/>
      <c r="B855" s="126"/>
      <c r="C855" s="126"/>
      <c r="D855" s="126"/>
      <c r="E855" s="126"/>
      <c r="F855" s="126"/>
      <c r="G855" s="126"/>
      <c r="H855" s="126"/>
      <c r="I855" s="126"/>
      <c r="J855" s="126"/>
    </row>
    <row r="856">
      <c r="A856" s="127"/>
      <c r="B856" s="126"/>
      <c r="C856" s="126"/>
      <c r="D856" s="126"/>
      <c r="E856" s="126"/>
      <c r="F856" s="126"/>
      <c r="G856" s="126"/>
      <c r="H856" s="126"/>
      <c r="I856" s="126"/>
      <c r="J856" s="126"/>
    </row>
    <row r="857">
      <c r="A857" s="127"/>
      <c r="B857" s="126"/>
      <c r="C857" s="126"/>
      <c r="D857" s="126"/>
      <c r="E857" s="126"/>
      <c r="F857" s="126"/>
      <c r="G857" s="126"/>
      <c r="H857" s="126"/>
      <c r="I857" s="126"/>
      <c r="J857" s="126"/>
    </row>
    <row r="858">
      <c r="A858" s="127"/>
      <c r="B858" s="126"/>
      <c r="C858" s="126"/>
      <c r="D858" s="126"/>
      <c r="E858" s="126"/>
      <c r="F858" s="126"/>
      <c r="G858" s="126"/>
      <c r="H858" s="126"/>
      <c r="I858" s="126"/>
      <c r="J858" s="126"/>
    </row>
    <row r="859">
      <c r="A859" s="127"/>
      <c r="B859" s="126"/>
      <c r="C859" s="126"/>
      <c r="D859" s="126"/>
      <c r="E859" s="126"/>
      <c r="F859" s="126"/>
      <c r="G859" s="126"/>
      <c r="H859" s="126"/>
      <c r="I859" s="126"/>
      <c r="J859" s="126"/>
    </row>
    <row r="860">
      <c r="A860" s="127"/>
      <c r="B860" s="126"/>
      <c r="C860" s="126"/>
      <c r="D860" s="126"/>
      <c r="E860" s="126"/>
      <c r="F860" s="126"/>
      <c r="G860" s="126"/>
      <c r="H860" s="126"/>
      <c r="I860" s="126"/>
      <c r="J860" s="126"/>
    </row>
    <row r="861">
      <c r="A861" s="127"/>
      <c r="B861" s="126"/>
      <c r="C861" s="126"/>
      <c r="D861" s="126"/>
      <c r="E861" s="126"/>
      <c r="F861" s="126"/>
      <c r="G861" s="126"/>
      <c r="H861" s="126"/>
      <c r="I861" s="126"/>
      <c r="J861" s="126"/>
    </row>
    <row r="862">
      <c r="A862" s="127"/>
      <c r="B862" s="126"/>
      <c r="C862" s="126"/>
      <c r="D862" s="126"/>
      <c r="E862" s="126"/>
      <c r="F862" s="126"/>
      <c r="G862" s="126"/>
      <c r="H862" s="126"/>
      <c r="I862" s="126"/>
      <c r="J862" s="126"/>
    </row>
    <row r="863">
      <c r="A863" s="127"/>
      <c r="B863" s="126"/>
      <c r="C863" s="126"/>
      <c r="D863" s="126"/>
      <c r="E863" s="126"/>
      <c r="F863" s="126"/>
      <c r="G863" s="126"/>
      <c r="H863" s="126"/>
      <c r="I863" s="126"/>
      <c r="J863" s="126"/>
    </row>
    <row r="864">
      <c r="A864" s="127"/>
      <c r="B864" s="126"/>
      <c r="C864" s="126"/>
      <c r="D864" s="126"/>
      <c r="E864" s="126"/>
      <c r="F864" s="126"/>
      <c r="G864" s="126"/>
      <c r="H864" s="126"/>
      <c r="I864" s="126"/>
      <c r="J864" s="126"/>
    </row>
    <row r="865">
      <c r="A865" s="127"/>
      <c r="B865" s="126"/>
      <c r="C865" s="126"/>
      <c r="D865" s="126"/>
      <c r="E865" s="126"/>
      <c r="F865" s="126"/>
      <c r="G865" s="126"/>
      <c r="H865" s="126"/>
      <c r="I865" s="126"/>
      <c r="J865" s="126"/>
    </row>
    <row r="866">
      <c r="A866" s="127"/>
      <c r="B866" s="126"/>
      <c r="C866" s="126"/>
      <c r="D866" s="126"/>
      <c r="E866" s="126"/>
      <c r="F866" s="126"/>
      <c r="G866" s="126"/>
      <c r="H866" s="126"/>
      <c r="I866" s="126"/>
      <c r="J866" s="126"/>
    </row>
    <row r="867">
      <c r="A867" s="127"/>
      <c r="B867" s="126"/>
      <c r="C867" s="126"/>
      <c r="D867" s="126"/>
      <c r="E867" s="126"/>
      <c r="F867" s="126"/>
      <c r="G867" s="126"/>
      <c r="H867" s="126"/>
      <c r="I867" s="126"/>
      <c r="J867" s="126"/>
    </row>
    <row r="868">
      <c r="A868" s="127"/>
      <c r="B868" s="126"/>
      <c r="C868" s="126"/>
      <c r="D868" s="126"/>
      <c r="E868" s="126"/>
      <c r="F868" s="126"/>
      <c r="G868" s="126"/>
      <c r="H868" s="126"/>
      <c r="I868" s="126"/>
      <c r="J868" s="126"/>
    </row>
    <row r="869">
      <c r="A869" s="127"/>
      <c r="B869" s="126"/>
      <c r="C869" s="126"/>
      <c r="D869" s="126"/>
      <c r="E869" s="126"/>
      <c r="F869" s="126"/>
      <c r="G869" s="126"/>
      <c r="H869" s="126"/>
      <c r="I869" s="126"/>
      <c r="J869" s="126"/>
    </row>
    <row r="870">
      <c r="A870" s="127"/>
      <c r="B870" s="126"/>
      <c r="C870" s="126"/>
      <c r="D870" s="126"/>
      <c r="E870" s="126"/>
      <c r="F870" s="126"/>
      <c r="G870" s="126"/>
      <c r="H870" s="126"/>
      <c r="I870" s="126"/>
      <c r="J870" s="126"/>
    </row>
    <row r="871">
      <c r="A871" s="127"/>
      <c r="B871" s="126"/>
      <c r="C871" s="126"/>
      <c r="D871" s="126"/>
      <c r="E871" s="126"/>
      <c r="F871" s="126"/>
      <c r="G871" s="126"/>
      <c r="H871" s="126"/>
      <c r="I871" s="126"/>
      <c r="J871" s="126"/>
    </row>
    <row r="872">
      <c r="A872" s="127"/>
      <c r="B872" s="126"/>
      <c r="C872" s="126"/>
      <c r="D872" s="126"/>
      <c r="E872" s="126"/>
      <c r="F872" s="126"/>
      <c r="G872" s="126"/>
      <c r="H872" s="126"/>
      <c r="I872" s="126"/>
      <c r="J872" s="126"/>
    </row>
    <row r="873">
      <c r="A873" s="127"/>
      <c r="B873" s="126"/>
      <c r="C873" s="126"/>
      <c r="D873" s="126"/>
      <c r="E873" s="126"/>
      <c r="F873" s="126"/>
      <c r="G873" s="126"/>
      <c r="H873" s="126"/>
      <c r="I873" s="126"/>
      <c r="J873" s="126"/>
    </row>
    <row r="874">
      <c r="A874" s="127"/>
      <c r="B874" s="126"/>
      <c r="C874" s="126"/>
      <c r="D874" s="126"/>
      <c r="E874" s="126"/>
      <c r="F874" s="126"/>
      <c r="G874" s="126"/>
      <c r="H874" s="126"/>
      <c r="I874" s="126"/>
      <c r="J874" s="126"/>
    </row>
    <row r="875">
      <c r="A875" s="127"/>
      <c r="B875" s="126"/>
      <c r="C875" s="126"/>
      <c r="D875" s="126"/>
      <c r="E875" s="126"/>
      <c r="F875" s="126"/>
      <c r="G875" s="126"/>
      <c r="H875" s="126"/>
      <c r="I875" s="126"/>
      <c r="J875" s="126"/>
    </row>
    <row r="876">
      <c r="A876" s="127"/>
      <c r="B876" s="126"/>
      <c r="C876" s="126"/>
      <c r="D876" s="126"/>
      <c r="E876" s="126"/>
      <c r="F876" s="126"/>
      <c r="G876" s="126"/>
      <c r="H876" s="126"/>
      <c r="I876" s="126"/>
      <c r="J876" s="126"/>
    </row>
    <row r="877">
      <c r="A877" s="127"/>
      <c r="B877" s="126"/>
      <c r="C877" s="126"/>
      <c r="D877" s="126"/>
      <c r="E877" s="126"/>
      <c r="F877" s="126"/>
      <c r="G877" s="126"/>
      <c r="H877" s="126"/>
      <c r="I877" s="126"/>
      <c r="J877" s="126"/>
    </row>
    <row r="878">
      <c r="A878" s="127"/>
      <c r="B878" s="126"/>
      <c r="C878" s="126"/>
      <c r="D878" s="126"/>
      <c r="E878" s="126"/>
      <c r="F878" s="126"/>
      <c r="G878" s="126"/>
      <c r="H878" s="126"/>
      <c r="I878" s="126"/>
      <c r="J878" s="126"/>
    </row>
    <row r="879">
      <c r="A879" s="127"/>
      <c r="B879" s="126"/>
      <c r="C879" s="126"/>
      <c r="D879" s="126"/>
      <c r="E879" s="126"/>
      <c r="F879" s="126"/>
      <c r="G879" s="126"/>
      <c r="H879" s="126"/>
      <c r="I879" s="126"/>
      <c r="J879" s="126"/>
    </row>
    <row r="880">
      <c r="A880" s="127"/>
      <c r="B880" s="126"/>
      <c r="C880" s="126"/>
      <c r="D880" s="126"/>
      <c r="E880" s="126"/>
      <c r="F880" s="126"/>
      <c r="G880" s="126"/>
      <c r="H880" s="126"/>
      <c r="I880" s="126"/>
      <c r="J880" s="126"/>
    </row>
    <row r="881">
      <c r="A881" s="127"/>
      <c r="B881" s="126"/>
      <c r="C881" s="126"/>
      <c r="D881" s="126"/>
      <c r="E881" s="126"/>
      <c r="F881" s="126"/>
      <c r="G881" s="126"/>
      <c r="H881" s="126"/>
      <c r="I881" s="126"/>
      <c r="J881" s="126"/>
    </row>
    <row r="882">
      <c r="A882" s="127"/>
      <c r="B882" s="126"/>
      <c r="C882" s="126"/>
      <c r="D882" s="126"/>
      <c r="E882" s="126"/>
      <c r="F882" s="126"/>
      <c r="G882" s="126"/>
      <c r="H882" s="126"/>
      <c r="I882" s="126"/>
      <c r="J882" s="126"/>
    </row>
    <row r="883">
      <c r="A883" s="127"/>
      <c r="B883" s="126"/>
      <c r="C883" s="126"/>
      <c r="D883" s="126"/>
      <c r="E883" s="126"/>
      <c r="F883" s="126"/>
      <c r="G883" s="126"/>
      <c r="H883" s="126"/>
      <c r="I883" s="126"/>
      <c r="J883" s="126"/>
    </row>
    <row r="884">
      <c r="A884" s="127"/>
      <c r="B884" s="126"/>
      <c r="C884" s="126"/>
      <c r="D884" s="126"/>
      <c r="E884" s="126"/>
      <c r="F884" s="126"/>
      <c r="G884" s="126"/>
      <c r="H884" s="126"/>
      <c r="I884" s="126"/>
      <c r="J884" s="126"/>
    </row>
    <row r="885">
      <c r="A885" s="127"/>
      <c r="B885" s="126"/>
      <c r="C885" s="126"/>
      <c r="D885" s="126"/>
      <c r="E885" s="126"/>
      <c r="F885" s="126"/>
      <c r="G885" s="126"/>
      <c r="H885" s="126"/>
      <c r="I885" s="126"/>
      <c r="J885" s="126"/>
    </row>
    <row r="886">
      <c r="A886" s="127"/>
      <c r="B886" s="126"/>
      <c r="C886" s="126"/>
      <c r="D886" s="126"/>
      <c r="E886" s="126"/>
      <c r="F886" s="126"/>
      <c r="G886" s="126"/>
      <c r="H886" s="126"/>
      <c r="I886" s="126"/>
      <c r="J886" s="126"/>
    </row>
    <row r="887">
      <c r="A887" s="127"/>
      <c r="B887" s="126"/>
      <c r="C887" s="126"/>
      <c r="D887" s="126"/>
      <c r="E887" s="126"/>
      <c r="F887" s="126"/>
      <c r="G887" s="126"/>
      <c r="H887" s="126"/>
      <c r="I887" s="126"/>
      <c r="J887" s="126"/>
    </row>
    <row r="888">
      <c r="A888" s="127"/>
      <c r="B888" s="126"/>
      <c r="C888" s="126"/>
      <c r="D888" s="126"/>
      <c r="E888" s="126"/>
      <c r="F888" s="126"/>
      <c r="G888" s="126"/>
      <c r="H888" s="126"/>
      <c r="I888" s="126"/>
      <c r="J888" s="126"/>
    </row>
    <row r="889">
      <c r="A889" s="127"/>
      <c r="B889" s="126"/>
      <c r="C889" s="126"/>
      <c r="D889" s="126"/>
      <c r="E889" s="126"/>
      <c r="F889" s="126"/>
      <c r="G889" s="126"/>
      <c r="H889" s="126"/>
      <c r="I889" s="126"/>
      <c r="J889" s="126"/>
    </row>
    <row r="890">
      <c r="A890" s="127"/>
      <c r="B890" s="126"/>
      <c r="C890" s="126"/>
      <c r="D890" s="126"/>
      <c r="E890" s="126"/>
      <c r="F890" s="126"/>
      <c r="G890" s="126"/>
      <c r="H890" s="126"/>
      <c r="I890" s="126"/>
      <c r="J890" s="126"/>
    </row>
    <row r="891">
      <c r="A891" s="127"/>
      <c r="B891" s="126"/>
      <c r="C891" s="126"/>
      <c r="D891" s="126"/>
      <c r="E891" s="126"/>
      <c r="F891" s="126"/>
      <c r="G891" s="126"/>
      <c r="H891" s="126"/>
      <c r="I891" s="126"/>
      <c r="J891" s="126"/>
    </row>
    <row r="892">
      <c r="A892" s="127"/>
      <c r="B892" s="126"/>
      <c r="C892" s="126"/>
      <c r="D892" s="126"/>
      <c r="E892" s="126"/>
      <c r="F892" s="126"/>
      <c r="G892" s="126"/>
      <c r="H892" s="126"/>
      <c r="I892" s="126"/>
      <c r="J892" s="126"/>
    </row>
    <row r="893">
      <c r="A893" s="127"/>
      <c r="B893" s="126"/>
      <c r="C893" s="126"/>
      <c r="D893" s="126"/>
      <c r="E893" s="126"/>
      <c r="F893" s="126"/>
      <c r="G893" s="126"/>
      <c r="H893" s="126"/>
      <c r="I893" s="126"/>
      <c r="J893" s="126"/>
    </row>
    <row r="894">
      <c r="A894" s="127"/>
      <c r="B894" s="126"/>
      <c r="C894" s="126"/>
      <c r="D894" s="126"/>
      <c r="E894" s="126"/>
      <c r="F894" s="126"/>
      <c r="G894" s="126"/>
      <c r="H894" s="126"/>
      <c r="I894" s="126"/>
      <c r="J894" s="126"/>
    </row>
    <row r="895">
      <c r="A895" s="127"/>
      <c r="B895" s="126"/>
      <c r="C895" s="126"/>
      <c r="D895" s="126"/>
      <c r="E895" s="126"/>
      <c r="F895" s="126"/>
      <c r="G895" s="126"/>
      <c r="H895" s="126"/>
      <c r="I895" s="126"/>
      <c r="J895" s="126"/>
    </row>
    <row r="896">
      <c r="A896" s="127"/>
      <c r="B896" s="126"/>
      <c r="C896" s="126"/>
      <c r="D896" s="126"/>
      <c r="E896" s="126"/>
      <c r="F896" s="126"/>
      <c r="G896" s="126"/>
      <c r="H896" s="126"/>
      <c r="I896" s="126"/>
      <c r="J896" s="126"/>
    </row>
    <row r="897">
      <c r="A897" s="127"/>
      <c r="B897" s="126"/>
      <c r="C897" s="126"/>
      <c r="D897" s="126"/>
      <c r="E897" s="126"/>
      <c r="F897" s="126"/>
      <c r="G897" s="126"/>
      <c r="H897" s="126"/>
      <c r="I897" s="126"/>
      <c r="J897" s="126"/>
    </row>
    <row r="898">
      <c r="A898" s="127"/>
      <c r="B898" s="126"/>
      <c r="C898" s="126"/>
      <c r="D898" s="126"/>
      <c r="E898" s="126"/>
      <c r="F898" s="126"/>
      <c r="G898" s="126"/>
      <c r="H898" s="126"/>
      <c r="I898" s="126"/>
      <c r="J898" s="126"/>
    </row>
    <row r="899">
      <c r="A899" s="127"/>
      <c r="B899" s="126"/>
      <c r="C899" s="126"/>
      <c r="D899" s="126"/>
      <c r="E899" s="126"/>
      <c r="F899" s="126"/>
      <c r="G899" s="126"/>
      <c r="H899" s="126"/>
      <c r="I899" s="126"/>
      <c r="J899" s="126"/>
    </row>
    <row r="900">
      <c r="A900" s="127"/>
      <c r="B900" s="126"/>
      <c r="C900" s="126"/>
      <c r="D900" s="126"/>
      <c r="E900" s="126"/>
      <c r="F900" s="126"/>
      <c r="G900" s="126"/>
      <c r="H900" s="126"/>
      <c r="I900" s="126"/>
      <c r="J900" s="126"/>
    </row>
    <row r="901">
      <c r="A901" s="127"/>
      <c r="B901" s="126"/>
      <c r="C901" s="126"/>
      <c r="D901" s="126"/>
      <c r="E901" s="126"/>
      <c r="F901" s="126"/>
      <c r="G901" s="126"/>
      <c r="H901" s="126"/>
      <c r="I901" s="126"/>
      <c r="J901" s="126"/>
    </row>
    <row r="902">
      <c r="A902" s="127"/>
      <c r="B902" s="126"/>
      <c r="C902" s="126"/>
      <c r="D902" s="126"/>
      <c r="E902" s="126"/>
      <c r="F902" s="126"/>
      <c r="G902" s="126"/>
      <c r="H902" s="126"/>
      <c r="I902" s="126"/>
      <c r="J902" s="126"/>
    </row>
    <row r="903">
      <c r="A903" s="127"/>
      <c r="B903" s="126"/>
      <c r="C903" s="126"/>
      <c r="D903" s="126"/>
      <c r="E903" s="126"/>
      <c r="F903" s="126"/>
      <c r="G903" s="126"/>
      <c r="H903" s="126"/>
      <c r="I903" s="126"/>
      <c r="J903" s="126"/>
    </row>
    <row r="904">
      <c r="A904" s="127"/>
      <c r="B904" s="126"/>
      <c r="C904" s="126"/>
      <c r="D904" s="126"/>
      <c r="E904" s="126"/>
      <c r="F904" s="126"/>
      <c r="G904" s="126"/>
      <c r="H904" s="126"/>
      <c r="I904" s="126"/>
      <c r="J904" s="126"/>
    </row>
    <row r="905">
      <c r="A905" s="127"/>
      <c r="B905" s="126"/>
      <c r="C905" s="126"/>
      <c r="D905" s="126"/>
      <c r="E905" s="126"/>
      <c r="F905" s="126"/>
      <c r="G905" s="126"/>
      <c r="H905" s="126"/>
      <c r="I905" s="126"/>
      <c r="J905" s="126"/>
    </row>
    <row r="906">
      <c r="A906" s="127"/>
      <c r="B906" s="126"/>
      <c r="C906" s="126"/>
      <c r="D906" s="126"/>
      <c r="E906" s="126"/>
      <c r="F906" s="126"/>
      <c r="G906" s="126"/>
      <c r="H906" s="126"/>
      <c r="I906" s="126"/>
      <c r="J906" s="126"/>
    </row>
    <row r="907">
      <c r="A907" s="127"/>
      <c r="B907" s="126"/>
      <c r="C907" s="126"/>
      <c r="D907" s="126"/>
      <c r="E907" s="126"/>
      <c r="F907" s="126"/>
      <c r="G907" s="126"/>
      <c r="H907" s="126"/>
      <c r="I907" s="126"/>
      <c r="J907" s="126"/>
    </row>
    <row r="908">
      <c r="A908" s="127"/>
      <c r="B908" s="126"/>
      <c r="C908" s="126"/>
      <c r="D908" s="126"/>
      <c r="E908" s="126"/>
      <c r="F908" s="126"/>
      <c r="G908" s="126"/>
      <c r="H908" s="126"/>
      <c r="I908" s="126"/>
      <c r="J908" s="126"/>
    </row>
    <row r="909">
      <c r="A909" s="127"/>
      <c r="B909" s="126"/>
      <c r="C909" s="126"/>
      <c r="D909" s="126"/>
      <c r="E909" s="126"/>
      <c r="F909" s="126"/>
      <c r="G909" s="126"/>
      <c r="H909" s="126"/>
      <c r="I909" s="126"/>
      <c r="J909" s="126"/>
    </row>
    <row r="910">
      <c r="A910" s="127"/>
      <c r="B910" s="126"/>
      <c r="C910" s="126"/>
      <c r="D910" s="126"/>
      <c r="E910" s="126"/>
      <c r="F910" s="126"/>
      <c r="G910" s="126"/>
      <c r="H910" s="126"/>
      <c r="I910" s="126"/>
      <c r="J910" s="126"/>
    </row>
    <row r="911">
      <c r="A911" s="127"/>
      <c r="B911" s="126"/>
      <c r="C911" s="126"/>
      <c r="D911" s="126"/>
      <c r="E911" s="126"/>
      <c r="F911" s="126"/>
      <c r="G911" s="126"/>
      <c r="H911" s="126"/>
      <c r="I911" s="126"/>
      <c r="J911" s="126"/>
    </row>
    <row r="912">
      <c r="A912" s="127"/>
      <c r="B912" s="126"/>
      <c r="C912" s="126"/>
      <c r="D912" s="126"/>
      <c r="E912" s="126"/>
      <c r="F912" s="126"/>
      <c r="G912" s="126"/>
      <c r="H912" s="126"/>
      <c r="I912" s="126"/>
      <c r="J912" s="126"/>
    </row>
    <row r="913">
      <c r="A913" s="127"/>
      <c r="B913" s="126"/>
      <c r="C913" s="126"/>
      <c r="D913" s="126"/>
      <c r="E913" s="126"/>
      <c r="F913" s="126"/>
      <c r="G913" s="126"/>
      <c r="H913" s="126"/>
      <c r="I913" s="126"/>
      <c r="J913" s="126"/>
    </row>
    <row r="914">
      <c r="A914" s="127"/>
      <c r="B914" s="126"/>
      <c r="C914" s="126"/>
      <c r="D914" s="126"/>
      <c r="E914" s="126"/>
      <c r="F914" s="126"/>
      <c r="G914" s="126"/>
      <c r="H914" s="126"/>
      <c r="I914" s="126"/>
      <c r="J914" s="126"/>
    </row>
    <row r="915">
      <c r="A915" s="127"/>
      <c r="B915" s="126"/>
      <c r="C915" s="126"/>
      <c r="D915" s="126"/>
      <c r="E915" s="126"/>
      <c r="F915" s="126"/>
      <c r="G915" s="126"/>
      <c r="H915" s="126"/>
      <c r="I915" s="126"/>
      <c r="J915" s="126"/>
    </row>
    <row r="916">
      <c r="A916" s="127"/>
      <c r="B916" s="126"/>
      <c r="C916" s="126"/>
      <c r="D916" s="126"/>
      <c r="E916" s="126"/>
      <c r="F916" s="126"/>
      <c r="G916" s="126"/>
      <c r="H916" s="126"/>
      <c r="I916" s="126"/>
      <c r="J916" s="126"/>
    </row>
    <row r="917">
      <c r="A917" s="127"/>
      <c r="B917" s="126"/>
      <c r="C917" s="126"/>
      <c r="D917" s="126"/>
      <c r="E917" s="126"/>
      <c r="F917" s="126"/>
      <c r="G917" s="126"/>
      <c r="H917" s="126"/>
      <c r="I917" s="126"/>
      <c r="J917" s="126"/>
    </row>
    <row r="918">
      <c r="A918" s="127"/>
      <c r="B918" s="126"/>
      <c r="C918" s="126"/>
      <c r="D918" s="126"/>
      <c r="E918" s="126"/>
      <c r="F918" s="126"/>
      <c r="G918" s="126"/>
      <c r="H918" s="126"/>
      <c r="I918" s="126"/>
      <c r="J918" s="126"/>
    </row>
    <row r="919">
      <c r="A919" s="127"/>
      <c r="B919" s="126"/>
      <c r="C919" s="126"/>
      <c r="D919" s="126"/>
      <c r="E919" s="126"/>
      <c r="F919" s="126"/>
      <c r="G919" s="126"/>
      <c r="H919" s="126"/>
      <c r="I919" s="126"/>
      <c r="J919" s="126"/>
    </row>
    <row r="920">
      <c r="A920" s="127"/>
      <c r="B920" s="126"/>
      <c r="C920" s="126"/>
      <c r="D920" s="126"/>
      <c r="E920" s="126"/>
      <c r="F920" s="126"/>
      <c r="G920" s="126"/>
      <c r="H920" s="126"/>
      <c r="I920" s="126"/>
      <c r="J920" s="126"/>
    </row>
    <row r="921">
      <c r="A921" s="127"/>
      <c r="B921" s="126"/>
      <c r="C921" s="126"/>
      <c r="D921" s="126"/>
      <c r="E921" s="126"/>
      <c r="F921" s="126"/>
      <c r="G921" s="126"/>
      <c r="H921" s="126"/>
      <c r="I921" s="126"/>
      <c r="J921" s="126"/>
    </row>
    <row r="922">
      <c r="A922" s="127"/>
      <c r="B922" s="126"/>
      <c r="C922" s="126"/>
      <c r="D922" s="126"/>
      <c r="E922" s="126"/>
      <c r="F922" s="126"/>
      <c r="G922" s="126"/>
      <c r="H922" s="126"/>
      <c r="I922" s="126"/>
      <c r="J922" s="126"/>
    </row>
    <row r="923">
      <c r="A923" s="127"/>
      <c r="B923" s="126"/>
      <c r="C923" s="126"/>
      <c r="D923" s="126"/>
      <c r="E923" s="126"/>
      <c r="F923" s="126"/>
      <c r="G923" s="126"/>
      <c r="H923" s="126"/>
      <c r="I923" s="126"/>
      <c r="J923" s="126"/>
    </row>
    <row r="924">
      <c r="A924" s="127"/>
      <c r="B924" s="126"/>
      <c r="C924" s="126"/>
      <c r="D924" s="126"/>
      <c r="E924" s="126"/>
      <c r="F924" s="126"/>
      <c r="G924" s="126"/>
      <c r="H924" s="126"/>
      <c r="I924" s="126"/>
      <c r="J924" s="126"/>
    </row>
    <row r="925">
      <c r="A925" s="127"/>
      <c r="B925" s="126"/>
      <c r="C925" s="126"/>
      <c r="D925" s="126"/>
      <c r="E925" s="126"/>
      <c r="F925" s="126"/>
      <c r="G925" s="126"/>
      <c r="H925" s="126"/>
      <c r="I925" s="126"/>
      <c r="J925" s="126"/>
    </row>
    <row r="926">
      <c r="A926" s="127"/>
      <c r="B926" s="126"/>
      <c r="C926" s="126"/>
      <c r="D926" s="126"/>
      <c r="E926" s="126"/>
      <c r="F926" s="126"/>
      <c r="G926" s="126"/>
      <c r="H926" s="126"/>
      <c r="I926" s="126"/>
      <c r="J926" s="126"/>
    </row>
    <row r="927">
      <c r="A927" s="127"/>
      <c r="B927" s="126"/>
      <c r="C927" s="126"/>
      <c r="D927" s="126"/>
      <c r="E927" s="126"/>
      <c r="F927" s="126"/>
      <c r="G927" s="126"/>
      <c r="H927" s="126"/>
      <c r="I927" s="126"/>
      <c r="J927" s="126"/>
    </row>
    <row r="928">
      <c r="A928" s="127"/>
      <c r="B928" s="126"/>
      <c r="C928" s="126"/>
      <c r="D928" s="126"/>
      <c r="E928" s="126"/>
      <c r="F928" s="126"/>
      <c r="G928" s="126"/>
      <c r="H928" s="126"/>
      <c r="I928" s="126"/>
      <c r="J928" s="126"/>
    </row>
    <row r="929">
      <c r="A929" s="127"/>
      <c r="B929" s="126"/>
      <c r="C929" s="126"/>
      <c r="D929" s="126"/>
      <c r="E929" s="126"/>
      <c r="F929" s="126"/>
      <c r="G929" s="126"/>
      <c r="H929" s="126"/>
      <c r="I929" s="126"/>
      <c r="J929" s="126"/>
    </row>
    <row r="930">
      <c r="A930" s="127"/>
      <c r="B930" s="126"/>
      <c r="C930" s="126"/>
      <c r="D930" s="126"/>
      <c r="E930" s="126"/>
      <c r="F930" s="126"/>
      <c r="G930" s="126"/>
      <c r="H930" s="126"/>
      <c r="I930" s="126"/>
      <c r="J930" s="126"/>
    </row>
    <row r="931">
      <c r="A931" s="127"/>
      <c r="B931" s="126"/>
      <c r="C931" s="126"/>
      <c r="D931" s="126"/>
      <c r="E931" s="126"/>
      <c r="F931" s="126"/>
      <c r="G931" s="126"/>
      <c r="H931" s="126"/>
      <c r="I931" s="126"/>
      <c r="J931" s="126"/>
    </row>
    <row r="932">
      <c r="A932" s="127"/>
      <c r="B932" s="126"/>
      <c r="C932" s="126"/>
      <c r="D932" s="126"/>
      <c r="E932" s="126"/>
      <c r="F932" s="126"/>
      <c r="G932" s="126"/>
      <c r="H932" s="126"/>
      <c r="I932" s="126"/>
      <c r="J932" s="126"/>
    </row>
    <row r="933">
      <c r="A933" s="127"/>
      <c r="B933" s="126"/>
      <c r="C933" s="126"/>
      <c r="D933" s="126"/>
      <c r="E933" s="126"/>
      <c r="F933" s="126"/>
      <c r="G933" s="126"/>
      <c r="H933" s="126"/>
      <c r="I933" s="126"/>
      <c r="J933" s="126"/>
    </row>
    <row r="934">
      <c r="A934" s="127"/>
      <c r="B934" s="126"/>
      <c r="C934" s="126"/>
      <c r="D934" s="126"/>
      <c r="E934" s="126"/>
      <c r="F934" s="126"/>
      <c r="G934" s="126"/>
      <c r="H934" s="126"/>
      <c r="I934" s="126"/>
      <c r="J934" s="126"/>
    </row>
    <row r="935">
      <c r="A935" s="127"/>
      <c r="B935" s="126"/>
      <c r="C935" s="126"/>
      <c r="D935" s="126"/>
      <c r="E935" s="126"/>
      <c r="F935" s="126"/>
      <c r="G935" s="126"/>
      <c r="H935" s="126"/>
      <c r="I935" s="126"/>
      <c r="J935" s="126"/>
    </row>
    <row r="936">
      <c r="A936" s="127"/>
      <c r="B936" s="126"/>
      <c r="C936" s="126"/>
      <c r="D936" s="126"/>
      <c r="E936" s="126"/>
      <c r="F936" s="126"/>
      <c r="G936" s="126"/>
      <c r="H936" s="126"/>
      <c r="I936" s="126"/>
      <c r="J936" s="126"/>
    </row>
    <row r="937">
      <c r="A937" s="127"/>
      <c r="B937" s="126"/>
      <c r="C937" s="126"/>
      <c r="D937" s="126"/>
      <c r="E937" s="126"/>
      <c r="F937" s="126"/>
      <c r="G937" s="126"/>
      <c r="H937" s="126"/>
      <c r="I937" s="126"/>
      <c r="J937" s="126"/>
    </row>
    <row r="938">
      <c r="A938" s="127"/>
      <c r="B938" s="126"/>
      <c r="C938" s="126"/>
      <c r="D938" s="126"/>
      <c r="E938" s="126"/>
      <c r="F938" s="126"/>
      <c r="G938" s="126"/>
      <c r="H938" s="126"/>
      <c r="I938" s="126"/>
      <c r="J938" s="126"/>
    </row>
    <row r="939">
      <c r="A939" s="127"/>
      <c r="B939" s="126"/>
      <c r="C939" s="126"/>
      <c r="D939" s="126"/>
      <c r="E939" s="126"/>
      <c r="F939" s="126"/>
      <c r="G939" s="126"/>
      <c r="H939" s="126"/>
      <c r="I939" s="126"/>
      <c r="J939" s="126"/>
    </row>
    <row r="940">
      <c r="A940" s="127"/>
      <c r="B940" s="126"/>
      <c r="C940" s="126"/>
      <c r="D940" s="126"/>
      <c r="E940" s="126"/>
      <c r="F940" s="126"/>
      <c r="G940" s="126"/>
      <c r="H940" s="126"/>
      <c r="I940" s="126"/>
      <c r="J940" s="126"/>
    </row>
    <row r="941">
      <c r="A941" s="127"/>
      <c r="B941" s="126"/>
      <c r="C941" s="126"/>
      <c r="D941" s="126"/>
      <c r="E941" s="126"/>
      <c r="F941" s="126"/>
      <c r="G941" s="126"/>
      <c r="H941" s="126"/>
      <c r="I941" s="126"/>
      <c r="J941" s="126"/>
    </row>
    <row r="942">
      <c r="A942" s="127"/>
      <c r="B942" s="126"/>
      <c r="C942" s="126"/>
      <c r="D942" s="126"/>
      <c r="E942" s="126"/>
      <c r="F942" s="126"/>
      <c r="G942" s="126"/>
      <c r="H942" s="126"/>
      <c r="I942" s="126"/>
      <c r="J942" s="126"/>
    </row>
    <row r="943">
      <c r="A943" s="127"/>
      <c r="B943" s="126"/>
      <c r="C943" s="126"/>
      <c r="D943" s="126"/>
      <c r="E943" s="126"/>
      <c r="F943" s="126"/>
      <c r="G943" s="126"/>
      <c r="H943" s="126"/>
      <c r="I943" s="126"/>
      <c r="J943" s="126"/>
    </row>
    <row r="944">
      <c r="A944" s="127"/>
      <c r="B944" s="126"/>
      <c r="C944" s="126"/>
      <c r="D944" s="126"/>
      <c r="E944" s="126"/>
      <c r="F944" s="126"/>
      <c r="G944" s="126"/>
      <c r="H944" s="126"/>
      <c r="I944" s="126"/>
      <c r="J944" s="126"/>
    </row>
    <row r="945">
      <c r="A945" s="127"/>
      <c r="B945" s="126"/>
      <c r="C945" s="126"/>
      <c r="D945" s="126"/>
      <c r="E945" s="126"/>
      <c r="F945" s="126"/>
      <c r="G945" s="126"/>
      <c r="H945" s="126"/>
      <c r="I945" s="126"/>
      <c r="J945" s="126"/>
    </row>
    <row r="946">
      <c r="A946" s="127"/>
      <c r="B946" s="126"/>
      <c r="C946" s="126"/>
      <c r="D946" s="126"/>
      <c r="E946" s="126"/>
      <c r="F946" s="126"/>
      <c r="G946" s="126"/>
      <c r="H946" s="126"/>
      <c r="I946" s="126"/>
      <c r="J946" s="126"/>
    </row>
    <row r="947">
      <c r="A947" s="127"/>
      <c r="B947" s="126"/>
      <c r="C947" s="126"/>
      <c r="D947" s="126"/>
      <c r="E947" s="126"/>
      <c r="F947" s="126"/>
      <c r="G947" s="126"/>
      <c r="H947" s="126"/>
      <c r="I947" s="126"/>
      <c r="J947" s="126"/>
    </row>
    <row r="948">
      <c r="A948" s="127"/>
      <c r="B948" s="126"/>
      <c r="C948" s="126"/>
      <c r="D948" s="126"/>
      <c r="E948" s="126"/>
      <c r="F948" s="126"/>
      <c r="G948" s="126"/>
      <c r="H948" s="126"/>
      <c r="I948" s="126"/>
      <c r="J948" s="126"/>
    </row>
    <row r="949">
      <c r="A949" s="127"/>
      <c r="B949" s="126"/>
      <c r="C949" s="126"/>
      <c r="D949" s="126"/>
      <c r="E949" s="126"/>
      <c r="F949" s="126"/>
      <c r="G949" s="126"/>
      <c r="H949" s="126"/>
      <c r="I949" s="126"/>
      <c r="J949" s="126"/>
    </row>
    <row r="950">
      <c r="A950" s="127"/>
      <c r="B950" s="126"/>
      <c r="C950" s="126"/>
      <c r="D950" s="126"/>
      <c r="E950" s="126"/>
      <c r="F950" s="126"/>
      <c r="G950" s="126"/>
      <c r="H950" s="126"/>
      <c r="I950" s="126"/>
      <c r="J950" s="126"/>
    </row>
    <row r="951">
      <c r="A951" s="127"/>
      <c r="B951" s="126"/>
      <c r="C951" s="126"/>
      <c r="D951" s="126"/>
      <c r="E951" s="126"/>
      <c r="F951" s="126"/>
      <c r="G951" s="126"/>
      <c r="H951" s="126"/>
      <c r="I951" s="126"/>
      <c r="J951" s="126"/>
    </row>
    <row r="952">
      <c r="A952" s="127"/>
      <c r="B952" s="126"/>
      <c r="C952" s="126"/>
      <c r="D952" s="126"/>
      <c r="E952" s="126"/>
      <c r="F952" s="126"/>
      <c r="G952" s="126"/>
      <c r="H952" s="126"/>
      <c r="I952" s="126"/>
      <c r="J952" s="126"/>
    </row>
    <row r="953">
      <c r="A953" s="127"/>
      <c r="B953" s="126"/>
      <c r="C953" s="126"/>
      <c r="D953" s="126"/>
      <c r="E953" s="126"/>
      <c r="F953" s="126"/>
      <c r="G953" s="126"/>
      <c r="H953" s="126"/>
      <c r="I953" s="126"/>
      <c r="J953" s="126"/>
    </row>
    <row r="954">
      <c r="A954" s="127"/>
      <c r="B954" s="126"/>
      <c r="C954" s="126"/>
      <c r="D954" s="126"/>
      <c r="E954" s="126"/>
      <c r="F954" s="126"/>
      <c r="G954" s="126"/>
      <c r="H954" s="126"/>
      <c r="I954" s="126"/>
      <c r="J954" s="126"/>
    </row>
    <row r="955">
      <c r="A955" s="127"/>
      <c r="B955" s="126"/>
      <c r="C955" s="126"/>
      <c r="D955" s="126"/>
      <c r="E955" s="126"/>
      <c r="F955" s="126"/>
      <c r="G955" s="126"/>
      <c r="H955" s="126"/>
      <c r="I955" s="126"/>
      <c r="J955" s="126"/>
    </row>
    <row r="956">
      <c r="A956" s="127"/>
      <c r="B956" s="126"/>
      <c r="C956" s="126"/>
      <c r="D956" s="126"/>
      <c r="E956" s="126"/>
      <c r="F956" s="126"/>
      <c r="G956" s="126"/>
      <c r="H956" s="126"/>
      <c r="I956" s="126"/>
      <c r="J956" s="126"/>
    </row>
    <row r="957">
      <c r="A957" s="127"/>
      <c r="B957" s="126"/>
      <c r="C957" s="126"/>
      <c r="D957" s="126"/>
      <c r="E957" s="126"/>
      <c r="F957" s="126"/>
      <c r="G957" s="126"/>
      <c r="H957" s="126"/>
      <c r="I957" s="126"/>
      <c r="J957" s="126"/>
    </row>
    <row r="958">
      <c r="A958" s="127"/>
      <c r="B958" s="126"/>
      <c r="C958" s="126"/>
      <c r="D958" s="126"/>
      <c r="E958" s="126"/>
      <c r="F958" s="126"/>
      <c r="G958" s="126"/>
      <c r="H958" s="126"/>
      <c r="I958" s="126"/>
      <c r="J958" s="126"/>
    </row>
    <row r="959">
      <c r="A959" s="127"/>
      <c r="B959" s="126"/>
      <c r="C959" s="126"/>
      <c r="D959" s="126"/>
      <c r="E959" s="126"/>
      <c r="F959" s="126"/>
      <c r="G959" s="126"/>
      <c r="H959" s="126"/>
      <c r="I959" s="126"/>
      <c r="J959" s="126"/>
    </row>
    <row r="960">
      <c r="A960" s="127"/>
      <c r="B960" s="126"/>
      <c r="C960" s="126"/>
      <c r="D960" s="126"/>
      <c r="E960" s="126"/>
      <c r="F960" s="126"/>
      <c r="G960" s="126"/>
      <c r="H960" s="126"/>
      <c r="I960" s="126"/>
      <c r="J960" s="126"/>
    </row>
    <row r="961">
      <c r="A961" s="127"/>
      <c r="B961" s="126"/>
      <c r="C961" s="126"/>
      <c r="D961" s="126"/>
      <c r="E961" s="126"/>
      <c r="F961" s="126"/>
      <c r="G961" s="126"/>
      <c r="H961" s="126"/>
      <c r="I961" s="126"/>
      <c r="J961" s="126"/>
    </row>
    <row r="962">
      <c r="A962" s="127"/>
      <c r="B962" s="126"/>
      <c r="C962" s="126"/>
      <c r="D962" s="126"/>
      <c r="E962" s="126"/>
      <c r="F962" s="126"/>
      <c r="G962" s="126"/>
      <c r="H962" s="126"/>
      <c r="I962" s="126"/>
      <c r="J962" s="126"/>
    </row>
    <row r="963">
      <c r="A963" s="127"/>
      <c r="B963" s="126"/>
      <c r="C963" s="126"/>
      <c r="D963" s="126"/>
      <c r="E963" s="126"/>
      <c r="F963" s="126"/>
      <c r="G963" s="126"/>
      <c r="H963" s="126"/>
      <c r="I963" s="126"/>
      <c r="J963" s="126"/>
    </row>
    <row r="964">
      <c r="A964" s="127"/>
      <c r="B964" s="126"/>
      <c r="C964" s="126"/>
      <c r="D964" s="126"/>
      <c r="E964" s="126"/>
      <c r="F964" s="126"/>
      <c r="G964" s="126"/>
      <c r="H964" s="126"/>
      <c r="I964" s="126"/>
      <c r="J964" s="126"/>
    </row>
    <row r="965">
      <c r="A965" s="127"/>
      <c r="B965" s="126"/>
      <c r="C965" s="126"/>
      <c r="D965" s="126"/>
      <c r="E965" s="126"/>
      <c r="F965" s="126"/>
      <c r="G965" s="126"/>
      <c r="H965" s="126"/>
      <c r="I965" s="126"/>
      <c r="J965" s="126"/>
    </row>
    <row r="966">
      <c r="A966" s="127"/>
      <c r="B966" s="126"/>
      <c r="C966" s="126"/>
      <c r="D966" s="126"/>
      <c r="E966" s="126"/>
      <c r="F966" s="126"/>
      <c r="G966" s="126"/>
      <c r="H966" s="126"/>
      <c r="I966" s="126"/>
      <c r="J966" s="126"/>
    </row>
    <row r="967">
      <c r="A967" s="127"/>
      <c r="B967" s="126"/>
      <c r="C967" s="126"/>
      <c r="D967" s="126"/>
      <c r="E967" s="126"/>
      <c r="F967" s="126"/>
      <c r="G967" s="126"/>
      <c r="H967" s="126"/>
      <c r="I967" s="126"/>
      <c r="J967" s="126"/>
    </row>
    <row r="968">
      <c r="A968" s="127"/>
      <c r="B968" s="126"/>
      <c r="C968" s="126"/>
      <c r="D968" s="126"/>
      <c r="E968" s="126"/>
      <c r="F968" s="126"/>
      <c r="G968" s="126"/>
      <c r="H968" s="126"/>
      <c r="I968" s="126"/>
      <c r="J968" s="126"/>
    </row>
    <row r="969">
      <c r="A969" s="127"/>
      <c r="B969" s="126"/>
      <c r="C969" s="126"/>
      <c r="D969" s="126"/>
      <c r="E969" s="126"/>
      <c r="F969" s="126"/>
      <c r="G969" s="126"/>
      <c r="H969" s="126"/>
      <c r="I969" s="126"/>
      <c r="J969" s="126"/>
    </row>
    <row r="970">
      <c r="A970" s="127"/>
      <c r="B970" s="126"/>
      <c r="C970" s="126"/>
      <c r="D970" s="126"/>
      <c r="E970" s="126"/>
      <c r="F970" s="126"/>
      <c r="G970" s="126"/>
      <c r="H970" s="126"/>
      <c r="I970" s="126"/>
      <c r="J970" s="126"/>
    </row>
    <row r="971">
      <c r="A971" s="127"/>
      <c r="B971" s="126"/>
      <c r="C971" s="126"/>
      <c r="D971" s="126"/>
      <c r="E971" s="126"/>
      <c r="F971" s="126"/>
      <c r="G971" s="126"/>
      <c r="H971" s="126"/>
      <c r="I971" s="126"/>
      <c r="J971" s="126"/>
    </row>
    <row r="972">
      <c r="A972" s="127"/>
      <c r="B972" s="126"/>
      <c r="C972" s="126"/>
      <c r="D972" s="126"/>
      <c r="E972" s="126"/>
      <c r="F972" s="126"/>
      <c r="G972" s="126"/>
      <c r="H972" s="126"/>
      <c r="I972" s="126"/>
      <c r="J972" s="126"/>
    </row>
    <row r="973">
      <c r="A973" s="127"/>
      <c r="B973" s="126"/>
      <c r="C973" s="126"/>
      <c r="D973" s="126"/>
      <c r="E973" s="126"/>
      <c r="F973" s="126"/>
      <c r="G973" s="126"/>
      <c r="H973" s="126"/>
      <c r="I973" s="126"/>
      <c r="J973" s="126"/>
    </row>
    <row r="974">
      <c r="A974" s="127"/>
      <c r="B974" s="126"/>
      <c r="C974" s="126"/>
      <c r="D974" s="126"/>
      <c r="E974" s="126"/>
      <c r="F974" s="126"/>
      <c r="G974" s="126"/>
      <c r="H974" s="126"/>
      <c r="I974" s="126"/>
      <c r="J974" s="126"/>
    </row>
    <row r="975">
      <c r="A975" s="127"/>
      <c r="B975" s="126"/>
      <c r="C975" s="126"/>
      <c r="D975" s="126"/>
      <c r="E975" s="126"/>
      <c r="F975" s="126"/>
      <c r="G975" s="126"/>
      <c r="H975" s="126"/>
      <c r="I975" s="126"/>
      <c r="J975" s="126"/>
    </row>
    <row r="976">
      <c r="A976" s="127"/>
      <c r="B976" s="126"/>
      <c r="C976" s="126"/>
      <c r="D976" s="126"/>
      <c r="E976" s="126"/>
      <c r="F976" s="126"/>
      <c r="G976" s="126"/>
      <c r="H976" s="126"/>
      <c r="I976" s="126"/>
      <c r="J976" s="126"/>
    </row>
    <row r="977">
      <c r="A977" s="127"/>
      <c r="B977" s="126"/>
      <c r="C977" s="126"/>
      <c r="D977" s="126"/>
      <c r="E977" s="126"/>
      <c r="F977" s="126"/>
      <c r="G977" s="126"/>
      <c r="H977" s="126"/>
      <c r="I977" s="126"/>
      <c r="J977" s="126"/>
    </row>
    <row r="978">
      <c r="A978" s="127"/>
      <c r="B978" s="126"/>
      <c r="C978" s="126"/>
      <c r="D978" s="126"/>
      <c r="E978" s="126"/>
      <c r="F978" s="126"/>
      <c r="G978" s="126"/>
      <c r="H978" s="126"/>
      <c r="I978" s="126"/>
      <c r="J978" s="126"/>
    </row>
    <row r="979">
      <c r="A979" s="127"/>
      <c r="B979" s="126"/>
      <c r="C979" s="126"/>
      <c r="D979" s="126"/>
      <c r="E979" s="126"/>
      <c r="F979" s="126"/>
      <c r="G979" s="126"/>
      <c r="H979" s="126"/>
      <c r="I979" s="126"/>
      <c r="J979" s="126"/>
    </row>
    <row r="980">
      <c r="A980" s="127"/>
      <c r="B980" s="126"/>
      <c r="C980" s="126"/>
      <c r="D980" s="126"/>
      <c r="E980" s="126"/>
      <c r="F980" s="126"/>
      <c r="G980" s="126"/>
      <c r="H980" s="126"/>
      <c r="I980" s="126"/>
      <c r="J980" s="126"/>
    </row>
    <row r="981">
      <c r="A981" s="127"/>
      <c r="B981" s="126"/>
      <c r="C981" s="126"/>
      <c r="D981" s="126"/>
      <c r="E981" s="126"/>
      <c r="F981" s="126"/>
      <c r="G981" s="126"/>
      <c r="H981" s="126"/>
      <c r="I981" s="126"/>
      <c r="J981" s="126"/>
    </row>
    <row r="982">
      <c r="A982" s="127"/>
      <c r="B982" s="126"/>
      <c r="C982" s="126"/>
      <c r="D982" s="126"/>
      <c r="E982" s="126"/>
      <c r="F982" s="126"/>
      <c r="G982" s="126"/>
      <c r="H982" s="126"/>
      <c r="I982" s="126"/>
      <c r="J982" s="126"/>
    </row>
    <row r="983">
      <c r="A983" s="127"/>
      <c r="B983" s="126"/>
      <c r="C983" s="126"/>
      <c r="D983" s="126"/>
      <c r="E983" s="126"/>
      <c r="F983" s="126"/>
      <c r="G983" s="126"/>
      <c r="H983" s="126"/>
      <c r="I983" s="126"/>
      <c r="J983" s="126"/>
    </row>
    <row r="984">
      <c r="A984" s="127"/>
      <c r="B984" s="126"/>
      <c r="C984" s="126"/>
      <c r="D984" s="126"/>
      <c r="E984" s="126"/>
      <c r="F984" s="126"/>
      <c r="G984" s="126"/>
      <c r="H984" s="126"/>
      <c r="I984" s="126"/>
      <c r="J984" s="126"/>
    </row>
    <row r="985">
      <c r="A985" s="127"/>
      <c r="B985" s="126"/>
      <c r="C985" s="126"/>
      <c r="D985" s="126"/>
      <c r="E985" s="126"/>
      <c r="F985" s="126"/>
      <c r="G985" s="126"/>
      <c r="H985" s="126"/>
      <c r="I985" s="126"/>
      <c r="J985" s="126"/>
    </row>
    <row r="986">
      <c r="A986" s="127"/>
      <c r="B986" s="126"/>
      <c r="C986" s="126"/>
      <c r="D986" s="126"/>
      <c r="E986" s="126"/>
      <c r="F986" s="126"/>
      <c r="G986" s="126"/>
      <c r="H986" s="126"/>
      <c r="I986" s="126"/>
      <c r="J986" s="126"/>
    </row>
    <row r="987">
      <c r="A987" s="127"/>
      <c r="B987" s="126"/>
      <c r="C987" s="126"/>
      <c r="D987" s="126"/>
      <c r="E987" s="126"/>
      <c r="F987" s="126"/>
      <c r="G987" s="126"/>
      <c r="H987" s="126"/>
      <c r="I987" s="126"/>
      <c r="J987" s="126"/>
    </row>
    <row r="988">
      <c r="A988" s="127"/>
      <c r="B988" s="126"/>
      <c r="C988" s="126"/>
      <c r="D988" s="126"/>
      <c r="E988" s="126"/>
      <c r="F988" s="126"/>
      <c r="G988" s="126"/>
      <c r="H988" s="126"/>
      <c r="I988" s="126"/>
      <c r="J988" s="126"/>
    </row>
    <row r="989">
      <c r="A989" s="127"/>
      <c r="B989" s="126"/>
      <c r="C989" s="126"/>
      <c r="D989" s="126"/>
      <c r="E989" s="126"/>
      <c r="F989" s="126"/>
      <c r="G989" s="126"/>
      <c r="H989" s="126"/>
      <c r="I989" s="126"/>
      <c r="J989" s="126"/>
    </row>
    <row r="990">
      <c r="A990" s="127"/>
      <c r="B990" s="126"/>
      <c r="C990" s="126"/>
      <c r="D990" s="126"/>
      <c r="E990" s="126"/>
      <c r="F990" s="126"/>
      <c r="G990" s="126"/>
      <c r="H990" s="126"/>
      <c r="I990" s="126"/>
      <c r="J990" s="126"/>
    </row>
    <row r="991">
      <c r="A991" s="127"/>
      <c r="B991" s="126"/>
      <c r="C991" s="126"/>
      <c r="D991" s="126"/>
      <c r="E991" s="126"/>
      <c r="F991" s="126"/>
      <c r="G991" s="126"/>
      <c r="H991" s="126"/>
      <c r="I991" s="126"/>
      <c r="J991" s="126"/>
    </row>
    <row r="992">
      <c r="A992" s="127"/>
      <c r="B992" s="126"/>
      <c r="C992" s="126"/>
      <c r="D992" s="126"/>
      <c r="E992" s="126"/>
      <c r="F992" s="126"/>
      <c r="G992" s="126"/>
      <c r="H992" s="126"/>
      <c r="I992" s="126"/>
      <c r="J992" s="126"/>
    </row>
    <row r="993">
      <c r="A993" s="127"/>
      <c r="B993" s="126"/>
      <c r="C993" s="126"/>
      <c r="D993" s="126"/>
      <c r="E993" s="126"/>
      <c r="F993" s="126"/>
      <c r="G993" s="126"/>
      <c r="H993" s="126"/>
      <c r="I993" s="126"/>
      <c r="J993" s="126"/>
    </row>
    <row r="994">
      <c r="A994" s="127"/>
      <c r="B994" s="126"/>
      <c r="C994" s="126"/>
      <c r="D994" s="126"/>
      <c r="E994" s="126"/>
      <c r="F994" s="126"/>
      <c r="G994" s="126"/>
      <c r="H994" s="126"/>
      <c r="I994" s="126"/>
      <c r="J994" s="126"/>
    </row>
    <row r="995">
      <c r="A995" s="127"/>
      <c r="B995" s="126"/>
      <c r="C995" s="126"/>
      <c r="D995" s="126"/>
      <c r="E995" s="126"/>
      <c r="F995" s="126"/>
      <c r="G995" s="126"/>
      <c r="H995" s="126"/>
      <c r="I995" s="126"/>
      <c r="J995" s="126"/>
    </row>
    <row r="996">
      <c r="A996" s="127"/>
      <c r="B996" s="126"/>
      <c r="C996" s="126"/>
      <c r="D996" s="126"/>
      <c r="E996" s="126"/>
      <c r="F996" s="126"/>
      <c r="G996" s="126"/>
      <c r="H996" s="126"/>
      <c r="I996" s="126"/>
      <c r="J996" s="126"/>
    </row>
    <row r="997">
      <c r="A997" s="127"/>
      <c r="B997" s="126"/>
      <c r="C997" s="126"/>
      <c r="D997" s="126"/>
      <c r="E997" s="126"/>
      <c r="F997" s="126"/>
      <c r="G997" s="126"/>
      <c r="H997" s="126"/>
      <c r="I997" s="126"/>
      <c r="J997" s="126"/>
    </row>
    <row r="998">
      <c r="A998" s="127"/>
      <c r="B998" s="126"/>
      <c r="C998" s="126"/>
      <c r="D998" s="126"/>
      <c r="E998" s="126"/>
      <c r="F998" s="126"/>
      <c r="G998" s="126"/>
      <c r="H998" s="126"/>
      <c r="I998" s="126"/>
      <c r="J998" s="126"/>
    </row>
    <row r="999">
      <c r="A999" s="127"/>
      <c r="B999" s="126"/>
      <c r="C999" s="126"/>
      <c r="D999" s="126"/>
      <c r="E999" s="126"/>
      <c r="F999" s="126"/>
      <c r="G999" s="126"/>
      <c r="H999" s="126"/>
      <c r="I999" s="126"/>
      <c r="J999" s="126"/>
    </row>
    <row r="1000">
      <c r="A1000" s="127"/>
      <c r="B1000" s="126"/>
      <c r="C1000" s="126"/>
      <c r="D1000" s="126"/>
      <c r="E1000" s="126"/>
      <c r="F1000" s="126"/>
      <c r="G1000" s="126"/>
      <c r="H1000" s="126"/>
      <c r="I1000" s="126"/>
      <c r="J1000" s="126"/>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tr">
        <f>IFERROR(__xludf.DUMMYFUNCTION("QUERY(IMPORTRANGE(""https://docs.google.com/spreadsheets/d/1Gx9gx0fpVHy3bno_QQpJb2cOvezP8iW7ZY3WzJSE4gA/edit?gid=384521226#gid=384521226"", ""Form Responses!A:Z""), ""SELECT * WHERE Col1 IS NOT NULL"")"),"Timestamp")</f>
        <v>Timestamp</v>
      </c>
      <c r="B1" s="71" t="str">
        <f>IFERROR(__xludf.DUMMYFUNCTION("""COMPUTED_VALUE"""),"Email Address")</f>
        <v>Email Address</v>
      </c>
      <c r="C1" s="71" t="str">
        <f>IFERROR(__xludf.DUMMYFUNCTION("""COMPUTED_VALUE"""),"Student Name")</f>
        <v>Student Name</v>
      </c>
      <c r="D1" s="71" t="str">
        <f>IFERROR(__xludf.DUMMYFUNCTION("""COMPUTED_VALUE"""),"Q1: What does CER stand for?")</f>
        <v>Q1: What does CER stand for?</v>
      </c>
      <c r="E1" s="71" t="str">
        <f>IFERROR(__xludf.DUMMYFUNCTION("""COMPUTED_VALUE"""),"Q2: Which part of CER answers the research question?")</f>
        <v>Q2: Which part of CER answers the research question?</v>
      </c>
      <c r="F1" s="71" t="str">
        <f>IFERROR(__xludf.DUMMYFUNCTION("""COMPUTED_VALUE"""),"Q3: What should evidence include?")</f>
        <v>Q3: What should evidence include?</v>
      </c>
      <c r="G1" s="71" t="str">
        <f>IFERROR(__xludf.DUMMYFUNCTION("""COMPUTED_VALUE"""),"Q4: What does reasoning explain?")</f>
        <v>Q4: What does reasoning explain?</v>
      </c>
      <c r="H1" s="71" t="str">
        <f>IFERROR(__xludf.DUMMYFUNCTION("""COMPUTED_VALUE"""),"Q5: What does SIFT stand for?")</f>
        <v>Q5: What does SIFT stand for?</v>
      </c>
      <c r="I1" s="71" t="str">
        <f>IFERROR(__xludf.DUMMYFUNCTION("""COMPUTED_VALUE"""),"Q6: Which source is MOST reliable for scientific evidence?")</f>
        <v>Q6: Which source is MOST reliable for scientific evidence?</v>
      </c>
      <c r="J1" s="71" t="str">
        <f>IFERROR(__xludf.DUMMYFUNCTION("""COMPUTED_VALUE"""),"Q7: When evaluating a source, you should investigate:")</f>
        <v>Q7: When evaluating a source, you should investigate:</v>
      </c>
      <c r="K1" s="71" t="str">
        <f>IFERROR(__xludf.DUMMYFUNCTION("""COMPUTED_VALUE"""),"Q8: A good research question should be:")</f>
        <v>Q8: A good research question should be:</v>
      </c>
      <c r="L1" s="71" t="str">
        <f>IFERROR(__xludf.DUMMYFUNCTION("""COMPUTED_VALUE"""),"Q9: Which is the correct order of the scientific method?")</f>
        <v>Q9: Which is the correct order of the scientific method?</v>
      </c>
      <c r="M1" s="71" t="str">
        <f>IFERROR(__xludf.DUMMYFUNCTION("""COMPUTED_VALUE"""),"Q10: You observe that plants near the window grow faster than plants in the corner. Write a CLAIM that explains this observation.")</f>
        <v>Q10: You observe that plants near the window grow faster than plants in the corner. Write a CLAIM that explains this observation.</v>
      </c>
      <c r="N1" s="71" t="str">
        <f>IFERROR(__xludf.DUMMYFUNCTION("""COMPUTED_VALUE"""),"Q11: Your friend says ""TikTok said eating only fruit is healthy."" Using SIFT, identify TWO problems with this source.")</f>
        <v>Q11: Your friend says "TikTok said eating only fruit is healthy." Using SIFT, identify TWO problems with this source.</v>
      </c>
      <c r="O1" s="71" t="str">
        <f>IFERROR(__xludf.DUMMYFUNCTION("""COMPUTED_VALUE"""),"Q12: You claim that ""Exercise improves memory."" Provide ONE piece of evidence and explain the reasoning. Write a mini CER statement.")</f>
        <v>Q12: You claim that "Exercise improves memory." Provide ONE piece of evidence and explain the reasoning. Write a mini CER statement.</v>
      </c>
      <c r="P1" s="71" t="str">
        <f>IFERROR(__xludf.DUMMYFUNCTION("""COMPUTED_VALUE"""),"Score")</f>
        <v>Score</v>
      </c>
      <c r="Q1" s="71" t="str">
        <f>IFERROR(__xludf.DUMMYFUNCTION("""COMPUTED_VALUE"""),"")</f>
        <v/>
      </c>
      <c r="R1" s="71" t="str">
        <f>IFERROR(__xludf.DUMMYFUNCTION("""COMPUTED_VALUE"""),"")</f>
        <v/>
      </c>
      <c r="S1" s="71" t="str">
        <f>IFERROR(__xludf.DUMMYFUNCTION("""COMPUTED_VALUE"""),"")</f>
        <v/>
      </c>
      <c r="T1" s="71" t="str">
        <f>IFERROR(__xludf.DUMMYFUNCTION("""COMPUTED_VALUE"""),"")</f>
        <v/>
      </c>
      <c r="U1" s="71" t="str">
        <f>IFERROR(__xludf.DUMMYFUNCTION("""COMPUTED_VALUE"""),"")</f>
        <v/>
      </c>
      <c r="V1" s="71" t="str">
        <f>IFERROR(__xludf.DUMMYFUNCTION("""COMPUTED_VALUE"""),"")</f>
        <v/>
      </c>
    </row>
    <row r="2">
      <c r="A2" s="128">
        <f>IFERROR(__xludf.DUMMYFUNCTION("""COMPUTED_VALUE"""),45936.44851584491)</f>
        <v>45936.44852</v>
      </c>
      <c r="B2" s="71" t="str">
        <f>IFERROR(__xludf.DUMMYFUNCTION("""COMPUTED_VALUE"""),"justice.worthy@kairosacademies.org")</f>
        <v>justice.worthy@kairosacademies.org</v>
      </c>
      <c r="C2" s="71"/>
      <c r="D2" s="71" t="str">
        <f>IFERROR(__xludf.DUMMYFUNCTION("""COMPUTED_VALUE"""),"Compare, Evaluate, Respond")</f>
        <v>Compare, Evaluate, Respond</v>
      </c>
      <c r="E2" s="71" t="str">
        <f>IFERROR(__xludf.DUMMYFUNCTION("""COMPUTED_VALUE"""),"Evidence")</f>
        <v>Evidence</v>
      </c>
      <c r="F2" s="71" t="str">
        <f>IFERROR(__xludf.DUMMYFUNCTION("""COMPUTED_VALUE"""),"Your opinion")</f>
        <v>Your opinion</v>
      </c>
      <c r="G2" s="71" t="str">
        <f>IFERROR(__xludf.DUMMYFUNCTION("""COMPUTED_VALUE"""),"Why you chose your topic")</f>
        <v>Why you chose your topic</v>
      </c>
      <c r="H2" s="71" t="str">
        <f>IFERROR(__xludf.DUMMYFUNCTION("""COMPUTED_VALUE"""),"Search, Identify, Find, Test")</f>
        <v>Search, Identify, Find, Test</v>
      </c>
      <c r="I2" s="71" t="str">
        <f>IFERROR(__xludf.DUMMYFUNCTION("""COMPUTED_VALUE"""),"A commercial website")</f>
        <v>A commercial website</v>
      </c>
      <c r="J2" s="71" t="str">
        <f>IFERROR(__xludf.DUMMYFUNCTION("""COMPUTED_VALUE"""),"Who created it and their credentials")</f>
        <v>Who created it and their credentials</v>
      </c>
      <c r="K2" s="71" t="str">
        <f>IFERROR(__xludf.DUMMYFUNCTION("""COMPUTED_VALUE"""),"Based on personal feelings")</f>
        <v>Based on personal feelings</v>
      </c>
      <c r="L2" s="71" t="str">
        <f>IFERROR(__xludf.DUMMYFUNCTION("""COMPUTED_VALUE"""),"Question, Hypothesis, Experiment, Analysis, Conclusion")</f>
        <v>Question, Hypothesis, Experiment, Analysis, Conclusion</v>
      </c>
      <c r="M2" s="71" t="str">
        <f>IFERROR(__xludf.DUMMYFUNCTION("""COMPUTED_VALUE"""),"I don't have nothing to say ")</f>
        <v>I don't have nothing to say </v>
      </c>
      <c r="N2" s="71" t="str">
        <f>IFERROR(__xludf.DUMMYFUNCTION("""COMPUTED_VALUE"""),"dont have nun to say ")</f>
        <v>dont have nun to say </v>
      </c>
      <c r="O2" s="71" t="str">
        <f>IFERROR(__xludf.DUMMYFUNCTION("""COMPUTED_VALUE"""),"dont have nun to say ")</f>
        <v>dont have nun to say </v>
      </c>
      <c r="P2" s="129">
        <f>IFERROR(__xludf.DUMMYFUNCTION("""COMPUTED_VALUE"""),10.0)</f>
        <v>10</v>
      </c>
      <c r="Q2" s="71"/>
      <c r="R2" s="71"/>
      <c r="S2" s="71"/>
      <c r="T2" s="71"/>
      <c r="U2" s="71"/>
      <c r="V2" s="71"/>
    </row>
    <row r="3">
      <c r="A3" s="128">
        <f>IFERROR(__xludf.DUMMYFUNCTION("""COMPUTED_VALUE"""),45936.48013185186)</f>
        <v>45936.48013</v>
      </c>
      <c r="B3" s="71" t="str">
        <f>IFERROR(__xludf.DUMMYFUNCTION("""COMPUTED_VALUE"""),"zu'rell.harris@kairosacademies.org")</f>
        <v>zu'rell.harris@kairosacademies.org</v>
      </c>
      <c r="C3" s="71"/>
      <c r="D3" s="71" t="str">
        <f>IFERROR(__xludf.DUMMYFUNCTION("""COMPUTED_VALUE"""),"Claim, Evidence, Reasoning")</f>
        <v>Claim, Evidence, Reasoning</v>
      </c>
      <c r="E3" s="71" t="str">
        <f>IFERROR(__xludf.DUMMYFUNCTION("""COMPUTED_VALUE"""),"All parts together")</f>
        <v>All parts together</v>
      </c>
      <c r="F3" s="71" t="str">
        <f>IFERROR(__xludf.DUMMYFUNCTION("""COMPUTED_VALUE"""),"Specific data and observations")</f>
        <v>Specific data and observations</v>
      </c>
      <c r="G3" s="71" t="str">
        <f>IFERROR(__xludf.DUMMYFUNCTION("""COMPUTED_VALUE"""),"How evidence supports your claim")</f>
        <v>How evidence supports your claim</v>
      </c>
      <c r="H3" s="71" t="str">
        <f>IFERROR(__xludf.DUMMYFUNCTION("""COMPUTED_VALUE"""),"Sort, Include, Filter, Tag")</f>
        <v>Sort, Include, Filter, Tag</v>
      </c>
      <c r="I3" s="71" t="str">
        <f>IFERROR(__xludf.DUMMYFUNCTION("""COMPUTED_VALUE"""),"A peer-reviewed journal article")</f>
        <v>A peer-reviewed journal article</v>
      </c>
      <c r="J3" s="71" t="str">
        <f>IFERROR(__xludf.DUMMYFUNCTION("""COMPUTED_VALUE"""),"Only the title")</f>
        <v>Only the title</v>
      </c>
      <c r="K3" s="71" t="str">
        <f>IFERROR(__xludf.DUMMYFUNCTION("""COMPUTED_VALUE"""),"Specific and testable")</f>
        <v>Specific and testable</v>
      </c>
      <c r="L3" s="71" t="str">
        <f>IFERROR(__xludf.DUMMYFUNCTION("""COMPUTED_VALUE"""),"Question, Hypothesis, Experiment, Analysis, Conclusion")</f>
        <v>Question, Hypothesis, Experiment, Analysis, Conclusion</v>
      </c>
      <c r="M3" s="71" t="str">
        <f>IFERROR(__xludf.DUMMYFUNCTION("""COMPUTED_VALUE"""),"yes")</f>
        <v>yes</v>
      </c>
      <c r="N3" s="71" t="str">
        <f>IFERROR(__xludf.DUMMYFUNCTION("""COMPUTED_VALUE"""),"no like no views")</f>
        <v>no like no views</v>
      </c>
      <c r="O3" s="71" t="str">
        <f>IFERROR(__xludf.DUMMYFUNCTION("""COMPUTED_VALUE"""),"no")</f>
        <v>no</v>
      </c>
      <c r="P3" s="129">
        <f>IFERROR(__xludf.DUMMYFUNCTION("""COMPUTED_VALUE"""),30.0)</f>
        <v>30</v>
      </c>
      <c r="Q3" s="71"/>
      <c r="R3" s="71"/>
      <c r="S3" s="71"/>
      <c r="T3" s="71"/>
      <c r="U3" s="71"/>
      <c r="V3" s="71"/>
    </row>
    <row r="4">
      <c r="A4" s="128">
        <f>IFERROR(__xludf.DUMMYFUNCTION("""COMPUTED_VALUE"""),45936.48727667824)</f>
        <v>45936.48728</v>
      </c>
      <c r="B4" s="71" t="str">
        <f>IFERROR(__xludf.DUMMYFUNCTION("""COMPUTED_VALUE"""),"maya.monroy@kairosacademies.org")</f>
        <v>maya.monroy@kairosacademies.org</v>
      </c>
      <c r="C4" s="71"/>
      <c r="D4" s="71" t="str">
        <f>IFERROR(__xludf.DUMMYFUNCTION("""COMPUTED_VALUE"""),"Claim, Evidence, Reasoning")</f>
        <v>Claim, Evidence, Reasoning</v>
      </c>
      <c r="E4" s="71" t="str">
        <f>IFERROR(__xludf.DUMMYFUNCTION("""COMPUTED_VALUE"""),"Reasoning")</f>
        <v>Reasoning</v>
      </c>
      <c r="F4" s="71" t="str">
        <f>IFERROR(__xludf.DUMMYFUNCTION("""COMPUTED_VALUE"""),"Your opinion")</f>
        <v>Your opinion</v>
      </c>
      <c r="G4" s="71" t="str">
        <f>IFERROR(__xludf.DUMMYFUNCTION("""COMPUTED_VALUE"""),"How evidence supports your claim")</f>
        <v>How evidence supports your claim</v>
      </c>
      <c r="H4" s="71" t="str">
        <f>IFERROR(__xludf.DUMMYFUNCTION("""COMPUTED_VALUE"""),"Search, Identify, Find, Test")</f>
        <v>Search, Identify, Find, Test</v>
      </c>
      <c r="I4" s="71" t="str">
        <f>IFERROR(__xludf.DUMMYFUNCTION("""COMPUTED_VALUE"""),"A peer-reviewed journal article")</f>
        <v>A peer-reviewed journal article</v>
      </c>
      <c r="J4" s="71" t="str">
        <f>IFERROR(__xludf.DUMMYFUNCTION("""COMPUTED_VALUE"""),"The website color scheme")</f>
        <v>The website color scheme</v>
      </c>
      <c r="K4" s="71" t="str">
        <f>IFERROR(__xludf.DUMMYFUNCTION("""COMPUTED_VALUE"""),"Specific and testable")</f>
        <v>Specific and testable</v>
      </c>
      <c r="L4" s="71" t="str">
        <f>IFERROR(__xludf.DUMMYFUNCTION("""COMPUTED_VALUE"""),"Question, Hypothesis, Experiment, Analysis, Conclusion")</f>
        <v>Question, Hypothesis, Experiment, Analysis, Conclusion</v>
      </c>
      <c r="M4" s="71" t="str">
        <f>IFERROR(__xludf.DUMMYFUNCTION("""COMPUTED_VALUE"""),"a claim is the water is helping the seeds grow healthy.")</f>
        <v>a claim is the water is helping the seeds grow healthy.</v>
      </c>
      <c r="N4" s="71" t="str">
        <f>IFERROR(__xludf.DUMMYFUNCTION("""COMPUTED_VALUE"""),"two problems is fruit is sweet so its not that healthy two is they also contain sugar.")</f>
        <v>two problems is fruit is sweet so its not that healthy two is they also contain sugar.</v>
      </c>
      <c r="O4" s="71" t="str">
        <f>IFERROR(__xludf.DUMMYFUNCTION("""COMPUTED_VALUE"""),"exercise improves muscle memory")</f>
        <v>exercise improves muscle memory</v>
      </c>
      <c r="P4" s="129">
        <f>IFERROR(__xludf.DUMMYFUNCTION("""COMPUTED_VALUE"""),25.0)</f>
        <v>25</v>
      </c>
      <c r="Q4" s="71"/>
      <c r="R4" s="71"/>
      <c r="S4" s="71"/>
      <c r="T4" s="71"/>
      <c r="U4" s="71"/>
      <c r="V4" s="71"/>
    </row>
    <row r="5">
      <c r="A5" s="128">
        <f>IFERROR(__xludf.DUMMYFUNCTION("""COMPUTED_VALUE"""),45936.48767135417)</f>
        <v>45936.48767</v>
      </c>
      <c r="B5" s="71" t="str">
        <f>IFERROR(__xludf.DUMMYFUNCTION("""COMPUTED_VALUE"""),"myka.blassingame@kairosacademies.org")</f>
        <v>myka.blassingame@kairosacademies.org</v>
      </c>
      <c r="C5" s="71"/>
      <c r="D5" s="71" t="str">
        <f>IFERROR(__xludf.DUMMYFUNCTION("""COMPUTED_VALUE"""),"Compare, Evaluate, Respond")</f>
        <v>Compare, Evaluate, Respond</v>
      </c>
      <c r="E5" s="71" t="str">
        <f>IFERROR(__xludf.DUMMYFUNCTION("""COMPUTED_VALUE"""),"Evidence")</f>
        <v>Evidence</v>
      </c>
      <c r="F5" s="71" t="str">
        <f>IFERROR(__xludf.DUMMYFUNCTION("""COMPUTED_VALUE"""),"Specific data and observations")</f>
        <v>Specific data and observations</v>
      </c>
      <c r="G5" s="71" t="str">
        <f>IFERROR(__xludf.DUMMYFUNCTION("""COMPUTED_VALUE"""),"How evidence supports your claim")</f>
        <v>How evidence supports your claim</v>
      </c>
      <c r="H5" s="71" t="str">
        <f>IFERROR(__xludf.DUMMYFUNCTION("""COMPUTED_VALUE"""),"Search, Identify, Find, Test")</f>
        <v>Search, Identify, Find, Test</v>
      </c>
      <c r="I5" s="71" t="str">
        <f>IFERROR(__xludf.DUMMYFUNCTION("""COMPUTED_VALUE"""),"A peer-reviewed journal article")</f>
        <v>A peer-reviewed journal article</v>
      </c>
      <c r="J5" s="71" t="str">
        <f>IFERROR(__xludf.DUMMYFUNCTION("""COMPUTED_VALUE"""),"Who created it and their credentials")</f>
        <v>Who created it and their credentials</v>
      </c>
      <c r="K5" s="71" t="str">
        <f>IFERROR(__xludf.DUMMYFUNCTION("""COMPUTED_VALUE"""),"Specific and testable")</f>
        <v>Specific and testable</v>
      </c>
      <c r="L5" s="71" t="str">
        <f>IFERROR(__xludf.DUMMYFUNCTION("""COMPUTED_VALUE"""),"Question, Hypothesis, Experiment, Analysis, Conclusion")</f>
        <v>Question, Hypothesis, Experiment, Analysis, Conclusion</v>
      </c>
      <c r="M5" s="71" t="str">
        <f>IFERROR(__xludf.DUMMYFUNCTION("""COMPUTED_VALUE"""),"Plants  near the  window gets more  sunlight that the plants in the  corner")</f>
        <v>Plants  near the  window gets more  sunlight that the plants in the  corner</v>
      </c>
      <c r="N5" s="71" t="str">
        <f>IFERROR(__xludf.DUMMYFUNCTION("""COMPUTED_VALUE"""),"TikTok made the statement and Tiktok is not and  expert in  food  so they do not know if only eating  fruit  is  healthy")</f>
        <v>TikTok made the statement and Tiktok is not and  expert in  food  so they do not know if only eating  fruit  is  healthy</v>
      </c>
      <c r="O5" s="71" t="str">
        <f>IFERROR(__xludf.DUMMYFUNCTION("""COMPUTED_VALUE"""),"Exercising improves memory my  evidence  is  that  the blood flow  and  oxygen  triggers  the  brain that helps  the  brain improves memory because the  exercise helps  you get more oxygen and a better  blood flow.")</f>
        <v>Exercising improves memory my  evidence  is  that  the blood flow  and  oxygen  triggers  the  brain that helps  the  brain improves memory because the  exercise helps  you get more oxygen and a better  blood flow.</v>
      </c>
      <c r="P5" s="129">
        <f>IFERROR(__xludf.DUMMYFUNCTION("""COMPUTED_VALUE"""),30.0)</f>
        <v>30</v>
      </c>
      <c r="Q5" s="71"/>
      <c r="R5" s="71"/>
      <c r="S5" s="71"/>
      <c r="T5" s="71"/>
      <c r="U5" s="71"/>
      <c r="V5" s="71"/>
    </row>
    <row r="6">
      <c r="A6" s="128">
        <f>IFERROR(__xludf.DUMMYFUNCTION("""COMPUTED_VALUE"""),45936.48915045139)</f>
        <v>45936.48915</v>
      </c>
      <c r="B6" s="71" t="str">
        <f>IFERROR(__xludf.DUMMYFUNCTION("""COMPUTED_VALUE"""),"jacob.hardy@kairosacademies.org")</f>
        <v>jacob.hardy@kairosacademies.org</v>
      </c>
      <c r="C6" s="71"/>
      <c r="D6" s="71" t="str">
        <f>IFERROR(__xludf.DUMMYFUNCTION("""COMPUTED_VALUE"""),"Claim, Evidence, Reasoning")</f>
        <v>Claim, Evidence, Reasoning</v>
      </c>
      <c r="E6" s="71" t="str">
        <f>IFERROR(__xludf.DUMMYFUNCTION("""COMPUTED_VALUE"""),"Evidence")</f>
        <v>Evidence</v>
      </c>
      <c r="F6" s="71" t="str">
        <f>IFERROR(__xludf.DUMMYFUNCTION("""COMPUTED_VALUE"""),"Specific data and observations")</f>
        <v>Specific data and observations</v>
      </c>
      <c r="G6" s="71" t="str">
        <f>IFERROR(__xludf.DUMMYFUNCTION("""COMPUTED_VALUE"""),"How evidence supports your claim")</f>
        <v>How evidence supports your claim</v>
      </c>
      <c r="H6" s="71" t="str">
        <f>IFERROR(__xludf.DUMMYFUNCTION("""COMPUTED_VALUE"""),"Stop, Investigate, Find better, Trace claims")</f>
        <v>Stop, Investigate, Find better, Trace claims</v>
      </c>
      <c r="I6" s="71" t="str">
        <f>IFERROR(__xludf.DUMMYFUNCTION("""COMPUTED_VALUE"""),"A peer-reviewed journal article")</f>
        <v>A peer-reviewed journal article</v>
      </c>
      <c r="J6" s="71" t="str">
        <f>IFERROR(__xludf.DUMMYFUNCTION("""COMPUTED_VALUE"""),"Who created it and their credentials")</f>
        <v>Who created it and their credentials</v>
      </c>
      <c r="K6" s="71" t="str">
        <f>IFERROR(__xludf.DUMMYFUNCTION("""COMPUTED_VALUE"""),"Specific and testable")</f>
        <v>Specific and testable</v>
      </c>
      <c r="L6" s="71" t="str">
        <f>IFERROR(__xludf.DUMMYFUNCTION("""COMPUTED_VALUE"""),"Question, Hypothesis, Experiment, Analysis, Conclusion")</f>
        <v>Question, Hypothesis, Experiment, Analysis, Conclusion</v>
      </c>
      <c r="M6" s="71" t="str">
        <f>IFERROR(__xludf.DUMMYFUNCTION("""COMPUTED_VALUE"""),"The plants in the window grow faster because it gets more sunlight")</f>
        <v>The plants in the window grow faster because it gets more sunlight</v>
      </c>
      <c r="N6" s="71" t="str">
        <f>IFERROR(__xludf.DUMMYFUNCTION("""COMPUTED_VALUE"""),"Some fruits have a lot of sugar.  eating something without moderation is always unhealthy")</f>
        <v>Some fruits have a lot of sugar.  eating something without moderation is always unhealthy</v>
      </c>
      <c r="O6" s="71" t="str">
        <f>IFERROR(__xludf.DUMMYFUNCTION("""COMPUTED_VALUE"""),"execrsizeing provides a clearer mind")</f>
        <v>execrsizeing provides a clearer mind</v>
      </c>
      <c r="P6" s="129">
        <f>IFERROR(__xludf.DUMMYFUNCTION("""COMPUTED_VALUE"""),40.0)</f>
        <v>40</v>
      </c>
      <c r="Q6" s="71"/>
      <c r="R6" s="71"/>
      <c r="S6" s="71"/>
      <c r="T6" s="71"/>
      <c r="U6" s="71"/>
      <c r="V6" s="71"/>
    </row>
    <row r="7">
      <c r="A7" s="128">
        <f>IFERROR(__xludf.DUMMYFUNCTION("""COMPUTED_VALUE"""),45936.63831892361)</f>
        <v>45936.63832</v>
      </c>
      <c r="B7" s="71" t="str">
        <f>IFERROR(__xludf.DUMMYFUNCTION("""COMPUTED_VALUE"""),"enu.mensah-fisher@kairosacademies.org")</f>
        <v>enu.mensah-fisher@kairosacademies.org</v>
      </c>
      <c r="C7" s="71"/>
      <c r="D7" s="71" t="str">
        <f>IFERROR(__xludf.DUMMYFUNCTION("""COMPUTED_VALUE"""),"Claim, Evidence, Reasoning")</f>
        <v>Claim, Evidence, Reasoning</v>
      </c>
      <c r="E7" s="71" t="str">
        <f>IFERROR(__xludf.DUMMYFUNCTION("""COMPUTED_VALUE"""),"Claim")</f>
        <v>Claim</v>
      </c>
      <c r="F7" s="71" t="str">
        <f>IFERROR(__xludf.DUMMYFUNCTION("""COMPUTED_VALUE"""),"General statements")</f>
        <v>General statements</v>
      </c>
      <c r="G7" s="71" t="str">
        <f>IFERROR(__xludf.DUMMYFUNCTION("""COMPUTED_VALUE"""),"How evidence supports your claim")</f>
        <v>How evidence supports your claim</v>
      </c>
      <c r="H7" s="71" t="str">
        <f>IFERROR(__xludf.DUMMYFUNCTION("""COMPUTED_VALUE"""),"Select, Inspect, Format, Type")</f>
        <v>Select, Inspect, Format, Type</v>
      </c>
      <c r="I7" s="71" t="str">
        <f>IFERROR(__xludf.DUMMYFUNCTION("""COMPUTED_VALUE"""),"A peer-reviewed journal article")</f>
        <v>A peer-reviewed journal article</v>
      </c>
      <c r="J7" s="71" t="str">
        <f>IFERROR(__xludf.DUMMYFUNCTION("""COMPUTED_VALUE"""),"The website color scheme")</f>
        <v>The website color scheme</v>
      </c>
      <c r="K7" s="71" t="str">
        <f>IFERROR(__xludf.DUMMYFUNCTION("""COMPUTED_VALUE"""),"Based on personal feelings")</f>
        <v>Based on personal feelings</v>
      </c>
      <c r="L7" s="71" t="str">
        <f>IFERROR(__xludf.DUMMYFUNCTION("""COMPUTED_VALUE"""),"Hypothesis, Conclusion, Question")</f>
        <v>Hypothesis, Conclusion, Question</v>
      </c>
      <c r="M7" s="71" t="str">
        <f>IFERROR(__xludf.DUMMYFUNCTION("""COMPUTED_VALUE"""),"the sun changing and the inverment")</f>
        <v>the sun changing and the inverment</v>
      </c>
      <c r="N7" s="71" t="str">
        <f>IFERROR(__xludf.DUMMYFUNCTION("""COMPUTED_VALUE"""),"we need protein . vegtable")</f>
        <v>we need protein . vegtable</v>
      </c>
      <c r="O7" s="71" t="str">
        <f>IFERROR(__xludf.DUMMYFUNCTION("""COMPUTED_VALUE"""),"you need it so your heart wont stop")</f>
        <v>you need it so your heart wont stop</v>
      </c>
      <c r="P7" s="129">
        <f>IFERROR(__xludf.DUMMYFUNCTION("""COMPUTED_VALUE"""),20.0)</f>
        <v>20</v>
      </c>
      <c r="Q7" s="71"/>
      <c r="R7" s="71"/>
      <c r="S7" s="71"/>
      <c r="T7" s="71"/>
      <c r="U7" s="71"/>
      <c r="V7" s="71"/>
    </row>
    <row r="8">
      <c r="A8" s="128">
        <f>IFERROR(__xludf.DUMMYFUNCTION("""COMPUTED_VALUE"""),45936.640034629636)</f>
        <v>45936.64003</v>
      </c>
      <c r="B8" s="71" t="str">
        <f>IFERROR(__xludf.DUMMYFUNCTION("""COMPUTED_VALUE"""),"jayceon.lakes@kairosacademies.org")</f>
        <v>jayceon.lakes@kairosacademies.org</v>
      </c>
      <c r="C8" s="71"/>
      <c r="D8" s="71" t="str">
        <f>IFERROR(__xludf.DUMMYFUNCTION("""COMPUTED_VALUE"""),"Compare, Evaluate, Respond")</f>
        <v>Compare, Evaluate, Respond</v>
      </c>
      <c r="E8" s="71" t="str">
        <f>IFERROR(__xludf.DUMMYFUNCTION("""COMPUTED_VALUE"""),"All parts together")</f>
        <v>All parts together</v>
      </c>
      <c r="F8" s="71" t="str">
        <f>IFERROR(__xludf.DUMMYFUNCTION("""COMPUTED_VALUE"""),"Specific data and observations")</f>
        <v>Specific data and observations</v>
      </c>
      <c r="G8" s="71" t="str">
        <f>IFERROR(__xludf.DUMMYFUNCTION("""COMPUTED_VALUE"""),"Why you chose your topic")</f>
        <v>Why you chose your topic</v>
      </c>
      <c r="H8" s="71" t="str">
        <f>IFERROR(__xludf.DUMMYFUNCTION("""COMPUTED_VALUE"""),"Search, Identify, Find, Test")</f>
        <v>Search, Identify, Find, Test</v>
      </c>
      <c r="I8" s="71" t="str">
        <f>IFERROR(__xludf.DUMMYFUNCTION("""COMPUTED_VALUE"""),"Social media post")</f>
        <v>Social media post</v>
      </c>
      <c r="J8" s="71" t="str">
        <f>IFERROR(__xludf.DUMMYFUNCTION("""COMPUTED_VALUE"""),"Who created it and their credentials")</f>
        <v>Who created it and their credentials</v>
      </c>
      <c r="K8" s="71" t="str">
        <f>IFERROR(__xludf.DUMMYFUNCTION("""COMPUTED_VALUE"""),"Based on personal feelings")</f>
        <v>Based on personal feelings</v>
      </c>
      <c r="L8" s="71" t="str">
        <f>IFERROR(__xludf.DUMMYFUNCTION("""COMPUTED_VALUE"""),"Experiment, Question, Conclusion")</f>
        <v>Experiment, Question, Conclusion</v>
      </c>
      <c r="M8" s="71" t="str">
        <f>IFERROR(__xludf.DUMMYFUNCTION("""COMPUTED_VALUE"""),"they  need sun  light and water")</f>
        <v>they  need sun  light and water</v>
      </c>
      <c r="N8" s="71" t="str">
        <f>IFERROR(__xludf.DUMMYFUNCTION("""COMPUTED_VALUE"""),"first looking at something on the net  and thinking it's true and believing it 2 one not looking up it to see if it support what they says.")</f>
        <v>first looking at something on the net  and thinking it's true and believing it 2 one not looking up it to see if it support what they says.</v>
      </c>
      <c r="O8" s="71" t="str">
        <f>IFERROR(__xludf.DUMMYFUNCTION("""COMPUTED_VALUE"""),"because  they help  relax your brain and calm your body.")</f>
        <v>because  they help  relax your brain and calm your body.</v>
      </c>
      <c r="P8" s="129">
        <f>IFERROR(__xludf.DUMMYFUNCTION("""COMPUTED_VALUE"""),10.0)</f>
        <v>10</v>
      </c>
      <c r="Q8" s="71"/>
      <c r="R8" s="71"/>
      <c r="S8" s="71"/>
      <c r="T8" s="71"/>
      <c r="U8" s="71"/>
      <c r="V8" s="71"/>
    </row>
    <row r="9">
      <c r="A9" s="128">
        <f>IFERROR(__xludf.DUMMYFUNCTION("""COMPUTED_VALUE"""),45936.6414015162)</f>
        <v>45936.6414</v>
      </c>
      <c r="B9" s="71" t="str">
        <f>IFERROR(__xludf.DUMMYFUNCTION("""COMPUTED_VALUE"""),"king.bell@kairosacademies.org")</f>
        <v>king.bell@kairosacademies.org</v>
      </c>
      <c r="C9" s="71"/>
      <c r="D9" s="71" t="str">
        <f>IFERROR(__xludf.DUMMYFUNCTION("""COMPUTED_VALUE"""),"Claim, Evidence, Reasoning")</f>
        <v>Claim, Evidence, Reasoning</v>
      </c>
      <c r="E9" s="71" t="str">
        <f>IFERROR(__xludf.DUMMYFUNCTION("""COMPUTED_VALUE"""),"Evidence")</f>
        <v>Evidence</v>
      </c>
      <c r="F9" s="71" t="str">
        <f>IFERROR(__xludf.DUMMYFUNCTION("""COMPUTED_VALUE"""),"Specific data and observations")</f>
        <v>Specific data and observations</v>
      </c>
      <c r="G9" s="71" t="str">
        <f>IFERROR(__xludf.DUMMYFUNCTION("""COMPUTED_VALUE"""),"How evidence supports your claim")</f>
        <v>How evidence supports your claim</v>
      </c>
      <c r="H9" s="71" t="str">
        <f>IFERROR(__xludf.DUMMYFUNCTION("""COMPUTED_VALUE"""),"Stop, Investigate, Find better, Trace claims")</f>
        <v>Stop, Investigate, Find better, Trace claims</v>
      </c>
      <c r="I9" s="71" t="str">
        <f>IFERROR(__xludf.DUMMYFUNCTION("""COMPUTED_VALUE"""),"A peer-reviewed journal article")</f>
        <v>A peer-reviewed journal article</v>
      </c>
      <c r="J9" s="71" t="str">
        <f>IFERROR(__xludf.DUMMYFUNCTION("""COMPUTED_VALUE"""),"Who created it and their credentials")</f>
        <v>Who created it and their credentials</v>
      </c>
      <c r="K9" s="71" t="str">
        <f>IFERROR(__xludf.DUMMYFUNCTION("""COMPUTED_VALUE"""),"Specific and testable")</f>
        <v>Specific and testable</v>
      </c>
      <c r="L9" s="71" t="str">
        <f>IFERROR(__xludf.DUMMYFUNCTION("""COMPUTED_VALUE"""),"Question, Hypothesis, Experiment, Analysis, Conclusion")</f>
        <v>Question, Hypothesis, Experiment, Analysis, Conclusion</v>
      </c>
      <c r="M9" s="71" t="str">
        <f>IFERROR(__xludf.DUMMYFUNCTION("""COMPUTED_VALUE"""),"My claim is that the information is true, because when near a window on a sunny day the plant can get sunlight and air and grow if its treated right.")</f>
        <v>My claim is that the information is true, because when near a window on a sunny day the plant can get sunlight and air and grow if its treated right.</v>
      </c>
      <c r="N9" s="71" t="str">
        <f>IFERROR(__xludf.DUMMYFUNCTION("""COMPUTED_VALUE"""),"I can identify the claim is not true. 1. fruit is not the only thing healthy. For example vegetables and etc. 2. Drinks and different foods of wheat.")</f>
        <v>I can identify the claim is not true. 1. fruit is not the only thing healthy. For example vegetables and etc. 2. Drinks and different foods of wheat.</v>
      </c>
      <c r="O9" s="71" t="str">
        <f>IFERROR(__xludf.DUMMYFUNCTION("""COMPUTED_VALUE"""),"I can confirm exercise improves memory because based on research it tells me 'Cognitive functions, such as working memory (WM) and attention, have been shown to benefit from physical exercise. Quantifying frequency-band-specific neural oscillatory pattern"&amp;"s during the use of such cognitive functions can provide insight into exercise-induced benefits in the brain''")</f>
        <v>I can confirm exercise improves memory because based on research it tells me 'Cognitive functions, such as working memory (WM) and attention, have been shown to benefit from physical exercise. Quantifying frequency-band-specific neural oscillatory patterns during the use of such cognitive functions can provide insight into exercise-induced benefits in the brain''</v>
      </c>
      <c r="P9" s="129">
        <f>IFERROR(__xludf.DUMMYFUNCTION("""COMPUTED_VALUE"""),40.0)</f>
        <v>40</v>
      </c>
      <c r="Q9" s="71"/>
      <c r="R9" s="71"/>
      <c r="S9" s="71"/>
      <c r="T9" s="71"/>
      <c r="U9" s="71"/>
      <c r="V9" s="71"/>
    </row>
    <row r="10">
      <c r="A10" s="128">
        <f>IFERROR(__xludf.DUMMYFUNCTION("""COMPUTED_VALUE"""),45936.65083120371)</f>
        <v>45936.65083</v>
      </c>
      <c r="B10" s="71" t="str">
        <f>IFERROR(__xludf.DUMMYFUNCTION("""COMPUTED_VALUE"""),"soren.poe@kairosacademies.org")</f>
        <v>soren.poe@kairosacademies.org</v>
      </c>
      <c r="C10" s="71"/>
      <c r="D10" s="71" t="str">
        <f>IFERROR(__xludf.DUMMYFUNCTION("""COMPUTED_VALUE"""),"Claim, Evidence, Reasoning")</f>
        <v>Claim, Evidence, Reasoning</v>
      </c>
      <c r="E10" s="71" t="str">
        <f>IFERROR(__xludf.DUMMYFUNCTION("""COMPUTED_VALUE"""),"Claim")</f>
        <v>Claim</v>
      </c>
      <c r="F10" s="71" t="str">
        <f>IFERROR(__xludf.DUMMYFUNCTION("""COMPUTED_VALUE"""),"Specific data and observations")</f>
        <v>Specific data and observations</v>
      </c>
      <c r="G10" s="71" t="str">
        <f>IFERROR(__xludf.DUMMYFUNCTION("""COMPUTED_VALUE"""),"How evidence supports your claim")</f>
        <v>How evidence supports your claim</v>
      </c>
      <c r="H10" s="71" t="str">
        <f>IFERROR(__xludf.DUMMYFUNCTION("""COMPUTED_VALUE"""),"Search, Identify, Find, Test")</f>
        <v>Search, Identify, Find, Test</v>
      </c>
      <c r="I10" s="71" t="str">
        <f>IFERROR(__xludf.DUMMYFUNCTION("""COMPUTED_VALUE"""),"A peer-reviewed journal article")</f>
        <v>A peer-reviewed journal article</v>
      </c>
      <c r="J10" s="71" t="str">
        <f>IFERROR(__xludf.DUMMYFUNCTION("""COMPUTED_VALUE"""),"Who created it and their credentials")</f>
        <v>Who created it and their credentials</v>
      </c>
      <c r="K10" s="71" t="str">
        <f>IFERROR(__xludf.DUMMYFUNCTION("""COMPUTED_VALUE"""),"Specific and testable")</f>
        <v>Specific and testable</v>
      </c>
      <c r="L10" s="71" t="str">
        <f>IFERROR(__xludf.DUMMYFUNCTION("""COMPUTED_VALUE"""),"Question, Hypothesis, Experiment, Analysis, Conclusion")</f>
        <v>Question, Hypothesis, Experiment, Analysis, Conclusion</v>
      </c>
      <c r="M10" s="71" t="str">
        <f>IFERROR(__xludf.DUMMYFUNCTION("""COMPUTED_VALUE"""),"The plants near the window grow faster because the sun shines on them.")</f>
        <v>The plants near the window grow faster because the sun shines on them.</v>
      </c>
      <c r="N10" s="71" t="str">
        <f>IFERROR(__xludf.DUMMYFUNCTION("""COMPUTED_VALUE"""),"A problem with this source is that it is multiple people on the app so people can make up lies. The people on the app could be unreliable sources.")</f>
        <v>A problem with this source is that it is multiple people on the app so people can make up lies. The people on the app could be unreliable sources.</v>
      </c>
      <c r="O10" s="71" t="str">
        <f>IFERROR(__xludf.DUMMYFUNCTION("""COMPUTED_VALUE"""),"The National  Institutes of Health claims that ""both acute and chronic exercise improve memory function (I couldn't get on the website).")</f>
        <v>The National  Institutes of Health claims that "both acute and chronic exercise improve memory function (I couldn't get on the website).</v>
      </c>
      <c r="P10" s="129">
        <f>IFERROR(__xludf.DUMMYFUNCTION("""COMPUTED_VALUE"""),40.0)</f>
        <v>40</v>
      </c>
      <c r="Q10" s="71"/>
      <c r="R10" s="71"/>
      <c r="S10" s="71"/>
      <c r="T10" s="71"/>
      <c r="U10" s="71"/>
      <c r="V10" s="71"/>
    </row>
    <row r="11">
      <c r="A11" s="128">
        <f>IFERROR(__xludf.DUMMYFUNCTION("""COMPUTED_VALUE"""),45937.42593982638)</f>
        <v>45937.42594</v>
      </c>
      <c r="B11" s="71" t="str">
        <f>IFERROR(__xludf.DUMMYFUNCTION("""COMPUTED_VALUE"""),"taylor.horton@kairosacademies.org")</f>
        <v>taylor.horton@kairosacademies.org</v>
      </c>
      <c r="C11" s="71"/>
      <c r="D11" s="71" t="str">
        <f>IFERROR(__xludf.DUMMYFUNCTION("""COMPUTED_VALUE"""),"Claim, Evidence, Reasoning")</f>
        <v>Claim, Evidence, Reasoning</v>
      </c>
      <c r="E11" s="71" t="str">
        <f>IFERROR(__xludf.DUMMYFUNCTION("""COMPUTED_VALUE"""),"Reasoning")</f>
        <v>Reasoning</v>
      </c>
      <c r="F11" s="71" t="str">
        <f>IFERROR(__xludf.DUMMYFUNCTION("""COMPUTED_VALUE"""),"Specific data and observations")</f>
        <v>Specific data and observations</v>
      </c>
      <c r="G11" s="71" t="str">
        <f>IFERROR(__xludf.DUMMYFUNCTION("""COMPUTED_VALUE"""),"How evidence supports your claim")</f>
        <v>How evidence supports your claim</v>
      </c>
      <c r="H11" s="71" t="str">
        <f>IFERROR(__xludf.DUMMYFUNCTION("""COMPUTED_VALUE"""),"Search, Identify, Find, Test")</f>
        <v>Search, Identify, Find, Test</v>
      </c>
      <c r="I11" s="71" t="str">
        <f>IFERROR(__xludf.DUMMYFUNCTION("""COMPUTED_VALUE"""),"A peer-reviewed journal article")</f>
        <v>A peer-reviewed journal article</v>
      </c>
      <c r="J11" s="71" t="str">
        <f>IFERROR(__xludf.DUMMYFUNCTION("""COMPUTED_VALUE"""),"Who created it and their credentials")</f>
        <v>Who created it and their credentials</v>
      </c>
      <c r="K11" s="71" t="str">
        <f>IFERROR(__xludf.DUMMYFUNCTION("""COMPUTED_VALUE"""),"Specific and testable")</f>
        <v>Specific and testable</v>
      </c>
      <c r="L11" s="71" t="str">
        <f>IFERROR(__xludf.DUMMYFUNCTION("""COMPUTED_VALUE"""),"Question, Hypothesis, Experiment, Analysis, Conclusion")</f>
        <v>Question, Hypothesis, Experiment, Analysis, Conclusion</v>
      </c>
      <c r="M11" s="71" t="str">
        <f>IFERROR(__xludf.DUMMYFUNCTION("""COMPUTED_VALUE"""),"the plant grows faster cause it has more sun")</f>
        <v>the plant grows faster cause it has more sun</v>
      </c>
      <c r="N11" s="71" t="str">
        <f>IFERROR(__xludf.DUMMYFUNCTION("""COMPUTED_VALUE"""),"TikTok is not the best source of help ,this person is not an expert where is theyre degree")</f>
        <v>TikTok is not the best source of help ,this person is not an expert where is theyre degree</v>
      </c>
      <c r="O11" s="71" t="str">
        <f>IFERROR(__xludf.DUMMYFUNCTION("""COMPUTED_VALUE"""),"exercise has brain benefits too. Many studies have suggested that the parts of the brain that control thinking and memory are larger in volume in people who exercise than in people who don't. One finding is that engaging in a program of regular exercise o"&amp;"f moderate intensity over six months or a year is associated with an increase in the volume of selected brain regions.
Exercise can also boost memory and thinking indirectly by improving mood and sleep, and by reducing stress and anxiety. Problems in thes"&amp;"e areas frequently cause or contribute to cognitive impairment. so yes it can help ,boost memory and other physical and mental issuses")</f>
        <v>exercise has brain benefits too. Many studies have suggested that the parts of the brain that control thinking and memory are larger in volume in people who exercise than in people who don't. One finding is that engaging in a program of regular exercise of moderate intensity over six months or a year is associated with an increase in the volume of selected brain regions.
Exercise can also boost memory and thinking indirectly by improving mood and sleep, and by reducing stress and anxiety. Problems in these areas frequently cause or contribute to cognitive impairment. so yes it can help ,boost memory and other physical and mental issuses</v>
      </c>
      <c r="P11" s="129">
        <f>IFERROR(__xludf.DUMMYFUNCTION("""COMPUTED_VALUE"""),35.0)</f>
        <v>35</v>
      </c>
      <c r="Q11" s="71"/>
      <c r="R11" s="71"/>
      <c r="S11" s="71"/>
      <c r="T11" s="71"/>
      <c r="U11" s="71"/>
      <c r="V11" s="71"/>
    </row>
    <row r="12">
      <c r="A12" s="128">
        <f>IFERROR(__xludf.DUMMYFUNCTION("""COMPUTED_VALUE"""),45937.42762840277)</f>
        <v>45937.42763</v>
      </c>
      <c r="B12" s="71" t="str">
        <f>IFERROR(__xludf.DUMMYFUNCTION("""COMPUTED_VALUE"""),"mya.frazier@kairosacademies.org")</f>
        <v>mya.frazier@kairosacademies.org</v>
      </c>
      <c r="C12" s="71"/>
      <c r="D12" s="71" t="str">
        <f>IFERROR(__xludf.DUMMYFUNCTION("""COMPUTED_VALUE"""),"Claim, Evidence, Reasoning")</f>
        <v>Claim, Evidence, Reasoning</v>
      </c>
      <c r="E12" s="71" t="str">
        <f>IFERROR(__xludf.DUMMYFUNCTION("""COMPUTED_VALUE"""),"All parts together")</f>
        <v>All parts together</v>
      </c>
      <c r="F12" s="71" t="str">
        <f>IFERROR(__xludf.DUMMYFUNCTION("""COMPUTED_VALUE"""),"Specific data and observations")</f>
        <v>Specific data and observations</v>
      </c>
      <c r="G12" s="71" t="str">
        <f>IFERROR(__xludf.DUMMYFUNCTION("""COMPUTED_VALUE"""),"How evidence supports your claim")</f>
        <v>How evidence supports your claim</v>
      </c>
      <c r="H12" s="71" t="str">
        <f>IFERROR(__xludf.DUMMYFUNCTION("""COMPUTED_VALUE"""),"Stop, Investigate, Find better, Trace claims")</f>
        <v>Stop, Investigate, Find better, Trace claims</v>
      </c>
      <c r="I12" s="71" t="str">
        <f>IFERROR(__xludf.DUMMYFUNCTION("""COMPUTED_VALUE"""),"A peer-reviewed journal article")</f>
        <v>A peer-reviewed journal article</v>
      </c>
      <c r="J12" s="71" t="str">
        <f>IFERROR(__xludf.DUMMYFUNCTION("""COMPUTED_VALUE"""),"Who created it and their credentials")</f>
        <v>Who created it and their credentials</v>
      </c>
      <c r="K12" s="71" t="str">
        <f>IFERROR(__xludf.DUMMYFUNCTION("""COMPUTED_VALUE"""),"Specific and testable")</f>
        <v>Specific and testable</v>
      </c>
      <c r="L12" s="71" t="str">
        <f>IFERROR(__xludf.DUMMYFUNCTION("""COMPUTED_VALUE"""),"Question, Hypothesis, Experiment, Analysis, Conclusion")</f>
        <v>Question, Hypothesis, Experiment, Analysis, Conclusion</v>
      </c>
      <c r="M12" s="71" t="str">
        <f>IFERROR(__xludf.DUMMYFUNCTION("""COMPUTED_VALUE"""),"I believe when a plant is not getting enough sunlight, it shifts its direction to the most place with the most sunlight coming from it. I know my claim is reasonable because, when I was in seventh grade, we learned a lot about plants. One of the things I "&amp;"learned was, that when a plant doesn't get enough sunlight, it shifts into a position where it can get sunlight.")</f>
        <v>I believe when a plant is not getting enough sunlight, it shifts its direction to the most place with the most sunlight coming from it. I know my claim is reasonable because, when I was in seventh grade, we learned a lot about plants. One of the things I learned was, that when a plant doesn't get enough sunlight, it shifts into a position where it can get sunlight.</v>
      </c>
      <c r="N12" s="71" t="str">
        <f>IFERROR(__xludf.DUMMYFUNCTION("""COMPUTED_VALUE"""),"TikTok is NOT a reliable source at all, people lie online all the time, and just because its a trend or whatever, doesn't mean its reaaliaabe because the app is popular.")</f>
        <v>TikTok is NOT a reliable source at all, people lie online all the time, and just because its a trend or whatever, doesn't mean its reaaliaabe because the app is popular.</v>
      </c>
      <c r="O12" s="71" t="str">
        <f>IFERROR(__xludf.DUMMYFUNCTION("""COMPUTED_VALUE"""),"There's this thing called muscle memory, the brain's ability to store and recall motor skills, allowing complex movements to become automatic with practice, and it involves both neural pathways and cellular changes, based off the https://med.stanford.edu/"&amp;"news/insights/2022/07/the-science-behind-muscle-memory.html. 
This website shows how muscle memory can be imroved through exercise.")</f>
        <v>There's this thing called muscle memory, the brain's ability to store and recall motor skills, allowing complex movements to become automatic with practice, and it involves both neural pathways and cellular changes, based off the https://med.stanford.edu/news/insights/2022/07/the-science-behind-muscle-memory.html. 
This website shows how muscle memory can be imroved through exercise.</v>
      </c>
      <c r="P12" s="129">
        <f>IFERROR(__xludf.DUMMYFUNCTION("""COMPUTED_VALUE"""),40.0)</f>
        <v>40</v>
      </c>
      <c r="Q12" s="71"/>
      <c r="R12" s="71"/>
      <c r="S12" s="71"/>
      <c r="T12" s="71"/>
      <c r="U12" s="71"/>
      <c r="V12" s="71"/>
    </row>
    <row r="13">
      <c r="A13" s="128">
        <f>IFERROR(__xludf.DUMMYFUNCTION("""COMPUTED_VALUE"""),45937.42941996528)</f>
        <v>45937.42942</v>
      </c>
      <c r="B13" s="71" t="str">
        <f>IFERROR(__xludf.DUMMYFUNCTION("""COMPUTED_VALUE"""),"henry.hardy@kairosacademies.org")</f>
        <v>henry.hardy@kairosacademies.org</v>
      </c>
      <c r="C13" s="71"/>
      <c r="D13" s="71" t="str">
        <f>IFERROR(__xludf.DUMMYFUNCTION("""COMPUTED_VALUE"""),"Claim, Evidence, Reasoning")</f>
        <v>Claim, Evidence, Reasoning</v>
      </c>
      <c r="E13" s="71" t="str">
        <f>IFERROR(__xludf.DUMMYFUNCTION("""COMPUTED_VALUE"""),"Evidence")</f>
        <v>Evidence</v>
      </c>
      <c r="F13" s="71" t="str">
        <f>IFERROR(__xludf.DUMMYFUNCTION("""COMPUTED_VALUE"""),"Specific data and observations")</f>
        <v>Specific data and observations</v>
      </c>
      <c r="G13" s="71" t="str">
        <f>IFERROR(__xludf.DUMMYFUNCTION("""COMPUTED_VALUE"""),"How evidence supports your claim")</f>
        <v>How evidence supports your claim</v>
      </c>
      <c r="H13" s="71" t="str">
        <f>IFERROR(__xludf.DUMMYFUNCTION("""COMPUTED_VALUE"""),"Search, Identify, Find, Test")</f>
        <v>Search, Identify, Find, Test</v>
      </c>
      <c r="I13" s="71" t="str">
        <f>IFERROR(__xludf.DUMMYFUNCTION("""COMPUTED_VALUE"""),"A personal blog")</f>
        <v>A personal blog</v>
      </c>
      <c r="J13" s="71" t="str">
        <f>IFERROR(__xludf.DUMMYFUNCTION("""COMPUTED_VALUE"""),"Who created it and their credentials")</f>
        <v>Who created it and their credentials</v>
      </c>
      <c r="K13" s="71" t="str">
        <f>IFERROR(__xludf.DUMMYFUNCTION("""COMPUTED_VALUE"""),"Specific and testable")</f>
        <v>Specific and testable</v>
      </c>
      <c r="L13" s="71" t="str">
        <f>IFERROR(__xludf.DUMMYFUNCTION("""COMPUTED_VALUE"""),"Question, Hypothesis, Experiment, Analysis, Conclusion")</f>
        <v>Question, Hypothesis, Experiment, Analysis, Conclusion</v>
      </c>
      <c r="M13" s="71" t="str">
        <f>IFERROR(__xludf.DUMMYFUNCTION("""COMPUTED_VALUE"""),"The ones in the window get more sun which is wye they grow faster.")</f>
        <v>The ones in the window get more sun which is wye they grow faster.</v>
      </c>
      <c r="N13" s="71" t="str">
        <f>IFERROR(__xludf.DUMMYFUNCTION("""COMPUTED_VALUE"""),"They don;t give you all the nutrients you need like protein and gluten. ")</f>
        <v>They don;t give you all the nutrients you need like protein and gluten. </v>
      </c>
      <c r="O13" s="71" t="str">
        <f>IFERROR(__xludf.DUMMYFUNCTION("""COMPUTED_VALUE"""),"It improves by making you memorize numbers. It helps cause if you get it wrong you start")</f>
        <v>It improves by making you memorize numbers. It helps cause if you get it wrong you start</v>
      </c>
      <c r="P13" s="129">
        <f>IFERROR(__xludf.DUMMYFUNCTION("""COMPUTED_VALUE"""),30.0)</f>
        <v>30</v>
      </c>
      <c r="Q13" s="71"/>
      <c r="R13" s="71"/>
      <c r="S13" s="71"/>
      <c r="T13" s="71"/>
      <c r="U13" s="71"/>
      <c r="V13" s="71"/>
    </row>
    <row r="14">
      <c r="A14" s="128">
        <f>IFERROR(__xludf.DUMMYFUNCTION("""COMPUTED_VALUE"""),45937.432031157405)</f>
        <v>45937.43203</v>
      </c>
      <c r="B14" s="71" t="str">
        <f>IFERROR(__xludf.DUMMYFUNCTION("""COMPUTED_VALUE"""),"conrad.guebert@kairosacademies.org")</f>
        <v>conrad.guebert@kairosacademies.org</v>
      </c>
      <c r="C14" s="71"/>
      <c r="D14" s="71" t="str">
        <f>IFERROR(__xludf.DUMMYFUNCTION("""COMPUTED_VALUE"""),"Claim, Evidence, Reasoning")</f>
        <v>Claim, Evidence, Reasoning</v>
      </c>
      <c r="E14" s="71" t="str">
        <f>IFERROR(__xludf.DUMMYFUNCTION("""COMPUTED_VALUE"""),"All parts together")</f>
        <v>All parts together</v>
      </c>
      <c r="F14" s="71" t="str">
        <f>IFERROR(__xludf.DUMMYFUNCTION("""COMPUTED_VALUE"""),"Specific data and observations")</f>
        <v>Specific data and observations</v>
      </c>
      <c r="G14" s="71" t="str">
        <f>IFERROR(__xludf.DUMMYFUNCTION("""COMPUTED_VALUE"""),"Why you chose your topic")</f>
        <v>Why you chose your topic</v>
      </c>
      <c r="H14" s="71" t="str">
        <f>IFERROR(__xludf.DUMMYFUNCTION("""COMPUTED_VALUE"""),"Sort, Include, Filter, Tag")</f>
        <v>Sort, Include, Filter, Tag</v>
      </c>
      <c r="I14" s="71" t="str">
        <f>IFERROR(__xludf.DUMMYFUNCTION("""COMPUTED_VALUE"""),"A commercial website")</f>
        <v>A commercial website</v>
      </c>
      <c r="J14" s="71" t="str">
        <f>IFERROR(__xludf.DUMMYFUNCTION("""COMPUTED_VALUE"""),"Who created it and their credentials")</f>
        <v>Who created it and their credentials</v>
      </c>
      <c r="K14" s="71" t="str">
        <f>IFERROR(__xludf.DUMMYFUNCTION("""COMPUTED_VALUE"""),"Specific and testable")</f>
        <v>Specific and testable</v>
      </c>
      <c r="L14" s="71" t="str">
        <f>IFERROR(__xludf.DUMMYFUNCTION("""COMPUTED_VALUE"""),"Question, Hypothesis, Experiment, Analysis, Conclusion")</f>
        <v>Question, Hypothesis, Experiment, Analysis, Conclusion</v>
      </c>
      <c r="M14" s="71" t="str">
        <f>IFERROR(__xludf.DUMMYFUNCTION("""COMPUTED_VALUE"""),"because the sunlight normally doesnt shine in the corner")</f>
        <v>because the sunlight normally doesnt shine in the corner</v>
      </c>
      <c r="N14" s="71" t="str">
        <f>IFERROR(__xludf.DUMMYFUNCTION("""COMPUTED_VALUE"""),"because it was found on tik tok and TikTok is not very credible source      ")</f>
        <v>because it was found on tik tok and TikTok is not very credible source      </v>
      </c>
      <c r="O14" s="71" t="str">
        <f>IFERROR(__xludf.DUMMYFUNCTION("""COMPUTED_VALUE"""),"if you keep trying to remember certain things you will learn to remember them easier")</f>
        <v>if you keep trying to remember certain things you will learn to remember them easier</v>
      </c>
      <c r="P14" s="129">
        <f>IFERROR(__xludf.DUMMYFUNCTION("""COMPUTED_VALUE"""),25.0)</f>
        <v>25</v>
      </c>
      <c r="Q14" s="71"/>
      <c r="R14" s="71"/>
      <c r="S14" s="71"/>
      <c r="T14" s="71"/>
      <c r="U14" s="71"/>
      <c r="V14" s="71"/>
    </row>
    <row r="15">
      <c r="A15" s="128">
        <f>IFERROR(__xludf.DUMMYFUNCTION("""COMPUTED_VALUE"""),45937.4324259375)</f>
        <v>45937.43243</v>
      </c>
      <c r="B15" s="71" t="str">
        <f>IFERROR(__xludf.DUMMYFUNCTION("""COMPUTED_VALUE"""),"khaleel.muhammad@kairosacademies.org")</f>
        <v>khaleel.muhammad@kairosacademies.org</v>
      </c>
      <c r="C15" s="71"/>
      <c r="D15" s="71" t="str">
        <f>IFERROR(__xludf.DUMMYFUNCTION("""COMPUTED_VALUE"""),"Claim, Evidence, Reasoning")</f>
        <v>Claim, Evidence, Reasoning</v>
      </c>
      <c r="E15" s="71" t="str">
        <f>IFERROR(__xludf.DUMMYFUNCTION("""COMPUTED_VALUE"""),"Evidence")</f>
        <v>Evidence</v>
      </c>
      <c r="F15" s="71" t="str">
        <f>IFERROR(__xludf.DUMMYFUNCTION("""COMPUTED_VALUE"""),"Specific data and observations")</f>
        <v>Specific data and observations</v>
      </c>
      <c r="G15" s="71" t="str">
        <f>IFERROR(__xludf.DUMMYFUNCTION("""COMPUTED_VALUE"""),"How evidence supports your claim")</f>
        <v>How evidence supports your claim</v>
      </c>
      <c r="H15" s="71" t="str">
        <f>IFERROR(__xludf.DUMMYFUNCTION("""COMPUTED_VALUE"""),"Search, Identify, Find, Test")</f>
        <v>Search, Identify, Find, Test</v>
      </c>
      <c r="I15" s="71" t="str">
        <f>IFERROR(__xludf.DUMMYFUNCTION("""COMPUTED_VALUE"""),"A peer-reviewed journal article")</f>
        <v>A peer-reviewed journal article</v>
      </c>
      <c r="J15" s="71" t="str">
        <f>IFERROR(__xludf.DUMMYFUNCTION("""COMPUTED_VALUE"""),"Who created it and their credentials")</f>
        <v>Who created it and their credentials</v>
      </c>
      <c r="K15" s="71" t="str">
        <f>IFERROR(__xludf.DUMMYFUNCTION("""COMPUTED_VALUE"""),"Specific and testable")</f>
        <v>Specific and testable</v>
      </c>
      <c r="L15" s="71" t="str">
        <f>IFERROR(__xludf.DUMMYFUNCTION("""COMPUTED_VALUE"""),"Question, Hypothesis, Experiment, Analysis, Conclusion")</f>
        <v>Question, Hypothesis, Experiment, Analysis, Conclusion</v>
      </c>
      <c r="M15" s="71" t="str">
        <f>IFERROR(__xludf.DUMMYFUNCTION("""COMPUTED_VALUE"""),"Plants need more sunlight to grow better.")</f>
        <v>Plants need more sunlight to grow better.</v>
      </c>
      <c r="N15" s="71" t="str">
        <f>IFERROR(__xludf.DUMMYFUNCTION("""COMPUTED_VALUE"""),"TikTok can sometimes spread false knowledge, I would ask if the person who told you was a licensed doctor.")</f>
        <v>TikTok can sometimes spread false knowledge, I would ask if the person who told you was a licensed doctor.</v>
      </c>
      <c r="O15" s="71" t="str">
        <f>IFERROR(__xludf.DUMMYFUNCTION("""COMPUTED_VALUE"""),"According to Harvard Health ""Exercise benefits health in so many ways. It preserves muscle strength; keeps your heart strong; maintains a healthy body weight; and staves off chronic diseases such as diabetes."" this shows the excersize helps memory and o"&amp;"ther factors.")</f>
        <v>According to Harvard Health "Exercise benefits health in so many ways. It preserves muscle strength; keeps your heart strong; maintains a healthy body weight; and staves off chronic diseases such as diabetes." this shows the excersize helps memory and other factors.</v>
      </c>
      <c r="P15" s="129">
        <f>IFERROR(__xludf.DUMMYFUNCTION("""COMPUTED_VALUE"""),35.0)</f>
        <v>35</v>
      </c>
      <c r="Q15" s="71"/>
      <c r="R15" s="71"/>
      <c r="S15" s="71"/>
      <c r="T15" s="71"/>
      <c r="U15" s="71"/>
      <c r="V15" s="71"/>
    </row>
    <row r="16">
      <c r="A16" s="128">
        <f>IFERROR(__xludf.DUMMYFUNCTION("""COMPUTED_VALUE"""),45937.487914861114)</f>
        <v>45937.48791</v>
      </c>
      <c r="B16" s="71" t="str">
        <f>IFERROR(__xludf.DUMMYFUNCTION("""COMPUTED_VALUE"""),"terrence.toran@kairosacademies.org")</f>
        <v>terrence.toran@kairosacademies.org</v>
      </c>
      <c r="C16" s="71"/>
      <c r="D16" s="71" t="str">
        <f>IFERROR(__xludf.DUMMYFUNCTION("""COMPUTED_VALUE"""),"Claim, Evidence, Reasoning")</f>
        <v>Claim, Evidence, Reasoning</v>
      </c>
      <c r="E16" s="71" t="str">
        <f>IFERROR(__xludf.DUMMYFUNCTION("""COMPUTED_VALUE"""),"All parts together")</f>
        <v>All parts together</v>
      </c>
      <c r="F16" s="71" t="str">
        <f>IFERROR(__xludf.DUMMYFUNCTION("""COMPUTED_VALUE"""),"Specific data and observations")</f>
        <v>Specific data and observations</v>
      </c>
      <c r="G16" s="71" t="str">
        <f>IFERROR(__xludf.DUMMYFUNCTION("""COMPUTED_VALUE"""),"Why you chose your topic")</f>
        <v>Why you chose your topic</v>
      </c>
      <c r="H16" s="71" t="str">
        <f>IFERROR(__xludf.DUMMYFUNCTION("""COMPUTED_VALUE"""),"Stop, Investigate, Find better, Trace claims")</f>
        <v>Stop, Investigate, Find better, Trace claims</v>
      </c>
      <c r="I16" s="71" t="str">
        <f>IFERROR(__xludf.DUMMYFUNCTION("""COMPUTED_VALUE"""),"A peer-reviewed journal article")</f>
        <v>A peer-reviewed journal article</v>
      </c>
      <c r="J16" s="71" t="str">
        <f>IFERROR(__xludf.DUMMYFUNCTION("""COMPUTED_VALUE"""),"Who created it and their credentials")</f>
        <v>Who created it and their credentials</v>
      </c>
      <c r="K16" s="71" t="str">
        <f>IFERROR(__xludf.DUMMYFUNCTION("""COMPUTED_VALUE"""),"Specific and testable")</f>
        <v>Specific and testable</v>
      </c>
      <c r="L16" s="71" t="str">
        <f>IFERROR(__xludf.DUMMYFUNCTION("""COMPUTED_VALUE"""),"Question, Hypothesis, Experiment, Analysis, Conclusion")</f>
        <v>Question, Hypothesis, Experiment, Analysis, Conclusion</v>
      </c>
      <c r="M16" s="71" t="str">
        <f>IFERROR(__xludf.DUMMYFUNCTION("""COMPUTED_VALUE"""),"Plants in the window grow faster than plants in the corner because plants in the window get more sunlight.")</f>
        <v>Plants in the window grow faster than plants in the corner because plants in the window get more sunlight.</v>
      </c>
      <c r="N16" s="71" t="str">
        <f>IFERROR(__xludf.DUMMYFUNCTION("""COMPUTED_VALUE"""),"Eating fruit is healthy but eating other food and also be healthy. I can verify It because some fruits like bananas are good for weight loss because of the magnesium and potassium.")</f>
        <v>Eating fruit is healthy but eating other food and also be healthy. I can verify It because some fruits like bananas are good for weight loss because of the magnesium and potassium.</v>
      </c>
      <c r="O16" s="71" t="str">
        <f>IFERROR(__xludf.DUMMYFUNCTION("""COMPUTED_VALUE"""),"My claim is that exercise improves memory because increasing blood flow and oxygen delivery to the brain triggering the release for the brain - derived neurotrophic factor. The evidence proves the claim because increasing blood flow can trigger BDNF.")</f>
        <v>My claim is that exercise improves memory because increasing blood flow and oxygen delivery to the brain triggering the release for the brain - derived neurotrophic factor. The evidence proves the claim because increasing blood flow can trigger BDNF.</v>
      </c>
      <c r="P16" s="129">
        <f>IFERROR(__xludf.DUMMYFUNCTION("""COMPUTED_VALUE"""),35.0)</f>
        <v>35</v>
      </c>
      <c r="Q16" s="71"/>
      <c r="R16" s="71"/>
      <c r="S16" s="71"/>
      <c r="T16" s="71"/>
      <c r="U16" s="71"/>
      <c r="V16" s="71"/>
    </row>
    <row r="17">
      <c r="A17" s="128">
        <f>IFERROR(__xludf.DUMMYFUNCTION("""COMPUTED_VALUE"""),45939.48577803241)</f>
        <v>45939.48578</v>
      </c>
      <c r="B17" s="71" t="str">
        <f>IFERROR(__xludf.DUMMYFUNCTION("""COMPUTED_VALUE"""),"mckenzie.holt@kairosacademies.org")</f>
        <v>mckenzie.holt@kairosacademies.org</v>
      </c>
      <c r="C17" s="71"/>
      <c r="D17" s="71" t="str">
        <f>IFERROR(__xludf.DUMMYFUNCTION("""COMPUTED_VALUE"""),"Create, Experiment, Report")</f>
        <v>Create, Experiment, Report</v>
      </c>
      <c r="E17" s="71" t="str">
        <f>IFERROR(__xludf.DUMMYFUNCTION("""COMPUTED_VALUE"""),"All parts together")</f>
        <v>All parts together</v>
      </c>
      <c r="F17" s="71" t="str">
        <f>IFERROR(__xludf.DUMMYFUNCTION("""COMPUTED_VALUE"""),"Questions about the topic")</f>
        <v>Questions about the topic</v>
      </c>
      <c r="G17" s="71" t="str">
        <f>IFERROR(__xludf.DUMMYFUNCTION("""COMPUTED_VALUE"""),"Why you chose your topic")</f>
        <v>Why you chose your topic</v>
      </c>
      <c r="H17" s="71" t="str">
        <f>IFERROR(__xludf.DUMMYFUNCTION("""COMPUTED_VALUE"""),"Stop, Investigate, Find better, Trace claims")</f>
        <v>Stop, Investigate, Find better, Trace claims</v>
      </c>
      <c r="I17" s="71" t="str">
        <f>IFERROR(__xludf.DUMMYFUNCTION("""COMPUTED_VALUE"""),"A peer-reviewed journal article")</f>
        <v>A peer-reviewed journal article</v>
      </c>
      <c r="J17" s="71" t="str">
        <f>IFERROR(__xludf.DUMMYFUNCTION("""COMPUTED_VALUE"""),"Who created it and their credentials")</f>
        <v>Who created it and their credentials</v>
      </c>
      <c r="K17" s="71" t="str">
        <f>IFERROR(__xludf.DUMMYFUNCTION("""COMPUTED_VALUE"""),"Specific and testable")</f>
        <v>Specific and testable</v>
      </c>
      <c r="L17" s="71" t="str">
        <f>IFERROR(__xludf.DUMMYFUNCTION("""COMPUTED_VALUE"""),"Question, Hypothesis, Experiment, Analysis, Conclusion")</f>
        <v>Question, Hypothesis, Experiment, Analysis, Conclusion</v>
      </c>
      <c r="M17" s="71" t="str">
        <f>IFERROR(__xludf.DUMMYFUNCTION("""COMPUTED_VALUE"""),"Research indicates that yes, a plant near a window will grow faster than a plant in a corner. Plants rely on photosynthesis, the process of using light to create energy, to fuel their growth. A spot closer to a window receives more direct and intense sunl"&amp;"ight, which leads to more efficient photosynthesis. ")</f>
        <v>Research indicates that yes, a plant near a window will grow faster than a plant in a corner. Plants rely on photosynthesis, the process of using light to create energy, to fuel their growth. A spot closer to a window receives more direct and intense sunlight, which leads to more efficient photosynthesis. </v>
      </c>
      <c r="N17" s="71" t="str">
        <f>IFERROR(__xludf.DUMMYFUNCTION("""COMPUTED_VALUE"""),"Eating only fruit is actually neutral. It is neutral because eating only fruits is healthy, but, eating other things like vegetables, grains, protein, and more.")</f>
        <v>Eating only fruit is actually neutral. It is neutral because eating only fruits is healthy, but, eating other things like vegetables, grains, protein, and more.</v>
      </c>
      <c r="O17" s="71" t="str">
        <f>IFERROR(__xludf.DUMMYFUNCTION("""COMPUTED_VALUE"""),"Yes, exercise improves memory through a variety of direct and indirect mechanisms. It increases blood flow to the brain, supports the creation of new neurons and neural connections, and helps regulate stress hormones that can impair cognitive function. ")</f>
        <v>Yes, exercise improves memory through a variety of direct and indirect mechanisms. It increases blood flow to the brain, supports the creation of new neurons and neural connections, and helps regulate stress hormones that can impair cognitive function. </v>
      </c>
      <c r="P17" s="129">
        <f>IFERROR(__xludf.DUMMYFUNCTION("""COMPUTED_VALUE"""),25.0)</f>
        <v>25</v>
      </c>
      <c r="Q17" s="71"/>
      <c r="R17" s="71"/>
      <c r="S17" s="71"/>
      <c r="T17" s="71"/>
      <c r="U17" s="71"/>
      <c r="V17" s="71"/>
    </row>
    <row r="18">
      <c r="A18" s="128">
        <f>IFERROR(__xludf.DUMMYFUNCTION("""COMPUTED_VALUE"""),45939.57192619213)</f>
        <v>45939.57193</v>
      </c>
      <c r="B18" s="71" t="str">
        <f>IFERROR(__xludf.DUMMYFUNCTION("""COMPUTED_VALUE"""),"miles.williams@kairosacademies.org")</f>
        <v>miles.williams@kairosacademies.org</v>
      </c>
      <c r="C18" s="71"/>
      <c r="D18" s="71" t="str">
        <f>IFERROR(__xludf.DUMMYFUNCTION("""COMPUTED_VALUE"""),"Claim, Evidence, Reasoning")</f>
        <v>Claim, Evidence, Reasoning</v>
      </c>
      <c r="E18" s="71" t="str">
        <f>IFERROR(__xludf.DUMMYFUNCTION("""COMPUTED_VALUE"""),"All parts together")</f>
        <v>All parts together</v>
      </c>
      <c r="F18" s="71" t="str">
        <f>IFERROR(__xludf.DUMMYFUNCTION("""COMPUTED_VALUE"""),"Specific data and observations")</f>
        <v>Specific data and observations</v>
      </c>
      <c r="G18" s="71" t="str">
        <f>IFERROR(__xludf.DUMMYFUNCTION("""COMPUTED_VALUE"""),"Who discovered the information")</f>
        <v>Who discovered the information</v>
      </c>
      <c r="H18" s="71" t="str">
        <f>IFERROR(__xludf.DUMMYFUNCTION("""COMPUTED_VALUE"""),"Search, Identify, Find, Test")</f>
        <v>Search, Identify, Find, Test</v>
      </c>
      <c r="I18" s="71" t="str">
        <f>IFERROR(__xludf.DUMMYFUNCTION("""COMPUTED_VALUE"""),"A commercial website")</f>
        <v>A commercial website</v>
      </c>
      <c r="J18" s="71" t="str">
        <f>IFERROR(__xludf.DUMMYFUNCTION("""COMPUTED_VALUE"""),"Who created it and their credentials")</f>
        <v>Who created it and their credentials</v>
      </c>
      <c r="K18" s="71" t="str">
        <f>IFERROR(__xludf.DUMMYFUNCTION("""COMPUTED_VALUE"""),"Specific and testable")</f>
        <v>Specific and testable</v>
      </c>
      <c r="L18" s="71" t="str">
        <f>IFERROR(__xludf.DUMMYFUNCTION("""COMPUTED_VALUE"""),"Question, Hypothesis, Experiment, Analysis, Conclusion")</f>
        <v>Question, Hypothesis, Experiment, Analysis, Conclusion</v>
      </c>
      <c r="M18" s="71" t="str">
        <f>IFERROR(__xludf.DUMMYFUNCTION("""COMPUTED_VALUE"""),"Because the plant is by the window it can get sunlight letting it grow more.")</f>
        <v>Because the plant is by the window it can get sunlight letting it grow more.</v>
      </c>
      <c r="N18" s="71" t="str">
        <f>IFERROR(__xludf.DUMMYFUNCTION("""COMPUTED_VALUE"""),"1. TikTok is a social media platform where anyone can post information
2. There is no verafication from doctors, dentist, or even adults.")</f>
        <v>1. TikTok is a social media platform where anyone can post information
2. There is no verafication from doctors, dentist, or even adults.</v>
      </c>
      <c r="O18" s="71" t="str">
        <f>IFERROR(__xludf.DUMMYFUNCTION("""COMPUTED_VALUE"""),"Exercise improves memory.Studies show that regular exercise increases activity in the hippocampus, which controls memory.A more active hippocampus helps the brain store and recall information better, improving memory.")</f>
        <v>Exercise improves memory.Studies show that regular exercise increases activity in the hippocampus, which controls memory.A more active hippocampus helps the brain store and recall information better, improving memory.</v>
      </c>
      <c r="P18" s="129">
        <f>IFERROR(__xludf.DUMMYFUNCTION("""COMPUTED_VALUE"""),25.0)</f>
        <v>25</v>
      </c>
      <c r="Q18" s="71"/>
      <c r="R18" s="71"/>
      <c r="S18" s="71"/>
      <c r="T18" s="71"/>
      <c r="U18" s="71"/>
      <c r="V18" s="71"/>
    </row>
    <row r="19">
      <c r="A19" s="128">
        <f>IFERROR(__xludf.DUMMYFUNCTION("""COMPUTED_VALUE"""),45939.57326950231)</f>
        <v>45939.57327</v>
      </c>
      <c r="B19" s="71" t="str">
        <f>IFERROR(__xludf.DUMMYFUNCTION("""COMPUTED_VALUE"""),"austin.williams@kairosacademies.org")</f>
        <v>austin.williams@kairosacademies.org</v>
      </c>
      <c r="C19" s="71"/>
      <c r="D19" s="71" t="str">
        <f>IFERROR(__xludf.DUMMYFUNCTION("""COMPUTED_VALUE"""),"Claim, Evidence, Reasoning")</f>
        <v>Claim, Evidence, Reasoning</v>
      </c>
      <c r="E19" s="71" t="str">
        <f>IFERROR(__xludf.DUMMYFUNCTION("""COMPUTED_VALUE"""),"Claim")</f>
        <v>Claim</v>
      </c>
      <c r="F19" s="71" t="str">
        <f>IFERROR(__xludf.DUMMYFUNCTION("""COMPUTED_VALUE"""),"Specific data and observations")</f>
        <v>Specific data and observations</v>
      </c>
      <c r="G19" s="71" t="str">
        <f>IFERROR(__xludf.DUMMYFUNCTION("""COMPUTED_VALUE"""),"How evidence supports your claim")</f>
        <v>How evidence supports your claim</v>
      </c>
      <c r="H19" s="71" t="str">
        <f>IFERROR(__xludf.DUMMYFUNCTION("""COMPUTED_VALUE"""),"Stop, Investigate, Find better, Trace claims")</f>
        <v>Stop, Investigate, Find better, Trace claims</v>
      </c>
      <c r="I19" s="71" t="str">
        <f>IFERROR(__xludf.DUMMYFUNCTION("""COMPUTED_VALUE"""),"A peer-reviewed journal article")</f>
        <v>A peer-reviewed journal article</v>
      </c>
      <c r="J19" s="71" t="str">
        <f>IFERROR(__xludf.DUMMYFUNCTION("""COMPUTED_VALUE"""),"Who created it and their credentials")</f>
        <v>Who created it and their credentials</v>
      </c>
      <c r="K19" s="71" t="str">
        <f>IFERROR(__xludf.DUMMYFUNCTION("""COMPUTED_VALUE"""),"Specific and testable")</f>
        <v>Specific and testable</v>
      </c>
      <c r="L19" s="71" t="str">
        <f>IFERROR(__xludf.DUMMYFUNCTION("""COMPUTED_VALUE"""),"Experiment, Question, Conclusion")</f>
        <v>Experiment, Question, Conclusion</v>
      </c>
      <c r="M19" s="71" t="str">
        <f>IFERROR(__xludf.DUMMYFUNCTION("""COMPUTED_VALUE"""),"This is the best way to ensure that your plants receive the light they need.")</f>
        <v>This is the best way to ensure that your plants receive the light they need.</v>
      </c>
      <c r="N19" s="71" t="str">
        <f>IFERROR(__xludf.DUMMYFUNCTION("""COMPUTED_VALUE"""),"Some fruit can be healthy but if you eat too many it causes digesting issues or gain more weight if your  trying to be on a diet.")</f>
        <v>Some fruit can be healthy but if you eat too many it causes digesting issues or gain more weight if your  trying to be on a diet.</v>
      </c>
      <c r="O19" s="71" t="str">
        <f>IFERROR(__xludf.DUMMYFUNCTION("""COMPUTED_VALUE"""),"Exercise improves memory.
Evidence: A study published in Journal of Clinical Psychology (2017) found that participants who engaged in regular aerobic exercise for six months showed significant improvements in memory and cognitive function compared to a c"&amp;"ontrol group. Participants who exercised performed better on memory tests, particularly on tasks that required recall and processing speed.
Reasoning: Exercise enhances blood flow to the brain, which increases oxygen and nutrient delivery to neurons. Thi"&amp;"s improved blood flow stimulates the growth of new neurons, particularly in the hippocampus—a region involved in memory and learning. Increased neurogenesis and better overall brain health likely contribute to the observed improvements in memory function."&amp;" Therefore, the study's findings support the claim that exercise has a positive effect on memory.")</f>
        <v>Exercise improves memory.
Evidence: A study published in Journal of Clinical Psychology (2017) found that participants who engaged in regular aerobic exercise for six months showed significant improvements in memory and cognitive function compared to a control group. Participants who exercised performed better on memory tests, particularly on tasks that required recall and processing speed.
Reasoning: Exercise enhances blood flow to the brain, which increases oxygen and nutrient delivery to neurons. This improved blood flow stimulates the growth of new neurons, particularly in the hippocampus—a region involved in memory and learning. Increased neurogenesis and better overall brain health likely contribute to the observed improvements in memory function. Therefore, the study's findings support the claim that exercise has a positive effect on memory.</v>
      </c>
      <c r="P19" s="129">
        <f>IFERROR(__xludf.DUMMYFUNCTION("""COMPUTED_VALUE"""),40.0)</f>
        <v>40</v>
      </c>
      <c r="Q19" s="71"/>
      <c r="R19" s="71"/>
      <c r="S19" s="71"/>
      <c r="T19" s="71"/>
      <c r="U19" s="71"/>
      <c r="V19" s="71"/>
    </row>
    <row r="20">
      <c r="A20" s="128">
        <f>IFERROR(__xludf.DUMMYFUNCTION("""COMPUTED_VALUE"""),45939.61153956019)</f>
        <v>45939.61154</v>
      </c>
      <c r="B20" s="71" t="str">
        <f>IFERROR(__xludf.DUMMYFUNCTION("""COMPUTED_VALUE"""),"haylee.wadley@kairosacademies.org")</f>
        <v>haylee.wadley@kairosacademies.org</v>
      </c>
      <c r="C20" s="71"/>
      <c r="D20" s="71" t="str">
        <f>IFERROR(__xludf.DUMMYFUNCTION("""COMPUTED_VALUE"""),"Claim, Evidence, Reasoning")</f>
        <v>Claim, Evidence, Reasoning</v>
      </c>
      <c r="E20" s="71" t="str">
        <f>IFERROR(__xludf.DUMMYFUNCTION("""COMPUTED_VALUE"""),"Evidence")</f>
        <v>Evidence</v>
      </c>
      <c r="F20" s="71" t="str">
        <f>IFERROR(__xludf.DUMMYFUNCTION("""COMPUTED_VALUE"""),"Specific data and observations")</f>
        <v>Specific data and observations</v>
      </c>
      <c r="G20" s="71" t="str">
        <f>IFERROR(__xludf.DUMMYFUNCTION("""COMPUTED_VALUE"""),"How evidence supports your claim")</f>
        <v>How evidence supports your claim</v>
      </c>
      <c r="H20" s="71" t="str">
        <f>IFERROR(__xludf.DUMMYFUNCTION("""COMPUTED_VALUE"""),"Search, Identify, Find, Test")</f>
        <v>Search, Identify, Find, Test</v>
      </c>
      <c r="I20" s="71" t="str">
        <f>IFERROR(__xludf.DUMMYFUNCTION("""COMPUTED_VALUE"""),"A peer-reviewed journal article")</f>
        <v>A peer-reviewed journal article</v>
      </c>
      <c r="J20" s="71" t="str">
        <f>IFERROR(__xludf.DUMMYFUNCTION("""COMPUTED_VALUE"""),"Who created it and their credentials")</f>
        <v>Who created it and their credentials</v>
      </c>
      <c r="K20" s="71" t="str">
        <f>IFERROR(__xludf.DUMMYFUNCTION("""COMPUTED_VALUE"""),"Specific and testable")</f>
        <v>Specific and testable</v>
      </c>
      <c r="L20" s="71" t="str">
        <f>IFERROR(__xludf.DUMMYFUNCTION("""COMPUTED_VALUE"""),"Question, Hypothesis, Experiment, Analysis, Conclusion")</f>
        <v>Question, Hypothesis, Experiment, Analysis, Conclusion</v>
      </c>
      <c r="M20" s="71" t="str">
        <f>IFERROR(__xludf.DUMMYFUNCTION("""COMPUTED_VALUE"""),"the ones in the corrner have less sunlight and they also grow slower in comparist to the ones near the window")</f>
        <v>the ones in the corrner have less sunlight and they also grow slower in comparist to the ones near the window</v>
      </c>
      <c r="N20" s="71" t="str">
        <f>IFERROR(__xludf.DUMMYFUNCTION("""COMPUTED_VALUE"""),"naturl shugers can be good but it also has pestisides if u eat only like 2 its fine but eats many the safe pestissides can become hurtfule")</f>
        <v>naturl shugers can be good but it also has pestisides if u eat only like 2 its fine but eats many the safe pestissides can become hurtfule</v>
      </c>
      <c r="O20" s="71" t="str">
        <f>IFERROR(__xludf.DUMMYFUNCTION("""COMPUTED_VALUE"""),"it can help with memort if u do it at a normal rate if u do exersize dayly it becomes straining on your body and can make u tired and make it harder to rememebrer")</f>
        <v>it can help with memort if u do it at a normal rate if u do exersize dayly it becomes straining on your body and can make u tired and make it harder to rememebrer</v>
      </c>
      <c r="P20" s="129">
        <f>IFERROR(__xludf.DUMMYFUNCTION("""COMPUTED_VALUE"""),35.0)</f>
        <v>35</v>
      </c>
      <c r="Q20" s="71"/>
      <c r="R20" s="71"/>
      <c r="S20" s="71"/>
      <c r="T20" s="71"/>
      <c r="U20" s="71"/>
      <c r="V20" s="71"/>
    </row>
    <row r="21">
      <c r="A21" s="128">
        <f>IFERROR(__xludf.DUMMYFUNCTION("""COMPUTED_VALUE"""),45939.63462228009)</f>
        <v>45939.63462</v>
      </c>
      <c r="B21" s="71" t="str">
        <f>IFERROR(__xludf.DUMMYFUNCTION("""COMPUTED_VALUE"""),"keithron.graffread@kairosacademies.org")</f>
        <v>keithron.graffread@kairosacademies.org</v>
      </c>
      <c r="C21" s="71"/>
      <c r="D21" s="71" t="str">
        <f>IFERROR(__xludf.DUMMYFUNCTION("""COMPUTED_VALUE"""),"Claim, Evidence, Reasoning")</f>
        <v>Claim, Evidence, Reasoning</v>
      </c>
      <c r="E21" s="71" t="str">
        <f>IFERROR(__xludf.DUMMYFUNCTION("""COMPUTED_VALUE"""),"Evidence")</f>
        <v>Evidence</v>
      </c>
      <c r="F21" s="71" t="str">
        <f>IFERROR(__xludf.DUMMYFUNCTION("""COMPUTED_VALUE"""),"Specific data and observations")</f>
        <v>Specific data and observations</v>
      </c>
      <c r="G21" s="71" t="str">
        <f>IFERROR(__xludf.DUMMYFUNCTION("""COMPUTED_VALUE"""),"Why you chose your topic")</f>
        <v>Why you chose your topic</v>
      </c>
      <c r="H21" s="71" t="str">
        <f>IFERROR(__xludf.DUMMYFUNCTION("""COMPUTED_VALUE"""),"Search, Identify, Find, Test")</f>
        <v>Search, Identify, Find, Test</v>
      </c>
      <c r="I21" s="71" t="str">
        <f>IFERROR(__xludf.DUMMYFUNCTION("""COMPUTED_VALUE"""),"A peer-reviewed journal article")</f>
        <v>A peer-reviewed journal article</v>
      </c>
      <c r="J21" s="71" t="str">
        <f>IFERROR(__xludf.DUMMYFUNCTION("""COMPUTED_VALUE"""),"Who created it and their credentials")</f>
        <v>Who created it and their credentials</v>
      </c>
      <c r="K21" s="71" t="str">
        <f>IFERROR(__xludf.DUMMYFUNCTION("""COMPUTED_VALUE"""),"Specific and testable")</f>
        <v>Specific and testable</v>
      </c>
      <c r="L21" s="71" t="str">
        <f>IFERROR(__xludf.DUMMYFUNCTION("""COMPUTED_VALUE"""),"Question, Hypothesis, Experiment, Analysis, Conclusion")</f>
        <v>Question, Hypothesis, Experiment, Analysis, Conclusion</v>
      </c>
      <c r="M21" s="71" t="str">
        <f>IFERROR(__xludf.DUMMYFUNCTION("""COMPUTED_VALUE"""),"cause the plants get more nutrients than the other one.")</f>
        <v>cause the plants get more nutrients than the other one.</v>
      </c>
      <c r="N21" s="71" t="str">
        <f>IFERROR(__xludf.DUMMYFUNCTION("""COMPUTED_VALUE"""),"you cant always believe. internet all the time.")</f>
        <v>you cant always believe. internet all the time.</v>
      </c>
      <c r="O21" s="71" t="str">
        <f>IFERROR(__xludf.DUMMYFUNCTION("""COMPUTED_VALUE"""),"no it doesnt cause i have bad memorie and i wsork out")</f>
        <v>no it doesnt cause i have bad memorie and i wsork out</v>
      </c>
      <c r="P21" s="129">
        <f>IFERROR(__xludf.DUMMYFUNCTION("""COMPUTED_VALUE"""),30.0)</f>
        <v>30</v>
      </c>
      <c r="Q21" s="71"/>
      <c r="R21" s="71"/>
      <c r="S21" s="71"/>
      <c r="T21" s="71"/>
      <c r="U21" s="71"/>
      <c r="V21" s="71"/>
    </row>
    <row r="22">
      <c r="A22" s="128">
        <f>IFERROR(__xludf.DUMMYFUNCTION("""COMPUTED_VALUE"""),45939.637469999994)</f>
        <v>45939.63747</v>
      </c>
      <c r="B22" s="71" t="str">
        <f>IFERROR(__xludf.DUMMYFUNCTION("""COMPUTED_VALUE"""),"david.heartfield@kairosacademies.org")</f>
        <v>david.heartfield@kairosacademies.org</v>
      </c>
      <c r="C22" s="71"/>
      <c r="D22" s="71" t="str">
        <f>IFERROR(__xludf.DUMMYFUNCTION("""COMPUTED_VALUE"""),"Claim, Evidence, Reasoning")</f>
        <v>Claim, Evidence, Reasoning</v>
      </c>
      <c r="E22" s="71" t="str">
        <f>IFERROR(__xludf.DUMMYFUNCTION("""COMPUTED_VALUE"""),"Evidence")</f>
        <v>Evidence</v>
      </c>
      <c r="F22" s="71" t="str">
        <f>IFERROR(__xludf.DUMMYFUNCTION("""COMPUTED_VALUE"""),"Specific data and observations")</f>
        <v>Specific data and observations</v>
      </c>
      <c r="G22" s="71" t="str">
        <f>IFERROR(__xludf.DUMMYFUNCTION("""COMPUTED_VALUE"""),"How evidence supports your claim")</f>
        <v>How evidence supports your claim</v>
      </c>
      <c r="H22" s="71" t="str">
        <f>IFERROR(__xludf.DUMMYFUNCTION("""COMPUTED_VALUE"""),"Search, Identify, Find, Test")</f>
        <v>Search, Identify, Find, Test</v>
      </c>
      <c r="I22" s="71" t="str">
        <f>IFERROR(__xludf.DUMMYFUNCTION("""COMPUTED_VALUE"""),"A personal blog")</f>
        <v>A personal blog</v>
      </c>
      <c r="J22" s="71" t="str">
        <f>IFERROR(__xludf.DUMMYFUNCTION("""COMPUTED_VALUE"""),"Who created it and their credentials")</f>
        <v>Who created it and their credentials</v>
      </c>
      <c r="K22" s="71" t="str">
        <f>IFERROR(__xludf.DUMMYFUNCTION("""COMPUTED_VALUE"""),"Specific and testable")</f>
        <v>Specific and testable</v>
      </c>
      <c r="L22" s="71" t="str">
        <f>IFERROR(__xludf.DUMMYFUNCTION("""COMPUTED_VALUE"""),"Question, Hypothesis, Experiment, Analysis, Conclusion")</f>
        <v>Question, Hypothesis, Experiment, Analysis, Conclusion</v>
      </c>
      <c r="M22" s="71" t="str">
        <f>IFERROR(__xludf.DUMMYFUNCTION("""COMPUTED_VALUE"""),"the plants in the sun vs the ones in the corner.")</f>
        <v>the plants in the sun vs the ones in the corner.</v>
      </c>
      <c r="N22" s="71" t="str">
        <f>IFERROR(__xludf.DUMMYFUNCTION("""COMPUTED_VALUE"""),"you should not fall for tiktok lies and the people are usually 13 year olds ")</f>
        <v>you should not fall for tiktok lies and the people are usually 13 year olds </v>
      </c>
      <c r="O22" s="71" t="str">
        <f>IFERROR(__xludf.DUMMYFUNCTION("""COMPUTED_VALUE"""),"exercise improves health so i think it does imrove memory")</f>
        <v>exercise improves health so i think it does imrove memory</v>
      </c>
      <c r="P22" s="129">
        <f>IFERROR(__xludf.DUMMYFUNCTION("""COMPUTED_VALUE"""),30.0)</f>
        <v>30</v>
      </c>
      <c r="Q22" s="71"/>
      <c r="R22" s="71"/>
      <c r="S22" s="71"/>
      <c r="T22" s="71"/>
      <c r="U22" s="71"/>
      <c r="V22" s="71"/>
    </row>
    <row r="23">
      <c r="A23" s="128">
        <f>IFERROR(__xludf.DUMMYFUNCTION("""COMPUTED_VALUE"""),45939.8149931713)</f>
        <v>45939.81499</v>
      </c>
      <c r="B23" s="71" t="str">
        <f>IFERROR(__xludf.DUMMYFUNCTION("""COMPUTED_VALUE"""),"ziy'la.griffin@kairosacademies.org")</f>
        <v>ziy'la.griffin@kairosacademies.org</v>
      </c>
      <c r="C23" s="71"/>
      <c r="D23" s="71" t="str">
        <f>IFERROR(__xludf.DUMMYFUNCTION("""COMPUTED_VALUE"""),"Claim, Evidence, Reasoning")</f>
        <v>Claim, Evidence, Reasoning</v>
      </c>
      <c r="E23" s="71" t="str">
        <f>IFERROR(__xludf.DUMMYFUNCTION("""COMPUTED_VALUE"""),"Evidence")</f>
        <v>Evidence</v>
      </c>
      <c r="F23" s="71" t="str">
        <f>IFERROR(__xludf.DUMMYFUNCTION("""COMPUTED_VALUE"""),"Specific data and observations")</f>
        <v>Specific data and observations</v>
      </c>
      <c r="G23" s="71" t="str">
        <f>IFERROR(__xludf.DUMMYFUNCTION("""COMPUTED_VALUE"""),"How evidence supports your claim")</f>
        <v>How evidence supports your claim</v>
      </c>
      <c r="H23" s="71" t="str">
        <f>IFERROR(__xludf.DUMMYFUNCTION("""COMPUTED_VALUE"""),"Search, Identify, Find, Test")</f>
        <v>Search, Identify, Find, Test</v>
      </c>
      <c r="I23" s="71" t="str">
        <f>IFERROR(__xludf.DUMMYFUNCTION("""COMPUTED_VALUE"""),"A peer-reviewed journal article")</f>
        <v>A peer-reviewed journal article</v>
      </c>
      <c r="J23" s="71" t="str">
        <f>IFERROR(__xludf.DUMMYFUNCTION("""COMPUTED_VALUE"""),"Who created it and their credentials")</f>
        <v>Who created it and their credentials</v>
      </c>
      <c r="K23" s="71" t="str">
        <f>IFERROR(__xludf.DUMMYFUNCTION("""COMPUTED_VALUE"""),"Specific and testable")</f>
        <v>Specific and testable</v>
      </c>
      <c r="L23" s="71" t="str">
        <f>IFERROR(__xludf.DUMMYFUNCTION("""COMPUTED_VALUE"""),"Question, Hypothesis, Experiment, Analysis, Conclusion")</f>
        <v>Question, Hypothesis, Experiment, Analysis, Conclusion</v>
      </c>
      <c r="M23" s="71" t="str">
        <f>IFERROR(__xludf.DUMMYFUNCTION("""COMPUTED_VALUE"""),"My claim is the sun is what helps them grow faster because they get more sunlight by windows then away from windows.")</f>
        <v>My claim is the sun is what helps them grow faster because they get more sunlight by windows then away from windows.</v>
      </c>
      <c r="N23" s="71" t="str">
        <f>IFERROR(__xludf.DUMMYFUNCTION("""COMPUTED_VALUE"""),"1.There are other foods that’s heathy for you not just fruits 2.Fruits is not a good meal to just only eat that and not anything else.")</f>
        <v>1.There are other foods that’s heathy for you not just fruits 2.Fruits is not a good meal to just only eat that and not anything else.</v>
      </c>
      <c r="O23" s="71" t="str">
        <f>IFERROR(__xludf.DUMMYFUNCTION("""COMPUTED_VALUE"""),"Claim- Im not sure if it’s true but I believe it dose because it helps build muscles. Reason- Exercising gives your muscles more strength so it could also strengthen your memory. ")</f>
        <v>Claim- Im not sure if it’s true but I believe it dose because it helps build muscles. Reason- Exercising gives your muscles more strength so it could also strengthen your memory. </v>
      </c>
      <c r="P23" s="129">
        <f>IFERROR(__xludf.DUMMYFUNCTION("""COMPUTED_VALUE"""),35.0)</f>
        <v>35</v>
      </c>
      <c r="Q23" s="71"/>
      <c r="R23" s="71"/>
      <c r="S23" s="71"/>
      <c r="T23" s="71"/>
      <c r="U23" s="71"/>
      <c r="V23" s="71"/>
    </row>
    <row r="24">
      <c r="A24" s="128">
        <f>IFERROR(__xludf.DUMMYFUNCTION("""COMPUTED_VALUE"""),45940.392259768516)</f>
        <v>45940.39226</v>
      </c>
      <c r="B24" s="71" t="str">
        <f>IFERROR(__xludf.DUMMYFUNCTION("""COMPUTED_VALUE"""),"cali.reinhardt@kairosacademies.org")</f>
        <v>cali.reinhardt@kairosacademies.org</v>
      </c>
      <c r="C24" s="71"/>
      <c r="D24" s="71" t="str">
        <f>IFERROR(__xludf.DUMMYFUNCTION("""COMPUTED_VALUE"""),"Claim, Evidence, Reasoning")</f>
        <v>Claim, Evidence, Reasoning</v>
      </c>
      <c r="E24" s="71" t="str">
        <f>IFERROR(__xludf.DUMMYFUNCTION("""COMPUTED_VALUE"""),"All parts together")</f>
        <v>All parts together</v>
      </c>
      <c r="F24" s="71" t="str">
        <f>IFERROR(__xludf.DUMMYFUNCTION("""COMPUTED_VALUE"""),"Specific data and observations")</f>
        <v>Specific data and observations</v>
      </c>
      <c r="G24" s="71" t="str">
        <f>IFERROR(__xludf.DUMMYFUNCTION("""COMPUTED_VALUE"""),"How evidence supports your claim")</f>
        <v>How evidence supports your claim</v>
      </c>
      <c r="H24" s="71" t="str">
        <f>IFERROR(__xludf.DUMMYFUNCTION("""COMPUTED_VALUE"""),"Select, Inspect, Format, Type")</f>
        <v>Select, Inspect, Format, Type</v>
      </c>
      <c r="I24" s="71" t="str">
        <f>IFERROR(__xludf.DUMMYFUNCTION("""COMPUTED_VALUE"""),"A peer-reviewed journal article")</f>
        <v>A peer-reviewed journal article</v>
      </c>
      <c r="J24" s="71" t="str">
        <f>IFERROR(__xludf.DUMMYFUNCTION("""COMPUTED_VALUE"""),"Who created it and their credentials")</f>
        <v>Who created it and their credentials</v>
      </c>
      <c r="K24" s="71" t="str">
        <f>IFERROR(__xludf.DUMMYFUNCTION("""COMPUTED_VALUE"""),"Specific and testable")</f>
        <v>Specific and testable</v>
      </c>
      <c r="L24" s="71" t="str">
        <f>IFERROR(__xludf.DUMMYFUNCTION("""COMPUTED_VALUE"""),"Question, Hypothesis, Experiment, Analysis, Conclusion")</f>
        <v>Question, Hypothesis, Experiment, Analysis, Conclusion</v>
      </c>
      <c r="M24" s="71" t="str">
        <f>IFERROR(__xludf.DUMMYFUNCTION("""COMPUTED_VALUE"""),"The plants near the window grow faster than the plants in the corner because..")</f>
        <v>The plants near the window grow faster than the plants in the corner because..</v>
      </c>
      <c r="N24" s="71" t="str">
        <f>IFERROR(__xludf.DUMMYFUNCTION("""COMPUTED_VALUE"""),"TikTok is a social media website, it isn't credible!! The lack of evidence is CRUCIAL!!")</f>
        <v>TikTok is a social media website, it isn't credible!! The lack of evidence is CRUCIAL!!</v>
      </c>
      <c r="O24" s="71" t="str">
        <f>IFERROR(__xludf.DUMMYFUNCTION("""COMPUTED_VALUE"""),"Exercise improves memory and thinking process,  Harvard Health Publishing says, ""Many studies have suggested that the parts of the brain that control thinking and memory are larger in volume in people who exercise than in people who don't.""")</f>
        <v>Exercise improves memory and thinking process,  Harvard Health Publishing says, "Many studies have suggested that the parts of the brain that control thinking and memory are larger in volume in people who exercise than in people who don't."</v>
      </c>
      <c r="P24" s="129">
        <f>IFERROR(__xludf.DUMMYFUNCTION("""COMPUTED_VALUE"""),35.0)</f>
        <v>35</v>
      </c>
      <c r="Q24" s="71"/>
      <c r="R24" s="71"/>
      <c r="S24" s="71"/>
      <c r="T24" s="71"/>
      <c r="U24" s="71"/>
      <c r="V24" s="71"/>
    </row>
    <row r="25">
      <c r="A25" s="128">
        <f>IFERROR(__xludf.DUMMYFUNCTION("""COMPUTED_VALUE"""),45940.412076967594)</f>
        <v>45940.41208</v>
      </c>
      <c r="B25" s="71" t="str">
        <f>IFERROR(__xludf.DUMMYFUNCTION("""COMPUTED_VALUE"""),"alejandro.mendieta@kairosacademies.org")</f>
        <v>alejandro.mendieta@kairosacademies.org</v>
      </c>
      <c r="C25" s="71"/>
      <c r="D25" s="71" t="str">
        <f>IFERROR(__xludf.DUMMYFUNCTION("""COMPUTED_VALUE"""),"Claim, Evidence, Reasoning")</f>
        <v>Claim, Evidence, Reasoning</v>
      </c>
      <c r="E25" s="71" t="str">
        <f>IFERROR(__xludf.DUMMYFUNCTION("""COMPUTED_VALUE"""),"All parts together")</f>
        <v>All parts together</v>
      </c>
      <c r="F25" s="71" t="str">
        <f>IFERROR(__xludf.DUMMYFUNCTION("""COMPUTED_VALUE"""),"Specific data and observations")</f>
        <v>Specific data and observations</v>
      </c>
      <c r="G25" s="71" t="str">
        <f>IFERROR(__xludf.DUMMYFUNCTION("""COMPUTED_VALUE"""),"How evidence supports your claim")</f>
        <v>How evidence supports your claim</v>
      </c>
      <c r="H25" s="71" t="str">
        <f>IFERROR(__xludf.DUMMYFUNCTION("""COMPUTED_VALUE"""),"Search, Identify, Find, Test")</f>
        <v>Search, Identify, Find, Test</v>
      </c>
      <c r="I25" s="71" t="str">
        <f>IFERROR(__xludf.DUMMYFUNCTION("""COMPUTED_VALUE"""),"A peer-reviewed journal article")</f>
        <v>A peer-reviewed journal article</v>
      </c>
      <c r="J25" s="71" t="str">
        <f>IFERROR(__xludf.DUMMYFUNCTION("""COMPUTED_VALUE"""),"Who created it and their credentials")</f>
        <v>Who created it and their credentials</v>
      </c>
      <c r="K25" s="71" t="str">
        <f>IFERROR(__xludf.DUMMYFUNCTION("""COMPUTED_VALUE"""),"Specific and testable")</f>
        <v>Specific and testable</v>
      </c>
      <c r="L25" s="71" t="str">
        <f>IFERROR(__xludf.DUMMYFUNCTION("""COMPUTED_VALUE"""),"Question, Hypothesis, Experiment, Analysis, Conclusion")</f>
        <v>Question, Hypothesis, Experiment, Analysis, Conclusion</v>
      </c>
      <c r="M25" s="71" t="str">
        <f>IFERROR(__xludf.DUMMYFUNCTION("""COMPUTED_VALUE"""),"The plants near the window because they are getting more sunlight than the plants in the corner")</f>
        <v>The plants near the window because they are getting more sunlight than the plants in the corner</v>
      </c>
      <c r="N25" s="71" t="str">
        <f>IFERROR(__xludf.DUMMYFUNCTION("""COMPUTED_VALUE"""),"Fruits are  heavy in natural sugars and can cause weight  gain ")</f>
        <v>Fruits are  heavy in natural sugars and can cause weight  gain </v>
      </c>
      <c r="O25" s="71" t="str">
        <f>IFERROR(__xludf.DUMMYFUNCTION("""COMPUTED_VALUE"""),"Exercising helps increase blood flow because  it increases  your heart rate")</f>
        <v>Exercising helps increase blood flow because  it increases  your heart rate</v>
      </c>
      <c r="P25" s="129">
        <f>IFERROR(__xludf.DUMMYFUNCTION("""COMPUTED_VALUE"""),35.0)</f>
        <v>35</v>
      </c>
      <c r="Q25" s="71"/>
      <c r="R25" s="71"/>
      <c r="S25" s="71"/>
      <c r="T25" s="71"/>
      <c r="U25" s="71"/>
      <c r="V25" s="71"/>
    </row>
    <row r="26">
      <c r="A26" s="128">
        <f>IFERROR(__xludf.DUMMYFUNCTION("""COMPUTED_VALUE"""),45940.42673813658)</f>
        <v>45940.42674</v>
      </c>
      <c r="B26" s="71" t="str">
        <f>IFERROR(__xludf.DUMMYFUNCTION("""COMPUTED_VALUE"""),"deshaun.andrews@kairosacademies.org")</f>
        <v>deshaun.andrews@kairosacademies.org</v>
      </c>
      <c r="C26" s="71"/>
      <c r="D26" s="71" t="str">
        <f>IFERROR(__xludf.DUMMYFUNCTION("""COMPUTED_VALUE"""),"Claim, Evidence, Reasoning")</f>
        <v>Claim, Evidence, Reasoning</v>
      </c>
      <c r="E26" s="71" t="str">
        <f>IFERROR(__xludf.DUMMYFUNCTION("""COMPUTED_VALUE"""),"Evidence")</f>
        <v>Evidence</v>
      </c>
      <c r="F26" s="71" t="str">
        <f>IFERROR(__xludf.DUMMYFUNCTION("""COMPUTED_VALUE"""),"Specific data and observations")</f>
        <v>Specific data and observations</v>
      </c>
      <c r="G26" s="71" t="str">
        <f>IFERROR(__xludf.DUMMYFUNCTION("""COMPUTED_VALUE"""),"How evidence supports your claim")</f>
        <v>How evidence supports your claim</v>
      </c>
      <c r="H26" s="71" t="str">
        <f>IFERROR(__xludf.DUMMYFUNCTION("""COMPUTED_VALUE"""),"Stop, Investigate, Find better, Trace claims")</f>
        <v>Stop, Investigate, Find better, Trace claims</v>
      </c>
      <c r="I26" s="71" t="str">
        <f>IFERROR(__xludf.DUMMYFUNCTION("""COMPUTED_VALUE"""),"A commercial website")</f>
        <v>A commercial website</v>
      </c>
      <c r="J26" s="71" t="str">
        <f>IFERROR(__xludf.DUMMYFUNCTION("""COMPUTED_VALUE"""),"Who created it and their credentials")</f>
        <v>Who created it and their credentials</v>
      </c>
      <c r="K26" s="71" t="str">
        <f>IFERROR(__xludf.DUMMYFUNCTION("""COMPUTED_VALUE"""),"Specific and testable")</f>
        <v>Specific and testable</v>
      </c>
      <c r="L26" s="71" t="str">
        <f>IFERROR(__xludf.DUMMYFUNCTION("""COMPUTED_VALUE"""),"Question, Hypothesis, Experiment, Analysis, Conclusion")</f>
        <v>Question, Hypothesis, Experiment, Analysis, Conclusion</v>
      </c>
      <c r="M26" s="71" t="str">
        <f>IFERROR(__xludf.DUMMYFUNCTION("""COMPUTED_VALUE"""),"You have all the essentials that the plants need. ")</f>
        <v>You have all the essentials that the plants need. </v>
      </c>
      <c r="N26" s="71" t="str">
        <f>IFERROR(__xludf.DUMMYFUNCTION("""COMPUTED_VALUE"""),"you have to go reserch and the test is your self ")</f>
        <v>you have to go reserch and the test is your self </v>
      </c>
      <c r="O26" s="71" t="str">
        <f>IFERROR(__xludf.DUMMYFUNCTION("""COMPUTED_VALUE"""),"reserch about it and then create evidence ")</f>
        <v>reserch about it and then create evidence </v>
      </c>
      <c r="P26" s="129">
        <f>IFERROR(__xludf.DUMMYFUNCTION("""COMPUTED_VALUE"""),35.0)</f>
        <v>35</v>
      </c>
      <c r="Q26" s="71"/>
      <c r="R26" s="71"/>
      <c r="S26" s="71"/>
      <c r="T26" s="71"/>
      <c r="U26" s="71"/>
      <c r="V26" s="71"/>
    </row>
    <row r="27">
      <c r="A27" s="128">
        <f>IFERROR(__xludf.DUMMYFUNCTION("""COMPUTED_VALUE"""),45940.428257037034)</f>
        <v>45940.42826</v>
      </c>
      <c r="B27" s="71" t="str">
        <f>IFERROR(__xludf.DUMMYFUNCTION("""COMPUTED_VALUE"""),"jackeydon.boykin@kairosacademies.org")</f>
        <v>jackeydon.boykin@kairosacademies.org</v>
      </c>
      <c r="C27" s="71"/>
      <c r="D27" s="71" t="str">
        <f>IFERROR(__xludf.DUMMYFUNCTION("""COMPUTED_VALUE"""),"Claim, Evidence, Reasoning")</f>
        <v>Claim, Evidence, Reasoning</v>
      </c>
      <c r="E27" s="71" t="str">
        <f>IFERROR(__xludf.DUMMYFUNCTION("""COMPUTED_VALUE"""),"Evidence")</f>
        <v>Evidence</v>
      </c>
      <c r="F27" s="71" t="str">
        <f>IFERROR(__xludf.DUMMYFUNCTION("""COMPUTED_VALUE"""),"Specific data and observations")</f>
        <v>Specific data and observations</v>
      </c>
      <c r="G27" s="71" t="str">
        <f>IFERROR(__xludf.DUMMYFUNCTION("""COMPUTED_VALUE"""),"How evidence supports your claim")</f>
        <v>How evidence supports your claim</v>
      </c>
      <c r="H27" s="71" t="str">
        <f>IFERROR(__xludf.DUMMYFUNCTION("""COMPUTED_VALUE"""),"Search, Identify, Find, Test")</f>
        <v>Search, Identify, Find, Test</v>
      </c>
      <c r="I27" s="71" t="str">
        <f>IFERROR(__xludf.DUMMYFUNCTION("""COMPUTED_VALUE"""),"A peer-reviewed journal article")</f>
        <v>A peer-reviewed journal article</v>
      </c>
      <c r="J27" s="71" t="str">
        <f>IFERROR(__xludf.DUMMYFUNCTION("""COMPUTED_VALUE"""),"Who created it and their credentials")</f>
        <v>Who created it and their credentials</v>
      </c>
      <c r="K27" s="71" t="str">
        <f>IFERROR(__xludf.DUMMYFUNCTION("""COMPUTED_VALUE"""),"Specific and testable")</f>
        <v>Specific and testable</v>
      </c>
      <c r="L27" s="71" t="str">
        <f>IFERROR(__xludf.DUMMYFUNCTION("""COMPUTED_VALUE"""),"Experiment, Question, Conclusion")</f>
        <v>Experiment, Question, Conclusion</v>
      </c>
      <c r="M27" s="71" t="str">
        <f>IFERROR(__xludf.DUMMYFUNCTION("""COMPUTED_VALUE"""),"The plants near the window grow faster because of exposure to sun energy. Plants use energy from the sun to go through a process of photosynthesis. Photosynthesis uses c02 and energy from the sun to create their own food.")</f>
        <v>The plants near the window grow faster because of exposure to sun energy. Plants use energy from the sun to go through a process of photosynthesis. Photosynthesis uses c02 and energy from the sun to create their own food.</v>
      </c>
      <c r="N27" s="71" t="str">
        <f>IFERROR(__xludf.DUMMYFUNCTION("""COMPUTED_VALUE"""),"Two problems with is that not everything you see on the internet because although people can eat fruit and some fruits are health for them just eating fruits are not. Because just eating fruits you take in too much sugar which can cause tooth decay.")</f>
        <v>Two problems with is that not everything you see on the internet because although people can eat fruit and some fruits are health for them just eating fruits are not. Because just eating fruits you take in too much sugar which can cause tooth decay.</v>
      </c>
      <c r="O27" s="71" t="str">
        <f>IFERROR(__xludf.DUMMYFUNCTION("""COMPUTED_VALUE"""),"Exercise improves memory because it increases blood flow to the brain. According to Cleveland Clinic Health Essentials memory loss can be caused by MCI (Mild Cognitive Impairment) to anyone any age. As people start exercising more their blood flow starts "&amp;"to get better. In the text it states, "" Exercise improves circulation, which means more oxygen-rich blood and nutrients make it to your brain. It also means waste is removed more efficiently.
Exercise enhances synaptic plasticity, which is, put simply, y"&amp;"our brain’s ability to adjust and improve the connections in your brain. That enables you to both remember and learn.
Exercise improves neurogenesis —the formation of new neurons in your brain. Those new neurons help us sort information, remember specific"&amp;" moments in time and avoid confusion. There’s also evidence that neurogenesis helps us handle stress and emotions and may even help us forget harmful memories"". My evidence proves my claim by showing that increased blood flow from exercising increases me"&amp;"mory.")</f>
        <v>Exercise improves memory because it increases blood flow to the brain. According to Cleveland Clinic Health Essentials memory loss can be caused by MCI (Mild Cognitive Impairment) to anyone any age. As people start exercising more their blood flow starts to get better. In the text it states, " Exercise improves circulation, which means more oxygen-rich blood and nutrients make it to your brain. It also means waste is removed more efficiently.
Exercise enhances synaptic plasticity, which is, put simply, your brain’s ability to adjust and improve the connections in your brain. That enables you to both remember and learn.
Exercise improves neurogenesis —the formation of new neurons in your brain. Those new neurons help us sort information, remember specific moments in time and avoid confusion. There’s also evidence that neurogenesis helps us handle stress and emotions and may even help us forget harmful memories". My evidence proves my claim by showing that increased blood flow from exercising increases memory.</v>
      </c>
      <c r="P27" s="129">
        <f>IFERROR(__xludf.DUMMYFUNCTION("""COMPUTED_VALUE"""),30.0)</f>
        <v>30</v>
      </c>
      <c r="Q27" s="71"/>
      <c r="R27" s="71"/>
      <c r="S27" s="71"/>
      <c r="T27" s="71"/>
      <c r="U27" s="71"/>
      <c r="V27" s="71"/>
    </row>
    <row r="28">
      <c r="A28" s="128">
        <f>IFERROR(__xludf.DUMMYFUNCTION("""COMPUTED_VALUE"""),45940.56746091435)</f>
        <v>45940.56746</v>
      </c>
      <c r="B28" s="71" t="str">
        <f>IFERROR(__xludf.DUMMYFUNCTION("""COMPUTED_VALUE"""),"adrian.king@kairosacademies.org")</f>
        <v>adrian.king@kairosacademies.org</v>
      </c>
      <c r="C28" s="71"/>
      <c r="D28" s="71" t="str">
        <f>IFERROR(__xludf.DUMMYFUNCTION("""COMPUTED_VALUE"""),"Claim, Evidence, Reasoning")</f>
        <v>Claim, Evidence, Reasoning</v>
      </c>
      <c r="E28" s="71" t="str">
        <f>IFERROR(__xludf.DUMMYFUNCTION("""COMPUTED_VALUE"""),"Reasoning")</f>
        <v>Reasoning</v>
      </c>
      <c r="F28" s="71" t="str">
        <f>IFERROR(__xludf.DUMMYFUNCTION("""COMPUTED_VALUE"""),"Specific data and observations")</f>
        <v>Specific data and observations</v>
      </c>
      <c r="G28" s="71" t="str">
        <f>IFERROR(__xludf.DUMMYFUNCTION("""COMPUTED_VALUE"""),"How evidence supports your claim")</f>
        <v>How evidence supports your claim</v>
      </c>
      <c r="H28" s="71" t="str">
        <f>IFERROR(__xludf.DUMMYFUNCTION("""COMPUTED_VALUE"""),"Search, Identify, Find, Test")</f>
        <v>Search, Identify, Find, Test</v>
      </c>
      <c r="I28" s="71" t="str">
        <f>IFERROR(__xludf.DUMMYFUNCTION("""COMPUTED_VALUE"""),"A peer-reviewed journal article")</f>
        <v>A peer-reviewed journal article</v>
      </c>
      <c r="J28" s="71" t="str">
        <f>IFERROR(__xludf.DUMMYFUNCTION("""COMPUTED_VALUE"""),"Who created it and their credentials")</f>
        <v>Who created it and their credentials</v>
      </c>
      <c r="K28" s="71" t="str">
        <f>IFERROR(__xludf.DUMMYFUNCTION("""COMPUTED_VALUE"""),"Specific and testable")</f>
        <v>Specific and testable</v>
      </c>
      <c r="L28" s="71" t="str">
        <f>IFERROR(__xludf.DUMMYFUNCTION("""COMPUTED_VALUE"""),"Experiment, Question, Conclusion")</f>
        <v>Experiment, Question, Conclusion</v>
      </c>
      <c r="M28" s="71" t="str">
        <f>IFERROR(__xludf.DUMMYFUNCTION("""COMPUTED_VALUE"""),"plants  that are in the window grow faster because plants need sunlight to grow and preform photosynthesis, plants that are kept in the window have direct access to sunlight while plants that are in a corner don't have little to no access to sunlight. ")</f>
        <v>plants  that are in the window grow faster because plants need sunlight to grow and preform photosynthesis, plants that are kept in the window have direct access to sunlight while plants that are in a corner don't have little to no access to sunlight. </v>
      </c>
      <c r="N28" s="71" t="str">
        <f>IFERROR(__xludf.DUMMYFUNCTION("""COMPUTED_VALUE"""),"One problem with this is that a person /influencer made this claim and they most likely don't have any proof to back it up, but this does depend on if the person that made this claim is a person with a medical background or someone that has medical proven"&amp;" evidence. Another problem is that the human body can not survive by only fruit over a long period of time because it can lead to many heath problems. Also by only eating fruit you can miss out on essential nutrients.")</f>
        <v>One problem with this is that a person /influencer made this claim and they most likely don't have any proof to back it up, but this does depend on if the person that made this claim is a person with a medical background or someone that has medical proven evidence. Another problem is that the human body can not survive by only fruit over a long period of time because it can lead to many heath problems. Also by only eating fruit you can miss out on essential nutrients.</v>
      </c>
      <c r="O28" s="71" t="str">
        <f>IFERROR(__xludf.DUMMYFUNCTION("""COMPUTED_VALUE"""),"I think that exercise improves memory. From my research Harvard Heath Publishing says that many studies have suggested that the parts of the brain that control thinking and memory are larger in volume in people who exercise than in people who don't. One f"&amp;"inding is that engaging in a program of regular exercise of moderate intensity over six months or a year is associated with an increase in the volume of selected brain regions.(https://www.health.harvard.edu/mind-and-mood/exercise-can-boost-your-memory-an"&amp;"d-thinking-skills)  ")</f>
        <v>I think that exercise improves memory. From my research Harvard Heath Publishing says that many studies have suggested that the parts of the brain that control thinking and memory are larger in volume in people who exercise than in people who don't. One finding is that engaging in a program of regular exercise of moderate intensity over six months or a year is associated with an increase in the volume of selected brain regions.(https://www.health.harvard.edu/mind-and-mood/exercise-can-boost-your-memory-and-thinking-skills)  </v>
      </c>
      <c r="P28" s="129">
        <f>IFERROR(__xludf.DUMMYFUNCTION("""COMPUTED_VALUE"""),30.0)</f>
        <v>30</v>
      </c>
      <c r="Q28" s="71"/>
      <c r="R28" s="71"/>
      <c r="S28" s="71"/>
      <c r="T28" s="71"/>
      <c r="U28" s="71"/>
      <c r="V28" s="71"/>
    </row>
    <row r="29">
      <c r="A29" s="128">
        <f>IFERROR(__xludf.DUMMYFUNCTION("""COMPUTED_VALUE"""),45940.58914306713)</f>
        <v>45940.58914</v>
      </c>
      <c r="B29" s="71" t="str">
        <f>IFERROR(__xludf.DUMMYFUNCTION("""COMPUTED_VALUE"""),"eli.wilcox@kairosacademies.org")</f>
        <v>eli.wilcox@kairosacademies.org</v>
      </c>
      <c r="C29" s="71"/>
      <c r="D29" s="71" t="str">
        <f>IFERROR(__xludf.DUMMYFUNCTION("""COMPUTED_VALUE"""),"Claim, Evidence, Reasoning")</f>
        <v>Claim, Evidence, Reasoning</v>
      </c>
      <c r="E29" s="71" t="str">
        <f>IFERROR(__xludf.DUMMYFUNCTION("""COMPUTED_VALUE"""),"Evidence")</f>
        <v>Evidence</v>
      </c>
      <c r="F29" s="71" t="str">
        <f>IFERROR(__xludf.DUMMYFUNCTION("""COMPUTED_VALUE"""),"Specific data and observations")</f>
        <v>Specific data and observations</v>
      </c>
      <c r="G29" s="71" t="str">
        <f>IFERROR(__xludf.DUMMYFUNCTION("""COMPUTED_VALUE"""),"How evidence supports your claim")</f>
        <v>How evidence supports your claim</v>
      </c>
      <c r="H29" s="71" t="str">
        <f>IFERROR(__xludf.DUMMYFUNCTION("""COMPUTED_VALUE"""),"Search, Identify, Find, Test")</f>
        <v>Search, Identify, Find, Test</v>
      </c>
      <c r="I29" s="71" t="str">
        <f>IFERROR(__xludf.DUMMYFUNCTION("""COMPUTED_VALUE"""),"A commercial website")</f>
        <v>A commercial website</v>
      </c>
      <c r="J29" s="71" t="str">
        <f>IFERROR(__xludf.DUMMYFUNCTION("""COMPUTED_VALUE"""),"Who created it and their credentials")</f>
        <v>Who created it and their credentials</v>
      </c>
      <c r="K29" s="71" t="str">
        <f>IFERROR(__xludf.DUMMYFUNCTION("""COMPUTED_VALUE"""),"Specific and testable")</f>
        <v>Specific and testable</v>
      </c>
      <c r="L29" s="71" t="str">
        <f>IFERROR(__xludf.DUMMYFUNCTION("""COMPUTED_VALUE"""),"Question, Hypothesis, Experiment, Analysis, Conclusion")</f>
        <v>Question, Hypothesis, Experiment, Analysis, Conclusion</v>
      </c>
      <c r="M29" s="71" t="str">
        <f>IFERROR(__xludf.DUMMYFUNCTION("""COMPUTED_VALUE"""),"its factualy accurate that the plants in the corner get less sunlight")</f>
        <v>its factualy accurate that the plants in the corner get less sunlight</v>
      </c>
      <c r="N29" s="71" t="str">
        <f>IFERROR(__xludf.DUMMYFUNCTION("""COMPUTED_VALUE"""),"did the person make the post a nutriencist")</f>
        <v>did the person make the post a nutriencist</v>
      </c>
      <c r="O29" s="71" t="str">
        <f>IFERROR(__xludf.DUMMYFUNCTION("""COMPUTED_VALUE"""),"It is factualy accurate that exersiseing improves memory because it reduces fatige and brain fog
https://www.health.harvard.edu/mind-and-mood/exercise-can-boost-your-memory-and-thinking-skills")</f>
        <v>It is factualy accurate that exersiseing improves memory because it reduces fatige and brain fog
https://www.health.harvard.edu/mind-and-mood/exercise-can-boost-your-memory-and-thinking-skills</v>
      </c>
      <c r="P29" s="129">
        <f>IFERROR(__xludf.DUMMYFUNCTION("""COMPUTED_VALUE"""),30.0)</f>
        <v>30</v>
      </c>
      <c r="Q29" s="71"/>
      <c r="R29" s="71"/>
      <c r="S29" s="71"/>
      <c r="T29" s="71"/>
      <c r="U29" s="71"/>
      <c r="V29" s="71"/>
    </row>
    <row r="30">
      <c r="A30" s="128">
        <f>IFERROR(__xludf.DUMMYFUNCTION("""COMPUTED_VALUE"""),45940.61568524305)</f>
        <v>45940.61569</v>
      </c>
      <c r="B30" s="71" t="str">
        <f>IFERROR(__xludf.DUMMYFUNCTION("""COMPUTED_VALUE"""),"sollal.punch@kairosacademies.org")</f>
        <v>sollal.punch@kairosacademies.org</v>
      </c>
      <c r="C30" s="71"/>
      <c r="D30" s="71" t="str">
        <f>IFERROR(__xludf.DUMMYFUNCTION("""COMPUTED_VALUE"""),"Claim, Evidence, Reasoning")</f>
        <v>Claim, Evidence, Reasoning</v>
      </c>
      <c r="E30" s="71" t="str">
        <f>IFERROR(__xludf.DUMMYFUNCTION("""COMPUTED_VALUE"""),"Claim")</f>
        <v>Claim</v>
      </c>
      <c r="F30" s="71" t="str">
        <f>IFERROR(__xludf.DUMMYFUNCTION("""COMPUTED_VALUE"""),"Specific data and observations")</f>
        <v>Specific data and observations</v>
      </c>
      <c r="G30" s="71" t="str">
        <f>IFERROR(__xludf.DUMMYFUNCTION("""COMPUTED_VALUE"""),"How evidence supports your claim")</f>
        <v>How evidence supports your claim</v>
      </c>
      <c r="H30" s="71" t="str">
        <f>IFERROR(__xludf.DUMMYFUNCTION("""COMPUTED_VALUE"""),"Search, Identify, Find, Test")</f>
        <v>Search, Identify, Find, Test</v>
      </c>
      <c r="I30" s="71" t="str">
        <f>IFERROR(__xludf.DUMMYFUNCTION("""COMPUTED_VALUE"""),"A peer-reviewed journal article")</f>
        <v>A peer-reviewed journal article</v>
      </c>
      <c r="J30" s="71" t="str">
        <f>IFERROR(__xludf.DUMMYFUNCTION("""COMPUTED_VALUE"""),"Who created it and their credentials")</f>
        <v>Who created it and their credentials</v>
      </c>
      <c r="K30" s="71" t="str">
        <f>IFERROR(__xludf.DUMMYFUNCTION("""COMPUTED_VALUE"""),"Specific and testable")</f>
        <v>Specific and testable</v>
      </c>
      <c r="L30" s="71" t="str">
        <f>IFERROR(__xludf.DUMMYFUNCTION("""COMPUTED_VALUE"""),"Question, Hypothesis, Experiment, Analysis, Conclusion")</f>
        <v>Question, Hypothesis, Experiment, Analysis, Conclusion</v>
      </c>
      <c r="M30" s="71" t="str">
        <f>IFERROR(__xludf.DUMMYFUNCTION("""COMPUTED_VALUE"""),"Sunlight goes through a window, and it has plenty of energy to produce.")</f>
        <v>Sunlight goes through a window, and it has plenty of energy to produce.</v>
      </c>
      <c r="N30" s="71" t="str">
        <f>IFERROR(__xludf.DUMMYFUNCTION("""COMPUTED_VALUE"""),"This is not true. Eating vegetables AND fruit is healthy.")</f>
        <v>This is not true. Eating vegetables AND fruit is healthy.</v>
      </c>
      <c r="O30" s="71" t="str">
        <f>IFERROR(__xludf.DUMMYFUNCTION("""COMPUTED_VALUE"""),"Exercise improves memory because it can recognize the memories you made, so it removes the bad memories and lets you keep the good memories.")</f>
        <v>Exercise improves memory because it can recognize the memories you made, so it removes the bad memories and lets you keep the good memories.</v>
      </c>
      <c r="P30" s="129">
        <f>IFERROR(__xludf.DUMMYFUNCTION("""COMPUTED_VALUE"""),40.0)</f>
        <v>40</v>
      </c>
      <c r="Q30" s="71"/>
      <c r="R30" s="71"/>
      <c r="S30" s="71"/>
      <c r="T30" s="71"/>
      <c r="U30" s="71"/>
      <c r="V30" s="71"/>
    </row>
    <row r="31">
      <c r="A31" s="128">
        <f>IFERROR(__xludf.DUMMYFUNCTION("""COMPUTED_VALUE"""),45940.62420622685)</f>
        <v>45940.62421</v>
      </c>
      <c r="B31" s="71" t="str">
        <f>IFERROR(__xludf.DUMMYFUNCTION("""COMPUTED_VALUE"""),"alina.watkins@kairosacademies.org")</f>
        <v>alina.watkins@kairosacademies.org</v>
      </c>
      <c r="C31" s="71"/>
      <c r="D31" s="71" t="str">
        <f>IFERROR(__xludf.DUMMYFUNCTION("""COMPUTED_VALUE"""),"Claim, Evidence, Reasoning")</f>
        <v>Claim, Evidence, Reasoning</v>
      </c>
      <c r="E31" s="71" t="str">
        <f>IFERROR(__xludf.DUMMYFUNCTION("""COMPUTED_VALUE"""),"All parts together")</f>
        <v>All parts together</v>
      </c>
      <c r="F31" s="71" t="str">
        <f>IFERROR(__xludf.DUMMYFUNCTION("""COMPUTED_VALUE"""),"Specific data and observations")</f>
        <v>Specific data and observations</v>
      </c>
      <c r="G31" s="71" t="str">
        <f>IFERROR(__xludf.DUMMYFUNCTION("""COMPUTED_VALUE"""),"How evidence supports your claim")</f>
        <v>How evidence supports your claim</v>
      </c>
      <c r="H31" s="71" t="str">
        <f>IFERROR(__xludf.DUMMYFUNCTION("""COMPUTED_VALUE"""),"Stop, Investigate, Find better, Trace claims")</f>
        <v>Stop, Investigate, Find better, Trace claims</v>
      </c>
      <c r="I31" s="71" t="str">
        <f>IFERROR(__xludf.DUMMYFUNCTION("""COMPUTED_VALUE"""),"A peer-reviewed journal article")</f>
        <v>A peer-reviewed journal article</v>
      </c>
      <c r="J31" s="71" t="str">
        <f>IFERROR(__xludf.DUMMYFUNCTION("""COMPUTED_VALUE"""),"Who created it and their credentials")</f>
        <v>Who created it and their credentials</v>
      </c>
      <c r="K31" s="71" t="str">
        <f>IFERROR(__xludf.DUMMYFUNCTION("""COMPUTED_VALUE"""),"Specific and testable")</f>
        <v>Specific and testable</v>
      </c>
      <c r="L31" s="71" t="str">
        <f>IFERROR(__xludf.DUMMYFUNCTION("""COMPUTED_VALUE"""),"Question, Hypothesis, Experiment, Analysis, Conclusion")</f>
        <v>Question, Hypothesis, Experiment, Analysis, Conclusion</v>
      </c>
      <c r="M31" s="71" t="str">
        <f>IFERROR(__xludf.DUMMYFUNCTION("""COMPUTED_VALUE"""),"Plants thrive in brighter environments more than in darker environments. ")</f>
        <v>Plants thrive in brighter environments more than in darker environments. </v>
      </c>
      <c r="N31" s="71" t="str">
        <f>IFERROR(__xludf.DUMMYFUNCTION("""COMPUTED_VALUE"""),"The two issues with this source is that it's technically a ""personal blog"" and on a public internet source where anyone can say anything is true. The other problem is that if they haven't publicly stated they're an expert in the health field, there is n"&amp;"o way to verify that what they say has been researched and actually looked into or rather just an opinion stated on the internet. ")</f>
        <v>The two issues with this source is that it's technically a "personal blog" and on a public internet source where anyone can say anything is true. The other problem is that if they haven't publicly stated they're an expert in the health field, there is no way to verify that what they say has been researched and actually looked into or rather just an opinion stated on the internet. </v>
      </c>
      <c r="O31" s="71" t="str">
        <f>IFERROR(__xludf.DUMMYFUNCTION("""COMPUTED_VALUE"""),"A 2018 study published in the journal Neurology found that adults who participated in aerobic exercise four times a week for six months showed  improvements in memory performance compared to those who didn't exercise. This evidence proves the claim becaus"&amp;"e aerobic exercise increases blood flow to the brain, which helps support the growth of new brain cells and strengthens connections between neurons. These changes improve the brain’s ability to store and remember information, showing that regular exercise"&amp;" can lead to better memory.")</f>
        <v>A 2018 study published in the journal Neurology found that adults who participated in aerobic exercise four times a week for six months showed  improvements in memory performance compared to those who didn't exercise. This evidence proves the claim because aerobic exercise increases blood flow to the brain, which helps support the growth of new brain cells and strengthens connections between neurons. These changes improve the brain’s ability to store and remember information, showing that regular exercise can lead to better memory.</v>
      </c>
      <c r="P31" s="129">
        <f>IFERROR(__xludf.DUMMYFUNCTION("""COMPUTED_VALUE"""),40.0)</f>
        <v>40</v>
      </c>
      <c r="Q31" s="71"/>
      <c r="R31" s="71"/>
      <c r="S31" s="71"/>
      <c r="T31" s="71"/>
      <c r="U31" s="71"/>
      <c r="V31" s="71"/>
    </row>
    <row r="32">
      <c r="A32" s="128">
        <f>IFERROR(__xludf.DUMMYFUNCTION("""COMPUTED_VALUE"""),45940.62560671296)</f>
        <v>45940.62561</v>
      </c>
      <c r="B32" s="71" t="str">
        <f>IFERROR(__xludf.DUMMYFUNCTION("""COMPUTED_VALUE"""),"courtland.conner@kairosacademies.org")</f>
        <v>courtland.conner@kairosacademies.org</v>
      </c>
      <c r="C32" s="71"/>
      <c r="D32" s="71" t="str">
        <f>IFERROR(__xludf.DUMMYFUNCTION("""COMPUTED_VALUE"""),"Claim, Evidence, Reasoning")</f>
        <v>Claim, Evidence, Reasoning</v>
      </c>
      <c r="E32" s="71" t="str">
        <f>IFERROR(__xludf.DUMMYFUNCTION("""COMPUTED_VALUE"""),"Reasoning")</f>
        <v>Reasoning</v>
      </c>
      <c r="F32" s="71" t="str">
        <f>IFERROR(__xludf.DUMMYFUNCTION("""COMPUTED_VALUE"""),"Specific data and observations")</f>
        <v>Specific data and observations</v>
      </c>
      <c r="G32" s="71" t="str">
        <f>IFERROR(__xludf.DUMMYFUNCTION("""COMPUTED_VALUE"""),"How evidence supports your claim")</f>
        <v>How evidence supports your claim</v>
      </c>
      <c r="H32" s="71" t="str">
        <f>IFERROR(__xludf.DUMMYFUNCTION("""COMPUTED_VALUE"""),"Stop, Investigate, Find better, Trace claims")</f>
        <v>Stop, Investigate, Find better, Trace claims</v>
      </c>
      <c r="I32" s="71" t="str">
        <f>IFERROR(__xludf.DUMMYFUNCTION("""COMPUTED_VALUE"""),"A peer-reviewed journal article")</f>
        <v>A peer-reviewed journal article</v>
      </c>
      <c r="J32" s="71" t="str">
        <f>IFERROR(__xludf.DUMMYFUNCTION("""COMPUTED_VALUE"""),"Who created it and their credentials")</f>
        <v>Who created it and their credentials</v>
      </c>
      <c r="K32" s="71" t="str">
        <f>IFERROR(__xludf.DUMMYFUNCTION("""COMPUTED_VALUE"""),"Specific and testable")</f>
        <v>Specific and testable</v>
      </c>
      <c r="L32" s="71" t="str">
        <f>IFERROR(__xludf.DUMMYFUNCTION("""COMPUTED_VALUE"""),"Question, Hypothesis, Experiment, Analysis, Conclusion")</f>
        <v>Question, Hypothesis, Experiment, Analysis, Conclusion</v>
      </c>
      <c r="M32" s="71" t="str">
        <f>IFERROR(__xludf.DUMMYFUNCTION("""COMPUTED_VALUE"""),"the plants in the corner grow slower without as much sunlight as the plants at my window cause they aren't getting enough sunlight")</f>
        <v>the plants in the corner grow slower without as much sunlight as the plants at my window cause they aren't getting enough sunlight</v>
      </c>
      <c r="N32" s="71" t="str">
        <f>IFERROR(__xludf.DUMMYFUNCTION("""COMPUTED_VALUE"""),"2 problems with this is that humans need meat and some fruit and after eating only fruit some good things will happen but you might become weaker from lack of nutrition")</f>
        <v>2 problems with this is that humans need meat and some fruit and after eating only fruit some good things will happen but you might become weaker from lack of nutrition</v>
      </c>
      <c r="O32" s="71" t="str">
        <f>IFERROR(__xludf.DUMMYFUNCTION("""COMPUTED_VALUE"""),"?")</f>
        <v>?</v>
      </c>
      <c r="P32" s="129">
        <f>IFERROR(__xludf.DUMMYFUNCTION("""COMPUTED_VALUE"""),40.0)</f>
        <v>40</v>
      </c>
      <c r="Q32" s="71"/>
      <c r="R32" s="71"/>
      <c r="S32" s="71"/>
      <c r="T32" s="71"/>
      <c r="U32" s="71"/>
      <c r="V32" s="71"/>
    </row>
    <row r="33">
      <c r="A33" s="128">
        <f>IFERROR(__xludf.DUMMYFUNCTION("""COMPUTED_VALUE"""),45940.625929965274)</f>
        <v>45940.62593</v>
      </c>
      <c r="B33" s="71" t="str">
        <f>IFERROR(__xludf.DUMMYFUNCTION("""COMPUTED_VALUE"""),"marshawn.blair@kairosacademies.org")</f>
        <v>marshawn.blair@kairosacademies.org</v>
      </c>
      <c r="C33" s="71"/>
      <c r="D33" s="71" t="str">
        <f>IFERROR(__xludf.DUMMYFUNCTION("""COMPUTED_VALUE"""),"Claim, Evidence, Reasoning")</f>
        <v>Claim, Evidence, Reasoning</v>
      </c>
      <c r="E33" s="71" t="str">
        <f>IFERROR(__xludf.DUMMYFUNCTION("""COMPUTED_VALUE"""),"Evidence")</f>
        <v>Evidence</v>
      </c>
      <c r="F33" s="71" t="str">
        <f>IFERROR(__xludf.DUMMYFUNCTION("""COMPUTED_VALUE"""),"Specific data and observations")</f>
        <v>Specific data and observations</v>
      </c>
      <c r="G33" s="71" t="str">
        <f>IFERROR(__xludf.DUMMYFUNCTION("""COMPUTED_VALUE"""),"How evidence supports your claim")</f>
        <v>How evidence supports your claim</v>
      </c>
      <c r="H33" s="71" t="str">
        <f>IFERROR(__xludf.DUMMYFUNCTION("""COMPUTED_VALUE"""),"Stop, Investigate, Find better, Trace claims")</f>
        <v>Stop, Investigate, Find better, Trace claims</v>
      </c>
      <c r="I33" s="71" t="str">
        <f>IFERROR(__xludf.DUMMYFUNCTION("""COMPUTED_VALUE"""),"A peer-reviewed journal article")</f>
        <v>A peer-reviewed journal article</v>
      </c>
      <c r="J33" s="71" t="str">
        <f>IFERROR(__xludf.DUMMYFUNCTION("""COMPUTED_VALUE"""),"Who created it and their credentials")</f>
        <v>Who created it and their credentials</v>
      </c>
      <c r="K33" s="71" t="str">
        <f>IFERROR(__xludf.DUMMYFUNCTION("""COMPUTED_VALUE"""),"Specific and testable")</f>
        <v>Specific and testable</v>
      </c>
      <c r="L33" s="71" t="str">
        <f>IFERROR(__xludf.DUMMYFUNCTION("""COMPUTED_VALUE"""),"Question, Hypothesis, Experiment, Analysis, Conclusion")</f>
        <v>Question, Hypothesis, Experiment, Analysis, Conclusion</v>
      </c>
      <c r="M33" s="71" t="str">
        <f>IFERROR(__xludf.DUMMYFUNCTION("""COMPUTED_VALUE"""),"The cause of the is because the plant near the window is exposed to more sunshine then the on in the corner which may get exposed to sun which may happens at a certain time.")</f>
        <v>The cause of the is because the plant near the window is exposed to more sunshine then the on in the corner which may get exposed to sun which may happens at a certain time.</v>
      </c>
      <c r="N33" s="71" t="str">
        <f>IFERROR(__xludf.DUMMYFUNCTION("""COMPUTED_VALUE"""),"This is coming from someone without any credibility.")</f>
        <v>This is coming from someone without any credibility.</v>
      </c>
      <c r="O33" s="71" t="str">
        <f>IFERROR(__xludf.DUMMYFUNCTION("""COMPUTED_VALUE"""),"It improves muscle memory so if you workout at a young age when you are older you will still have that muscle memory.")</f>
        <v>It improves muscle memory so if you workout at a young age when you are older you will still have that muscle memory.</v>
      </c>
      <c r="P33" s="129">
        <f>IFERROR(__xludf.DUMMYFUNCTION("""COMPUTED_VALUE"""),40.0)</f>
        <v>40</v>
      </c>
      <c r="Q33" s="71"/>
      <c r="R33" s="71"/>
      <c r="S33" s="71"/>
      <c r="T33" s="71"/>
      <c r="U33" s="71"/>
      <c r="V33" s="71"/>
    </row>
    <row r="34">
      <c r="A34" s="128">
        <f>IFERROR(__xludf.DUMMYFUNCTION("""COMPUTED_VALUE"""),45940.635400150466)</f>
        <v>45940.6354</v>
      </c>
      <c r="B34" s="71" t="str">
        <f>IFERROR(__xludf.DUMMYFUNCTION("""COMPUTED_VALUE"""),"raysean.gordon-williams@kairosacademies.org")</f>
        <v>raysean.gordon-williams@kairosacademies.org</v>
      </c>
      <c r="C34" s="71"/>
      <c r="D34" s="71" t="str">
        <f>IFERROR(__xludf.DUMMYFUNCTION("""COMPUTED_VALUE"""),"Claim, Evidence, Reasoning")</f>
        <v>Claim, Evidence, Reasoning</v>
      </c>
      <c r="E34" s="71" t="str">
        <f>IFERROR(__xludf.DUMMYFUNCTION("""COMPUTED_VALUE"""),"Claim")</f>
        <v>Claim</v>
      </c>
      <c r="F34" s="71" t="str">
        <f>IFERROR(__xludf.DUMMYFUNCTION("""COMPUTED_VALUE"""),"Specific data and observations")</f>
        <v>Specific data and observations</v>
      </c>
      <c r="G34" s="71" t="str">
        <f>IFERROR(__xludf.DUMMYFUNCTION("""COMPUTED_VALUE"""),"How evidence supports your claim")</f>
        <v>How evidence supports your claim</v>
      </c>
      <c r="H34" s="71" t="str">
        <f>IFERROR(__xludf.DUMMYFUNCTION("""COMPUTED_VALUE"""),"Stop, Investigate, Find better, Trace claims")</f>
        <v>Stop, Investigate, Find better, Trace claims</v>
      </c>
      <c r="I34" s="71" t="str">
        <f>IFERROR(__xludf.DUMMYFUNCTION("""COMPUTED_VALUE"""),"A peer-reviewed journal article")</f>
        <v>A peer-reviewed journal article</v>
      </c>
      <c r="J34" s="71" t="str">
        <f>IFERROR(__xludf.DUMMYFUNCTION("""COMPUTED_VALUE"""),"Who created it and their credentials")</f>
        <v>Who created it and their credentials</v>
      </c>
      <c r="K34" s="71" t="str">
        <f>IFERROR(__xludf.DUMMYFUNCTION("""COMPUTED_VALUE"""),"Specific and testable")</f>
        <v>Specific and testable</v>
      </c>
      <c r="L34" s="71" t="str">
        <f>IFERROR(__xludf.DUMMYFUNCTION("""COMPUTED_VALUE"""),"Question, Hypothesis, Experiment, Analysis, Conclusion")</f>
        <v>Question, Hypothesis, Experiment, Analysis, Conclusion</v>
      </c>
      <c r="M34" s="71" t="str">
        <f>IFERROR(__xludf.DUMMYFUNCTION("""COMPUTED_VALUE"""),"Plants near the window grow faster than plants in the corner because they receive more sunlight, which provides the energy needed for photosynthesis and promotes better growth.
")</f>
        <v>Plants near the window grow faster than plants in the corner because they receive more sunlight, which provides the energy needed for photosynthesis and promotes better growth.
</v>
      </c>
      <c r="N34" s="71" t="str">
        <f>IFERROR(__xludf.DUMMYFUNCTION("""COMPUTED_VALUE"""),"1. The creator of the TikTok content may not be an expert or qualified nutritionist.The 2.information on TikTok may not be verifiable or supported by reliable scientific evidence.
")</f>
        <v>1. The creator of the TikTok content may not be an expert or qualified nutritionist.The 2.information on TikTok may not be verifiable or supported by reliable scientific evidence.
</v>
      </c>
      <c r="O34" s="71" t="str">
        <f>IFERROR(__xludf.DUMMYFUNCTION("""COMPUTED_VALUE"""),"Claim: Exercise improves memory.
Evidence: A study published in the Journal of Neuroscience found that adults who engaged in regular aerobic exercise showed increased hippocampus volume and better memory performance compared to inactive adults.
Reasoning:"&amp;" Exercise increases blood flow and oxygen to the brain, promoting the growth of new neurons in the hippocampus, a brain region critical for memory formation. This biological change supports improved memory function, proving the claim scientifically.")</f>
        <v>Claim: Exercise improves memory.
Evidence: A study published in the Journal of Neuroscience found that adults who engaged in regular aerobic exercise showed increased hippocampus volume and better memory performance compared to inactive adults.
Reasoning: Exercise increases blood flow and oxygen to the brain, promoting the growth of new neurons in the hippocampus, a brain region critical for memory formation. This biological change supports improved memory function, proving the claim scientifically.</v>
      </c>
      <c r="P34" s="129">
        <f>IFERROR(__xludf.DUMMYFUNCTION("""COMPUTED_VALUE"""),45.0)</f>
        <v>45</v>
      </c>
      <c r="Q34" s="71"/>
      <c r="R34" s="71"/>
      <c r="S34" s="71"/>
      <c r="T34" s="71"/>
      <c r="U34" s="71"/>
      <c r="V34" s="71"/>
    </row>
    <row r="35">
      <c r="A35" s="128">
        <f>IFERROR(__xludf.DUMMYFUNCTION("""COMPUTED_VALUE"""),45940.63900209491)</f>
        <v>45940.639</v>
      </c>
      <c r="B35" s="71" t="str">
        <f>IFERROR(__xludf.DUMMYFUNCTION("""COMPUTED_VALUE"""),"aubrie.kincade@kairosacademies.org")</f>
        <v>aubrie.kincade@kairosacademies.org</v>
      </c>
      <c r="C35" s="71"/>
      <c r="D35" s="71" t="str">
        <f>IFERROR(__xludf.DUMMYFUNCTION("""COMPUTED_VALUE"""),"Claim, Evidence, Reasoning")</f>
        <v>Claim, Evidence, Reasoning</v>
      </c>
      <c r="E35" s="71" t="str">
        <f>IFERROR(__xludf.DUMMYFUNCTION("""COMPUTED_VALUE"""),"Claim")</f>
        <v>Claim</v>
      </c>
      <c r="F35" s="71" t="str">
        <f>IFERROR(__xludf.DUMMYFUNCTION("""COMPUTED_VALUE"""),"Specific data and observations")</f>
        <v>Specific data and observations</v>
      </c>
      <c r="G35" s="71" t="str">
        <f>IFERROR(__xludf.DUMMYFUNCTION("""COMPUTED_VALUE"""),"How evidence supports your claim")</f>
        <v>How evidence supports your claim</v>
      </c>
      <c r="H35" s="71" t="str">
        <f>IFERROR(__xludf.DUMMYFUNCTION("""COMPUTED_VALUE"""),"Search, Identify, Find, Test")</f>
        <v>Search, Identify, Find, Test</v>
      </c>
      <c r="I35" s="71" t="str">
        <f>IFERROR(__xludf.DUMMYFUNCTION("""COMPUTED_VALUE"""),"A commercial website")</f>
        <v>A commercial website</v>
      </c>
      <c r="J35" s="71" t="str">
        <f>IFERROR(__xludf.DUMMYFUNCTION("""COMPUTED_VALUE"""),"Who created it and their credentials")</f>
        <v>Who created it and their credentials</v>
      </c>
      <c r="K35" s="71" t="str">
        <f>IFERROR(__xludf.DUMMYFUNCTION("""COMPUTED_VALUE"""),"Specific and testable")</f>
        <v>Specific and testable</v>
      </c>
      <c r="L35" s="71" t="str">
        <f>IFERROR(__xludf.DUMMYFUNCTION("""COMPUTED_VALUE"""),"Conclusion, Hypothesis, Experiment")</f>
        <v>Conclusion, Hypothesis, Experiment</v>
      </c>
      <c r="M35" s="71" t="str">
        <f>IFERROR(__xludf.DUMMYFUNCTION("""COMPUTED_VALUE"""),"When the plants are in the window the plants obsorb the sunlight and when watered it grows faster than normal in the window.")</f>
        <v>When the plants are in the window the plants obsorb the sunlight and when watered it grows faster than normal in the window.</v>
      </c>
      <c r="N35" s="71" t="str">
        <f>IFERROR(__xludf.DUMMYFUNCTION("""COMPUTED_VALUE"""),"My friend made it and they're not an expert; when I searched online, I found reliable sources that said ""No, it is not healthy to only eat fruit because this restrictive diet lacks essential nutrients like protein.""")</f>
        <v>My friend made it and they're not an expert; when I searched online, I found reliable sources that said "No, it is not healthy to only eat fruit because this restrictive diet lacks essential nutrients like protein."</v>
      </c>
      <c r="O35" s="71" t="str">
        <f>IFERROR(__xludf.DUMMYFUNCTION("""COMPUTED_VALUE"""),"C: I think that working our or exercising  helps improve your memory
E: because its an exercise for your brain.
R: My reasoning is because when you work out blood flows to your brain and makes your brain and memory better")</f>
        <v>C: I think that working our or exercising  helps improve your memory
E: because its an exercise for your brain.
R: My reasoning is because when you work out blood flows to your brain and makes your brain and memory better</v>
      </c>
      <c r="P35" s="129">
        <f>IFERROR(__xludf.DUMMYFUNCTION("""COMPUTED_VALUE"""),30.0)</f>
        <v>30</v>
      </c>
      <c r="Q35" s="71"/>
      <c r="R35" s="71"/>
      <c r="S35" s="71"/>
      <c r="T35" s="71"/>
      <c r="U35" s="71"/>
      <c r="V35" s="71"/>
    </row>
    <row r="36">
      <c r="A36" s="128">
        <f>IFERROR(__xludf.DUMMYFUNCTION("""COMPUTED_VALUE"""),45940.64356828704)</f>
        <v>45940.64357</v>
      </c>
      <c r="B36" s="71" t="str">
        <f>IFERROR(__xludf.DUMMYFUNCTION("""COMPUTED_VALUE"""),"sophia.cole@kairosacademies.org")</f>
        <v>sophia.cole@kairosacademies.org</v>
      </c>
      <c r="C36" s="71"/>
      <c r="D36" s="71" t="str">
        <f>IFERROR(__xludf.DUMMYFUNCTION("""COMPUTED_VALUE"""),"Claim, Evidence, Reasoning")</f>
        <v>Claim, Evidence, Reasoning</v>
      </c>
      <c r="E36" s="71" t="str">
        <f>IFERROR(__xludf.DUMMYFUNCTION("""COMPUTED_VALUE"""),"All parts together")</f>
        <v>All parts together</v>
      </c>
      <c r="F36" s="71" t="str">
        <f>IFERROR(__xludf.DUMMYFUNCTION("""COMPUTED_VALUE"""),"Specific data and observations")</f>
        <v>Specific data and observations</v>
      </c>
      <c r="G36" s="71" t="str">
        <f>IFERROR(__xludf.DUMMYFUNCTION("""COMPUTED_VALUE"""),"How evidence supports your claim")</f>
        <v>How evidence supports your claim</v>
      </c>
      <c r="H36" s="71" t="str">
        <f>IFERROR(__xludf.DUMMYFUNCTION("""COMPUTED_VALUE"""),"Stop, Investigate, Find better, Trace claims")</f>
        <v>Stop, Investigate, Find better, Trace claims</v>
      </c>
      <c r="I36" s="71" t="str">
        <f>IFERROR(__xludf.DUMMYFUNCTION("""COMPUTED_VALUE"""),"A peer-reviewed journal article")</f>
        <v>A peer-reviewed journal article</v>
      </c>
      <c r="J36" s="71" t="str">
        <f>IFERROR(__xludf.DUMMYFUNCTION("""COMPUTED_VALUE"""),"Who created it and their credentials")</f>
        <v>Who created it and their credentials</v>
      </c>
      <c r="K36" s="71" t="str">
        <f>IFERROR(__xludf.DUMMYFUNCTION("""COMPUTED_VALUE"""),"Specific and testable")</f>
        <v>Specific and testable</v>
      </c>
      <c r="L36" s="71" t="str">
        <f>IFERROR(__xludf.DUMMYFUNCTION("""COMPUTED_VALUE"""),"Question, Hypothesis, Experiment, Analysis, Conclusion")</f>
        <v>Question, Hypothesis, Experiment, Analysis, Conclusion</v>
      </c>
      <c r="M36" s="71" t="str">
        <f>IFERROR(__xludf.DUMMYFUNCTION("""COMPUTED_VALUE"""),"watching the plant grow from a seed to a fully grown plant the imporant thinbg the plant needs is sunlight to fully grow.")</f>
        <v>watching the plant grow from a seed to a fully grown plant the imporant thinbg the plant needs is sunlight to fully grow.</v>
      </c>
      <c r="N36" s="71" t="str">
        <f>IFERROR(__xludf.DUMMYFUNCTION("""COMPUTED_VALUE"""),"who made it a tiktoker, are they an expert yes the probably did research . no")</f>
        <v>who made it a tiktoker, are they an expert yes the probably did research . no</v>
      </c>
      <c r="O36" s="71" t="str">
        <f>IFERROR(__xludf.DUMMYFUNCTION("""COMPUTED_VALUE"""),"
")</f>
        <v>
</v>
      </c>
      <c r="P36" s="129">
        <f>IFERROR(__xludf.DUMMYFUNCTION("""COMPUTED_VALUE"""),40.0)</f>
        <v>40</v>
      </c>
      <c r="Q36" s="71"/>
      <c r="R36" s="71"/>
      <c r="S36" s="71"/>
      <c r="T36" s="71"/>
      <c r="U36" s="71"/>
      <c r="V36" s="71"/>
    </row>
    <row r="37">
      <c r="A37" s="128">
        <f>IFERROR(__xludf.DUMMYFUNCTION("""COMPUTED_VALUE"""),45940.667797662034)</f>
        <v>45940.6678</v>
      </c>
      <c r="B37" s="71" t="str">
        <f>IFERROR(__xludf.DUMMYFUNCTION("""COMPUTED_VALUE"""),"estrella.hurtado-garcia@kairosacademies.org")</f>
        <v>estrella.hurtado-garcia@kairosacademies.org</v>
      </c>
      <c r="C37" s="71"/>
      <c r="D37" s="71" t="str">
        <f>IFERROR(__xludf.DUMMYFUNCTION("""COMPUTED_VALUE"""),"Claim, Evidence, Reasoning")</f>
        <v>Claim, Evidence, Reasoning</v>
      </c>
      <c r="E37" s="71" t="str">
        <f>IFERROR(__xludf.DUMMYFUNCTION("""COMPUTED_VALUE"""),"All parts together")</f>
        <v>All parts together</v>
      </c>
      <c r="F37" s="71" t="str">
        <f>IFERROR(__xludf.DUMMYFUNCTION("""COMPUTED_VALUE"""),"Specific data and observations")</f>
        <v>Specific data and observations</v>
      </c>
      <c r="G37" s="71" t="str">
        <f>IFERROR(__xludf.DUMMYFUNCTION("""COMPUTED_VALUE"""),"How evidence supports your claim")</f>
        <v>How evidence supports your claim</v>
      </c>
      <c r="H37" s="71" t="str">
        <f>IFERROR(__xludf.DUMMYFUNCTION("""COMPUTED_VALUE"""),"Stop, Investigate, Find better, Trace claims")</f>
        <v>Stop, Investigate, Find better, Trace claims</v>
      </c>
      <c r="I37" s="71" t="str">
        <f>IFERROR(__xludf.DUMMYFUNCTION("""COMPUTED_VALUE"""),"A peer-reviewed journal article")</f>
        <v>A peer-reviewed journal article</v>
      </c>
      <c r="J37" s="71" t="str">
        <f>IFERROR(__xludf.DUMMYFUNCTION("""COMPUTED_VALUE"""),"Who created it and their credentials")</f>
        <v>Who created it and their credentials</v>
      </c>
      <c r="K37" s="71" t="str">
        <f>IFERROR(__xludf.DUMMYFUNCTION("""COMPUTED_VALUE"""),"Specific and testable")</f>
        <v>Specific and testable</v>
      </c>
      <c r="L37" s="71" t="str">
        <f>IFERROR(__xludf.DUMMYFUNCTION("""COMPUTED_VALUE"""),"Question, Hypothesis, Experiment, Analysis, Conclusion")</f>
        <v>Question, Hypothesis, Experiment, Analysis, Conclusion</v>
      </c>
      <c r="M37" s="71" t="str">
        <f>IFERROR(__xludf.DUMMYFUNCTION("""COMPUTED_VALUE"""),"Plants near the window grow faster than plants in the corner because they receive more sunlight, which is essential for photosynthesis and healthy plant growth")</f>
        <v>Plants near the window grow faster than plants in the corner because they receive more sunlight, which is essential for photosynthesis and healthy plant growth</v>
      </c>
      <c r="N37" s="71" t="str">
        <f>IFERROR(__xludf.DUMMYFUNCTION("""COMPUTED_VALUE"""),"he person on TikTok might not be a health expert.
The claim isn’t backed by science or trusted sources.")</f>
        <v>he person on TikTok might not be a health expert.
The claim isn’t backed by science or trusted sources.</v>
      </c>
      <c r="O37" s="71" t="str">
        <f>IFERROR(__xludf.DUMMYFUNCTION("""COMPUTED_VALUE"""),"Claim: Exercise improves memory.
Evidence: A study found that aerobic exercise increases the size of the hippocampus, the brain’s memory center.
Reasoning: This shows exercise boosts brain function, helping people remember and learn better.")</f>
        <v>Claim: Exercise improves memory.
Evidence: A study found that aerobic exercise increases the size of the hippocampus, the brain’s memory center.
Reasoning: This shows exercise boosts brain function, helping people remember and learn better.</v>
      </c>
      <c r="P37" s="129">
        <f>IFERROR(__xludf.DUMMYFUNCTION("""COMPUTED_VALUE"""),40.0)</f>
        <v>40</v>
      </c>
      <c r="Q37" s="71"/>
      <c r="R37" s="71"/>
      <c r="S37" s="71"/>
      <c r="T37" s="71"/>
      <c r="U37" s="71"/>
      <c r="V37" s="71"/>
    </row>
    <row r="38">
      <c r="A38" s="128">
        <f>IFERROR(__xludf.DUMMYFUNCTION("""COMPUTED_VALUE"""),45944.46274427084)</f>
        <v>45944.46274</v>
      </c>
      <c r="B38" s="71" t="str">
        <f>IFERROR(__xludf.DUMMYFUNCTION("""COMPUTED_VALUE"""),"jade.howard@kairosacademies.org")</f>
        <v>jade.howard@kairosacademies.org</v>
      </c>
      <c r="C38" s="71"/>
      <c r="D38" s="71" t="str">
        <f>IFERROR(__xludf.DUMMYFUNCTION("""COMPUTED_VALUE"""),"Claim, Evidence, Reasoning")</f>
        <v>Claim, Evidence, Reasoning</v>
      </c>
      <c r="E38" s="71" t="str">
        <f>IFERROR(__xludf.DUMMYFUNCTION("""COMPUTED_VALUE"""),"All parts together")</f>
        <v>All parts together</v>
      </c>
      <c r="F38" s="71" t="str">
        <f>IFERROR(__xludf.DUMMYFUNCTION("""COMPUTED_VALUE"""),"Specific data and observations")</f>
        <v>Specific data and observations</v>
      </c>
      <c r="G38" s="71" t="str">
        <f>IFERROR(__xludf.DUMMYFUNCTION("""COMPUTED_VALUE"""),"How evidence supports your claim")</f>
        <v>How evidence supports your claim</v>
      </c>
      <c r="H38" s="71" t="str">
        <f>IFERROR(__xludf.DUMMYFUNCTION("""COMPUTED_VALUE"""),"Stop, Investigate, Find better, Trace claims")</f>
        <v>Stop, Investigate, Find better, Trace claims</v>
      </c>
      <c r="I38" s="71" t="str">
        <f>IFERROR(__xludf.DUMMYFUNCTION("""COMPUTED_VALUE"""),"A peer-reviewed journal article")</f>
        <v>A peer-reviewed journal article</v>
      </c>
      <c r="J38" s="71" t="str">
        <f>IFERROR(__xludf.DUMMYFUNCTION("""COMPUTED_VALUE"""),"Who created it and their credentials")</f>
        <v>Who created it and their credentials</v>
      </c>
      <c r="K38" s="71" t="str">
        <f>IFERROR(__xludf.DUMMYFUNCTION("""COMPUTED_VALUE"""),"Specific and testable")</f>
        <v>Specific and testable</v>
      </c>
      <c r="L38" s="71" t="str">
        <f>IFERROR(__xludf.DUMMYFUNCTION("""COMPUTED_VALUE"""),"Question, Hypothesis, Experiment, Analysis, Conclusion")</f>
        <v>Question, Hypothesis, Experiment, Analysis, Conclusion</v>
      </c>
      <c r="M38" s="71" t="str">
        <f>IFERROR(__xludf.DUMMYFUNCTION("""COMPUTED_VALUE"""),"Plants grow faster near a window than in a corner because the plant is receiving more sunlight while the plant in the corner isn’t receiving enough sunlight.")</f>
        <v>Plants grow faster near a window than in a corner because the plant is receiving more sunlight while the plant in the corner isn’t receiving enough sunlight.</v>
      </c>
      <c r="N38" s="71" t="str">
        <f>IFERROR(__xludf.DUMMYFUNCTION("""COMPUTED_VALUE"""),"This is wrong because it came from a social media app where anyone can say anything and people will believe it. The person who made it probably isn’t an expert. No i can’t verify it because I don’t know who it was.")</f>
        <v>This is wrong because it came from a social media app where anyone can say anything and people will believe it. The person who made it probably isn’t an expert. No i can’t verify it because I don’t know who it was.</v>
      </c>
      <c r="O38" s="71" t="str">
        <f>IFERROR(__xludf.DUMMYFUNCTION("""COMPUTED_VALUE"""),"Exercise improves memory because your blood circulation is being improved. Research show that, “ Due to its high metabolic demand, the brain demands good circulation, and exercise aids it.”(https://lifesciences.byu.edu/how-exercise-affects-your-brain#:~:t"&amp;"ext=Exercise%20feeds%20the%20brain%0A%0AAn%20increase%20in%20blood,molecules%20important%20to%20brain%20function%2C%20including%20memory.) My evidence proves my claim because my research supports that exercise improves your memory.")</f>
        <v>Exercise improves memory because your blood circulation is being improved. Research show that, “ Due to its high metabolic demand, the brain demands good circulation, and exercise aids it.”(https://lifesciences.byu.edu/how-exercise-affects-your-brain#:~:text=Exercise%20feeds%20the%20brain%0A%0AAn%20increase%20in%20blood,molecules%20important%20to%20brain%20function%2C%20including%20memory.) My evidence proves my claim because my research supports that exercise improves your memory.</v>
      </c>
      <c r="P38" s="129">
        <f>IFERROR(__xludf.DUMMYFUNCTION("""COMPUTED_VALUE"""),40.0)</f>
        <v>40</v>
      </c>
      <c r="Q38" s="71"/>
      <c r="R38" s="71"/>
      <c r="S38" s="71"/>
      <c r="T38" s="71"/>
      <c r="U38" s="71"/>
      <c r="V38" s="71"/>
    </row>
    <row r="39">
      <c r="A39" s="128">
        <f>IFERROR(__xludf.DUMMYFUNCTION("""COMPUTED_VALUE"""),45957.72806903935)</f>
        <v>45957.72807</v>
      </c>
      <c r="B39" s="71" t="str">
        <f>IFERROR(__xludf.DUMMYFUNCTION("""COMPUTED_VALUE"""),"jermondez.gilcrease@kairosacademies.org")</f>
        <v>jermondez.gilcrease@kairosacademies.org</v>
      </c>
      <c r="C39" s="71"/>
      <c r="D39" s="71" t="str">
        <f>IFERROR(__xludf.DUMMYFUNCTION("""COMPUTED_VALUE"""),"Claim, Evidence, Reasoning")</f>
        <v>Claim, Evidence, Reasoning</v>
      </c>
      <c r="E39" s="71" t="str">
        <f>IFERROR(__xludf.DUMMYFUNCTION("""COMPUTED_VALUE"""),"All parts together")</f>
        <v>All parts together</v>
      </c>
      <c r="F39" s="71" t="str">
        <f>IFERROR(__xludf.DUMMYFUNCTION("""COMPUTED_VALUE"""),"Specific data and observations")</f>
        <v>Specific data and observations</v>
      </c>
      <c r="G39" s="71" t="str">
        <f>IFERROR(__xludf.DUMMYFUNCTION("""COMPUTED_VALUE"""),"Why you chose your topic")</f>
        <v>Why you chose your topic</v>
      </c>
      <c r="H39" s="71" t="str">
        <f>IFERROR(__xludf.DUMMYFUNCTION("""COMPUTED_VALUE"""),"Stop, Investigate, Find better, Trace claims")</f>
        <v>Stop, Investigate, Find better, Trace claims</v>
      </c>
      <c r="I39" s="71" t="str">
        <f>IFERROR(__xludf.DUMMYFUNCTION("""COMPUTED_VALUE"""),"A peer-reviewed journal article")</f>
        <v>A peer-reviewed journal article</v>
      </c>
      <c r="J39" s="71" t="str">
        <f>IFERROR(__xludf.DUMMYFUNCTION("""COMPUTED_VALUE"""),"Who created it and their credentials")</f>
        <v>Who created it and their credentials</v>
      </c>
      <c r="K39" s="71" t="str">
        <f>IFERROR(__xludf.DUMMYFUNCTION("""COMPUTED_VALUE"""),"Specific and testable")</f>
        <v>Specific and testable</v>
      </c>
      <c r="L39" s="71" t="str">
        <f>IFERROR(__xludf.DUMMYFUNCTION("""COMPUTED_VALUE"""),"Question, Hypothesis, Experiment, Analysis, Conclusion")</f>
        <v>Question, Hypothesis, Experiment, Analysis, Conclusion</v>
      </c>
      <c r="M39" s="71" t="str">
        <f>IFERROR(__xludf.DUMMYFUNCTION("""COMPUTED_VALUE"""),"They grow faster because they get their nutrients faster.")</f>
        <v>They grow faster because they get their nutrients faster.</v>
      </c>
      <c r="N39" s="71" t="str">
        <f>IFERROR(__xludf.DUMMYFUNCTION("""COMPUTED_VALUE"""),"The answer is false because vegetables are also healthy. Also TikTok is not a source to trust everyone.")</f>
        <v>The answer is false because vegetables are also healthy. Also TikTok is not a source to trust everyone.</v>
      </c>
      <c r="O39" s="71" t="str">
        <f>IFERROR(__xludf.DUMMYFUNCTION("""COMPUTED_VALUE"""),"If you practice memory then it will improve because of the way our brains work.")</f>
        <v>If you practice memory then it will improve because of the way our brains work.</v>
      </c>
      <c r="P39" s="129">
        <f>IFERROR(__xludf.DUMMYFUNCTION("""COMPUTED_VALUE"""),35.0)</f>
        <v>35</v>
      </c>
      <c r="Q39" s="71"/>
      <c r="R39" s="71"/>
      <c r="S39" s="71"/>
      <c r="T39" s="71"/>
      <c r="U39" s="71"/>
      <c r="V39" s="71"/>
    </row>
    <row r="40">
      <c r="A40" s="128">
        <f>IFERROR(__xludf.DUMMYFUNCTION("""COMPUTED_VALUE"""),45960.95884348379)</f>
        <v>45960.95884</v>
      </c>
      <c r="B40" s="71" t="str">
        <f>IFERROR(__xludf.DUMMYFUNCTION("""COMPUTED_VALUE"""),"lyrik.dean@kairosacademies.org")</f>
        <v>lyrik.dean@kairosacademies.org</v>
      </c>
      <c r="C40" s="71"/>
      <c r="D40" s="71" t="str">
        <f>IFERROR(__xludf.DUMMYFUNCTION("""COMPUTED_VALUE"""),"Claim, Evidence, Reasoning")</f>
        <v>Claim, Evidence, Reasoning</v>
      </c>
      <c r="E40" s="71" t="str">
        <f>IFERROR(__xludf.DUMMYFUNCTION("""COMPUTED_VALUE"""),"Evidence")</f>
        <v>Evidence</v>
      </c>
      <c r="F40" s="71" t="str">
        <f>IFERROR(__xludf.DUMMYFUNCTION("""COMPUTED_VALUE"""),"Specific data and observations")</f>
        <v>Specific data and observations</v>
      </c>
      <c r="G40" s="71" t="str">
        <f>IFERROR(__xludf.DUMMYFUNCTION("""COMPUTED_VALUE"""),"How evidence supports your claim")</f>
        <v>How evidence supports your claim</v>
      </c>
      <c r="H40" s="71" t="str">
        <f>IFERROR(__xludf.DUMMYFUNCTION("""COMPUTED_VALUE"""),"Search, Identify, Find, Test")</f>
        <v>Search, Identify, Find, Test</v>
      </c>
      <c r="I40" s="71" t="str">
        <f>IFERROR(__xludf.DUMMYFUNCTION("""COMPUTED_VALUE"""),"A peer-reviewed journal article")</f>
        <v>A peer-reviewed journal article</v>
      </c>
      <c r="J40" s="71" t="str">
        <f>IFERROR(__xludf.DUMMYFUNCTION("""COMPUTED_VALUE"""),"Who created it and their credentials")</f>
        <v>Who created it and their credentials</v>
      </c>
      <c r="K40" s="71" t="str">
        <f>IFERROR(__xludf.DUMMYFUNCTION("""COMPUTED_VALUE"""),"Specific and testable")</f>
        <v>Specific and testable</v>
      </c>
      <c r="L40" s="71" t="str">
        <f>IFERROR(__xludf.DUMMYFUNCTION("""COMPUTED_VALUE"""),"Question, Hypothesis, Experiment, Analysis, Conclusion")</f>
        <v>Question, Hypothesis, Experiment, Analysis, Conclusion</v>
      </c>
      <c r="M40" s="71" t="str">
        <f>IFERROR(__xludf.DUMMYFUNCTION("""COMPUTED_VALUE"""),"plants by the window grow faster because they get more sunlight that gives it the energy needed for photosynthesis and gets greater growth than to the other plants in the corner that dont get enough light")</f>
        <v>plants by the window grow faster because they get more sunlight that gives it the energy needed for photosynthesis and gets greater growth than to the other plants in the corner that dont get enough light</v>
      </c>
      <c r="N40" s="71" t="str">
        <f>IFERROR(__xludf.DUMMYFUNCTION("""COMPUTED_VALUE"""),"the creators probably not a expert so you cant rust what they say
their claims not proven you need to check stuff you can trust like health and science 
")</f>
        <v>the creators probably not a expert so you cant rust what they say
their claims not proven you need to check stuff you can trust like health and science 
</v>
      </c>
      <c r="O40" s="71" t="str">
        <f>IFERROR(__xludf.DUMMYFUNCTION("""COMPUTED_VALUE"""),"exercising improves your memory because it helps a part in your brain that helps you learn and remember stuff")</f>
        <v>exercising improves your memory because it helps a part in your brain that helps you learn and remember stuff</v>
      </c>
      <c r="P40" s="129">
        <f>IFERROR(__xludf.DUMMYFUNCTION("""COMPUTED_VALUE"""),35.0)</f>
        <v>35</v>
      </c>
      <c r="Q40" s="71"/>
      <c r="R40" s="71"/>
      <c r="S40" s="71"/>
      <c r="T40" s="71"/>
      <c r="U40" s="71"/>
      <c r="V40" s="71"/>
    </row>
    <row r="41">
      <c r="A41" s="128">
        <f>IFERROR(__xludf.DUMMYFUNCTION("""COMPUTED_VALUE"""),45961.363910370375)</f>
        <v>45961.36391</v>
      </c>
      <c r="B41" s="71" t="str">
        <f>IFERROR(__xludf.DUMMYFUNCTION("""COMPUTED_VALUE"""),"chloe.mcalpin@kairosacademies.org")</f>
        <v>chloe.mcalpin@kairosacademies.org</v>
      </c>
      <c r="C41" s="71"/>
      <c r="D41" s="71" t="str">
        <f>IFERROR(__xludf.DUMMYFUNCTION("""COMPUTED_VALUE"""),"Claim, Evidence, Reasoning")</f>
        <v>Claim, Evidence, Reasoning</v>
      </c>
      <c r="E41" s="71" t="str">
        <f>IFERROR(__xludf.DUMMYFUNCTION("""COMPUTED_VALUE"""),"All parts together")</f>
        <v>All parts together</v>
      </c>
      <c r="F41" s="71" t="str">
        <f>IFERROR(__xludf.DUMMYFUNCTION("""COMPUTED_VALUE"""),"Specific data and observations")</f>
        <v>Specific data and observations</v>
      </c>
      <c r="G41" s="71" t="str">
        <f>IFERROR(__xludf.DUMMYFUNCTION("""COMPUTED_VALUE"""),"How evidence supports your claim")</f>
        <v>How evidence supports your claim</v>
      </c>
      <c r="H41" s="71" t="str">
        <f>IFERROR(__xludf.DUMMYFUNCTION("""COMPUTED_VALUE"""),"Search, Identify, Find, Test")</f>
        <v>Search, Identify, Find, Test</v>
      </c>
      <c r="I41" s="71" t="str">
        <f>IFERROR(__xludf.DUMMYFUNCTION("""COMPUTED_VALUE"""),"A commercial website")</f>
        <v>A commercial website</v>
      </c>
      <c r="J41" s="71" t="str">
        <f>IFERROR(__xludf.DUMMYFUNCTION("""COMPUTED_VALUE"""),"The website color scheme")</f>
        <v>The website color scheme</v>
      </c>
      <c r="K41" s="71" t="str">
        <f>IFERROR(__xludf.DUMMYFUNCTION("""COMPUTED_VALUE"""),"Specific and testable")</f>
        <v>Specific and testable</v>
      </c>
      <c r="L41" s="71" t="str">
        <f>IFERROR(__xludf.DUMMYFUNCTION("""COMPUTED_VALUE"""),"Conclusion, Hypothesis, Experiment")</f>
        <v>Conclusion, Hypothesis, Experiment</v>
      </c>
      <c r="M41" s="71" t="str">
        <f>IFERROR(__xludf.DUMMYFUNCTION("""COMPUTED_VALUE"""),"they grow faster in the window then in a corner because the window has sun and a plant needs sun light to grow")</f>
        <v>they grow faster in the window then in a corner because the window has sun and a plant needs sun light to grow</v>
      </c>
      <c r="N41" s="71" t="str">
        <f>IFERROR(__xludf.DUMMYFUNCTION("""COMPUTED_VALUE"""),".")</f>
        <v>.</v>
      </c>
      <c r="O41" s="71" t="str">
        <f>IFERROR(__xludf.DUMMYFUNCTION("""COMPUTED_VALUE"""),".")</f>
        <v>.</v>
      </c>
      <c r="P41" s="129">
        <f>IFERROR(__xludf.DUMMYFUNCTION("""COMPUTED_VALUE"""),20.0)</f>
        <v>20</v>
      </c>
      <c r="Q41" s="71"/>
      <c r="R41" s="71"/>
      <c r="S41" s="71"/>
      <c r="T41" s="71"/>
      <c r="U41" s="71"/>
      <c r="V41" s="71"/>
    </row>
    <row r="42">
      <c r="A42" s="128">
        <f>IFERROR(__xludf.DUMMYFUNCTION("""COMPUTED_VALUE"""),45961.36743815972)</f>
        <v>45961.36744</v>
      </c>
      <c r="B42" s="71" t="str">
        <f>IFERROR(__xludf.DUMMYFUNCTION("""COMPUTED_VALUE"""),"khori.harris@kairosacademies.org")</f>
        <v>khori.harris@kairosacademies.org</v>
      </c>
      <c r="C42" s="71"/>
      <c r="D42" s="71" t="str">
        <f>IFERROR(__xludf.DUMMYFUNCTION("""COMPUTED_VALUE"""),"Create, Experiment, Report")</f>
        <v>Create, Experiment, Report</v>
      </c>
      <c r="E42" s="71" t="str">
        <f>IFERROR(__xludf.DUMMYFUNCTION("""COMPUTED_VALUE"""),"Evidence")</f>
        <v>Evidence</v>
      </c>
      <c r="F42" s="71" t="str">
        <f>IFERROR(__xludf.DUMMYFUNCTION("""COMPUTED_VALUE"""),"Specific data and observations")</f>
        <v>Specific data and observations</v>
      </c>
      <c r="G42" s="71" t="str">
        <f>IFERROR(__xludf.DUMMYFUNCTION("""COMPUTED_VALUE"""),"What experiments to do next")</f>
        <v>What experiments to do next</v>
      </c>
      <c r="H42" s="71" t="str">
        <f>IFERROR(__xludf.DUMMYFUNCTION("""COMPUTED_VALUE"""),"Sort, Include, Filter, Tag")</f>
        <v>Sort, Include, Filter, Tag</v>
      </c>
      <c r="I42" s="71" t="str">
        <f>IFERROR(__xludf.DUMMYFUNCTION("""COMPUTED_VALUE"""),"A peer-reviewed journal article")</f>
        <v>A peer-reviewed journal article</v>
      </c>
      <c r="J42" s="71" t="str">
        <f>IFERROR(__xludf.DUMMYFUNCTION("""COMPUTED_VALUE"""),"Who created it and their credentials")</f>
        <v>Who created it and their credentials</v>
      </c>
      <c r="K42" s="71" t="str">
        <f>IFERROR(__xludf.DUMMYFUNCTION("""COMPUTED_VALUE"""),"Specific and testable")</f>
        <v>Specific and testable</v>
      </c>
      <c r="L42" s="71" t="str">
        <f>IFERROR(__xludf.DUMMYFUNCTION("""COMPUTED_VALUE"""),"Conclusion, Hypothesis, Experiment")</f>
        <v>Conclusion, Hypothesis, Experiment</v>
      </c>
      <c r="M42" s="71" t="str">
        <f>IFERROR(__xludf.DUMMYFUNCTION("""COMPUTED_VALUE"""),"Because us as humans needs the sun light and plants are alive like humans so they also need light")</f>
        <v>Because us as humans needs the sun light and plants are alive like humans so they also need light</v>
      </c>
      <c r="N42" s="71" t="str">
        <f>IFERROR(__xludf.DUMMYFUNCTION("""COMPUTED_VALUE"""),"I think only eating fruit is healthy and its also don't have the fat sugar")</f>
        <v>I think only eating fruit is healthy and its also don't have the fat sugar</v>
      </c>
      <c r="O42" s="71" t="str">
        <f>IFERROR(__xludf.DUMMYFUNCTION("""COMPUTED_VALUE"""),"It not only makes you stronger but it makes your brain improve in memory and there are also some brain exercises")</f>
        <v>It not only makes you stronger but it makes your brain improve in memory and there are also some brain exercises</v>
      </c>
      <c r="P42" s="129">
        <f>IFERROR(__xludf.DUMMYFUNCTION("""COMPUTED_VALUE"""),20.0)</f>
        <v>20</v>
      </c>
      <c r="Q42" s="71"/>
      <c r="R42" s="71"/>
      <c r="S42" s="71"/>
      <c r="T42" s="71"/>
      <c r="U42" s="71"/>
      <c r="V42" s="71"/>
    </row>
    <row r="43">
      <c r="A43" s="128">
        <f>IFERROR(__xludf.DUMMYFUNCTION("""COMPUTED_VALUE"""),45961.54810905092)</f>
        <v>45961.54811</v>
      </c>
      <c r="B43" s="71" t="str">
        <f>IFERROR(__xludf.DUMMYFUNCTION("""COMPUTED_VALUE"""),"chyna.turner@kairosacademies.org")</f>
        <v>chyna.turner@kairosacademies.org</v>
      </c>
      <c r="C43" s="71"/>
      <c r="D43" s="71" t="str">
        <f>IFERROR(__xludf.DUMMYFUNCTION("""COMPUTED_VALUE"""),"Claim, Evidence, Reasoning")</f>
        <v>Claim, Evidence, Reasoning</v>
      </c>
      <c r="E43" s="71" t="str">
        <f>IFERROR(__xludf.DUMMYFUNCTION("""COMPUTED_VALUE"""),"Reasoning")</f>
        <v>Reasoning</v>
      </c>
      <c r="F43" s="71" t="str">
        <f>IFERROR(__xludf.DUMMYFUNCTION("""COMPUTED_VALUE"""),"Specific data and observations")</f>
        <v>Specific data and observations</v>
      </c>
      <c r="G43" s="71" t="str">
        <f>IFERROR(__xludf.DUMMYFUNCTION("""COMPUTED_VALUE"""),"How evidence supports your claim")</f>
        <v>How evidence supports your claim</v>
      </c>
      <c r="H43" s="71" t="str">
        <f>IFERROR(__xludf.DUMMYFUNCTION("""COMPUTED_VALUE"""),"Stop, Investigate, Find better, Trace claims")</f>
        <v>Stop, Investigate, Find better, Trace claims</v>
      </c>
      <c r="I43" s="71" t="str">
        <f>IFERROR(__xludf.DUMMYFUNCTION("""COMPUTED_VALUE"""),"A personal blog")</f>
        <v>A personal blog</v>
      </c>
      <c r="J43" s="71" t="str">
        <f>IFERROR(__xludf.DUMMYFUNCTION("""COMPUTED_VALUE"""),"Who created it and their credentials")</f>
        <v>Who created it and their credentials</v>
      </c>
      <c r="K43" s="71" t="str">
        <f>IFERROR(__xludf.DUMMYFUNCTION("""COMPUTED_VALUE"""),"Specific and testable")</f>
        <v>Specific and testable</v>
      </c>
      <c r="L43" s="71" t="str">
        <f>IFERROR(__xludf.DUMMYFUNCTION("""COMPUTED_VALUE"""),"Question, Hypothesis, Experiment, Analysis, Conclusion")</f>
        <v>Question, Hypothesis, Experiment, Analysis, Conclusion</v>
      </c>
      <c r="M43" s="71" t="str">
        <f>IFERROR(__xludf.DUMMYFUNCTION("""COMPUTED_VALUE"""),"Why might plants in the window grow faster than plants in the corner.")</f>
        <v>Why might plants in the window grow faster than plants in the corner.</v>
      </c>
      <c r="N43" s="71" t="str">
        <f>IFERROR(__xludf.DUMMYFUNCTION("""COMPUTED_VALUE"""),"Who made it on TikTok and are they an expert?")</f>
        <v>Who made it on TikTok and are they an expert?</v>
      </c>
      <c r="O43" s="71" t="str">
        <f>IFERROR(__xludf.DUMMYFUNCTION("""COMPUTED_VALUE"""),"Exercise can also boost memory and thinking indirectly by improving mood and sleep, and by reducing stress and anxiety.")</f>
        <v>Exercise can also boost memory and thinking indirectly by improving mood and sleep, and by reducing stress and anxiety.</v>
      </c>
      <c r="P43" s="129">
        <f>IFERROR(__xludf.DUMMYFUNCTION("""COMPUTED_VALUE"""),35.0)</f>
        <v>35</v>
      </c>
      <c r="Q43" s="71"/>
      <c r="R43" s="71"/>
      <c r="S43" s="71"/>
      <c r="T43" s="71"/>
      <c r="U43" s="71"/>
      <c r="V43" s="71"/>
    </row>
    <row r="44">
      <c r="A44" s="128">
        <f>IFERROR(__xludf.DUMMYFUNCTION("""COMPUTED_VALUE"""),45964.37090981482)</f>
        <v>45964.37091</v>
      </c>
      <c r="B44" s="71" t="str">
        <f>IFERROR(__xludf.DUMMYFUNCTION("""COMPUTED_VALUE"""),"amyira.jones@kairosacademies.org")</f>
        <v>amyira.jones@kairosacademies.org</v>
      </c>
      <c r="C44" s="71"/>
      <c r="D44" s="71" t="str">
        <f>IFERROR(__xludf.DUMMYFUNCTION("""COMPUTED_VALUE"""),"Claim, Evidence, Reasoning")</f>
        <v>Claim, Evidence, Reasoning</v>
      </c>
      <c r="E44" s="71" t="str">
        <f>IFERROR(__xludf.DUMMYFUNCTION("""COMPUTED_VALUE"""),"Claim")</f>
        <v>Claim</v>
      </c>
      <c r="F44" s="71" t="str">
        <f>IFERROR(__xludf.DUMMYFUNCTION("""COMPUTED_VALUE"""),"Specific data and observations")</f>
        <v>Specific data and observations</v>
      </c>
      <c r="G44" s="71" t="str">
        <f>IFERROR(__xludf.DUMMYFUNCTION("""COMPUTED_VALUE"""),"How evidence supports your claim")</f>
        <v>How evidence supports your claim</v>
      </c>
      <c r="H44" s="71" t="str">
        <f>IFERROR(__xludf.DUMMYFUNCTION("""COMPUTED_VALUE"""),"Stop, Investigate, Find better, Trace claims")</f>
        <v>Stop, Investigate, Find better, Trace claims</v>
      </c>
      <c r="I44" s="71" t="str">
        <f>IFERROR(__xludf.DUMMYFUNCTION("""COMPUTED_VALUE"""),"A peer-reviewed journal article")</f>
        <v>A peer-reviewed journal article</v>
      </c>
      <c r="J44" s="71" t="str">
        <f>IFERROR(__xludf.DUMMYFUNCTION("""COMPUTED_VALUE"""),"Who created it and their credentials")</f>
        <v>Who created it and their credentials</v>
      </c>
      <c r="K44" s="71" t="str">
        <f>IFERROR(__xludf.DUMMYFUNCTION("""COMPUTED_VALUE"""),"Specific and testable")</f>
        <v>Specific and testable</v>
      </c>
      <c r="L44" s="71" t="str">
        <f>IFERROR(__xludf.DUMMYFUNCTION("""COMPUTED_VALUE"""),"Question, Hypothesis, Experiment, Analysis, Conclusion")</f>
        <v>Question, Hypothesis, Experiment, Analysis, Conclusion</v>
      </c>
      <c r="M44" s="71" t="str">
        <f>IFERROR(__xludf.DUMMYFUNCTION("""COMPUTED_VALUE"""),"Plants near the window grow faster because they receive more sunlight than plants in the corner.
")</f>
        <v>Plants near the window grow faster because they receive more sunlight than plants in the corner.
</v>
      </c>
      <c r="N44" s="71" t="str">
        <f>IFERROR(__xludf.DUMMYFUNCTION("""COMPUTED_VALUE"""),"The source (TikTok) isn’t reliable or verified. Anyone can post on TikTok, so the person sharing the claim might not be a health expert.
The information is not backed up  by evidence. You can’t verify it with trustworthy sources like doctors, or scientif"&amp;"ic studies so it’s not a good health claim.")</f>
        <v>The source (TikTok) isn’t reliable or verified. Anyone can post on TikTok, so the person sharing the claim might not be a health expert.
The information is not backed up  by evidence. You can’t verify it with trustworthy sources like doctors, or scientific studies so it’s not a good health claim.</v>
      </c>
      <c r="O44" s="71" t="str">
        <f>IFERROR(__xludf.DUMMYFUNCTION("""COMPUTED_VALUE""")," ")</f>
        <v> </v>
      </c>
      <c r="P44" s="129">
        <f>IFERROR(__xludf.DUMMYFUNCTION("""COMPUTED_VALUE"""),45.0)</f>
        <v>45</v>
      </c>
      <c r="Q44" s="71"/>
      <c r="R44" s="71"/>
      <c r="S44" s="71"/>
      <c r="T44" s="71"/>
      <c r="U44" s="71"/>
      <c r="V44" s="71"/>
    </row>
    <row r="45">
      <c r="A45" s="128">
        <f>IFERROR(__xludf.DUMMYFUNCTION("""COMPUTED_VALUE"""),45964.589660289355)</f>
        <v>45964.58966</v>
      </c>
      <c r="B45" s="71" t="str">
        <f>IFERROR(__xludf.DUMMYFUNCTION("""COMPUTED_VALUE"""),"major.ross@kairosacademies.org")</f>
        <v>major.ross@kairosacademies.org</v>
      </c>
      <c r="C45" s="71"/>
      <c r="D45" s="71" t="str">
        <f>IFERROR(__xludf.DUMMYFUNCTION("""COMPUTED_VALUE"""),"Claim, Evidence, Reasoning")</f>
        <v>Claim, Evidence, Reasoning</v>
      </c>
      <c r="E45" s="71" t="str">
        <f>IFERROR(__xludf.DUMMYFUNCTION("""COMPUTED_VALUE"""),"Claim")</f>
        <v>Claim</v>
      </c>
      <c r="F45" s="71" t="str">
        <f>IFERROR(__xludf.DUMMYFUNCTION("""COMPUTED_VALUE"""),"Specific data and observations")</f>
        <v>Specific data and observations</v>
      </c>
      <c r="G45" s="71" t="str">
        <f>IFERROR(__xludf.DUMMYFUNCTION("""COMPUTED_VALUE"""),"How evidence supports your claim")</f>
        <v>How evidence supports your claim</v>
      </c>
      <c r="H45" s="71" t="str">
        <f>IFERROR(__xludf.DUMMYFUNCTION("""COMPUTED_VALUE"""),"Stop, Investigate, Find better, Trace claims")</f>
        <v>Stop, Investigate, Find better, Trace claims</v>
      </c>
      <c r="I45" s="71" t="str">
        <f>IFERROR(__xludf.DUMMYFUNCTION("""COMPUTED_VALUE"""),"A peer-reviewed journal article")</f>
        <v>A peer-reviewed journal article</v>
      </c>
      <c r="J45" s="71" t="str">
        <f>IFERROR(__xludf.DUMMYFUNCTION("""COMPUTED_VALUE"""),"Who created it and their credentials")</f>
        <v>Who created it and their credentials</v>
      </c>
      <c r="K45" s="71" t="str">
        <f>IFERROR(__xludf.DUMMYFUNCTION("""COMPUTED_VALUE"""),"Specific and testable")</f>
        <v>Specific and testable</v>
      </c>
      <c r="L45" s="71" t="str">
        <f>IFERROR(__xludf.DUMMYFUNCTION("""COMPUTED_VALUE"""),"Question, Hypothesis, Experiment, Analysis, Conclusion")</f>
        <v>Question, Hypothesis, Experiment, Analysis, Conclusion</v>
      </c>
      <c r="M45" s="71" t="str">
        <f>IFERROR(__xludf.DUMMYFUNCTION("""COMPUTED_VALUE"""),"when placed in the window it gets a lot of sun  so its grows and make sure it gets water daily.")</f>
        <v>when placed in the window it gets a lot of sun  so its grows and make sure it gets water daily.</v>
      </c>
      <c r="N45" s="71" t="str">
        <f>IFERROR(__xludf.DUMMYFUNCTION("""COMPUTED_VALUE"""),".")</f>
        <v>.</v>
      </c>
      <c r="O45" s="71" t="str">
        <f>IFERROR(__xludf.DUMMYFUNCTION("""COMPUTED_VALUE"""),".")</f>
        <v>.</v>
      </c>
      <c r="P45" s="129">
        <f>IFERROR(__xludf.DUMMYFUNCTION("""COMPUTED_VALUE"""),45.0)</f>
        <v>45</v>
      </c>
      <c r="Q45" s="71"/>
      <c r="R45" s="71"/>
      <c r="S45" s="71"/>
      <c r="T45" s="71"/>
      <c r="U45" s="71"/>
      <c r="V45" s="71"/>
    </row>
    <row r="46">
      <c r="A46" s="128">
        <f>IFERROR(__xludf.DUMMYFUNCTION("""COMPUTED_VALUE"""),45965.39529170139)</f>
        <v>45965.39529</v>
      </c>
      <c r="B46" s="71" t="str">
        <f>IFERROR(__xludf.DUMMYFUNCTION("""COMPUTED_VALUE"""),"kaegan.zimbelmann@kairosacademies.org")</f>
        <v>kaegan.zimbelmann@kairosacademies.org</v>
      </c>
      <c r="C46" s="71"/>
      <c r="D46" s="71" t="str">
        <f>IFERROR(__xludf.DUMMYFUNCTION("""COMPUTED_VALUE"""),"Claim, Evidence, Reasoning")</f>
        <v>Claim, Evidence, Reasoning</v>
      </c>
      <c r="E46" s="71" t="str">
        <f>IFERROR(__xludf.DUMMYFUNCTION("""COMPUTED_VALUE"""),"Evidence")</f>
        <v>Evidence</v>
      </c>
      <c r="F46" s="71" t="str">
        <f>IFERROR(__xludf.DUMMYFUNCTION("""COMPUTED_VALUE"""),"Specific data and observations")</f>
        <v>Specific data and observations</v>
      </c>
      <c r="G46" s="71" t="str">
        <f>IFERROR(__xludf.DUMMYFUNCTION("""COMPUTED_VALUE"""),"How evidence supports your claim")</f>
        <v>How evidence supports your claim</v>
      </c>
      <c r="H46" s="71" t="str">
        <f>IFERROR(__xludf.DUMMYFUNCTION("""COMPUTED_VALUE"""),"Stop, Investigate, Find better, Trace claims")</f>
        <v>Stop, Investigate, Find better, Trace claims</v>
      </c>
      <c r="I46" s="71" t="str">
        <f>IFERROR(__xludf.DUMMYFUNCTION("""COMPUTED_VALUE"""),"A peer-reviewed journal article")</f>
        <v>A peer-reviewed journal article</v>
      </c>
      <c r="J46" s="71" t="str">
        <f>IFERROR(__xludf.DUMMYFUNCTION("""COMPUTED_VALUE"""),"Who created it and their credentials")</f>
        <v>Who created it and their credentials</v>
      </c>
      <c r="K46" s="71" t="str">
        <f>IFERROR(__xludf.DUMMYFUNCTION("""COMPUTED_VALUE"""),"Specific and testable")</f>
        <v>Specific and testable</v>
      </c>
      <c r="L46" s="71" t="str">
        <f>IFERROR(__xludf.DUMMYFUNCTION("""COMPUTED_VALUE"""),"Question, Hypothesis, Experiment, Analysis, Conclusion")</f>
        <v>Question, Hypothesis, Experiment, Analysis, Conclusion</v>
      </c>
      <c r="M46" s="71" t="str">
        <f>IFERROR(__xludf.DUMMYFUNCTION("""COMPUTED_VALUE"""),"it gets more sunlight then the one in the corner")</f>
        <v>it gets more sunlight then the one in the corner</v>
      </c>
      <c r="N46" s="71" t="str">
        <f>IFERROR(__xludf.DUMMYFUNCTION("""COMPUTED_VALUE"""),"well first never believe anything online but lets say tiktok made it, then they most likely are telling the truth and is a trusted person")</f>
        <v>well first never believe anything online but lets say tiktok made it, then they most likely are telling the truth and is a trusted person</v>
      </c>
      <c r="O46" s="71" t="str">
        <f>IFERROR(__xludf.DUMMYFUNCTION("""COMPUTED_VALUE"""),"exercise improves muscles and tiredness but doesn't improve memory")</f>
        <v>exercise improves muscles and tiredness but doesn't improve memory</v>
      </c>
      <c r="P46" s="129">
        <f>IFERROR(__xludf.DUMMYFUNCTION("""COMPUTED_VALUE"""),40.0)</f>
        <v>40</v>
      </c>
      <c r="Q46" s="71"/>
      <c r="R46" s="71"/>
      <c r="S46" s="71"/>
      <c r="T46" s="71"/>
      <c r="U46" s="71"/>
      <c r="V46" s="71"/>
    </row>
    <row r="47">
      <c r="A47" s="128">
        <f>IFERROR(__xludf.DUMMYFUNCTION("""COMPUTED_VALUE"""),45974.39963388888)</f>
        <v>45974.39963</v>
      </c>
      <c r="B47" s="71" t="str">
        <f>IFERROR(__xludf.DUMMYFUNCTION("""COMPUTED_VALUE"""),"kyren.young@kairosacademies.org")</f>
        <v>kyren.young@kairosacademies.org</v>
      </c>
      <c r="C47" s="71"/>
      <c r="D47" s="71" t="str">
        <f>IFERROR(__xludf.DUMMYFUNCTION("""COMPUTED_VALUE"""),"Claim, Evidence, Reasoning")</f>
        <v>Claim, Evidence, Reasoning</v>
      </c>
      <c r="E47" s="71" t="str">
        <f>IFERROR(__xludf.DUMMYFUNCTION("""COMPUTED_VALUE"""),"Claim")</f>
        <v>Claim</v>
      </c>
      <c r="F47" s="71" t="str">
        <f>IFERROR(__xludf.DUMMYFUNCTION("""COMPUTED_VALUE"""),"Specific data and observations")</f>
        <v>Specific data and observations</v>
      </c>
      <c r="G47" s="71" t="str">
        <f>IFERROR(__xludf.DUMMYFUNCTION("""COMPUTED_VALUE"""),"How evidence supports your claim")</f>
        <v>How evidence supports your claim</v>
      </c>
      <c r="H47" s="71" t="str">
        <f>IFERROR(__xludf.DUMMYFUNCTION("""COMPUTED_VALUE"""),"Stop, Investigate, Find better, Trace claims")</f>
        <v>Stop, Investigate, Find better, Trace claims</v>
      </c>
      <c r="I47" s="71" t="str">
        <f>IFERROR(__xludf.DUMMYFUNCTION("""COMPUTED_VALUE"""),"A peer-reviewed journal article")</f>
        <v>A peer-reviewed journal article</v>
      </c>
      <c r="J47" s="71" t="str">
        <f>IFERROR(__xludf.DUMMYFUNCTION("""COMPUTED_VALUE"""),"Who created it and their credentials")</f>
        <v>Who created it and their credentials</v>
      </c>
      <c r="K47" s="71" t="str">
        <f>IFERROR(__xludf.DUMMYFUNCTION("""COMPUTED_VALUE"""),"Specific and testable")</f>
        <v>Specific and testable</v>
      </c>
      <c r="L47" s="71" t="str">
        <f>IFERROR(__xludf.DUMMYFUNCTION("""COMPUTED_VALUE"""),"Question, Hypothesis, Experiment, Analysis, Conclusion")</f>
        <v>Question, Hypothesis, Experiment, Analysis, Conclusion</v>
      </c>
      <c r="M47" s="71" t="str">
        <f>IFERROR(__xludf.DUMMYFUNCTION("""COMPUTED_VALUE"""),"Plants near the window grow faster because they receive more sunlight, which provides the energy needed for photosynthesis and growth.")</f>
        <v>Plants near the window grow faster because they receive more sunlight, which provides the energy needed for photosynthesis and growth.</v>
      </c>
      <c r="N47" s="71" t="str">
        <f>IFERROR(__xludf.DUMMYFUNCTION("""COMPUTED_VALUE"""),"The creator may not be a nutrition expert or scientist, so the information might not be credible.
The claim cannot be verified with reliable evidence or peer-reviewed studies—it’s just a social media post, not a trustworthy source.")</f>
        <v>The creator may not be a nutrition expert or scientist, so the information might not be credible.
The claim cannot be verified with reliable evidence or peer-reviewed studies—it’s just a social media post, not a trustworthy source.</v>
      </c>
      <c r="O47" s="71" t="str">
        <f>IFERROR(__xludf.DUMMYFUNCTION("""COMPUTED_VALUE"""),"Claim: Exercise improves memory.
Evidence: A 2018 study published in the journal Neurology found that adults who engaged in regular aerobic exercise for six months showed significant improvement in memory and increased hippocampal volume compared to thos"&amp;"e who did not exercise.
Reasoning: Exercise increases blood flow and oxygen to the brain, stimulating the growth of new neurons and strengthening neural connections in the hippocampus—the brain region responsible for memory. This scientific process expla"&amp;"ins why exercise leads to better memory performance.")</f>
        <v>Claim: Exercise improves memory.
Evidence: A 2018 study published in the journal Neurology found that adults who engaged in regular aerobic exercise for six months showed significant improvement in memory and increased hippocampal volume compared to those who did not exercise.
Reasoning: Exercise increases blood flow and oxygen to the brain, stimulating the growth of new neurons and strengthening neural connections in the hippocampus—the brain region responsible for memory. This scientific process explains why exercise leads to better memory performance.</v>
      </c>
      <c r="P47" s="129">
        <f>IFERROR(__xludf.DUMMYFUNCTION("""COMPUTED_VALUE"""),45.0)</f>
        <v>45</v>
      </c>
      <c r="Q47" s="71"/>
      <c r="R47" s="71"/>
      <c r="S47" s="71"/>
      <c r="T47" s="71"/>
      <c r="U47" s="71"/>
      <c r="V47" s="71"/>
    </row>
    <row r="48">
      <c r="A48" s="128">
        <f>IFERROR(__xludf.DUMMYFUNCTION("""COMPUTED_VALUE"""),45975.614578981484)</f>
        <v>45975.61458</v>
      </c>
      <c r="B48" s="71" t="str">
        <f>IFERROR(__xludf.DUMMYFUNCTION("""COMPUTED_VALUE"""),"brandon.reynolds@kairosacademies.org")</f>
        <v>brandon.reynolds@kairosacademies.org</v>
      </c>
      <c r="C48" s="71"/>
      <c r="D48" s="71" t="str">
        <f>IFERROR(__xludf.DUMMYFUNCTION("""COMPUTED_VALUE"""),"Claim, Evidence, Reasoning")</f>
        <v>Claim, Evidence, Reasoning</v>
      </c>
      <c r="E48" s="71" t="str">
        <f>IFERROR(__xludf.DUMMYFUNCTION("""COMPUTED_VALUE"""),"All parts together")</f>
        <v>All parts together</v>
      </c>
      <c r="F48" s="71" t="str">
        <f>IFERROR(__xludf.DUMMYFUNCTION("""COMPUTED_VALUE"""),"Specific data and observations")</f>
        <v>Specific data and observations</v>
      </c>
      <c r="G48" s="71" t="str">
        <f>IFERROR(__xludf.DUMMYFUNCTION("""COMPUTED_VALUE"""),"Why you chose your topic")</f>
        <v>Why you chose your topic</v>
      </c>
      <c r="H48" s="71" t="str">
        <f>IFERROR(__xludf.DUMMYFUNCTION("""COMPUTED_VALUE"""),"Stop, Investigate, Find better, Trace claims")</f>
        <v>Stop, Investigate, Find better, Trace claims</v>
      </c>
      <c r="I48" s="71" t="str">
        <f>IFERROR(__xludf.DUMMYFUNCTION("""COMPUTED_VALUE"""),"A commercial website")</f>
        <v>A commercial website</v>
      </c>
      <c r="J48" s="71" t="str">
        <f>IFERROR(__xludf.DUMMYFUNCTION("""COMPUTED_VALUE"""),"Only the title")</f>
        <v>Only the title</v>
      </c>
      <c r="K48" s="71" t="str">
        <f>IFERROR(__xludf.DUMMYFUNCTION("""COMPUTED_VALUE"""),"Specific and testable")</f>
        <v>Specific and testable</v>
      </c>
      <c r="L48" s="71" t="str">
        <f>IFERROR(__xludf.DUMMYFUNCTION("""COMPUTED_VALUE"""),"Question, Hypothesis, Experiment, Analysis, Conclusion")</f>
        <v>Question, Hypothesis, Experiment, Analysis, Conclusion</v>
      </c>
      <c r="M48" s="71" t="str">
        <f>IFERROR(__xludf.DUMMYFUNCTION("""COMPUTED_VALUE"""),"Putting plants by a window will make it grow faster because the more the sunlight the plant absorbs the more it will grow faster than before.")</f>
        <v>Putting plants by a window will make it grow faster because the more the sunlight the plant absorbs the more it will grow faster than before.</v>
      </c>
      <c r="N48" s="71" t="str">
        <f>IFERROR(__xludf.DUMMYFUNCTION("""COMPUTED_VALUE"""),"I can verify by going in the profile and looking through the videos and see if they know a lot about it, one small detail can explain everything.")</f>
        <v>I can verify by going in the profile and looking through the videos and see if they know a lot about it, one small detail can explain everything.</v>
      </c>
      <c r="O48" s="71" t="str">
        <f>IFERROR(__xludf.DUMMYFUNCTION("""COMPUTED_VALUE"""),"According to Google is states that exercise can improve memory.")</f>
        <v>According to Google is states that exercise can improve memory.</v>
      </c>
      <c r="P48" s="129">
        <f>IFERROR(__xludf.DUMMYFUNCTION("""COMPUTED_VALUE"""),25.0)</f>
        <v>25</v>
      </c>
      <c r="Q48" s="71"/>
      <c r="R48" s="71"/>
      <c r="S48" s="71"/>
      <c r="T48" s="71"/>
      <c r="U48" s="71"/>
      <c r="V48" s="71"/>
    </row>
    <row r="49">
      <c r="A49" s="128">
        <f>IFERROR(__xludf.DUMMYFUNCTION("""COMPUTED_VALUE"""),45975.63152207176)</f>
        <v>45975.63152</v>
      </c>
      <c r="B49" s="71" t="str">
        <f>IFERROR(__xludf.DUMMYFUNCTION("""COMPUTED_VALUE"""),"juan.barnes@kairosacademies.org")</f>
        <v>juan.barnes@kairosacademies.org</v>
      </c>
      <c r="C49" s="71"/>
      <c r="D49" s="71" t="str">
        <f>IFERROR(__xludf.DUMMYFUNCTION("""COMPUTED_VALUE"""),"Claim, Evidence, Reasoning")</f>
        <v>Claim, Evidence, Reasoning</v>
      </c>
      <c r="E49" s="71" t="str">
        <f>IFERROR(__xludf.DUMMYFUNCTION("""COMPUTED_VALUE"""),"Claim")</f>
        <v>Claim</v>
      </c>
      <c r="F49" s="71" t="str">
        <f>IFERROR(__xludf.DUMMYFUNCTION("""COMPUTED_VALUE"""),"Specific data and observations")</f>
        <v>Specific data and observations</v>
      </c>
      <c r="G49" s="71" t="str">
        <f>IFERROR(__xludf.DUMMYFUNCTION("""COMPUTED_VALUE"""),"How evidence supports your claim")</f>
        <v>How evidence supports your claim</v>
      </c>
      <c r="H49" s="71" t="str">
        <f>IFERROR(__xludf.DUMMYFUNCTION("""COMPUTED_VALUE"""),"Search, Identify, Find, Test")</f>
        <v>Search, Identify, Find, Test</v>
      </c>
      <c r="I49" s="71" t="str">
        <f>IFERROR(__xludf.DUMMYFUNCTION("""COMPUTED_VALUE"""),"A personal blog")</f>
        <v>A personal blog</v>
      </c>
      <c r="J49" s="71" t="str">
        <f>IFERROR(__xludf.DUMMYFUNCTION("""COMPUTED_VALUE"""),"Who created it and their credentials")</f>
        <v>Who created it and their credentials</v>
      </c>
      <c r="K49" s="71" t="str">
        <f>IFERROR(__xludf.DUMMYFUNCTION("""COMPUTED_VALUE"""),"Impossible to answer")</f>
        <v>Impossible to answer</v>
      </c>
      <c r="L49" s="71" t="str">
        <f>IFERROR(__xludf.DUMMYFUNCTION("""COMPUTED_VALUE"""),"Experiment, Question, Conclusion")</f>
        <v>Experiment, Question, Conclusion</v>
      </c>
      <c r="M49" s="71" t="str">
        <f>IFERROR(__xludf.DUMMYFUNCTION("""COMPUTED_VALUE"""),"the plant that is near the window grows faster because it has the sun near it so it has better growing.")</f>
        <v>the plant that is near the window grows faster because it has the sun near it so it has better growing.</v>
      </c>
      <c r="N49" s="71" t="str">
        <f>IFERROR(__xludf.DUMMYFUNCTION("""COMPUTED_VALUE"""),"sometimes it is sometimes it isn't because eating vegetables is also healthy.")</f>
        <v>sometimes it is sometimes it isn't because eating vegetables is also healthy.</v>
      </c>
      <c r="O49" s="71" t="str">
        <f>IFERROR(__xludf.DUMMYFUNCTION("""COMPUTED_VALUE"""),"because it calms your brain so if anyone tells u something important u can remember by exercising.")</f>
        <v>because it calms your brain so if anyone tells u something important u can remember by exercising.</v>
      </c>
      <c r="P49" s="129">
        <f>IFERROR(__xludf.DUMMYFUNCTION("""COMPUTED_VALUE"""),25.0)</f>
        <v>25</v>
      </c>
      <c r="Q49" s="71"/>
      <c r="R49" s="71"/>
      <c r="S49" s="71"/>
      <c r="T49" s="71"/>
      <c r="U49" s="71"/>
      <c r="V49" s="71"/>
    </row>
    <row r="50">
      <c r="A50" s="128">
        <f>IFERROR(__xludf.DUMMYFUNCTION("""COMPUTED_VALUE"""),45982.403474085644)</f>
        <v>45982.40347</v>
      </c>
      <c r="B50" s="71" t="str">
        <f>IFERROR(__xludf.DUMMYFUNCTION("""COMPUTED_VALUE"""),"miriam.morales@kairosacademies.org")</f>
        <v>miriam.morales@kairosacademies.org</v>
      </c>
      <c r="C50" s="71"/>
      <c r="D50" s="71" t="str">
        <f>IFERROR(__xludf.DUMMYFUNCTION("""COMPUTED_VALUE"""),"Claim, Evidence, Reasoning")</f>
        <v>Claim, Evidence, Reasoning</v>
      </c>
      <c r="E50" s="71" t="str">
        <f>IFERROR(__xludf.DUMMYFUNCTION("""COMPUTED_VALUE"""),"Evidence")</f>
        <v>Evidence</v>
      </c>
      <c r="F50" s="71" t="str">
        <f>IFERROR(__xludf.DUMMYFUNCTION("""COMPUTED_VALUE"""),"Specific data and observations")</f>
        <v>Specific data and observations</v>
      </c>
      <c r="G50" s="71" t="str">
        <f>IFERROR(__xludf.DUMMYFUNCTION("""COMPUTED_VALUE"""),"How evidence supports your claim")</f>
        <v>How evidence supports your claim</v>
      </c>
      <c r="H50" s="71" t="str">
        <f>IFERROR(__xludf.DUMMYFUNCTION("""COMPUTED_VALUE"""),"Search, Identify, Find, Test")</f>
        <v>Search, Identify, Find, Test</v>
      </c>
      <c r="I50" s="71" t="str">
        <f>IFERROR(__xludf.DUMMYFUNCTION("""COMPUTED_VALUE"""),"A peer-reviewed journal article")</f>
        <v>A peer-reviewed journal article</v>
      </c>
      <c r="J50" s="71" t="str">
        <f>IFERROR(__xludf.DUMMYFUNCTION("""COMPUTED_VALUE"""),"The website color scheme")</f>
        <v>The website color scheme</v>
      </c>
      <c r="K50" s="71" t="str">
        <f>IFERROR(__xludf.DUMMYFUNCTION("""COMPUTED_VALUE"""),"Very broad and general")</f>
        <v>Very broad and general</v>
      </c>
      <c r="L50" s="71" t="str">
        <f>IFERROR(__xludf.DUMMYFUNCTION("""COMPUTED_VALUE"""),"Experiment, Question, Conclusion")</f>
        <v>Experiment, Question, Conclusion</v>
      </c>
      <c r="M50" s="71" t="str">
        <f>IFERROR(__xludf.DUMMYFUNCTION("""COMPUTED_VALUE"""),"A plant grows faster when in the sun because it does photosynthesis, while the plant in the corner doesn't do photosynthesis because it doesn't the sun to feed it energy ")</f>
        <v>A plant grows faster when in the sun because it does photosynthesis, while the plant in the corner doesn't do photosynthesis because it doesn't the sun to feed it energy </v>
      </c>
      <c r="N50" s="71" t="str">
        <f>IFERROR(__xludf.DUMMYFUNCTION("""COMPUTED_VALUE"""),"Whoever made it must have said it because it worked for them, who said it is not an expert because only eating fruit isn't healthy, I can verify it because I did research.")</f>
        <v>Whoever made it must have said it because it worked for them, who said it is not an expert because only eating fruit isn't healthy, I can verify it because I did research.</v>
      </c>
      <c r="O50" s="71" t="str">
        <f>IFERROR(__xludf.DUMMYFUNCTION("""COMPUTED_VALUE"""),"Yes exercise improves memory, I think this because many studies have suggested that the parts of the brain that control thinking and memory are larger in volume in people who exercise than in people who don't. My evidence is using Harverd health")</f>
        <v>Yes exercise improves memory, I think this because many studies have suggested that the parts of the brain that control thinking and memory are larger in volume in people who exercise than in people who don't. My evidence is using Harverd health</v>
      </c>
      <c r="P50" s="129">
        <f>IFERROR(__xludf.DUMMYFUNCTION("""COMPUTED_VALUE"""),20.0)</f>
        <v>20</v>
      </c>
      <c r="Q50" s="71"/>
      <c r="R50" s="71"/>
      <c r="S50" s="71"/>
      <c r="T50" s="71"/>
      <c r="U50" s="71"/>
      <c r="V50" s="71"/>
    </row>
    <row r="51">
      <c r="A51" s="128">
        <f>IFERROR(__xludf.DUMMYFUNCTION("""COMPUTED_VALUE"""),46002.614360555555)</f>
        <v>46002.61436</v>
      </c>
      <c r="B51" s="71" t="str">
        <f>IFERROR(__xludf.DUMMYFUNCTION("""COMPUTED_VALUE"""),"king.mckee@kairosacademies.org")</f>
        <v>king.mckee@kairosacademies.org</v>
      </c>
      <c r="C51" s="71"/>
      <c r="D51" s="71" t="str">
        <f>IFERROR(__xludf.DUMMYFUNCTION("""COMPUTED_VALUE"""),"Compare, Evaluate, Respond")</f>
        <v>Compare, Evaluate, Respond</v>
      </c>
      <c r="E51" s="71" t="str">
        <f>IFERROR(__xludf.DUMMYFUNCTION("""COMPUTED_VALUE"""),"Reasoning")</f>
        <v>Reasoning</v>
      </c>
      <c r="F51" s="71" t="str">
        <f>IFERROR(__xludf.DUMMYFUNCTION("""COMPUTED_VALUE"""),"Your opinion")</f>
        <v>Your opinion</v>
      </c>
      <c r="G51" s="71" t="str">
        <f>IFERROR(__xludf.DUMMYFUNCTION("""COMPUTED_VALUE"""),"What experiments to do next")</f>
        <v>What experiments to do next</v>
      </c>
      <c r="H51" s="71" t="str">
        <f>IFERROR(__xludf.DUMMYFUNCTION("""COMPUTED_VALUE"""),"Stop, Investigate, Find better, Trace claims")</f>
        <v>Stop, Investigate, Find better, Trace claims</v>
      </c>
      <c r="I51" s="71" t="str">
        <f>IFERROR(__xludf.DUMMYFUNCTION("""COMPUTED_VALUE"""),"A peer-reviewed journal article")</f>
        <v>A peer-reviewed journal article</v>
      </c>
      <c r="J51" s="71" t="str">
        <f>IFERROR(__xludf.DUMMYFUNCTION("""COMPUTED_VALUE"""),"Only the title")</f>
        <v>Only the title</v>
      </c>
      <c r="K51" s="71" t="str">
        <f>IFERROR(__xludf.DUMMYFUNCTION("""COMPUTED_VALUE"""),"Specific and testable")</f>
        <v>Specific and testable</v>
      </c>
      <c r="L51" s="71" t="str">
        <f>IFERROR(__xludf.DUMMYFUNCTION("""COMPUTED_VALUE"""),"Experiment, Question, Conclusion")</f>
        <v>Experiment, Question, Conclusion</v>
      </c>
      <c r="M51" s="71" t="str">
        <f>IFERROR(__xludf.DUMMYFUNCTION("""COMPUTED_VALUE"""),"One important light response in plants is phototropism, which involves growth toward—or away from—a light source. Positive phototropism is growth towards a light source; negative phototropism is growth away from light")</f>
        <v>One important light response in plants is phototropism, which involves growth toward—or away from—a light source. Positive phototropism is growth towards a light source; negative phototropism is growth away from light</v>
      </c>
      <c r="N51" s="71" t="str">
        <f>IFERROR(__xludf.DUMMYFUNCTION("""COMPUTED_VALUE"""),"Raw fruits and vegetables can become contaminated with harmful bacteria. Here's the proper way to prepare and handle them safely: Thoroughly rinse raw fruits and vegetables under running water before eating or preparing them, especially fruits ")</f>
        <v>Raw fruits and vegetables can become contaminated with harmful bacteria. Here's the proper way to prepare and handle them safely: Thoroughly rinse raw fruits and vegetables under running water before eating or preparing them, especially fruits </v>
      </c>
      <c r="O51" s="71" t="str">
        <f>IFERROR(__xludf.DUMMYFUNCTION("""COMPUTED_VALUE"""),"claim Starters: “Based on the data, I claim that…” or “The answer to the question is…” Evidence Starters: “The data shows…” or “According to the text,…” or “For example,…” Reasoning Starters: “This evidence shows…” or “This is important because…” or “This"&amp;" demonstrates the principle of…”")</f>
        <v>claim Starters: “Based on the data, I claim that…” or “The answer to the question is…” Evidence Starters: “The data shows…” or “According to the text,…” or “For example,…” Reasoning Starters: “This evidence shows…” or “This is important because…” or “This demonstrates the principle of…”</v>
      </c>
      <c r="P51" s="129">
        <f>IFERROR(__xludf.DUMMYFUNCTION("""COMPUTED_VALUE"""),15.0)</f>
        <v>15</v>
      </c>
      <c r="Q51" s="71"/>
      <c r="R51" s="71"/>
      <c r="S51" s="71"/>
      <c r="T51" s="71"/>
      <c r="U51" s="71"/>
      <c r="V51" s="7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tr">
        <f>IFERROR(__xludf.DUMMYFUNCTION("QUERY(IMPORTRANGE(""https://docs.google.com/spreadsheets/d/1Xg4l88Lb-UjnXC8GT8la3oV7FpG4nLGqhUVo-Mmg77c/edit?gid=140669115#gid=140669115"", ""Form Responses 1!A:Z""), ""SELECT * WHERE Col1 IS NOT NULL"")"),"Timestamp")</f>
        <v>Timestamp</v>
      </c>
      <c r="B1" s="71" t="str">
        <f>IFERROR(__xludf.DUMMYFUNCTION("""COMPUTED_VALUE"""),"Email Address")</f>
        <v>Email Address</v>
      </c>
      <c r="C1" s="71" t="str">
        <f>IFERROR(__xludf.DUMMYFUNCTION("""COMPUTED_VALUE"""),"What question or prompt are you answering?")</f>
        <v>What question or prompt are you answering?</v>
      </c>
      <c r="D1" s="71" t="str">
        <f>IFERROR(__xludf.DUMMYFUNCTION("""COMPUTED_VALUE"""),"Write your CLAIM.
Your answer to the question - one clear sentence that takes a position.
Sentence Starters: 
The evidence demonstrates that...
Based on the data...
Analysis reveals that...
The most likely explanation is...")</f>
        <v>Write your CLAIM.
Your answer to the question - one clear sentence that takes a position.
Sentence Starters: 
The evidence demonstrates that...
Based on the data...
Analysis reveals that...
The most likely explanation is...</v>
      </c>
      <c r="E1" s="71" t="str">
        <f>IFERROR(__xludf.DUMMYFUNCTION("""COMPUTED_VALUE"""),"CLAIM Self-Check [My claim directly answers the question.]")</f>
        <v>CLAIM Self-Check [My claim directly answers the question.]</v>
      </c>
      <c r="F1" s="71" t="str">
        <f>IFERROR(__xludf.DUMMYFUNCTION("""COMPUTED_VALUE"""),"CLAIM Self-Check [My claim takes a clear position.]")</f>
        <v>CLAIM Self-Check [My claim takes a clear position.]</v>
      </c>
      <c r="G1" s="71" t="str">
        <f>IFERROR(__xludf.DUMMYFUNCTION("""COMPUTED_VALUE"""),"CLAIM Self-Check [My claim can be supported with evidence.]")</f>
        <v>CLAIM Self-Check [My claim can be supported with evidence.]</v>
      </c>
      <c r="H1" s="71" t="str">
        <f>IFERROR(__xludf.DUMMYFUNCTION("""COMPUTED_VALUE"""),"CLAIM Self-Check [My claim avoids ""I think"" or ""I believe.""]")</f>
        <v>CLAIM Self-Check [My claim avoids "I think" or "I believe."]</v>
      </c>
      <c r="I1" s="71" t="str">
        <f>IFERROR(__xludf.DUMMYFUNCTION("""COMPUTED_VALUE"""),"Evidence Piece 1:
Include specific facts, data, quotes, or observations - AND A LINK TO THE SOURCE!
Sentence Starters:
According to the text/data...
For example...
The evidence shows...
Research indicates that...")</f>
        <v>Evidence Piece 1:
Include specific facts, data, quotes, or observations - AND A LINK TO THE SOURCE!
Sentence Starters:
According to the text/data...
For example...
The evidence shows...
Research indicates that...</v>
      </c>
      <c r="J1" s="71" t="str">
        <f>IFERROR(__xludf.DUMMYFUNCTION("""COMPUTED_VALUE"""),"Evidence Piece 2:
Include specific facts, data, quotes, or observations - AND A LINK TO THE SOURCE!")</f>
        <v>Evidence Piece 2:
Include specific facts, data, quotes, or observations - AND A LINK TO THE SOURCE!</v>
      </c>
      <c r="K1" s="71" t="str">
        <f>IFERROR(__xludf.DUMMYFUNCTION("""COMPUTED_VALUE"""),"Evidence Piece 3:
Include specific facts, data, quotes, or observations - AND A LINK TO THE SOURCE!")</f>
        <v>Evidence Piece 3:
Include specific facts, data, quotes, or observations - AND A LINK TO THE SOURCE!</v>
      </c>
      <c r="L1" s="71" t="str">
        <f>IFERROR(__xludf.DUMMYFUNCTION("""COMPUTED_VALUE"""),"Evidence Self-Check [I have at least 3 pieces of evidence.]")</f>
        <v>Evidence Self-Check [I have at least 3 pieces of evidence.]</v>
      </c>
      <c r="M1" s="71" t="str">
        <f>IFERROR(__xludf.DUMMYFUNCTION("""COMPUTED_VALUE"""),"Evidence Self-Check [My evidence is relevant to my claim.]")</f>
        <v>Evidence Self-Check [My evidence is relevant to my claim.]</v>
      </c>
      <c r="N1" s="71" t="str">
        <f>IFERROR(__xludf.DUMMYFUNCTION("""COMPUTED_VALUE"""),"Evidence Self-Check [My evidence comes from credible sources.]")</f>
        <v>Evidence Self-Check [My evidence comes from credible sources.]</v>
      </c>
      <c r="O1" s="71" t="str">
        <f>IFERROR(__xludf.DUMMYFUNCTION("""COMPUTED_VALUE"""),"Evidence Self-Check [My evidence is specific, not vague.]")</f>
        <v>Evidence Self-Check [My evidence is specific, not vague.]</v>
      </c>
      <c r="P1" s="71" t="str">
        <f>IFERROR(__xludf.DUMMYFUNCTION("""COMPUTED_VALUE"""),"Write your REASONING:
Explain WHY your evidence supports your claim. Use ""Because... Therefore..."" structure.
Because [of my evidence from piece #1]..., this shows [connect to claim]. Furthermore, because [of my evidence from piece #2]..., it highligh"&amp;"ts [connect to claim]. Therefore, based on all the evidence, it is clear that [restate your claim in a new way].")</f>
        <v>Write your REASONING:
Explain WHY your evidence supports your claim. Use "Because... Therefore..." structure.
Because [of my evidence from piece #1]..., this shows [connect to claim]. Furthermore, because [of my evidence from piece #2]..., it highlights [connect to claim]. Therefore, based on all the evidence, it is clear that [restate your claim in a new way].</v>
      </c>
      <c r="Q1" s="71" t="str">
        <f>IFERROR(__xludf.DUMMYFUNCTION("""COMPUTED_VALUE"""),"Reasoning Self-Check [I explained WHY the evidence matters.]")</f>
        <v>Reasoning Self-Check [I explained WHY the evidence matters.]</v>
      </c>
      <c r="R1" s="71" t="str">
        <f>IFERROR(__xludf.DUMMYFUNCTION("""COMPUTED_VALUE"""),"Reasoning Self-Check [I connected my evidence to my claim.]")</f>
        <v>Reasoning Self-Check [I connected my evidence to my claim.]</v>
      </c>
      <c r="S1" s="71" t="str">
        <f>IFERROR(__xludf.DUMMYFUNCTION("""COMPUTED_VALUE"""),"Reasoning Self-Check [I used ""because...therefore..."" or similar connecting words.]")</f>
        <v>Reasoning Self-Check [I used "because...therefore..." or similar connecting words.]</v>
      </c>
      <c r="T1" s="71" t="str">
        <f>IFERROR(__xludf.DUMMYFUNCTION("""COMPUTED_VALUE"""),"Reasoning Self-Check [I explained the underlying principle of concept.]")</f>
        <v>Reasoning Self-Check [I explained the underlying principle of concept.]</v>
      </c>
      <c r="U1" s="71" t="str">
        <f>IFERROR(__xludf.DUMMYFUNCTION("""COMPUTED_VALUE"""),"Write your REBUTTAL:
Address and refute an alternative explanation.
While some may argue that [state the counterargument]..., the evidence clearly shows that [use evidence to prove why your argument is stronger].")</f>
        <v>Write your REBUTTAL:
Address and refute an alternative explanation.
While some may argue that [state the counterargument]..., the evidence clearly shows that [use evidence to prove why your argument is stronger].</v>
      </c>
      <c r="V1" s="71" t="str">
        <f>IFERROR(__xludf.DUMMYFUNCTION("""COMPUTED_VALUE"""),"CER Final Self-Assessment
Rate each part and the whole of your work this scale:
beginning (1), developing (2), proficient (3) [Claim]")</f>
        <v>CER Final Self-Assessment
Rate each part and the whole of your work this scale:
beginning (1), developing (2), proficient (3) [Claim]</v>
      </c>
      <c r="W1" s="71" t="str">
        <f>IFERROR(__xludf.DUMMYFUNCTION("""COMPUTED_VALUE"""),"CER Final Self-Assessment
Rate each part and the whole of your work this scale:
beginning (1), developing (2), proficient (3) [Evidence]")</f>
        <v>CER Final Self-Assessment
Rate each part and the whole of your work this scale:
beginning (1), developing (2), proficient (3) [Evidence]</v>
      </c>
      <c r="X1" s="71" t="str">
        <f>IFERROR(__xludf.DUMMYFUNCTION("""COMPUTED_VALUE"""),"CER Final Self-Assessment
Rate each part and the whole of your work this scale:
beginning (1), developing (2), proficient (3) [Reasoning]")</f>
        <v>CER Final Self-Assessment
Rate each part and the whole of your work this scale:
beginning (1), developing (2), proficient (3) [Reasoning]</v>
      </c>
      <c r="Y1" s="71" t="str">
        <f>IFERROR(__xludf.DUMMYFUNCTION("""COMPUTED_VALUE"""),"CER Final Self-Assessment
Rate each part and the whole of your work this scale:
beginning (1), developing (2), proficient (3) [Overall]")</f>
        <v>CER Final Self-Assessment
Rate each part and the whole of your work this scale:
beginning (1), developing (2), proficient (3) [Overall]</v>
      </c>
      <c r="Z1" s="71" t="str">
        <f>IFERROR(__xludf.DUMMYFUNCTION("""COMPUTED_VALUE"""),"")</f>
        <v/>
      </c>
    </row>
    <row r="2">
      <c r="A2" s="128">
        <f>IFERROR(__xludf.DUMMYFUNCTION("""COMPUTED_VALUE"""),45960.439092280096)</f>
        <v>45960.43909</v>
      </c>
      <c r="B2" s="71" t="str">
        <f>IFERROR(__xludf.DUMMYFUNCTION("""COMPUTED_VALUE"""),"jacob.hardy@kairosacademies.org")</f>
        <v>jacob.hardy@kairosacademies.org</v>
      </c>
      <c r="C2" s="71" t="str">
        <f>IFERROR(__xludf.DUMMYFUNCTION("""COMPUTED_VALUE"""),"Prompt 1")</f>
        <v>Prompt 1</v>
      </c>
      <c r="D2" s="71" t="str">
        <f>IFERROR(__xludf.DUMMYFUNCTION("""COMPUTED_VALUE"""),"Based on the data the fire added just a little weight and made the character weigh more because it never said the candle melted")</f>
        <v>Based on the data the fire added just a little weight and made the character weigh more because it never said the candle melted</v>
      </c>
      <c r="E2" s="71" t="str">
        <f>IFERROR(__xludf.DUMMYFUNCTION("""COMPUTED_VALUE"""),"Yes")</f>
        <v>Yes</v>
      </c>
      <c r="F2" s="71" t="str">
        <f>IFERROR(__xludf.DUMMYFUNCTION("""COMPUTED_VALUE"""),"Yes")</f>
        <v>Yes</v>
      </c>
      <c r="G2" s="71" t="str">
        <f>IFERROR(__xludf.DUMMYFUNCTION("""COMPUTED_VALUE"""),"Yes")</f>
        <v>Yes</v>
      </c>
      <c r="H2" s="71" t="str">
        <f>IFERROR(__xludf.DUMMYFUNCTION("""COMPUTED_VALUE"""),"Yes")</f>
        <v>Yes</v>
      </c>
      <c r="I2" s="71" t="str">
        <f>IFERROR(__xludf.DUMMYFUNCTION("""COMPUTED_VALUE"""),"Fire ads weight but it is not significint. Link: https://firefighternow.com/what-does-fire-weigh-does-fire-have-mass/#:~:text=Fire%20does%20indeed%20have%20weight,easily%20measured%20or%20quantified%20substance.")</f>
        <v>Fire ads weight but it is not significint. Link: https://firefighternow.com/what-does-fire-weigh-does-fire-have-mass/#:~:text=Fire%20does%20indeed%20have%20weight,easily%20measured%20or%20quantified%20substance.</v>
      </c>
      <c r="J2" s="71" t="str">
        <f>IFERROR(__xludf.DUMMYFUNCTION("""COMPUTED_VALUE"""),"this video shows fire adds weight. Video:It weighs more if you burn it!")</f>
        <v>this video shows fire adds weight. Video:It weighs more if you burn it!</v>
      </c>
      <c r="K2" s="71" t="str">
        <f>IFERROR(__xludf.DUMMYFUNCTION("""COMPUTED_VALUE"""),"THis artial shows that fire adds weight and weighs 1.3 kg peer cubic meter. Link:https://www.askamathematician.com/2012/04/q-how-much-does-fire-weigh/")</f>
        <v>THis artial shows that fire adds weight and weighs 1.3 kg peer cubic meter. Link:https://www.askamathematician.com/2012/04/q-how-much-does-fire-weigh/</v>
      </c>
      <c r="L2" s="71" t="str">
        <f>IFERROR(__xludf.DUMMYFUNCTION("""COMPUTED_VALUE"""),"Yes")</f>
        <v>Yes</v>
      </c>
      <c r="M2" s="71" t="str">
        <f>IFERROR(__xludf.DUMMYFUNCTION("""COMPUTED_VALUE"""),"Yes")</f>
        <v>Yes</v>
      </c>
      <c r="N2" s="71" t="str">
        <f>IFERROR(__xludf.DUMMYFUNCTION("""COMPUTED_VALUE"""),"Yes")</f>
        <v>Yes</v>
      </c>
      <c r="O2" s="71" t="str">
        <f>IFERROR(__xludf.DUMMYFUNCTION("""COMPUTED_VALUE"""),"Yes")</f>
        <v>Yes</v>
      </c>
      <c r="P2" s="71" t="str">
        <f>IFERROR(__xludf.DUMMYFUNCTION("""COMPUTED_VALUE"""),"Because all the evidence shows that fire adds minor weight")</f>
        <v>Because all the evidence shows that fire adds minor weight</v>
      </c>
      <c r="Q2" s="71" t="str">
        <f>IFERROR(__xludf.DUMMYFUNCTION("""COMPUTED_VALUE"""),"Yes")</f>
        <v>Yes</v>
      </c>
      <c r="R2" s="71" t="str">
        <f>IFERROR(__xludf.DUMMYFUNCTION("""COMPUTED_VALUE"""),"Yes")</f>
        <v>Yes</v>
      </c>
      <c r="S2" s="71" t="str">
        <f>IFERROR(__xludf.DUMMYFUNCTION("""COMPUTED_VALUE"""),"Yes")</f>
        <v>Yes</v>
      </c>
      <c r="T2" s="71" t="str">
        <f>IFERROR(__xludf.DUMMYFUNCTION("""COMPUTED_VALUE"""),"Yes")</f>
        <v>Yes</v>
      </c>
      <c r="U2" s="71" t="str">
        <f>IFERROR(__xludf.DUMMYFUNCTION("""COMPUTED_VALUE"""),"fire is a gas and you cant carry gas and if you cant carry it, it shouldn't have weight")</f>
        <v>fire is a gas and you cant carry gas and if you cant carry it, it shouldn't have weight</v>
      </c>
      <c r="V2" s="71" t="str">
        <f>IFERROR(__xludf.DUMMYFUNCTION("""COMPUTED_VALUE"""),"Beginning")</f>
        <v>Beginning</v>
      </c>
      <c r="W2" s="71" t="str">
        <f>IFERROR(__xludf.DUMMYFUNCTION("""COMPUTED_VALUE"""),"Developing")</f>
        <v>Developing</v>
      </c>
      <c r="X2" s="71" t="str">
        <f>IFERROR(__xludf.DUMMYFUNCTION("""COMPUTED_VALUE"""),"Proficient")</f>
        <v>Proficient</v>
      </c>
      <c r="Y2" s="71" t="str">
        <f>IFERROR(__xludf.DUMMYFUNCTION("""COMPUTED_VALUE"""),"Beginning")</f>
        <v>Beginning</v>
      </c>
      <c r="Z2" s="71"/>
    </row>
    <row r="3">
      <c r="A3" s="128">
        <f>IFERROR(__xludf.DUMMYFUNCTION("""COMPUTED_VALUE"""),45922.48656261573)</f>
        <v>45922.48656</v>
      </c>
      <c r="B3" s="71" t="str">
        <f>IFERROR(__xludf.DUMMYFUNCTION("""COMPUTED_VALUE"""),"maya.monroy@kairosacademies.org")</f>
        <v>maya.monroy@kairosacademies.org</v>
      </c>
      <c r="C3" s="71" t="str">
        <f>IFERROR(__xludf.DUMMYFUNCTION("""COMPUTED_VALUE"""),"what are the most important words in the prompt?")</f>
        <v>what are the most important words in the prompt?</v>
      </c>
      <c r="D3" s="71" t="str">
        <f>IFERROR(__xludf.DUMMYFUNCTION("""COMPUTED_VALUE"""),"the evidence demostrates that there are scientiic words and stuff like thst snslysis reveals that bybshowing thw word.")</f>
        <v>the evidence demostrates that there are scientiic words and stuff like thst snslysis reveals that bybshowing thw word.</v>
      </c>
      <c r="E3" s="71" t="str">
        <f>IFERROR(__xludf.DUMMYFUNCTION("""COMPUTED_VALUE"""),"Partially")</f>
        <v>Partially</v>
      </c>
      <c r="F3" s="71" t="str">
        <f>IFERROR(__xludf.DUMMYFUNCTION("""COMPUTED_VALUE"""),"Partially")</f>
        <v>Partially</v>
      </c>
      <c r="G3" s="71" t="str">
        <f>IFERROR(__xludf.DUMMYFUNCTION("""COMPUTED_VALUE"""),"Yes")</f>
        <v>Yes</v>
      </c>
      <c r="H3" s="71" t="str">
        <f>IFERROR(__xludf.DUMMYFUNCTION("""COMPUTED_VALUE"""),"Yes")</f>
        <v>Yes</v>
      </c>
      <c r="I3" s="71" t="str">
        <f>IFERROR(__xludf.DUMMYFUNCTION("""COMPUTED_VALUE"""),"i know its true because it says Another student activates an instant cold pack for a sprained ankle, and it gets very cold and thats scientific.")</f>
        <v>i know its true because it says Another student activates an instant cold pack for a sprained ankle, and it gets very cold and thats scientific.</v>
      </c>
      <c r="J3" s="71" t="str">
        <f>IFERROR(__xludf.DUMMYFUNCTION("""COMPUTED_VALUE"""),"again i know its true because it says Both packs had a chemical reaction")</f>
        <v>again i know its true because it says Both packs had a chemical reaction</v>
      </c>
      <c r="K3" s="71" t="str">
        <f>IFERROR(__xludf.DUMMYFUNCTION("""COMPUTED_VALUE"""),"lastly i know its true because they must be releasing energy.")</f>
        <v>lastly i know its true because they must be releasing energy.</v>
      </c>
      <c r="L3" s="71" t="str">
        <f>IFERROR(__xludf.DUMMYFUNCTION("""COMPUTED_VALUE"""),"Yes")</f>
        <v>Yes</v>
      </c>
      <c r="M3" s="71" t="str">
        <f>IFERROR(__xludf.DUMMYFUNCTION("""COMPUTED_VALUE"""),"Yes")</f>
        <v>Yes</v>
      </c>
      <c r="N3" s="71" t="str">
        <f>IFERROR(__xludf.DUMMYFUNCTION("""COMPUTED_VALUE"""),"Yes")</f>
        <v>Yes</v>
      </c>
      <c r="O3" s="71" t="str">
        <f>IFERROR(__xludf.DUMMYFUNCTION("""COMPUTED_VALUE"""),"Yes")</f>
        <v>Yes</v>
      </c>
      <c r="P3" s="71" t="str">
        <f>IFERROR(__xludf.DUMMYFUNCTION("""COMPUTED_VALUE"""),"this is my evidence because i noticed all the things about the story therefore my eveidence is clear.")</f>
        <v>this is my evidence because i noticed all the things about the story therefore my eveidence is clear.</v>
      </c>
      <c r="Q3" s="71" t="str">
        <f>IFERROR(__xludf.DUMMYFUNCTION("""COMPUTED_VALUE"""),"Yes")</f>
        <v>Yes</v>
      </c>
      <c r="R3" s="71" t="str">
        <f>IFERROR(__xludf.DUMMYFUNCTION("""COMPUTED_VALUE"""),"Yes")</f>
        <v>Yes</v>
      </c>
      <c r="S3" s="71" t="str">
        <f>IFERROR(__xludf.DUMMYFUNCTION("""COMPUTED_VALUE"""),"Partially")</f>
        <v>Partially</v>
      </c>
      <c r="T3" s="71" t="str">
        <f>IFERROR(__xludf.DUMMYFUNCTION("""COMPUTED_VALUE"""),"Yes")</f>
        <v>Yes</v>
      </c>
      <c r="U3" s="71"/>
      <c r="V3" s="71" t="str">
        <f>IFERROR(__xludf.DUMMYFUNCTION("""COMPUTED_VALUE"""),"Beginning")</f>
        <v>Beginning</v>
      </c>
      <c r="W3" s="71" t="str">
        <f>IFERROR(__xludf.DUMMYFUNCTION("""COMPUTED_VALUE"""),"Developing")</f>
        <v>Developing</v>
      </c>
      <c r="X3" s="71" t="str">
        <f>IFERROR(__xludf.DUMMYFUNCTION("""COMPUTED_VALUE"""),"Developing")</f>
        <v>Developing</v>
      </c>
      <c r="Y3" s="71" t="str">
        <f>IFERROR(__xludf.DUMMYFUNCTION("""COMPUTED_VALUE"""),"Proficient")</f>
        <v>Proficient</v>
      </c>
      <c r="Z3" s="71"/>
    </row>
    <row r="4">
      <c r="A4" s="128">
        <f>IFERROR(__xludf.DUMMYFUNCTION("""COMPUTED_VALUE"""),45922.48698295139)</f>
        <v>45922.48698</v>
      </c>
      <c r="B4" s="71" t="str">
        <f>IFERROR(__xludf.DUMMYFUNCTION("""COMPUTED_VALUE"""),"maxx.blassingame@kairosacademies.org")</f>
        <v>maxx.blassingame@kairosacademies.org</v>
      </c>
      <c r="C4" s="71" t="str">
        <f>IFERROR(__xludf.DUMMYFUNCTION("""COMPUTED_VALUE"""),"What are the most important words in the prompt?
Bolth have a comical reachin becas thay bolth have a timpche change that reles energy 
What is it really asking me to do?
 is asinine me to figer out it bolth cimicale reachines.
What do I already know abou"&amp;"t this topic?
  of the past I'm kind of chemical reaction that changed   who's the temperature of the packs to cold or hot .
")</f>
        <v>What are the most important words in the prompt?
Bolth have a comical reachin becas thay bolth have a timpche change that reles energy 
What is it really asking me to do?
 is asinine me to figer out it bolth cimicale reachines.
What do I already know about this topic?
  of the past I'm kind of chemical reaction that changed   who's the temperature of the packs to cold or hot .
</v>
      </c>
      <c r="D4" s="71" t="str">
        <f>IFERROR(__xludf.DUMMYFUNCTION("""COMPUTED_VALUE"""),"the cimical change is hot or cold")</f>
        <v>the cimical change is hot or cold</v>
      </c>
      <c r="E4" s="71" t="str">
        <f>IFERROR(__xludf.DUMMYFUNCTION("""COMPUTED_VALUE"""),"Partially")</f>
        <v>Partially</v>
      </c>
      <c r="F4" s="71" t="str">
        <f>IFERROR(__xludf.DUMMYFUNCTION("""COMPUTED_VALUE"""),"Yes")</f>
        <v>Yes</v>
      </c>
      <c r="G4" s="71" t="str">
        <f>IFERROR(__xludf.DUMMYFUNCTION("""COMPUTED_VALUE"""),"Yes")</f>
        <v>Yes</v>
      </c>
      <c r="H4" s="71" t="str">
        <f>IFERROR(__xludf.DUMMYFUNCTION("""COMPUTED_VALUE"""),"Yes")</f>
        <v>Yes</v>
      </c>
      <c r="I4" s="71" t="str">
        <f>IFERROR(__xludf.DUMMYFUNCTION("""COMPUTED_VALUE"""),"olth have a comical reachin becas thay bolth have a timpche change that reles energy ")</f>
        <v>olth have a comical reachin becas thay bolth have a timpche change that reles energy </v>
      </c>
      <c r="J4" s="71" t="str">
        <f>IFERROR(__xludf.DUMMYFUNCTION("""COMPUTED_VALUE"""),"is asinine me to figer out it bolth cimicale reachines.")</f>
        <v>is asinine me to figer out it bolth cimicale reachines.</v>
      </c>
      <c r="K4" s="71" t="str">
        <f>IFERROR(__xludf.DUMMYFUNCTION("""COMPUTED_VALUE"""),"a  cimical change can be hot or cold")</f>
        <v>a  cimical change can be hot or cold</v>
      </c>
      <c r="L4" s="71" t="str">
        <f>IFERROR(__xludf.DUMMYFUNCTION("""COMPUTED_VALUE"""),"Yes")</f>
        <v>Yes</v>
      </c>
      <c r="M4" s="71" t="str">
        <f>IFERROR(__xludf.DUMMYFUNCTION("""COMPUTED_VALUE"""),"Yes")</f>
        <v>Yes</v>
      </c>
      <c r="N4" s="71" t="str">
        <f>IFERROR(__xludf.DUMMYFUNCTION("""COMPUTED_VALUE"""),"Yes")</f>
        <v>Yes</v>
      </c>
      <c r="O4" s="71" t="str">
        <f>IFERROR(__xludf.DUMMYFUNCTION("""COMPUTED_VALUE"""),"Partially")</f>
        <v>Partially</v>
      </c>
      <c r="P4" s="71" t="str">
        <f>IFERROR(__xludf.DUMMYFUNCTION("""COMPUTED_VALUE"""),"Because [olth have a comical reachin becas thay bolth have a timpche change that reles energy ]..., this shows [connect to claim]. Furthermore, because [of my evidence from piece #2]..., it highlights [connect to claim]. Therefore, based on all the eviden"&amp;"ce, it is clear that [restate your claim in a new way].")</f>
        <v>Because [olth have a comical reachin becas thay bolth have a timpche change that reles energy ]..., this shows [connect to claim]. Furthermore, because [of my evidence from piece #2]..., it highlights [connect to claim]. Therefore, based on all the evidence, it is clear that [restate your claim in a new way].</v>
      </c>
      <c r="Q4" s="71" t="str">
        <f>IFERROR(__xludf.DUMMYFUNCTION("""COMPUTED_VALUE"""),"Partially")</f>
        <v>Partially</v>
      </c>
      <c r="R4" s="71" t="str">
        <f>IFERROR(__xludf.DUMMYFUNCTION("""COMPUTED_VALUE"""),"Yes, Partially")</f>
        <v>Yes, Partially</v>
      </c>
      <c r="S4" s="71" t="str">
        <f>IFERROR(__xludf.DUMMYFUNCTION("""COMPUTED_VALUE"""),"Partially")</f>
        <v>Partially</v>
      </c>
      <c r="T4" s="71" t="str">
        <f>IFERROR(__xludf.DUMMYFUNCTION("""COMPUTED_VALUE"""),"Partially")</f>
        <v>Partially</v>
      </c>
      <c r="U4" s="71"/>
      <c r="V4" s="71" t="str">
        <f>IFERROR(__xludf.DUMMYFUNCTION("""COMPUTED_VALUE"""),"Proficient")</f>
        <v>Proficient</v>
      </c>
      <c r="W4" s="71" t="str">
        <f>IFERROR(__xludf.DUMMYFUNCTION("""COMPUTED_VALUE"""),"Developing")</f>
        <v>Developing</v>
      </c>
      <c r="X4" s="71" t="str">
        <f>IFERROR(__xludf.DUMMYFUNCTION("""COMPUTED_VALUE"""),"Proficient")</f>
        <v>Proficient</v>
      </c>
      <c r="Y4" s="71" t="str">
        <f>IFERROR(__xludf.DUMMYFUNCTION("""COMPUTED_VALUE"""),"Developing")</f>
        <v>Developing</v>
      </c>
      <c r="Z4" s="71"/>
    </row>
    <row r="5">
      <c r="A5" s="128">
        <f>IFERROR(__xludf.DUMMYFUNCTION("""COMPUTED_VALUE"""),45922.487563240735)</f>
        <v>45922.48756</v>
      </c>
      <c r="B5" s="71" t="str">
        <f>IFERROR(__xludf.DUMMYFUNCTION("""COMPUTED_VALUE"""),"karizma.smith@kairosacademies.org")</f>
        <v>karizma.smith@kairosacademies.org</v>
      </c>
      <c r="C5" s="71" t="str">
        <f>IFERROR(__xludf.DUMMYFUNCTION("""COMPUTED_VALUE"""),"why are the kids playing with the tools")</f>
        <v>why are the kids playing with the tools</v>
      </c>
      <c r="D5" s="71" t="str">
        <f>IFERROR(__xludf.DUMMYFUNCTION("""COMPUTED_VALUE"""),"Analysis reveals that dinosaors died in 1900")</f>
        <v>Analysis reveals that dinosaors died in 1900</v>
      </c>
      <c r="E5" s="71" t="str">
        <f>IFERROR(__xludf.DUMMYFUNCTION("""COMPUTED_VALUE"""),"Partially")</f>
        <v>Partially</v>
      </c>
      <c r="F5" s="71" t="str">
        <f>IFERROR(__xludf.DUMMYFUNCTION("""COMPUTED_VALUE"""),"Yes")</f>
        <v>Yes</v>
      </c>
      <c r="G5" s="71" t="str">
        <f>IFERROR(__xludf.DUMMYFUNCTION("""COMPUTED_VALUE"""),"Yes")</f>
        <v>Yes</v>
      </c>
      <c r="H5" s="71" t="str">
        <f>IFERROR(__xludf.DUMMYFUNCTION("""COMPUTED_VALUE"""),"No")</f>
        <v>No</v>
      </c>
      <c r="I5" s="71" t="str">
        <f>IFERROR(__xludf.DUMMYFUNCTION("""COMPUTED_VALUE"""),"tbd")</f>
        <v>tbd</v>
      </c>
      <c r="J5" s="71"/>
      <c r="K5" s="71"/>
      <c r="L5" s="71" t="str">
        <f>IFERROR(__xludf.DUMMYFUNCTION("""COMPUTED_VALUE"""),"Yes")</f>
        <v>Yes</v>
      </c>
      <c r="M5" s="71" t="str">
        <f>IFERROR(__xludf.DUMMYFUNCTION("""COMPUTED_VALUE"""),"Yes")</f>
        <v>Yes</v>
      </c>
      <c r="N5" s="71" t="str">
        <f>IFERROR(__xludf.DUMMYFUNCTION("""COMPUTED_VALUE"""),"Yes")</f>
        <v>Yes</v>
      </c>
      <c r="O5" s="71" t="str">
        <f>IFERROR(__xludf.DUMMYFUNCTION("""COMPUTED_VALUE"""),"Yes")</f>
        <v>Yes</v>
      </c>
      <c r="P5" s="71" t="str">
        <f>IFERROR(__xludf.DUMMYFUNCTION("""COMPUTED_VALUE"""),"tbd")</f>
        <v>tbd</v>
      </c>
      <c r="Q5" s="71" t="str">
        <f>IFERROR(__xludf.DUMMYFUNCTION("""COMPUTED_VALUE"""),"Yes")</f>
        <v>Yes</v>
      </c>
      <c r="R5" s="71" t="str">
        <f>IFERROR(__xludf.DUMMYFUNCTION("""COMPUTED_VALUE"""),"Partially")</f>
        <v>Partially</v>
      </c>
      <c r="S5" s="71" t="str">
        <f>IFERROR(__xludf.DUMMYFUNCTION("""COMPUTED_VALUE"""),"Yes")</f>
        <v>Yes</v>
      </c>
      <c r="T5" s="71" t="str">
        <f>IFERROR(__xludf.DUMMYFUNCTION("""COMPUTED_VALUE"""),"Partially")</f>
        <v>Partially</v>
      </c>
      <c r="U5" s="71"/>
      <c r="V5" s="71"/>
      <c r="W5" s="71"/>
      <c r="X5" s="71"/>
      <c r="Y5" s="71"/>
      <c r="Z5" s="71"/>
    </row>
    <row r="6">
      <c r="A6" s="128">
        <f>IFERROR(__xludf.DUMMYFUNCTION("""COMPUTED_VALUE"""),45932.4840425463)</f>
        <v>45932.48404</v>
      </c>
      <c r="B6" s="71" t="str">
        <f>IFERROR(__xludf.DUMMYFUNCTION("""COMPUTED_VALUE"""),"myka.blassingame@kairosacademies.org")</f>
        <v>myka.blassingame@kairosacademies.org</v>
      </c>
      <c r="C6" s="71" t="str">
        <f>IFERROR(__xludf.DUMMYFUNCTION("""COMPUTED_VALUE"""),"Prompt 3")</f>
        <v>Prompt 3</v>
      </c>
      <c r="D6" s="71" t="str">
        <f>IFERROR(__xludf.DUMMYFUNCTION("""COMPUTED_VALUE"""),"The most likely explanation is that there is other elements in them because if one element makes the pack hot than a diffrent element needs to be in the other one to make it cold")</f>
        <v>The most likely explanation is that there is other elements in them because if one element makes the pack hot than a diffrent element needs to be in the other one to make it cold</v>
      </c>
      <c r="E6" s="71" t="str">
        <f>IFERROR(__xludf.DUMMYFUNCTION("""COMPUTED_VALUE"""),"Yes")</f>
        <v>Yes</v>
      </c>
      <c r="F6" s="71" t="str">
        <f>IFERROR(__xludf.DUMMYFUNCTION("""COMPUTED_VALUE"""),"Partially")</f>
        <v>Partially</v>
      </c>
      <c r="G6" s="71" t="str">
        <f>IFERROR(__xludf.DUMMYFUNCTION("""COMPUTED_VALUE"""),"Yes")</f>
        <v>Yes</v>
      </c>
      <c r="H6" s="71" t="str">
        <f>IFERROR(__xludf.DUMMYFUNCTION("""COMPUTED_VALUE"""),"Yes")</f>
        <v>Yes</v>
      </c>
      <c r="I6" s="71" t="str">
        <f>IFERROR(__xludf.DUMMYFUNCTION("""COMPUTED_VALUE"""),"Starting in 2008 a first floor Gallery The display includes George’s piano and desk, Ira’s typing table and typewriter, and self-portraits leaving a mark on human history.")</f>
        <v>Starting in 2008 a first floor Gallery The display includes George’s piano and desk, Ira’s typing table and typewriter, and self-portraits leaving a mark on human history.</v>
      </c>
      <c r="J6" s="71" t="str">
        <f>IFERROR(__xludf.DUMMYFUNCTION("""COMPUTED_VALUE"""),"i cant fine the links but doctors were needed because there would be no cure to pandimics")</f>
        <v>i cant fine the links but doctors were needed because there would be no cure to pandimics</v>
      </c>
      <c r="K6" s="71" t="str">
        <f>IFERROR(__xludf.DUMMYFUNCTION("""COMPUTED_VALUE"""),"cant fine the links but people made AI to make it easy to do every day tasks and to do things that humans for not want to do")</f>
        <v>cant fine the links but people made AI to make it easy to do every day tasks and to do things that humans for not want to do</v>
      </c>
      <c r="L6" s="71" t="str">
        <f>IFERROR(__xludf.DUMMYFUNCTION("""COMPUTED_VALUE"""),"No")</f>
        <v>No</v>
      </c>
      <c r="M6" s="71" t="str">
        <f>IFERROR(__xludf.DUMMYFUNCTION("""COMPUTED_VALUE"""),"No")</f>
        <v>No</v>
      </c>
      <c r="N6" s="71" t="str">
        <f>IFERROR(__xludf.DUMMYFUNCTION("""COMPUTED_VALUE"""),"No")</f>
        <v>No</v>
      </c>
      <c r="O6" s="71" t="str">
        <f>IFERROR(__xludf.DUMMYFUNCTION("""COMPUTED_VALUE"""),"No")</f>
        <v>No</v>
      </c>
      <c r="P6" s="71" t="str">
        <f>IFERROR(__xludf.DUMMYFUNCTION("""COMPUTED_VALUE"""),"the things there made a mark in history becuase famose things were there")</f>
        <v>the things there made a mark in history becuase famose things were there</v>
      </c>
      <c r="Q6" s="71" t="str">
        <f>IFERROR(__xludf.DUMMYFUNCTION("""COMPUTED_VALUE"""),"Partially")</f>
        <v>Partially</v>
      </c>
      <c r="R6" s="71" t="str">
        <f>IFERROR(__xludf.DUMMYFUNCTION("""COMPUTED_VALUE"""),"Yes")</f>
        <v>Yes</v>
      </c>
      <c r="S6" s="71" t="str">
        <f>IFERROR(__xludf.DUMMYFUNCTION("""COMPUTED_VALUE"""),"Partially")</f>
        <v>Partially</v>
      </c>
      <c r="T6" s="71" t="str">
        <f>IFERROR(__xludf.DUMMYFUNCTION("""COMPUTED_VALUE"""),"No")</f>
        <v>No</v>
      </c>
      <c r="U6" s="71" t="str">
        <f>IFERROR(__xludf.DUMMYFUNCTION("""COMPUTED_VALUE"""),"the things in the  Gallery were in the humans race forever because it had super rare things and famose people used them")</f>
        <v>the things in the  Gallery were in the humans race forever because it had super rare things and famose people used them</v>
      </c>
      <c r="V6" s="71" t="str">
        <f>IFERROR(__xludf.DUMMYFUNCTION("""COMPUTED_VALUE"""),"Developing")</f>
        <v>Developing</v>
      </c>
      <c r="W6" s="71" t="str">
        <f>IFERROR(__xludf.DUMMYFUNCTION("""COMPUTED_VALUE"""),"Developing")</f>
        <v>Developing</v>
      </c>
      <c r="X6" s="71" t="str">
        <f>IFERROR(__xludf.DUMMYFUNCTION("""COMPUTED_VALUE"""),"Developing")</f>
        <v>Developing</v>
      </c>
      <c r="Y6" s="71" t="str">
        <f>IFERROR(__xludf.DUMMYFUNCTION("""COMPUTED_VALUE"""),"Developing")</f>
        <v>Developing</v>
      </c>
      <c r="Z6" s="71"/>
    </row>
    <row r="7">
      <c r="A7" s="128">
        <f>IFERROR(__xludf.DUMMYFUNCTION("""COMPUTED_VALUE"""),45929.471207696755)</f>
        <v>45929.47121</v>
      </c>
      <c r="B7" s="71" t="str">
        <f>IFERROR(__xludf.DUMMYFUNCTION("""COMPUTED_VALUE"""),"zu'rell.harris@kairosacademies.org")</f>
        <v>zu'rell.harris@kairosacademies.org</v>
      </c>
      <c r="C7" s="71" t="str">
        <f>IFERROR(__xludf.DUMMYFUNCTION("""COMPUTED_VALUE"""),"Prompt 2")</f>
        <v>Prompt 2</v>
      </c>
      <c r="D7" s="71" t="str">
        <f>IFERROR(__xludf.DUMMYFUNCTION("""COMPUTED_VALUE"""),"yes")</f>
        <v>yes</v>
      </c>
      <c r="E7" s="71" t="str">
        <f>IFERROR(__xludf.DUMMYFUNCTION("""COMPUTED_VALUE"""),"Yes")</f>
        <v>Yes</v>
      </c>
      <c r="F7" s="71" t="str">
        <f>IFERROR(__xludf.DUMMYFUNCTION("""COMPUTED_VALUE"""),"Partially, No")</f>
        <v>Partially, No</v>
      </c>
      <c r="G7" s="71" t="str">
        <f>IFERROR(__xludf.DUMMYFUNCTION("""COMPUTED_VALUE"""),"No")</f>
        <v>No</v>
      </c>
      <c r="H7" s="71" t="str">
        <f>IFERROR(__xludf.DUMMYFUNCTION("""COMPUTED_VALUE"""),"Yes, Partially")</f>
        <v>Yes, Partially</v>
      </c>
      <c r="I7" s="71" t="str">
        <f>IFERROR(__xludf.DUMMYFUNCTION("""COMPUTED_VALUE"""),"no")</f>
        <v>no</v>
      </c>
      <c r="J7" s="71" t="str">
        <f>IFERROR(__xludf.DUMMYFUNCTION("""COMPUTED_VALUE"""),"yes")</f>
        <v>yes</v>
      </c>
      <c r="K7" s="71" t="str">
        <f>IFERROR(__xludf.DUMMYFUNCTION("""COMPUTED_VALUE"""),"no")</f>
        <v>no</v>
      </c>
      <c r="L7" s="71" t="str">
        <f>IFERROR(__xludf.DUMMYFUNCTION("""COMPUTED_VALUE"""),"Yes")</f>
        <v>Yes</v>
      </c>
      <c r="M7" s="71" t="str">
        <f>IFERROR(__xludf.DUMMYFUNCTION("""COMPUTED_VALUE"""),"Partially")</f>
        <v>Partially</v>
      </c>
      <c r="N7" s="71" t="str">
        <f>IFERROR(__xludf.DUMMYFUNCTION("""COMPUTED_VALUE"""),"Yes, Partially, No")</f>
        <v>Yes, Partially, No</v>
      </c>
      <c r="O7" s="71" t="str">
        <f>IFERROR(__xludf.DUMMYFUNCTION("""COMPUTED_VALUE"""),"Yes")</f>
        <v>Yes</v>
      </c>
      <c r="P7" s="71" t="str">
        <f>IFERROR(__xludf.DUMMYFUNCTION("""COMPUTED_VALUE"""),"yes")</f>
        <v>yes</v>
      </c>
      <c r="Q7" s="71" t="str">
        <f>IFERROR(__xludf.DUMMYFUNCTION("""COMPUTED_VALUE"""),"No")</f>
        <v>No</v>
      </c>
      <c r="R7" s="71" t="str">
        <f>IFERROR(__xludf.DUMMYFUNCTION("""COMPUTED_VALUE"""),"Yes, Partially, No")</f>
        <v>Yes, Partially, No</v>
      </c>
      <c r="S7" s="71" t="str">
        <f>IFERROR(__xludf.DUMMYFUNCTION("""COMPUTED_VALUE"""),"Yes")</f>
        <v>Yes</v>
      </c>
      <c r="T7" s="71" t="str">
        <f>IFERROR(__xludf.DUMMYFUNCTION("""COMPUTED_VALUE"""),"No")</f>
        <v>No</v>
      </c>
      <c r="U7" s="71" t="str">
        <f>IFERROR(__xludf.DUMMYFUNCTION("""COMPUTED_VALUE"""),"yes")</f>
        <v>yes</v>
      </c>
      <c r="V7" s="71" t="str">
        <f>IFERROR(__xludf.DUMMYFUNCTION("""COMPUTED_VALUE"""),"Beginning")</f>
        <v>Beginning</v>
      </c>
      <c r="W7" s="71"/>
      <c r="X7" s="71" t="str">
        <f>IFERROR(__xludf.DUMMYFUNCTION("""COMPUTED_VALUE"""),"Proficient")</f>
        <v>Proficient</v>
      </c>
      <c r="Y7" s="71" t="str">
        <f>IFERROR(__xludf.DUMMYFUNCTION("""COMPUTED_VALUE"""),"Developing")</f>
        <v>Developing</v>
      </c>
      <c r="Z7" s="71"/>
    </row>
    <row r="8">
      <c r="A8" s="128">
        <f>IFERROR(__xludf.DUMMYFUNCTION("""COMPUTED_VALUE"""),45922.58636652778)</f>
        <v>45922.58637</v>
      </c>
      <c r="B8" s="71" t="str">
        <f>IFERROR(__xludf.DUMMYFUNCTION("""COMPUTED_VALUE"""),"austin.williams@kairosacademies.org")</f>
        <v>austin.williams@kairosacademies.org</v>
      </c>
      <c r="C8" s="71" t="str">
        <f>IFERROR(__xludf.DUMMYFUNCTION("""COMPUTED_VALUE"""),"Prompt 2")</f>
        <v>Prompt 2</v>
      </c>
      <c r="D8" s="71" t="str">
        <f>IFERROR(__xludf.DUMMYFUNCTION("""COMPUTED_VALUE"""),"The claim that dissolving the tablet is only physical change is incorrect because it involves a chemical reaction.")</f>
        <v>The claim that dissolving the tablet is only physical change is incorrect because it involves a chemical reaction.</v>
      </c>
      <c r="E8" s="71" t="str">
        <f>IFERROR(__xludf.DUMMYFUNCTION("""COMPUTED_VALUE"""),"Yes, No")</f>
        <v>Yes, No</v>
      </c>
      <c r="F8" s="71" t="str">
        <f>IFERROR(__xludf.DUMMYFUNCTION("""COMPUTED_VALUE"""),"Partially")</f>
        <v>Partially</v>
      </c>
      <c r="G8" s="71" t="str">
        <f>IFERROR(__xludf.DUMMYFUNCTION("""COMPUTED_VALUE"""),"Yes")</f>
        <v>Yes</v>
      </c>
      <c r="H8" s="71" t="str">
        <f>IFERROR(__xludf.DUMMYFUNCTION("""COMPUTED_VALUE"""),"Partially")</f>
        <v>Partially</v>
      </c>
      <c r="I8" s="71" t="str">
        <f>IFERROR(__xludf.DUMMYFUNCTION("""COMPUTED_VALUE"""),"Renewable energy")</f>
        <v>Renewable energy</v>
      </c>
      <c r="J8" s="71"/>
      <c r="K8" s="71"/>
      <c r="L8" s="71" t="str">
        <f>IFERROR(__xludf.DUMMYFUNCTION("""COMPUTED_VALUE"""),"Yes")</f>
        <v>Yes</v>
      </c>
      <c r="M8" s="71" t="str">
        <f>IFERROR(__xludf.DUMMYFUNCTION("""COMPUTED_VALUE"""),"Yes")</f>
        <v>Yes</v>
      </c>
      <c r="N8" s="71" t="str">
        <f>IFERROR(__xludf.DUMMYFUNCTION("""COMPUTED_VALUE"""),"No")</f>
        <v>No</v>
      </c>
      <c r="O8" s="71" t="str">
        <f>IFERROR(__xludf.DUMMYFUNCTION("""COMPUTED_VALUE"""),"Partially")</f>
        <v>Partially</v>
      </c>
      <c r="P8" s="71" t="str">
        <f>IFERROR(__xludf.DUMMYFUNCTION("""COMPUTED_VALUE"""),"Hard work is more important than natural talent in achieving success.")</f>
        <v>Hard work is more important than natural talent in achieving success.</v>
      </c>
      <c r="Q8" s="71" t="str">
        <f>IFERROR(__xludf.DUMMYFUNCTION("""COMPUTED_VALUE"""),"No")</f>
        <v>No</v>
      </c>
      <c r="R8" s="71" t="str">
        <f>IFERROR(__xludf.DUMMYFUNCTION("""COMPUTED_VALUE"""),"Partially")</f>
        <v>Partially</v>
      </c>
      <c r="S8" s="71" t="str">
        <f>IFERROR(__xludf.DUMMYFUNCTION("""COMPUTED_VALUE"""),"Yes")</f>
        <v>Yes</v>
      </c>
      <c r="T8" s="71" t="str">
        <f>IFERROR(__xludf.DUMMYFUNCTION("""COMPUTED_VALUE"""),"Yes")</f>
        <v>Yes</v>
      </c>
      <c r="U8" s="71" t="str">
        <f>IFERROR(__xludf.DUMMYFUNCTION("""COMPUTED_VALUE"""),"This demonstrates that summarize why the original argument remains valid despite the alternative explanation.")</f>
        <v>This demonstrates that summarize why the original argument remains valid despite the alternative explanation.</v>
      </c>
      <c r="V8" s="71" t="str">
        <f>IFERROR(__xludf.DUMMYFUNCTION("""COMPUTED_VALUE"""),"Beginning")</f>
        <v>Beginning</v>
      </c>
      <c r="W8" s="71" t="str">
        <f>IFERROR(__xludf.DUMMYFUNCTION("""COMPUTED_VALUE"""),"Beginning")</f>
        <v>Beginning</v>
      </c>
      <c r="X8" s="71" t="str">
        <f>IFERROR(__xludf.DUMMYFUNCTION("""COMPUTED_VALUE"""),"Proficient")</f>
        <v>Proficient</v>
      </c>
      <c r="Y8" s="71" t="str">
        <f>IFERROR(__xludf.DUMMYFUNCTION("""COMPUTED_VALUE"""),"Developing")</f>
        <v>Developing</v>
      </c>
      <c r="Z8" s="71"/>
    </row>
    <row r="9">
      <c r="A9" s="128">
        <f>IFERROR(__xludf.DUMMYFUNCTION("""COMPUTED_VALUE"""),45939.58936421297)</f>
        <v>45939.58936</v>
      </c>
      <c r="B9" s="71" t="str">
        <f>IFERROR(__xludf.DUMMYFUNCTION("""COMPUTED_VALUE"""),"miles.williams@kairosacademies.org")</f>
        <v>miles.williams@kairosacademies.org</v>
      </c>
      <c r="C9" s="71" t="str">
        <f>IFERROR(__xludf.DUMMYFUNCTION("""COMPUTED_VALUE"""),"Prompt 3")</f>
        <v>Prompt 3</v>
      </c>
      <c r="D9" s="71" t="str">
        <f>IFERROR(__xludf.DUMMYFUNCTION("""COMPUTED_VALUE"""),"The evidence demonstrates that A chemical change happens in the cold and hot pack, and when that happens the pack releasing energy to change the temperature of the pack.")</f>
        <v>The evidence demonstrates that A chemical change happens in the cold and hot pack, and when that happens the pack releasing energy to change the temperature of the pack.</v>
      </c>
      <c r="E9" s="71" t="str">
        <f>IFERROR(__xludf.DUMMYFUNCTION("""COMPUTED_VALUE"""),"Partially")</f>
        <v>Partially</v>
      </c>
      <c r="F9" s="71" t="str">
        <f>IFERROR(__xludf.DUMMYFUNCTION("""COMPUTED_VALUE"""),"Yes")</f>
        <v>Yes</v>
      </c>
      <c r="G9" s="71" t="str">
        <f>IFERROR(__xludf.DUMMYFUNCTION("""COMPUTED_VALUE"""),"Yes")</f>
        <v>Yes</v>
      </c>
      <c r="H9" s="71" t="str">
        <f>IFERROR(__xludf.DUMMYFUNCTION("""COMPUTED_VALUE"""),"Yes")</f>
        <v>Yes</v>
      </c>
      <c r="I9" s="71" t="str">
        <f>IFERROR(__xludf.DUMMYFUNCTION("""COMPUTED_VALUE"""),"""Energy is released from the crystal lattice. The heating pack can be placed in boiling water and the sodium acetate can be dissolved again. This phenomenon shows how bond energy can be released.""  https://thewonderofscience.com/phenomenon/2018/7/8/reus"&amp;"able-heat-packs")</f>
        <v>"Energy is released from the crystal lattice. The heating pack can be placed in boiling water and the sodium acetate can be dissolved again. This phenomenon shows how bond energy can be released."  https://thewonderofscience.com/phenomenon/2018/7/8/reusable-heat-packs</v>
      </c>
      <c r="J9" s="71" t="str">
        <f>IFERROR(__xludf.DUMMYFUNCTION("""COMPUTED_VALUE"""),"Many instant hot and cold packs function by dissolving a salt into water. As the salt disassociates, heat is either released in an exothermic reaction or absorbed in an endothermic reaction. Commercial instant cold packs typically use either ammonium nitr"&amp;"ate or urea as their salt component; hot packs often use magnesium sulfate or calcium chloride. These reactions happen in a similar manner. When the salt is dissolved in water, the ionic bonds of the salt separate. This process requires energy, which is o"&amp;"btained from the surroundings. 
https://www.carolina.com/teacher-resources/Interactive/hot-and-cold-packs-a-thermochemistry-activity/tr29415.tr?srsltid=AfmBOoofPgndIPp89tDi1XijzuwPjoooBZ1XECE2Xgf78siCm0s5uT2T")</f>
        <v>Many instant hot and cold packs function by dissolving a salt into water. As the salt disassociates, heat is either released in an exothermic reaction or absorbed in an endothermic reaction. Commercial instant cold packs typically use either ammonium nitrate or urea as their salt component; hot packs often use magnesium sulfate or calcium chloride. These reactions happen in a similar manner. When the salt is dissolved in water, the ionic bonds of the salt separate. This process requires energy, which is obtained from the surroundings. 
https://www.carolina.com/teacher-resources/Interactive/hot-and-cold-packs-a-thermochemistry-activity/tr29415.tr?srsltid=AfmBOoofPgndIPp89tDi1XijzuwPjoooBZ1XECE2Xgf78siCm0s5uT2T</v>
      </c>
      <c r="K9" s="71" t="str">
        <f>IFERROR(__xludf.DUMMYFUNCTION("""COMPUTED_VALUE"""),"N/A")</f>
        <v>N/A</v>
      </c>
      <c r="L9" s="71" t="str">
        <f>IFERROR(__xludf.DUMMYFUNCTION("""COMPUTED_VALUE"""),"Partially, No")</f>
        <v>Partially, No</v>
      </c>
      <c r="M9" s="71" t="str">
        <f>IFERROR(__xludf.DUMMYFUNCTION("""COMPUTED_VALUE"""),"Yes, No")</f>
        <v>Yes, No</v>
      </c>
      <c r="N9" s="71" t="str">
        <f>IFERROR(__xludf.DUMMYFUNCTION("""COMPUTED_VALUE"""),"Yes, No")</f>
        <v>Yes, No</v>
      </c>
      <c r="O9" s="71" t="str">
        <f>IFERROR(__xludf.DUMMYFUNCTION("""COMPUTED_VALUE"""),"Yes, No")</f>
        <v>Yes, No</v>
      </c>
      <c r="P9" s="71" t="str">
        <f>IFERROR(__xludf.DUMMYFUNCTION("""COMPUTED_VALUE"""),"wip")</f>
        <v>wip</v>
      </c>
      <c r="Q9" s="71" t="str">
        <f>IFERROR(__xludf.DUMMYFUNCTION("""COMPUTED_VALUE"""),"No")</f>
        <v>No</v>
      </c>
      <c r="R9" s="71" t="str">
        <f>IFERROR(__xludf.DUMMYFUNCTION("""COMPUTED_VALUE"""),"No")</f>
        <v>No</v>
      </c>
      <c r="S9" s="71" t="str">
        <f>IFERROR(__xludf.DUMMYFUNCTION("""COMPUTED_VALUE"""),"No")</f>
        <v>No</v>
      </c>
      <c r="T9" s="71" t="str">
        <f>IFERROR(__xludf.DUMMYFUNCTION("""COMPUTED_VALUE"""),"No")</f>
        <v>No</v>
      </c>
      <c r="U9" s="71" t="str">
        <f>IFERROR(__xludf.DUMMYFUNCTION("""COMPUTED_VALUE"""),"wip")</f>
        <v>wip</v>
      </c>
      <c r="V9" s="71" t="str">
        <f>IFERROR(__xludf.DUMMYFUNCTION("""COMPUTED_VALUE"""),"Beginning")</f>
        <v>Beginning</v>
      </c>
      <c r="W9" s="71" t="str">
        <f>IFERROR(__xludf.DUMMYFUNCTION("""COMPUTED_VALUE"""),"Beginning")</f>
        <v>Beginning</v>
      </c>
      <c r="X9" s="71" t="str">
        <f>IFERROR(__xludf.DUMMYFUNCTION("""COMPUTED_VALUE"""),"Beginning")</f>
        <v>Beginning</v>
      </c>
      <c r="Y9" s="71" t="str">
        <f>IFERROR(__xludf.DUMMYFUNCTION("""COMPUTED_VALUE"""),"Beginning")</f>
        <v>Beginning</v>
      </c>
      <c r="Z9" s="71"/>
    </row>
    <row r="10">
      <c r="A10" s="128">
        <f>IFERROR(__xludf.DUMMYFUNCTION("""COMPUTED_VALUE"""),45922.58925344908)</f>
        <v>45922.58925</v>
      </c>
      <c r="B10" s="71" t="str">
        <f>IFERROR(__xludf.DUMMYFUNCTION("""COMPUTED_VALUE"""),"yaeyonie.robinson@kairosacademies.org")</f>
        <v>yaeyonie.robinson@kairosacademies.org</v>
      </c>
      <c r="C10" s="71" t="str">
        <f>IFERROR(__xludf.DUMMYFUNCTION("""COMPUTED_VALUE"""),"Prompt 2")</f>
        <v>Prompt 2</v>
      </c>
      <c r="D10" s="71" t="str">
        <f>IFERROR(__xludf.DUMMYFUNCTION("""COMPUTED_VALUE"""),"it was a chemical change")</f>
        <v>it was a chemical change</v>
      </c>
      <c r="E10" s="71" t="str">
        <f>IFERROR(__xludf.DUMMYFUNCTION("""COMPUTED_VALUE"""),"Yes")</f>
        <v>Yes</v>
      </c>
      <c r="F10" s="71" t="str">
        <f>IFERROR(__xludf.DUMMYFUNCTION("""COMPUTED_VALUE"""),"Partially")</f>
        <v>Partially</v>
      </c>
      <c r="G10" s="71" t="str">
        <f>IFERROR(__xludf.DUMMYFUNCTION("""COMPUTED_VALUE"""),"Yes")</f>
        <v>Yes</v>
      </c>
      <c r="H10" s="71" t="str">
        <f>IFERROR(__xludf.DUMMYFUNCTION("""COMPUTED_VALUE"""),"Partially")</f>
        <v>Partially</v>
      </c>
      <c r="I10" s="71" t="str">
        <f>IFERROR(__xludf.DUMMYFUNCTION("""COMPUTED_VALUE"""),"i use goole")</f>
        <v>i use goole</v>
      </c>
      <c r="J10" s="71" t="str">
        <f>IFERROR(__xludf.DUMMYFUNCTION("""COMPUTED_VALUE"""),"i use goole")</f>
        <v>i use goole</v>
      </c>
      <c r="K10" s="71" t="str">
        <f>IFERROR(__xludf.DUMMYFUNCTION("""COMPUTED_VALUE"""),"i use glooe")</f>
        <v>i use glooe</v>
      </c>
      <c r="L10" s="71" t="str">
        <f>IFERROR(__xludf.DUMMYFUNCTION("""COMPUTED_VALUE"""),"Yes")</f>
        <v>Yes</v>
      </c>
      <c r="M10" s="71" t="str">
        <f>IFERROR(__xludf.DUMMYFUNCTION("""COMPUTED_VALUE"""),"Partially")</f>
        <v>Partially</v>
      </c>
      <c r="N10" s="71" t="str">
        <f>IFERROR(__xludf.DUMMYFUNCTION("""COMPUTED_VALUE"""),"Yes")</f>
        <v>Yes</v>
      </c>
      <c r="O10" s="71" t="str">
        <f>IFERROR(__xludf.DUMMYFUNCTION("""COMPUTED_VALUE"""),"Partially")</f>
        <v>Partially</v>
      </c>
      <c r="P10" s="71" t="str">
        <f>IFERROR(__xludf.DUMMYFUNCTION("""COMPUTED_VALUE"""),"yaeyonie")</f>
        <v>yaeyonie</v>
      </c>
      <c r="Q10" s="71" t="str">
        <f>IFERROR(__xludf.DUMMYFUNCTION("""COMPUTED_VALUE"""),"Yes")</f>
        <v>Yes</v>
      </c>
      <c r="R10" s="71" t="str">
        <f>IFERROR(__xludf.DUMMYFUNCTION("""COMPUTED_VALUE"""),"Partially")</f>
        <v>Partially</v>
      </c>
      <c r="S10" s="71" t="str">
        <f>IFERROR(__xludf.DUMMYFUNCTION("""COMPUTED_VALUE"""),"Partially")</f>
        <v>Partially</v>
      </c>
      <c r="T10" s="71" t="str">
        <f>IFERROR(__xludf.DUMMYFUNCTION("""COMPUTED_VALUE"""),"Yes")</f>
        <v>Yes</v>
      </c>
      <c r="U10" s="71"/>
      <c r="V10" s="71" t="str">
        <f>IFERROR(__xludf.DUMMYFUNCTION("""COMPUTED_VALUE"""),"Beginning")</f>
        <v>Beginning</v>
      </c>
      <c r="W10" s="71" t="str">
        <f>IFERROR(__xludf.DUMMYFUNCTION("""COMPUTED_VALUE"""),"Developing")</f>
        <v>Developing</v>
      </c>
      <c r="X10" s="71" t="str">
        <f>IFERROR(__xludf.DUMMYFUNCTION("""COMPUTED_VALUE"""),"Developing")</f>
        <v>Developing</v>
      </c>
      <c r="Y10" s="71" t="str">
        <f>IFERROR(__xludf.DUMMYFUNCTION("""COMPUTED_VALUE"""),"Proficient")</f>
        <v>Proficient</v>
      </c>
      <c r="Z10" s="71"/>
    </row>
    <row r="11">
      <c r="A11" s="128">
        <f>IFERROR(__xludf.DUMMYFUNCTION("""COMPUTED_VALUE"""),45939.60973769677)</f>
        <v>45939.60974</v>
      </c>
      <c r="B11" s="71" t="str">
        <f>IFERROR(__xludf.DUMMYFUNCTION("""COMPUTED_VALUE"""),"soren.poe@kairosacademies.org")</f>
        <v>soren.poe@kairosacademies.org</v>
      </c>
      <c r="C11" s="71" t="str">
        <f>IFERROR(__xludf.DUMMYFUNCTION("""COMPUTED_VALUE"""),"Prompt 1")</f>
        <v>Prompt 1</v>
      </c>
      <c r="D11" s="71" t="str">
        <f>IFERROR(__xludf.DUMMYFUNCTION("""COMPUTED_VALUE"""),"The evidence demonstrates that burning stuff does destroy matter because whenever you make a fire with firewood eventually the fire goes out and the firewood will be gone.")</f>
        <v>The evidence demonstrates that burning stuff does destroy matter because whenever you make a fire with firewood eventually the fire goes out and the firewood will be gone.</v>
      </c>
      <c r="E11" s="71" t="str">
        <f>IFERROR(__xludf.DUMMYFUNCTION("""COMPUTED_VALUE"""),"Yes")</f>
        <v>Yes</v>
      </c>
      <c r="F11" s="71" t="str">
        <f>IFERROR(__xludf.DUMMYFUNCTION("""COMPUTED_VALUE"""),"Yes")</f>
        <v>Yes</v>
      </c>
      <c r="G11" s="71" t="str">
        <f>IFERROR(__xludf.DUMMYFUNCTION("""COMPUTED_VALUE"""),"Yes")</f>
        <v>Yes</v>
      </c>
      <c r="H11" s="71" t="str">
        <f>IFERROR(__xludf.DUMMYFUNCTION("""COMPUTED_VALUE"""),"Yes")</f>
        <v>Yes</v>
      </c>
      <c r="I11" s="71" t="str">
        <f>IFERROR(__xludf.DUMMYFUNCTION("""COMPUTED_VALUE"""),"Firewood is also known as fuelwood or woodfuel because it makes the fire keep going. ""Wood fuel (or fuelwood) is a fuel such as firewood, charcoal, chips, sheets, pellets, and sawdust.""https://en.wikipedia.org/wiki/Wood_fuel")</f>
        <v>Firewood is also known as fuelwood or woodfuel because it makes the fire keep going. "Wood fuel (or fuelwood) is a fuel such as firewood, charcoal, chips, sheets, pellets, and sawdust."https://en.wikipedia.org/wiki/Wood_fuel</v>
      </c>
      <c r="J11" s="71" t="str">
        <f>IFERROR(__xludf.DUMMYFUNCTION("""COMPUTED_VALUE"""),"A data piece that I found is this, ""The use of wood as a fuel source for heating is much older than civilization and is assumed to have been used by Neanderthals."" https://en.wikipedia.org/wiki/Wood_fuel")</f>
        <v>A data piece that I found is this, "The use of wood as a fuel source for heating is much older than civilization and is assumed to have been used by Neanderthals." https://en.wikipedia.org/wiki/Wood_fuel</v>
      </c>
      <c r="K11" s="71" t="str">
        <f>IFERROR(__xludf.DUMMYFUNCTION("""COMPUTED_VALUE"""),"https://www.google.com/search?sca_esv=41019ffbed8a8b36&amp;rlz=1CAHTBP_enUS1181&amp;udm=2&amp;fbs=AIIjpHxU7SXXniUZfeShr2fp4giZ1Y6MJ25_tmWITc7uy4KIeoJTKjrFjVxydQWqI2NcOha3O1YqG67F0QIhAOFN_ob1qe64vywgsVdIjTT28-5UDOHpI7IJbq8O03gE15S7dm-dHwKIm-RMqoaTTaVT0dQhXaUCGNhRK3uaW"&amp;"MmhMyYQNbhXjhxnQ19vm0hDxXAPVLlq7d2O8C9v7aF2lSfZfaZzHc-xwQ&amp;q=before+and+after+of+a+fire&amp;sa=X&amp;ved=2ahUKEwjK9ciLle2PAxWr_8kDHUnXEUYQtKgLegQIGxAB&amp;biw=1366&amp;bih=599&amp;tbs=sur%3Acl&amp;safe=active&amp;ssui=on#vhid=aQupImd7ff3brM&amp;vssid=mosaic
Here is a picture I found of"&amp;" a before and after of a fire and you can see that a lot of matter has gone away. The picture is from the flickr website (I couldn't get on it so i couldn't provide a link.")</f>
        <v>https://www.google.com/search?sca_esv=41019ffbed8a8b36&amp;rlz=1CAHTBP_enUS1181&amp;udm=2&amp;fbs=AIIjpHxU7SXXniUZfeShr2fp4giZ1Y6MJ25_tmWITc7uy4KIeoJTKjrFjVxydQWqI2NcOha3O1YqG67F0QIhAOFN_ob1qe64vywgsVdIjTT28-5UDOHpI7IJbq8O03gE15S7dm-dHwKIm-RMqoaTTaVT0dQhXaUCGNhRK3uaWMmhMyYQNbhXjhxnQ19vm0hDxXAPVLlq7d2O8C9v7aF2lSfZfaZzHc-xwQ&amp;q=before+and+after+of+a+fire&amp;sa=X&amp;ved=2ahUKEwjK9ciLle2PAxWr_8kDHUnXEUYQtKgLegQIGxAB&amp;biw=1366&amp;bih=599&amp;tbs=sur%3Acl&amp;safe=active&amp;ssui=on#vhid=aQupImd7ff3brM&amp;vssid=mosaic
Here is a picture I found of a before and after of a fire and you can see that a lot of matter has gone away. The picture is from the flickr website (I couldn't get on it so i couldn't provide a link.</v>
      </c>
      <c r="L11" s="71" t="str">
        <f>IFERROR(__xludf.DUMMYFUNCTION("""COMPUTED_VALUE"""),"Yes")</f>
        <v>Yes</v>
      </c>
      <c r="M11" s="71" t="str">
        <f>IFERROR(__xludf.DUMMYFUNCTION("""COMPUTED_VALUE"""),"Yes, Partially")</f>
        <v>Yes, Partially</v>
      </c>
      <c r="N11" s="71" t="str">
        <f>IFERROR(__xludf.DUMMYFUNCTION("""COMPUTED_VALUE"""),"Partially")</f>
        <v>Partially</v>
      </c>
      <c r="O11" s="71" t="str">
        <f>IFERROR(__xludf.DUMMYFUNCTION("""COMPUTED_VALUE"""),"Yes, Partially")</f>
        <v>Yes, Partially</v>
      </c>
      <c r="P11" s="71" t="str">
        <f>IFERROR(__xludf.DUMMYFUNCTION("""COMPUTED_VALUE"""),"My evidence supports my claim because it tells you that you need more wood after making a fire for fuel because the previous wood disappeared. It also shows you the before and after of a fire showing it destroys matter.")</f>
        <v>My evidence supports my claim because it tells you that you need more wood after making a fire for fuel because the previous wood disappeared. It also shows you the before and after of a fire showing it destroys matter.</v>
      </c>
      <c r="Q11" s="71" t="str">
        <f>IFERROR(__xludf.DUMMYFUNCTION("""COMPUTED_VALUE"""),"Yes")</f>
        <v>Yes</v>
      </c>
      <c r="R11" s="71" t="str">
        <f>IFERROR(__xludf.DUMMYFUNCTION("""COMPUTED_VALUE"""),"Yes")</f>
        <v>Yes</v>
      </c>
      <c r="S11" s="71" t="str">
        <f>IFERROR(__xludf.DUMMYFUNCTION("""COMPUTED_VALUE"""),"Yes")</f>
        <v>Yes</v>
      </c>
      <c r="T11" s="71" t="str">
        <f>IFERROR(__xludf.DUMMYFUNCTION("""COMPUTED_VALUE"""),"Partially")</f>
        <v>Partially</v>
      </c>
      <c r="U11" s="71" t="str">
        <f>IFERROR(__xludf.DUMMYFUNCTION("""COMPUTED_VALUE"""),"While some may argue that some fires don't destroy matter, the evidence clearly shows that fires destroy matter because there are pictures of before and afters and proof that you need more wood to fuel a fire that contains firewood.")</f>
        <v>While some may argue that some fires don't destroy matter, the evidence clearly shows that fires destroy matter because there are pictures of before and afters and proof that you need more wood to fuel a fire that contains firewood.</v>
      </c>
      <c r="V11" s="71" t="str">
        <f>IFERROR(__xludf.DUMMYFUNCTION("""COMPUTED_VALUE"""),"Proficient")</f>
        <v>Proficient</v>
      </c>
      <c r="W11" s="71" t="str">
        <f>IFERROR(__xludf.DUMMYFUNCTION("""COMPUTED_VALUE"""),"Developing")</f>
        <v>Developing</v>
      </c>
      <c r="X11" s="71" t="str">
        <f>IFERROR(__xludf.DUMMYFUNCTION("""COMPUTED_VALUE"""),"Proficient")</f>
        <v>Proficient</v>
      </c>
      <c r="Y11" s="71" t="str">
        <f>IFERROR(__xludf.DUMMYFUNCTION("""COMPUTED_VALUE"""),"Proficient")</f>
        <v>Proficient</v>
      </c>
      <c r="Z11" s="71"/>
    </row>
    <row r="12">
      <c r="A12" s="128">
        <f>IFERROR(__xludf.DUMMYFUNCTION("""COMPUTED_VALUE"""),45922.64510012731)</f>
        <v>45922.6451</v>
      </c>
      <c r="B12" s="71" t="str">
        <f>IFERROR(__xludf.DUMMYFUNCTION("""COMPUTED_VALUE"""),"keithron.graffread@kairosacademies.org")</f>
        <v>keithron.graffread@kairosacademies.org</v>
      </c>
      <c r="C12" s="71" t="str">
        <f>IFERROR(__xludf.DUMMYFUNCTION("""COMPUTED_VALUE"""),"Prompt 3:")</f>
        <v>Prompt 3:</v>
      </c>
      <c r="D12" s="71" t="str">
        <f>IFERROR(__xludf.DUMMYFUNCTION("""COMPUTED_VALUE"""),"i dont know i am serious mr rosche sorry ;/")</f>
        <v>i dont know i am serious mr rosche sorry ;/</v>
      </c>
      <c r="E12" s="71" t="str">
        <f>IFERROR(__xludf.DUMMYFUNCTION("""COMPUTED_VALUE"""),"Partially")</f>
        <v>Partially</v>
      </c>
      <c r="F12" s="71" t="str">
        <f>IFERROR(__xludf.DUMMYFUNCTION("""COMPUTED_VALUE"""),"Yes")</f>
        <v>Yes</v>
      </c>
      <c r="G12" s="71" t="str">
        <f>IFERROR(__xludf.DUMMYFUNCTION("""COMPUTED_VALUE"""),"Yes")</f>
        <v>Yes</v>
      </c>
      <c r="H12" s="71" t="str">
        <f>IFERROR(__xludf.DUMMYFUNCTION("""COMPUTED_VALUE"""),"Yes")</f>
        <v>Yes</v>
      </c>
      <c r="I12" s="71" t="str">
        <f>IFERROR(__xludf.DUMMYFUNCTION("""COMPUTED_VALUE"""),"i dont know boi")</f>
        <v>i dont know boi</v>
      </c>
      <c r="J12" s="71" t="str">
        <f>IFERROR(__xludf.DUMMYFUNCTION("""COMPUTED_VALUE"""),"dont know")</f>
        <v>dont know</v>
      </c>
      <c r="K12" s="71"/>
      <c r="L12" s="71" t="str">
        <f>IFERROR(__xludf.DUMMYFUNCTION("""COMPUTED_VALUE"""),"Yes")</f>
        <v>Yes</v>
      </c>
      <c r="M12" s="71" t="str">
        <f>IFERROR(__xludf.DUMMYFUNCTION("""COMPUTED_VALUE"""),"Yes")</f>
        <v>Yes</v>
      </c>
      <c r="N12" s="71" t="str">
        <f>IFERROR(__xludf.DUMMYFUNCTION("""COMPUTED_VALUE"""),"No")</f>
        <v>No</v>
      </c>
      <c r="O12" s="71" t="str">
        <f>IFERROR(__xludf.DUMMYFUNCTION("""COMPUTED_VALUE"""),"No")</f>
        <v>No</v>
      </c>
      <c r="P12" s="71" t="str">
        <f>IFERROR(__xludf.DUMMYFUNCTION("""COMPUTED_VALUE"""),"Archaeologist’s Field Notes (200–300 words, ~750L): short description of charred grains, sickle blades, grinding stones.
Overview Article: “The Agricultural Revolution” (500–700 words, ~950–1050L).
Counterpoint Excerpt (teacher‑selected, e.g., an adapted "&amp;"excerpt from an essay arguing that farming brought inequality/health costs) (~1100–1200L).
Infographic: Timeline of domestication (wheat, barley, goats, sheep).
Map Set: Fertile Crescent &amp; Nile; precipitation, soil, floodplain; settlement dots.
Data Table"&amp;": Health indicators before/after farming (stature, tooth enamel defects, diet diversity).
Fictionalized Primary (700–900L): a teen voice vignette from a river‑valley hamlet.
Technology Cards: irrigation canal, plow, sickle, storage jar, granary, clay tabl"&amp;"et.
Vocabulary Deck: surplus, domestication, irrigation, sedentary, specialization, yield, barter, stratification, granary, cultivation, pestle, forager, pastoral, drought")</f>
        <v>Archaeologist’s Field Notes (200–300 words, ~750L): short description of charred grains, sickle blades, grinding stones.
Overview Article: “The Agricultural Revolution” (500–700 words, ~950–1050L).
Counterpoint Excerpt (teacher‑selected, e.g., an adapted excerpt from an essay arguing that farming brought inequality/health costs) (~1100–1200L).
Infographic: Timeline of domestication (wheat, barley, goats, sheep).
Map Set: Fertile Crescent &amp; Nile; precipitation, soil, floodplain; settlement dots.
Data Table: Health indicators before/after farming (stature, tooth enamel defects, diet diversity).
Fictionalized Primary (700–900L): a teen voice vignette from a river‑valley hamlet.
Technology Cards: irrigation canal, plow, sickle, storage jar, granary, clay tablet.
Vocabulary Deck: surplus, domestication, irrigation, sedentary, specialization, yield, barter, stratification, granary, cultivation, pestle, forager, pastoral, drought</v>
      </c>
      <c r="Q12" s="71" t="str">
        <f>IFERROR(__xludf.DUMMYFUNCTION("""COMPUTED_VALUE"""),"Yes")</f>
        <v>Yes</v>
      </c>
      <c r="R12" s="71" t="str">
        <f>IFERROR(__xludf.DUMMYFUNCTION("""COMPUTED_VALUE"""),"Yes")</f>
        <v>Yes</v>
      </c>
      <c r="S12" s="71" t="str">
        <f>IFERROR(__xludf.DUMMYFUNCTION("""COMPUTED_VALUE"""),"No")</f>
        <v>No</v>
      </c>
      <c r="T12" s="71" t="str">
        <f>IFERROR(__xludf.DUMMYFUNCTION("""COMPUTED_VALUE"""),"Yes")</f>
        <v>Yes</v>
      </c>
      <c r="U12" s="71"/>
      <c r="V12" s="71" t="str">
        <f>IFERROR(__xludf.DUMMYFUNCTION("""COMPUTED_VALUE"""),"Beginning")</f>
        <v>Beginning</v>
      </c>
      <c r="W12" s="71" t="str">
        <f>IFERROR(__xludf.DUMMYFUNCTION("""COMPUTED_VALUE"""),"Developing")</f>
        <v>Developing</v>
      </c>
      <c r="X12" s="71" t="str">
        <f>IFERROR(__xludf.DUMMYFUNCTION("""COMPUTED_VALUE"""),"Beginning")</f>
        <v>Beginning</v>
      </c>
      <c r="Y12" s="71" t="str">
        <f>IFERROR(__xludf.DUMMYFUNCTION("""COMPUTED_VALUE"""),"Proficient")</f>
        <v>Proficient</v>
      </c>
      <c r="Z12" s="71"/>
    </row>
    <row r="13">
      <c r="A13" s="128">
        <f>IFERROR(__xludf.DUMMYFUNCTION("""COMPUTED_VALUE"""),45939.60858656249)</f>
        <v>45939.60859</v>
      </c>
      <c r="B13" s="71" t="str">
        <f>IFERROR(__xludf.DUMMYFUNCTION("""COMPUTED_VALUE"""),"jayceon.lakes@kairosacademies.org")</f>
        <v>jayceon.lakes@kairosacademies.org</v>
      </c>
      <c r="C13" s="71" t="str">
        <f>IFERROR(__xludf.DUMMYFUNCTION("""COMPUTED_VALUE"""),"Prompt 3")</f>
        <v>Prompt 3</v>
      </c>
      <c r="D13" s="71" t="str">
        <f>IFERROR(__xludf.DUMMYFUNCTION("""COMPUTED_VALUE"""),"Both packs had a chemical reaction Since they both created a temperature change they must  be releasing energy ")</f>
        <v>Both packs had a chemical reaction Since they both created a temperature change they must  be releasing energy </v>
      </c>
      <c r="E13" s="71" t="str">
        <f>IFERROR(__xludf.DUMMYFUNCTION("""COMPUTED_VALUE"""),"Yes")</f>
        <v>Yes</v>
      </c>
      <c r="F13" s="71" t="str">
        <f>IFERROR(__xludf.DUMMYFUNCTION("""COMPUTED_VALUE"""),"Yes, Partially")</f>
        <v>Yes, Partially</v>
      </c>
      <c r="G13" s="71" t="str">
        <f>IFERROR(__xludf.DUMMYFUNCTION("""COMPUTED_VALUE"""),"Partially")</f>
        <v>Partially</v>
      </c>
      <c r="H13" s="71" t="str">
        <f>IFERROR(__xludf.DUMMYFUNCTION("""COMPUTED_VALUE"""),"Yes")</f>
        <v>Yes</v>
      </c>
      <c r="I13" s="71" t="str">
        <f>IFERROR(__xludf.DUMMYFUNCTION("""COMPUTED_VALUE"""),"the hot air mixing with the cold air created a change the temp due to  a change in air  Wikipedia ")</f>
        <v>the hot air mixing with the cold air created a change the temp due to  a change in air  Wikipedia </v>
      </c>
      <c r="J13" s="71" t="str">
        <f>IFERROR(__xludf.DUMMYFUNCTION("""COMPUTED_VALUE"""),"this bond of air makes somethings new  that mix ")</f>
        <v>this bond of air makes somethings new  that mix </v>
      </c>
      <c r="K13" s="71" t="str">
        <f>IFERROR(__xludf.DUMMYFUNCTION("""COMPUTED_VALUE"""),"temp change is when heat air mix up")</f>
        <v>temp change is when heat air mix up</v>
      </c>
      <c r="L13" s="71" t="str">
        <f>IFERROR(__xludf.DUMMYFUNCTION("""COMPUTED_VALUE"""),"Partially")</f>
        <v>Partially</v>
      </c>
      <c r="M13" s="71" t="str">
        <f>IFERROR(__xludf.DUMMYFUNCTION("""COMPUTED_VALUE"""),"Yes")</f>
        <v>Yes</v>
      </c>
      <c r="N13" s="71" t="str">
        <f>IFERROR(__xludf.DUMMYFUNCTION("""COMPUTED_VALUE"""),"Yes")</f>
        <v>Yes</v>
      </c>
      <c r="O13" s="71" t="str">
        <f>IFERROR(__xludf.DUMMYFUNCTION("""COMPUTED_VALUE"""),"Partially")</f>
        <v>Partially</v>
      </c>
      <c r="P13" s="71" t="str">
        <f>IFERROR(__xludf.DUMMYFUNCTION("""COMPUTED_VALUE"""),"because it talks about the clamm and give info bout the clam ")</f>
        <v>because it talks about the clamm and give info bout the clam </v>
      </c>
      <c r="Q13" s="71" t="str">
        <f>IFERROR(__xludf.DUMMYFUNCTION("""COMPUTED_VALUE"""),"Partially")</f>
        <v>Partially</v>
      </c>
      <c r="R13" s="71" t="str">
        <f>IFERROR(__xludf.DUMMYFUNCTION("""COMPUTED_VALUE"""),"Yes")</f>
        <v>Yes</v>
      </c>
      <c r="S13" s="71" t="str">
        <f>IFERROR(__xludf.DUMMYFUNCTION("""COMPUTED_VALUE"""),"Yes, Partially")</f>
        <v>Yes, Partially</v>
      </c>
      <c r="T13" s="71" t="str">
        <f>IFERROR(__xludf.DUMMYFUNCTION("""COMPUTED_VALUE"""),"Partially")</f>
        <v>Partially</v>
      </c>
      <c r="U13" s="71" t="str">
        <f>IFERROR(__xludf.DUMMYFUNCTION("""COMPUTED_VALUE"""),"the info was all base off my calms and look up for my evidence")</f>
        <v>the info was all base off my calms and look up for my evidence</v>
      </c>
      <c r="V13" s="71" t="str">
        <f>IFERROR(__xludf.DUMMYFUNCTION("""COMPUTED_VALUE"""),"Beginning")</f>
        <v>Beginning</v>
      </c>
      <c r="W13" s="71" t="str">
        <f>IFERROR(__xludf.DUMMYFUNCTION("""COMPUTED_VALUE"""),"Beginning")</f>
        <v>Beginning</v>
      </c>
      <c r="X13" s="71" t="str">
        <f>IFERROR(__xludf.DUMMYFUNCTION("""COMPUTED_VALUE"""),"Developing")</f>
        <v>Developing</v>
      </c>
      <c r="Y13" s="71" t="str">
        <f>IFERROR(__xludf.DUMMYFUNCTION("""COMPUTED_VALUE"""),"Developing")</f>
        <v>Developing</v>
      </c>
      <c r="Z13" s="71"/>
    </row>
    <row r="14">
      <c r="A14" s="128">
        <f>IFERROR(__xludf.DUMMYFUNCTION("""COMPUTED_VALUE"""),45922.65565233797)</f>
        <v>45922.65565</v>
      </c>
      <c r="B14" s="71" t="str">
        <f>IFERROR(__xludf.DUMMYFUNCTION("""COMPUTED_VALUE"""),"austin.cosey@kairosacademies.org")</f>
        <v>austin.cosey@kairosacademies.org</v>
      </c>
      <c r="C14" s="71" t="str">
        <f>IFERROR(__xludf.DUMMYFUNCTION("""COMPUTED_VALUE"""),"Prompt 3:")</f>
        <v>Prompt 3:</v>
      </c>
      <c r="D14" s="71" t="str">
        <f>IFERROR(__xludf.DUMMYFUNCTION("""COMPUTED_VALUE"""),"both packs had a chemical reaction Since")</f>
        <v>both packs had a chemical reaction Since</v>
      </c>
      <c r="E14" s="71" t="str">
        <f>IFERROR(__xludf.DUMMYFUNCTION("""COMPUTED_VALUE"""),"Partially")</f>
        <v>Partially</v>
      </c>
      <c r="F14" s="71" t="str">
        <f>IFERROR(__xludf.DUMMYFUNCTION("""COMPUTED_VALUE"""),"Yes, Partially")</f>
        <v>Yes, Partially</v>
      </c>
      <c r="G14" s="71" t="str">
        <f>IFERROR(__xludf.DUMMYFUNCTION("""COMPUTED_VALUE"""),"Partially")</f>
        <v>Partially</v>
      </c>
      <c r="H14" s="71" t="str">
        <f>IFERROR(__xludf.DUMMYFUNCTION("""COMPUTED_VALUE"""),"Yes")</f>
        <v>Yes</v>
      </c>
      <c r="I14" s="71" t="str">
        <f>IFERROR(__xludf.DUMMYFUNCTION("""COMPUTED_VALUE"""),"the hot air mixing with cold air  
i fond this on wiki")</f>
        <v>the hot air mixing with cold air  
i fond this on wiki</v>
      </c>
      <c r="J14" s="71" t="str">
        <f>IFERROR(__xludf.DUMMYFUNCTION("""COMPUTED_VALUE"""),"this bond Of air Makes Somethings new that mix")</f>
        <v>this bond Of air Makes Somethings new that mix</v>
      </c>
      <c r="K14" s="71" t="str">
        <f>IFERROR(__xludf.DUMMYFUNCTION("""COMPUTED_VALUE"""),"temp change is when heat air mix up")</f>
        <v>temp change is when heat air mix up</v>
      </c>
      <c r="L14" s="71" t="str">
        <f>IFERROR(__xludf.DUMMYFUNCTION("""COMPUTED_VALUE"""),"Partially")</f>
        <v>Partially</v>
      </c>
      <c r="M14" s="71" t="str">
        <f>IFERROR(__xludf.DUMMYFUNCTION("""COMPUTED_VALUE"""),"Yes")</f>
        <v>Yes</v>
      </c>
      <c r="N14" s="71" t="str">
        <f>IFERROR(__xludf.DUMMYFUNCTION("""COMPUTED_VALUE"""),"Yes")</f>
        <v>Yes</v>
      </c>
      <c r="O14" s="71" t="str">
        <f>IFERROR(__xludf.DUMMYFUNCTION("""COMPUTED_VALUE"""),"Partially")</f>
        <v>Partially</v>
      </c>
      <c r="P14" s="71" t="str">
        <f>IFERROR(__xludf.DUMMYFUNCTION("""COMPUTED_VALUE"""),"Beacase it tallkes about the calm and give Info about the claim ")</f>
        <v>Beacase it tallkes about the calm and give Info about the claim </v>
      </c>
      <c r="Q14" s="71" t="str">
        <f>IFERROR(__xludf.DUMMYFUNCTION("""COMPUTED_VALUE"""),"Yes")</f>
        <v>Yes</v>
      </c>
      <c r="R14" s="71" t="str">
        <f>IFERROR(__xludf.DUMMYFUNCTION("""COMPUTED_VALUE"""),"Yes, Partially")</f>
        <v>Yes, Partially</v>
      </c>
      <c r="S14" s="71" t="str">
        <f>IFERROR(__xludf.DUMMYFUNCTION("""COMPUTED_VALUE"""),"Partially")</f>
        <v>Partially</v>
      </c>
      <c r="T14" s="71" t="str">
        <f>IFERROR(__xludf.DUMMYFUNCTION("""COMPUTED_VALUE"""),"Yes")</f>
        <v>Yes</v>
      </c>
      <c r="U14" s="71" t="str">
        <f>IFERROR(__xludf.DUMMYFUNCTION("""COMPUTED_VALUE"""),"the info was alll base off my claims and look up for my evendence.")</f>
        <v>the info was alll base off my claims and look up for my evendence.</v>
      </c>
      <c r="V14" s="71" t="str">
        <f>IFERROR(__xludf.DUMMYFUNCTION("""COMPUTED_VALUE"""),"Beginning")</f>
        <v>Beginning</v>
      </c>
      <c r="W14" s="71" t="str">
        <f>IFERROR(__xludf.DUMMYFUNCTION("""COMPUTED_VALUE"""),"Beginning")</f>
        <v>Beginning</v>
      </c>
      <c r="X14" s="71" t="str">
        <f>IFERROR(__xludf.DUMMYFUNCTION("""COMPUTED_VALUE"""),"Developing")</f>
        <v>Developing</v>
      </c>
      <c r="Y14" s="71" t="str">
        <f>IFERROR(__xludf.DUMMYFUNCTION("""COMPUTED_VALUE"""),"Developing")</f>
        <v>Developing</v>
      </c>
      <c r="Z14" s="71"/>
    </row>
    <row r="15">
      <c r="A15" s="128">
        <f>IFERROR(__xludf.DUMMYFUNCTION("""COMPUTED_VALUE"""),45924.37281246527)</f>
        <v>45924.37281</v>
      </c>
      <c r="B15" s="71" t="str">
        <f>IFERROR(__xludf.DUMMYFUNCTION("""COMPUTED_VALUE"""),"conrad.guebert@kairosacademies.org")</f>
        <v>conrad.guebert@kairosacademies.org</v>
      </c>
      <c r="C15" s="71" t="str">
        <f>IFERROR(__xludf.DUMMYFUNCTION("""COMPUTED_VALUE"""),"Prompt 1")</f>
        <v>Prompt 1</v>
      </c>
      <c r="D15" s="71" t="str">
        <f>IFERROR(__xludf.DUMMYFUNCTION("""COMPUTED_VALUE"""),"the matter did not get destroyed because even if the candle lost mass the microscopic atoms that make up the candle have not been destroyed they have just became very very small and scattered.")</f>
        <v>the matter did not get destroyed because even if the candle lost mass the microscopic atoms that make up the candle have not been destroyed they have just became very very small and scattered.</v>
      </c>
      <c r="E15" s="71" t="str">
        <f>IFERROR(__xludf.DUMMYFUNCTION("""COMPUTED_VALUE"""),"Yes")</f>
        <v>Yes</v>
      </c>
      <c r="F15" s="71" t="str">
        <f>IFERROR(__xludf.DUMMYFUNCTION("""COMPUTED_VALUE"""),"Yes")</f>
        <v>Yes</v>
      </c>
      <c r="G15" s="71" t="str">
        <f>IFERROR(__xludf.DUMMYFUNCTION("""COMPUTED_VALUE"""),"Yes")</f>
        <v>Yes</v>
      </c>
      <c r="H15" s="71" t="str">
        <f>IFERROR(__xludf.DUMMYFUNCTION("""COMPUTED_VALUE"""),"Yes, No")</f>
        <v>Yes, No</v>
      </c>
      <c r="I15" s="71" t="str">
        <f>IFERROR(__xludf.DUMMYFUNCTION("""COMPUTED_VALUE"""),"the total amount of matter remains constant, as atoms are rearranged but not created or destroyed.
source: https://www.google.com/search?q=how+can+matter+not+be+destroyed&amp;rlz=1CAHTBP_enUS1181&amp;oq=how+can+matter+not+be+destroyed&amp;gs_lcrp=EgZjaHJvbWUyBggAEEU"&amp;"YOTIKCAEQABgKGBYYHjIKCAIQABgKGBYYHjIICAMQABgWGB4yDQgEEAAYhgMYgAQYigUyDQgFEAAYhgMYgAQYigUyDQgGEAAYhgMYgAQYigUyCggHEAAYgAQYogQyCggIEAAYogQYiQUyBwgJEAAY7wXSAQg4NzY2ajBqN6gCALACAA&amp;sourceid=chrome&amp;ie=UTF-8&amp;sei=tfbTaPzsOOGG0PEPnfWVyA4&amp;safe=active&amp;ssui=on
")</f>
        <v>the total amount of matter remains constant, as atoms are rearranged but not created or destroyed.
source: https://www.google.com/search?q=how+can+matter+not+be+destroyed&amp;rlz=1CAHTBP_enUS1181&amp;oq=how+can+matter+not+be+destroyed&amp;gs_lcrp=EgZjaHJvbWUyBggAEEUYOTIKCAEQABgKGBYYHjIKCAIQABgKGBYYHjIICAMQABgWGB4yDQgEEAAYhgMYgAQYigUyDQgFEAAYhgMYgAQYigUyDQgGEAAYhgMYgAQYigUyCggHEAAYgAQYogQyCggIEAAYogQYiQUyBwgJEAAY7wXSAQg4NzY2ajBqN6gCALACAA&amp;sourceid=chrome&amp;ie=UTF-8&amp;sei=tfbTaPzsOOGG0PEPnfWVyA4&amp;safe=active&amp;ssui=on
</v>
      </c>
      <c r="J15" s="71" t="str">
        <f>IFERROR(__xludf.DUMMYFUNCTION("""COMPUTED_VALUE"""),"Conservation of matter holds true in chemical and physical changes, meaning matter is neither created nor destroyed. For example, when wood burns, its mass appears to be lost, but it is actually converted into gases and smoke that disperse into the air. 
"&amp;"
source: https://www.google.com/search?q=how+can+matter+not+be+destroyed&amp;rlz=1CAHTBP_enUS1181&amp;oq=how+can+matter+not+be+destroyed&amp;gs_lcrp=EgZjaHJvbWUyBggAEEUYOTIKCAEQABgKGBYYHjIKCAIQABgKGBYYHjIICAMQABgWGB4yDQgEEAAYhgMYgAQYigUyDQgFEAAYhgMYgAQYigUyDQgGEAAYh"&amp;"gMYgAQYigUyCggHEAAYgAQYogQyCggIEAAYogQYiQUyBwgJEAAY7wXSAQg4NzY2ajBqN6gCALACAA&amp;sourceid=chrome&amp;ie=UTF-8&amp;sei=tfbTaPzsOOGG0PEPnfWVyA4&amp;safe=active&amp;ssui=on")</f>
        <v>Conservation of matter holds true in chemical and physical changes, meaning matter is neither created nor destroyed. For example, when wood burns, its mass appears to be lost, but it is actually converted into gases and smoke that disperse into the air. 
source: https://www.google.com/search?q=how+can+matter+not+be+destroyed&amp;rlz=1CAHTBP_enUS1181&amp;oq=how+can+matter+not+be+destroyed&amp;gs_lcrp=EgZjaHJvbWUyBggAEEUYOTIKCAEQABgKGBYYHjIKCAIQABgKGBYYHjIICAMQABgWGB4yDQgEEAAYhgMYgAQYigUyDQgFEAAYhgMYgAQYigUyDQgGEAAYhgMYgAQYigUyCggHEAAYgAQYogQyCggIEAAYogQYiQUyBwgJEAAY7wXSAQg4NzY2ajBqN6gCALACAA&amp;sourceid=chrome&amp;ie=UTF-8&amp;sei=tfbTaPzsOOGG0PEPnfWVyA4&amp;safe=active&amp;ssui=on</v>
      </c>
      <c r="K15" s="71"/>
      <c r="L15" s="71" t="str">
        <f>IFERROR(__xludf.DUMMYFUNCTION("""COMPUTED_VALUE"""),"Partially")</f>
        <v>Partially</v>
      </c>
      <c r="M15" s="71" t="str">
        <f>IFERROR(__xludf.DUMMYFUNCTION("""COMPUTED_VALUE"""),"Yes")</f>
        <v>Yes</v>
      </c>
      <c r="N15" s="71" t="str">
        <f>IFERROR(__xludf.DUMMYFUNCTION("""COMPUTED_VALUE"""),"Yes")</f>
        <v>Yes</v>
      </c>
      <c r="O15" s="71" t="str">
        <f>IFERROR(__xludf.DUMMYFUNCTION("""COMPUTED_VALUE"""),"Yes")</f>
        <v>Yes</v>
      </c>
      <c r="P15" s="71" t="str">
        <f>IFERROR(__xludf.DUMMYFUNCTION("""COMPUTED_VALUE"""),"the evidence supports the claim because of my evidence from piece one the total amount of matter remains constant, as atoms are rearranged but not created or destroyed this shows that my claim is correct furthermore, because of my evidence from piece two "&amp;"Conservation of matter holds true in chemical and physical changes, meaning matter is neither created nor destroyed. For example, when wood burns, its mass appears to be lost, but it is actually converted into gases and smoke that disperse into the air it"&amp;" highlights what i said in my claim therefore, based on all the evidence, it is clear that even if the mass of something is destroyed the matter has not been destroyed.")</f>
        <v>the evidence supports the claim because of my evidence from piece one the total amount of matter remains constant, as atoms are rearranged but not created or destroyed this shows that my claim is correct furthermore, because of my evidence from piece two Conservation of matter holds true in chemical and physical changes, meaning matter is neither created nor destroyed. For example, when wood burns, its mass appears to be lost, but it is actually converted into gases and smoke that disperse into the air it highlights what i said in my claim therefore, based on all the evidence, it is clear that even if the mass of something is destroyed the matter has not been destroyed.</v>
      </c>
      <c r="Q15" s="71" t="str">
        <f>IFERROR(__xludf.DUMMYFUNCTION("""COMPUTED_VALUE"""),"Yes")</f>
        <v>Yes</v>
      </c>
      <c r="R15" s="71" t="str">
        <f>IFERROR(__xludf.DUMMYFUNCTION("""COMPUTED_VALUE"""),"Yes")</f>
        <v>Yes</v>
      </c>
      <c r="S15" s="71" t="str">
        <f>IFERROR(__xludf.DUMMYFUNCTION("""COMPUTED_VALUE"""),"Partially")</f>
        <v>Partially</v>
      </c>
      <c r="T15" s="71" t="str">
        <f>IFERROR(__xludf.DUMMYFUNCTION("""COMPUTED_VALUE"""),"No")</f>
        <v>No</v>
      </c>
      <c r="U15" s="71" t="str">
        <f>IFERROR(__xludf.DUMMYFUNCTION("""COMPUTED_VALUE"""),"while some may argue that because the mass of the object disappeared the matter has been destroyed the evidence clearly shows that even though the mass of something has decreased that doesn't mean that the matter has been destroyed because the total amoun"&amp;"t of matter remains constant, as atoms are rearranged but not created or destroyed.")</f>
        <v>while some may argue that because the mass of the object disappeared the matter has been destroyed the evidence clearly shows that even though the mass of something has decreased that doesn't mean that the matter has been destroyed because the total amount of matter remains constant, as atoms are rearranged but not created or destroyed.</v>
      </c>
      <c r="V15" s="71" t="str">
        <f>IFERROR(__xludf.DUMMYFUNCTION("""COMPUTED_VALUE"""),"Beginning")</f>
        <v>Beginning</v>
      </c>
      <c r="W15" s="71" t="str">
        <f>IFERROR(__xludf.DUMMYFUNCTION("""COMPUTED_VALUE"""),"Developing")</f>
        <v>Developing</v>
      </c>
      <c r="X15" s="71" t="str">
        <f>IFERROR(__xludf.DUMMYFUNCTION("""COMPUTED_VALUE"""),"Beginning")</f>
        <v>Beginning</v>
      </c>
      <c r="Y15" s="71" t="str">
        <f>IFERROR(__xludf.DUMMYFUNCTION("""COMPUTED_VALUE"""),"Developing")</f>
        <v>Developing</v>
      </c>
      <c r="Z15" s="71"/>
    </row>
    <row r="16">
      <c r="A16" s="128">
        <f>IFERROR(__xludf.DUMMYFUNCTION("""COMPUTED_VALUE"""),45923.43214818287)</f>
        <v>45923.43215</v>
      </c>
      <c r="B16" s="71" t="str">
        <f>IFERROR(__xludf.DUMMYFUNCTION("""COMPUTED_VALUE"""),"michael.frazier@kairosacademies.org")</f>
        <v>michael.frazier@kairosacademies.org</v>
      </c>
      <c r="C16" s="71" t="str">
        <f>IFERROR(__xludf.DUMMYFUNCTION("""COMPUTED_VALUE"""),"Prompt 3:")</f>
        <v>Prompt 3:</v>
      </c>
      <c r="D16" s="71" t="str">
        <f>IFERROR(__xludf.DUMMYFUNCTION("""COMPUTED_VALUE"""),"Both packs had a chemical reaction. Since they both created a temperature change, they must be releasing energy.""       i conducted an experiment of hand warms i noticed a temperature change  they are most likely discharging  energy 
")</f>
        <v>Both packs had a chemical reaction. Since they both created a temperature change, they must be releasing energy."       i conducted an experiment of hand warms i noticed a temperature change  they are most likely discharging  energy 
</v>
      </c>
      <c r="E16" s="71" t="str">
        <f>IFERROR(__xludf.DUMMYFUNCTION("""COMPUTED_VALUE"""),"Yes")</f>
        <v>Yes</v>
      </c>
      <c r="F16" s="71" t="str">
        <f>IFERROR(__xludf.DUMMYFUNCTION("""COMPUTED_VALUE"""),"Yes")</f>
        <v>Yes</v>
      </c>
      <c r="G16" s="71" t="str">
        <f>IFERROR(__xludf.DUMMYFUNCTION("""COMPUTED_VALUE"""),"Yes")</f>
        <v>Yes</v>
      </c>
      <c r="H16" s="71" t="str">
        <f>IFERROR(__xludf.DUMMYFUNCTION("""COMPUTED_VALUE"""),"Yes")</f>
        <v>Yes</v>
      </c>
      <c r="I16" s="71" t="str">
        <f>IFERROR(__xludf.DUMMYFUNCTION("""COMPUTED_VALUE"""),"Many instant hot and cold packs function by dissolving a salt into water. As the salt disassociates, heat is either released in an exothermic =]\\\\\\\\\\\\\\\\")</f>
        <v>Many instant hot and cold packs function by dissolving a salt into water. As the salt disassociates, heat is either released in an exothermic =]\\\\\\\\\\\\\\\\</v>
      </c>
      <c r="J16" s="71" t="str">
        <f>IFERROR(__xludf.DUMMYFUNCTION("""COMPUTED_VALUE"""),"wip")</f>
        <v>wip</v>
      </c>
      <c r="K16" s="71" t="str">
        <f>IFERROR(__xludf.DUMMYFUNCTION("""COMPUTED_VALUE"""),"wip")</f>
        <v>wip</v>
      </c>
      <c r="L16" s="71" t="str">
        <f>IFERROR(__xludf.DUMMYFUNCTION("""COMPUTED_VALUE"""),"Yes")</f>
        <v>Yes</v>
      </c>
      <c r="M16" s="71" t="str">
        <f>IFERROR(__xludf.DUMMYFUNCTION("""COMPUTED_VALUE"""),"Yes")</f>
        <v>Yes</v>
      </c>
      <c r="N16" s="71" t="str">
        <f>IFERROR(__xludf.DUMMYFUNCTION("""COMPUTED_VALUE"""),"Yes")</f>
        <v>Yes</v>
      </c>
      <c r="O16" s="71" t="str">
        <f>IFERROR(__xludf.DUMMYFUNCTION("""COMPUTED_VALUE"""),"Yes")</f>
        <v>Yes</v>
      </c>
      <c r="P16" s="71" t="str">
        <f>IFERROR(__xludf.DUMMYFUNCTION("""COMPUTED_VALUE"""),"wip")</f>
        <v>wip</v>
      </c>
      <c r="Q16" s="71" t="str">
        <f>IFERROR(__xludf.DUMMYFUNCTION("""COMPUTED_VALUE"""),"Yes")</f>
        <v>Yes</v>
      </c>
      <c r="R16" s="71" t="str">
        <f>IFERROR(__xludf.DUMMYFUNCTION("""COMPUTED_VALUE"""),"Yes")</f>
        <v>Yes</v>
      </c>
      <c r="S16" s="71" t="str">
        <f>IFERROR(__xludf.DUMMYFUNCTION("""COMPUTED_VALUE"""),"Yes")</f>
        <v>Yes</v>
      </c>
      <c r="T16" s="71" t="str">
        <f>IFERROR(__xludf.DUMMYFUNCTION("""COMPUTED_VALUE"""),"Yes")</f>
        <v>Yes</v>
      </c>
      <c r="U16" s="71" t="str">
        <f>IFERROR(__xludf.DUMMYFUNCTION("""COMPUTED_VALUE"""),"wip")</f>
        <v>wip</v>
      </c>
      <c r="V16" s="71" t="str">
        <f>IFERROR(__xludf.DUMMYFUNCTION("""COMPUTED_VALUE"""),"Beginning")</f>
        <v>Beginning</v>
      </c>
      <c r="W16" s="71" t="str">
        <f>IFERROR(__xludf.DUMMYFUNCTION("""COMPUTED_VALUE"""),"Beginning")</f>
        <v>Beginning</v>
      </c>
      <c r="X16" s="71" t="str">
        <f>IFERROR(__xludf.DUMMYFUNCTION("""COMPUTED_VALUE"""),"Beginning")</f>
        <v>Beginning</v>
      </c>
      <c r="Y16" s="71" t="str">
        <f>IFERROR(__xludf.DUMMYFUNCTION("""COMPUTED_VALUE"""),"Beginning")</f>
        <v>Beginning</v>
      </c>
      <c r="Z16" s="71"/>
    </row>
    <row r="17">
      <c r="A17" s="128">
        <f>IFERROR(__xludf.DUMMYFUNCTION("""COMPUTED_VALUE"""),45923.43259078704)</f>
        <v>45923.43259</v>
      </c>
      <c r="B17" s="71" t="str">
        <f>IFERROR(__xludf.DUMMYFUNCTION("""COMPUTED_VALUE"""),"marnice.jefferson@kairosacademies.org")</f>
        <v>marnice.jefferson@kairosacademies.org</v>
      </c>
      <c r="C17" s="71" t="str">
        <f>IFERROR(__xludf.DUMMYFUNCTION("""COMPUTED_VALUE"""),"Prompt 3:")</f>
        <v>Prompt 3:</v>
      </c>
      <c r="D17" s="71" t="str">
        <f>IFERROR(__xludf.DUMMYFUNCTION("""COMPUTED_VALUE"""),"wip")</f>
        <v>wip</v>
      </c>
      <c r="E17" s="71" t="str">
        <f>IFERROR(__xludf.DUMMYFUNCTION("""COMPUTED_VALUE"""),"Partially")</f>
        <v>Partially</v>
      </c>
      <c r="F17" s="71" t="str">
        <f>IFERROR(__xludf.DUMMYFUNCTION("""COMPUTED_VALUE"""),"No")</f>
        <v>No</v>
      </c>
      <c r="G17" s="71" t="str">
        <f>IFERROR(__xludf.DUMMYFUNCTION("""COMPUTED_VALUE"""),"Yes")</f>
        <v>Yes</v>
      </c>
      <c r="H17" s="71" t="str">
        <f>IFERROR(__xludf.DUMMYFUNCTION("""COMPUTED_VALUE"""),"Yes")</f>
        <v>Yes</v>
      </c>
      <c r="I17" s="71" t="str">
        <f>IFERROR(__xludf.DUMMYFUNCTION("""COMPUTED_VALUE"""),"wip")</f>
        <v>wip</v>
      </c>
      <c r="J17" s="71" t="str">
        <f>IFERROR(__xludf.DUMMYFUNCTION("""COMPUTED_VALUE"""),"wip")</f>
        <v>wip</v>
      </c>
      <c r="K17" s="71" t="str">
        <f>IFERROR(__xludf.DUMMYFUNCTION("""COMPUTED_VALUE"""),"wip")</f>
        <v>wip</v>
      </c>
      <c r="L17" s="71" t="str">
        <f>IFERROR(__xludf.DUMMYFUNCTION("""COMPUTED_VALUE"""),"Yes")</f>
        <v>Yes</v>
      </c>
      <c r="M17" s="71" t="str">
        <f>IFERROR(__xludf.DUMMYFUNCTION("""COMPUTED_VALUE"""),"Yes")</f>
        <v>Yes</v>
      </c>
      <c r="N17" s="71" t="str">
        <f>IFERROR(__xludf.DUMMYFUNCTION("""COMPUTED_VALUE"""),"Yes")</f>
        <v>Yes</v>
      </c>
      <c r="O17" s="71" t="str">
        <f>IFERROR(__xludf.DUMMYFUNCTION("""COMPUTED_VALUE"""),"Yes")</f>
        <v>Yes</v>
      </c>
      <c r="P17" s="71" t="str">
        <f>IFERROR(__xludf.DUMMYFUNCTION("""COMPUTED_VALUE"""),"wip")</f>
        <v>wip</v>
      </c>
      <c r="Q17" s="71" t="str">
        <f>IFERROR(__xludf.DUMMYFUNCTION("""COMPUTED_VALUE"""),"Partially")</f>
        <v>Partially</v>
      </c>
      <c r="R17" s="71" t="str">
        <f>IFERROR(__xludf.DUMMYFUNCTION("""COMPUTED_VALUE"""),"Partially")</f>
        <v>Partially</v>
      </c>
      <c r="S17" s="71" t="str">
        <f>IFERROR(__xludf.DUMMYFUNCTION("""COMPUTED_VALUE"""),"Partially")</f>
        <v>Partially</v>
      </c>
      <c r="T17" s="71" t="str">
        <f>IFERROR(__xludf.DUMMYFUNCTION("""COMPUTED_VALUE"""),"Partially")</f>
        <v>Partially</v>
      </c>
      <c r="U17" s="71" t="str">
        <f>IFERROR(__xludf.DUMMYFUNCTION("""COMPUTED_VALUE"""),"wip")</f>
        <v>wip</v>
      </c>
      <c r="V17" s="71"/>
      <c r="W17" s="71"/>
      <c r="X17" s="71" t="str">
        <f>IFERROR(__xludf.DUMMYFUNCTION("""COMPUTED_VALUE"""),"Beginning")</f>
        <v>Beginning</v>
      </c>
      <c r="Y17" s="71"/>
      <c r="Z17" s="71"/>
    </row>
    <row r="18">
      <c r="A18" s="128">
        <f>IFERROR(__xludf.DUMMYFUNCTION("""COMPUTED_VALUE"""),45923.589830833334)</f>
        <v>45923.58983</v>
      </c>
      <c r="B18" s="71" t="str">
        <f>IFERROR(__xludf.DUMMYFUNCTION("""COMPUTED_VALUE"""),"peydan.hunt@kairosacademies.org")</f>
        <v>peydan.hunt@kairosacademies.org</v>
      </c>
      <c r="C18" s="71" t="str">
        <f>IFERROR(__xludf.DUMMYFUNCTION("""COMPUTED_VALUE"""),"Prompt 1")</f>
        <v>Prompt 1</v>
      </c>
      <c r="D18" s="71" t="str">
        <f>IFERROR(__xludf.DUMMYFUNCTION("""COMPUTED_VALUE"""),"When you burn something it does not lose matter because of the Law of Conversation of Mass.")</f>
        <v>When you burn something it does not lose matter because of the Law of Conversation of Mass.</v>
      </c>
      <c r="E18" s="71" t="str">
        <f>IFERROR(__xludf.DUMMYFUNCTION("""COMPUTED_VALUE"""),"Yes")</f>
        <v>Yes</v>
      </c>
      <c r="F18" s="71" t="str">
        <f>IFERROR(__xludf.DUMMYFUNCTION("""COMPUTED_VALUE"""),"Partially")</f>
        <v>Partially</v>
      </c>
      <c r="G18" s="71" t="str">
        <f>IFERROR(__xludf.DUMMYFUNCTION("""COMPUTED_VALUE"""),"Yes")</f>
        <v>Yes</v>
      </c>
      <c r="H18" s="71" t="str">
        <f>IFERROR(__xludf.DUMMYFUNCTION("""COMPUTED_VALUE"""),"Yes")</f>
        <v>Yes</v>
      </c>
      <c r="I18" s="71" t="str">
        <f>IFERROR(__xludf.DUMMYFUNCTION("""COMPUTED_VALUE"""),"According to google.com AI Mode  In a chemical reaction like combustion, the total mass of the reactants (the object and the oxygen from the air) is equal to the total mass of the products (ashes, smoke, and gases). Source link ( https://www.google.com/se"&amp;"arch?q=&amp;sca_esv=cb6c6d70115ecea7&amp;hl=en&amp;source=hp&amp;ei=6uzSaPHmDfqu0PEP5auv-Q4&amp;iflsig=AOw8s4IAAAAAaNL6-gi-qLQrwmTos3vBjjhzRX0Ebxmq&amp;aep=22&amp;udm=50&amp;ved=0ahUKEwjxg6S8x--PAxV6FzQIHeXVK-8QteYPCAk&amp;oq=&amp;gs_lp=Egdnd3Mtd2l6IgBIAFAAWABwAHgAkAEAmAEAoAEAqgEAuAEByAEAmAIAoA"&amp;"IAmAMAkgcAoAcAsgcAuAcAwgcAyAcA&amp;sclient=gws-wiz&amp;safe=active&amp;ssui=on)")</f>
        <v>According to google.com AI Mode  In a chemical reaction like combustion, the total mass of the reactants (the object and the oxygen from the air) is equal to the total mass of the products (ashes, smoke, and gases). Source link ( https://www.google.com/search?q=&amp;sca_esv=cb6c6d70115ecea7&amp;hl=en&amp;source=hp&amp;ei=6uzSaPHmDfqu0PEP5auv-Q4&amp;iflsig=AOw8s4IAAAAAaNL6-gi-qLQrwmTos3vBjjhzRX0Ebxmq&amp;aep=22&amp;udm=50&amp;ved=0ahUKEwjxg6S8x--PAxV6FzQIHeXVK-8QteYPCAk&amp;oq=&amp;gs_lp=Egdnd3Mtd2l6IgBIAFAAWABwAHgAkAEAmAEAoAEAqgEAuAEByAEAmAIAoAIAmAMAkgcAoAcAsgcAuAcAwgcAyAcA&amp;sclient=gws-wiz&amp;safe=active&amp;ssui=on)</v>
      </c>
      <c r="J18" s="71" t="str">
        <f>IFERROR(__xludf.DUMMYFUNCTION("""COMPUTED_VALUE""")," According to Google .com/ AI Mode: Matter is not destroyed when it burns; it simply changes form in a chemical reaction known as combustion. Source Link (https://www.google.com/search?q=&amp;sca_esv=cb6c6d70115ecea7&amp;hl=en&amp;source=hp&amp;ei=6uzSaPHmDfqu0PEP5auv-Q4"&amp;"&amp;iflsig=AOw8s4IAAAAAaNL6-gi-qLQrwmTos3vBjjhzRX0Ebxmq&amp;aep=22&amp;udm=50&amp;ved=0ahUKEwjxg6S8x--PAxV6FzQIHeXVK-8QteYPCAk&amp;oq=&amp;gs_lp=Egdnd3Mtd2l6IgBIAFAAWABwAHgAkAEAmAEAoAEAqgEAuAEByAEAmAIAoAIAmAMAkgcAoAcAsgcAuAcAwgcAyAcA&amp;sclient=gws-wiz&amp;safe=active&amp;ssui=on)")</f>
        <v> According to Google .com/ AI Mode: Matter is not destroyed when it burns; it simply changes form in a chemical reaction known as combustion. Source Link (https://www.google.com/search?q=&amp;sca_esv=cb6c6d70115ecea7&amp;hl=en&amp;source=hp&amp;ei=6uzSaPHmDfqu0PEP5auv-Q4&amp;iflsig=AOw8s4IAAAAAaNL6-gi-qLQrwmTos3vBjjhzRX0Ebxmq&amp;aep=22&amp;udm=50&amp;ved=0ahUKEwjxg6S8x--PAxV6FzQIHeXVK-8QteYPCAk&amp;oq=&amp;gs_lp=Egdnd3Mtd2l6IgBIAFAAWABwAHgAkAEAmAEAoAEAqgEAuAEByAEAmAIAoAIAmAMAkgcAoAcAsgcAuAcAwgcAyAcA&amp;sclient=gws-wiz&amp;safe=active&amp;ssui=on)</v>
      </c>
      <c r="K18" s="71" t="str">
        <f>IFERROR(__xludf.DUMMYFUNCTION("""COMPUTED_VALUE"""),"According to Google .com/ AI Mode: This is explained by the Law of Conservation of Mass, which states that mass cannot be created or destroyed in a chemical reaction.  Source Link (https://www.google.com/search?q=&amp;sca_esv=cb6c6d70115ecea7&amp;hl=en&amp;source=hp&amp;"&amp;"ei=6uzSaPHmDfqu0PEP5auv-Q4&amp;iflsig=AOw8s4IAAAAAaNL6-gi-qLQrwmTos3vBjjhzRX0Ebxmq&amp;aep=22&amp;udm=50&amp;ved=0ahUKEwjxg6S8x--PAxV6FzQIHeXVK-8QteYPCAk&amp;oq=&amp;gs_lp=Egdnd3Mtd2l6IgBIAFAAWABwAHgAkAEAmAEAoAEAqgEAuAEByAEAmAIAoAIAmAMAkgcAoAcAsgcAuAcAwgcAyAcA&amp;sclient=gws-wiz&amp;sa"&amp;"fe=active&amp;ssui=on) ")</f>
        <v>According to Google .com/ AI Mode: This is explained by the Law of Conservation of Mass, which states that mass cannot be created or destroyed in a chemical reaction.  Source Link (https://www.google.com/search?q=&amp;sca_esv=cb6c6d70115ecea7&amp;hl=en&amp;source=hp&amp;ei=6uzSaPHmDfqu0PEP5auv-Q4&amp;iflsig=AOw8s4IAAAAAaNL6-gi-qLQrwmTos3vBjjhzRX0Ebxmq&amp;aep=22&amp;udm=50&amp;ved=0ahUKEwjxg6S8x--PAxV6FzQIHeXVK-8QteYPCAk&amp;oq=&amp;gs_lp=Egdnd3Mtd2l6IgBIAFAAWABwAHgAkAEAmAEAoAEAqgEAuAEByAEAmAIAoAIAmAMAkgcAoAcAsgcAuAcAwgcAyAcA&amp;sclient=gws-wiz&amp;safe=active&amp;ssui=on) </v>
      </c>
      <c r="L18" s="71" t="str">
        <f>IFERROR(__xludf.DUMMYFUNCTION("""COMPUTED_VALUE"""),"Partially")</f>
        <v>Partially</v>
      </c>
      <c r="M18" s="71" t="str">
        <f>IFERROR(__xludf.DUMMYFUNCTION("""COMPUTED_VALUE"""),"Yes")</f>
        <v>Yes</v>
      </c>
      <c r="N18" s="71" t="str">
        <f>IFERROR(__xludf.DUMMYFUNCTION("""COMPUTED_VALUE"""),"Yes")</f>
        <v>Yes</v>
      </c>
      <c r="O18" s="71" t="str">
        <f>IFERROR(__xludf.DUMMYFUNCTION("""COMPUTED_VALUE"""),"Yes")</f>
        <v>Yes</v>
      </c>
      <c r="P18" s="71" t="str">
        <f>IFERROR(__xludf.DUMMYFUNCTION("""COMPUTED_VALUE"""),"Because of my evidence from piece #1")</f>
        <v>Because of my evidence from piece #1</v>
      </c>
      <c r="Q18" s="71" t="str">
        <f>IFERROR(__xludf.DUMMYFUNCTION("""COMPUTED_VALUE"""),"Yes")</f>
        <v>Yes</v>
      </c>
      <c r="R18" s="71" t="str">
        <f>IFERROR(__xludf.DUMMYFUNCTION("""COMPUTED_VALUE"""),"Yes")</f>
        <v>Yes</v>
      </c>
      <c r="S18" s="71" t="str">
        <f>IFERROR(__xludf.DUMMYFUNCTION("""COMPUTED_VALUE"""),"Partially, No")</f>
        <v>Partially, No</v>
      </c>
      <c r="T18" s="71" t="str">
        <f>IFERROR(__xludf.DUMMYFUNCTION("""COMPUTED_VALUE"""),"Yes")</f>
        <v>Yes</v>
      </c>
      <c r="U18" s="71"/>
      <c r="V18" s="71" t="str">
        <f>IFERROR(__xludf.DUMMYFUNCTION("""COMPUTED_VALUE"""),"Proficient")</f>
        <v>Proficient</v>
      </c>
      <c r="W18" s="71" t="str">
        <f>IFERROR(__xludf.DUMMYFUNCTION("""COMPUTED_VALUE"""),"Proficient")</f>
        <v>Proficient</v>
      </c>
      <c r="X18" s="71" t="str">
        <f>IFERROR(__xludf.DUMMYFUNCTION("""COMPUTED_VALUE"""),"Proficient")</f>
        <v>Proficient</v>
      </c>
      <c r="Y18" s="71" t="str">
        <f>IFERROR(__xludf.DUMMYFUNCTION("""COMPUTED_VALUE"""),"Proficient")</f>
        <v>Proficient</v>
      </c>
      <c r="Z18" s="71"/>
    </row>
    <row r="19">
      <c r="A19" s="128">
        <f>IFERROR(__xludf.DUMMYFUNCTION("""COMPUTED_VALUE"""),45923.63001800926)</f>
        <v>45923.63002</v>
      </c>
      <c r="B19" s="71" t="str">
        <f>IFERROR(__xludf.DUMMYFUNCTION("""COMPUTED_VALUE"""),"tyler.harlan@kairosacademies.org")</f>
        <v>tyler.harlan@kairosacademies.org</v>
      </c>
      <c r="C19" s="71" t="str">
        <f>IFERROR(__xludf.DUMMYFUNCTION("""COMPUTED_VALUE"""),"Prompt 1")</f>
        <v>Prompt 1</v>
      </c>
      <c r="D19" s="71" t="str">
        <f>IFERROR(__xludf.DUMMYFUNCTION("""COMPUTED_VALUE"""),"For example, they had already done the test, but it melted and lost mass when they did. But you can gain it back if you add more wax. You can fully melt the candle and add wax to reshape it back to its original form, so all of the mass that it had at firs"&amp;"t would be back to normal, but the mass is also lost in the smoke, so not all of it can recover")</f>
        <v>For example, they had already done the test, but it melted and lost mass when they did. But you can gain it back if you add more wax. You can fully melt the candle and add wax to reshape it back to its original form, so all of the mass that it had at first would be back to normal, but the mass is also lost in the smoke, so not all of it can recover</v>
      </c>
      <c r="E19" s="71" t="str">
        <f>IFERROR(__xludf.DUMMYFUNCTION("""COMPUTED_VALUE"""),"Yes")</f>
        <v>Yes</v>
      </c>
      <c r="F19" s="71" t="str">
        <f>IFERROR(__xludf.DUMMYFUNCTION("""COMPUTED_VALUE"""),"Yes")</f>
        <v>Yes</v>
      </c>
      <c r="G19" s="71" t="str">
        <f>IFERROR(__xludf.DUMMYFUNCTION("""COMPUTED_VALUE"""),"Yes")</f>
        <v>Yes</v>
      </c>
      <c r="H19" s="71" t="str">
        <f>IFERROR(__xludf.DUMMYFUNCTION("""COMPUTED_VALUE"""),"Yes")</f>
        <v>Yes</v>
      </c>
      <c r="I19" s="71" t="str">
        <f>IFERROR(__xludf.DUMMYFUNCTION("""COMPUTED_VALUE"""),"So my evidence is shown in the process because you can melt down the candle; multiple people have done it before to make new and bigger candles or return it to its former state.")</f>
        <v>So my evidence is shown in the process because you can melt down the candle; multiple people have done it before to make new and bigger candles or return it to its former state.</v>
      </c>
      <c r="J19" s="71" t="str">
        <f>IFERROR(__xludf.DUMMYFUNCTION("""COMPUTED_VALUE"""),"The fact is that in the physical and chemical change, it can fully melt down, which is a physical change, and depending on the type of candle, it can have a chemical change. ")</f>
        <v>The fact is that in the physical and chemical change, it can fully melt down, which is a physical change, and depending on the type of candle, it can have a chemical change. </v>
      </c>
      <c r="K19" s="71" t="str">
        <f>IFERROR(__xludf.DUMMYFUNCTION("""COMPUTED_VALUE"""),"You can use reshapes or molding tools. You need fire or a lot of heat to fully melt candle wax, but depending on what type of candle it is,u don't need a lot of heat ")</f>
        <v>You can use reshapes or molding tools. You need fire or a lot of heat to fully melt candle wax, but depending on what type of candle it is,u don't need a lot of heat </v>
      </c>
      <c r="L19" s="71" t="str">
        <f>IFERROR(__xludf.DUMMYFUNCTION("""COMPUTED_VALUE"""),"Yes")</f>
        <v>Yes</v>
      </c>
      <c r="M19" s="71" t="str">
        <f>IFERROR(__xludf.DUMMYFUNCTION("""COMPUTED_VALUE"""),"Yes")</f>
        <v>Yes</v>
      </c>
      <c r="N19" s="71" t="str">
        <f>IFERROR(__xludf.DUMMYFUNCTION("""COMPUTED_VALUE"""),"Yes")</f>
        <v>Yes</v>
      </c>
      <c r="O19" s="71" t="str">
        <f>IFERROR(__xludf.DUMMYFUNCTION("""COMPUTED_VALUE"""),"Yes")</f>
        <v>Yes</v>
      </c>
      <c r="P19" s="71" t="str">
        <f>IFERROR(__xludf.DUMMYFUNCTION("""COMPUTED_VALUE"""),"because of my claims facts it are related to the situation  ")</f>
        <v>because of my claims facts it are related to the situation  </v>
      </c>
      <c r="Q19" s="71" t="str">
        <f>IFERROR(__xludf.DUMMYFUNCTION("""COMPUTED_VALUE"""),"Yes")</f>
        <v>Yes</v>
      </c>
      <c r="R19" s="71" t="str">
        <f>IFERROR(__xludf.DUMMYFUNCTION("""COMPUTED_VALUE"""),"Yes")</f>
        <v>Yes</v>
      </c>
      <c r="S19" s="71" t="str">
        <f>IFERROR(__xludf.DUMMYFUNCTION("""COMPUTED_VALUE"""),"Yes")</f>
        <v>Yes</v>
      </c>
      <c r="T19" s="71" t="str">
        <f>IFERROR(__xludf.DUMMYFUNCTION("""COMPUTED_VALUE"""),"Yes")</f>
        <v>Yes</v>
      </c>
      <c r="U19" s="71" t="str">
        <f>IFERROR(__xludf.DUMMYFUNCTION("""COMPUTED_VALUE"""),"Because not all the mass in the candle can be made back, because the mass is also has a physical change that turns it into a gas state , so they wouldn't agree https://candles.org/candle-science/#:~:text=How%20Candles%20Burn,a%20very%20efficient%20combust"&amp;"ion%20machine")</f>
        <v>Because not all the mass in the candle can be made back, because the mass is also has a physical change that turns it into a gas state , so they wouldn't agree https://candles.org/candle-science/#:~:text=How%20Candles%20Burn,a%20very%20efficient%20combustion%20machine</v>
      </c>
      <c r="V19" s="71" t="str">
        <f>IFERROR(__xludf.DUMMYFUNCTION("""COMPUTED_VALUE"""),"Proficient")</f>
        <v>Proficient</v>
      </c>
      <c r="W19" s="71" t="str">
        <f>IFERROR(__xludf.DUMMYFUNCTION("""COMPUTED_VALUE"""),"Developing")</f>
        <v>Developing</v>
      </c>
      <c r="X19" s="71" t="str">
        <f>IFERROR(__xludf.DUMMYFUNCTION("""COMPUTED_VALUE"""),"Developing")</f>
        <v>Developing</v>
      </c>
      <c r="Y19" s="71" t="str">
        <f>IFERROR(__xludf.DUMMYFUNCTION("""COMPUTED_VALUE"""),"Proficient")</f>
        <v>Proficient</v>
      </c>
      <c r="Z19" s="71"/>
    </row>
    <row r="20">
      <c r="A20" s="128">
        <f>IFERROR(__xludf.DUMMYFUNCTION("""COMPUTED_VALUE"""),45923.62662065972)</f>
        <v>45923.62662</v>
      </c>
      <c r="B20" s="71" t="str">
        <f>IFERROR(__xludf.DUMMYFUNCTION("""COMPUTED_VALUE"""),"sollal.punch@kairosacademies.org")</f>
        <v>sollal.punch@kairosacademies.org</v>
      </c>
      <c r="C20" s="71" t="str">
        <f>IFERROR(__xludf.DUMMYFUNCTION("""COMPUTED_VALUE"""),"Prompt 1")</f>
        <v>Prompt 1</v>
      </c>
      <c r="D20" s="71" t="str">
        <f>IFERROR(__xludf.DUMMYFUNCTION("""COMPUTED_VALUE"""),"""The candle gained mass. I know that matter can't be destroyed, but can change states."" ""This proves that when you burn something, you do not create or destroy matter.""")</f>
        <v>"The candle gained mass. I know that matter can't be destroyed, but can change states." "This proves that when you burn something, you do not create or destroy matter."</v>
      </c>
      <c r="E20" s="71" t="str">
        <f>IFERROR(__xludf.DUMMYFUNCTION("""COMPUTED_VALUE"""),"Yes")</f>
        <v>Yes</v>
      </c>
      <c r="F20" s="71" t="str">
        <f>IFERROR(__xludf.DUMMYFUNCTION("""COMPUTED_VALUE"""),"Partially")</f>
        <v>Partially</v>
      </c>
      <c r="G20" s="71" t="str">
        <f>IFERROR(__xludf.DUMMYFUNCTION("""COMPUTED_VALUE"""),"Partially")</f>
        <v>Partially</v>
      </c>
      <c r="H20" s="71" t="str">
        <f>IFERROR(__xludf.DUMMYFUNCTION("""COMPUTED_VALUE"""),"Yes")</f>
        <v>Yes</v>
      </c>
      <c r="I20" s="71" t="str">
        <f>IFERROR(__xludf.DUMMYFUNCTION("""COMPUTED_VALUE"""),"The candle gained mass by lighting up more.")</f>
        <v>The candle gained mass by lighting up more.</v>
      </c>
      <c r="J20" s="71" t="str">
        <f>IFERROR(__xludf.DUMMYFUNCTION("""COMPUTED_VALUE"""),"The candle lit up more due to the pressure.")</f>
        <v>The candle lit up more due to the pressure.</v>
      </c>
      <c r="K20" s="71" t="str">
        <f>IFERROR(__xludf.DUMMYFUNCTION("""COMPUTED_VALUE"""),"The pressure made the candle light up more through states.")</f>
        <v>The pressure made the candle light up more through states.</v>
      </c>
      <c r="L20" s="71" t="str">
        <f>IFERROR(__xludf.DUMMYFUNCTION("""COMPUTED_VALUE"""),"Yes")</f>
        <v>Yes</v>
      </c>
      <c r="M20" s="71" t="str">
        <f>IFERROR(__xludf.DUMMYFUNCTION("""COMPUTED_VALUE"""),"Partially")</f>
        <v>Partially</v>
      </c>
      <c r="N20" s="71" t="str">
        <f>IFERROR(__xludf.DUMMYFUNCTION("""COMPUTED_VALUE"""),"Yes")</f>
        <v>Yes</v>
      </c>
      <c r="O20" s="71" t="str">
        <f>IFERROR(__xludf.DUMMYFUNCTION("""COMPUTED_VALUE"""),"Yes")</f>
        <v>Yes</v>
      </c>
      <c r="P20" s="71" t="str">
        <f>IFERROR(__xludf.DUMMYFUNCTION("""COMPUTED_VALUE"""),"The evidence matters because force causes pressure.")</f>
        <v>The evidence matters because force causes pressure.</v>
      </c>
      <c r="Q20" s="71" t="str">
        <f>IFERROR(__xludf.DUMMYFUNCTION("""COMPUTED_VALUE"""),"Yes")</f>
        <v>Yes</v>
      </c>
      <c r="R20" s="71" t="str">
        <f>IFERROR(__xludf.DUMMYFUNCTION("""COMPUTED_VALUE"""),"Yes")</f>
        <v>Yes</v>
      </c>
      <c r="S20" s="71" t="str">
        <f>IFERROR(__xludf.DUMMYFUNCTION("""COMPUTED_VALUE"""),"Yes")</f>
        <v>Yes</v>
      </c>
      <c r="T20" s="71" t="str">
        <f>IFERROR(__xludf.DUMMYFUNCTION("""COMPUTED_VALUE"""),"Partially")</f>
        <v>Partially</v>
      </c>
      <c r="U20" s="71" t="str">
        <f>IFERROR(__xludf.DUMMYFUNCTION("""COMPUTED_VALUE"""),"While some may argue that there's no way the pressure was made because of force, the evidence clearly shows how the candle gained mass.")</f>
        <v>While some may argue that there's no way the pressure was made because of force, the evidence clearly shows how the candle gained mass.</v>
      </c>
      <c r="V20" s="71" t="str">
        <f>IFERROR(__xludf.DUMMYFUNCTION("""COMPUTED_VALUE"""),"Proficient")</f>
        <v>Proficient</v>
      </c>
      <c r="W20" s="71" t="str">
        <f>IFERROR(__xludf.DUMMYFUNCTION("""COMPUTED_VALUE"""),"Proficient")</f>
        <v>Proficient</v>
      </c>
      <c r="X20" s="71" t="str">
        <f>IFERROR(__xludf.DUMMYFUNCTION("""COMPUTED_VALUE"""),"Proficient")</f>
        <v>Proficient</v>
      </c>
      <c r="Y20" s="71" t="str">
        <f>IFERROR(__xludf.DUMMYFUNCTION("""COMPUTED_VALUE"""),"Developing")</f>
        <v>Developing</v>
      </c>
      <c r="Z20" s="71"/>
    </row>
    <row r="21">
      <c r="A21" s="128">
        <f>IFERROR(__xludf.DUMMYFUNCTION("""COMPUTED_VALUE"""),45923.64439282407)</f>
        <v>45923.64439</v>
      </c>
      <c r="B21" s="71" t="str">
        <f>IFERROR(__xludf.DUMMYFUNCTION("""COMPUTED_VALUE"""),"kingston.tyler@kairosacademies.org")</f>
        <v>kingston.tyler@kairosacademies.org</v>
      </c>
      <c r="C21" s="71" t="str">
        <f>IFERROR(__xludf.DUMMYFUNCTION("""COMPUTED_VALUE"""),"Prompt 3")</f>
        <v>Prompt 3</v>
      </c>
      <c r="D21" s="71" t="str">
        <f>IFERROR(__xludf.DUMMYFUNCTION("""COMPUTED_VALUE"""),"In prompt 3 both of the packets are a temper change; diposables rely on air to activate releasing heat or cold but it aslo takes air.
")</f>
        <v>In prompt 3 both of the packets are a temper change; diposables rely on air to activate releasing heat or cold but it aslo takes air.
</v>
      </c>
      <c r="E21" s="71" t="str">
        <f>IFERROR(__xludf.DUMMYFUNCTION("""COMPUTED_VALUE"""),"Yes")</f>
        <v>Yes</v>
      </c>
      <c r="F21" s="71" t="str">
        <f>IFERROR(__xludf.DUMMYFUNCTION("""COMPUTED_VALUE"""),"Partially")</f>
        <v>Partially</v>
      </c>
      <c r="G21" s="71" t="str">
        <f>IFERROR(__xludf.DUMMYFUNCTION("""COMPUTED_VALUE"""),"Yes")</f>
        <v>Yes</v>
      </c>
      <c r="H21" s="71" t="str">
        <f>IFERROR(__xludf.DUMMYFUNCTION("""COMPUTED_VALUE"""),"Yes")</f>
        <v>Yes</v>
      </c>
      <c r="I21" s="71" t="str">
        <f>IFERROR(__xludf.DUMMYFUNCTION("""COMPUTED_VALUE"""),"According to the text "" The thermal diposables hand warmers are air activated and release heat and take in cold air 
wiki:  ""https://en.wikipedia.org/wiki/Hand_warmer""  A fact about hand warmers contain cellulose, iron powder ")</f>
        <v>According to the text " The thermal diposables hand warmers are air activated and release heat and take in cold air 
wiki:  "https://en.wikipedia.org/wiki/Hand_warmer"  A fact about hand warmers contain cellulose, iron powder </v>
      </c>
      <c r="J21" s="71" t="str">
        <f>IFERROR(__xludf.DUMMYFUNCTION("""COMPUTED_VALUE"""),"Research indicates that ''The oxygen molecules in the air, together with the water, react with iron, forming rust (which is a hydrated oxide of iron)''.")</f>
        <v>Research indicates that ''The oxygen molecules in the air, together with the water, react with iron, forming rust (which is a hydrated oxide of iron)''.</v>
      </c>
      <c r="K21" s="71" t="str">
        <f>IFERROR(__xludf.DUMMYFUNCTION("""COMPUTED_VALUE"""),"The evidence shows ''Air-activated hand warmers contain cellulose, iron powder, activated carbon, vermiculite (which holds water) and salt. They produce heat from the exothermic oxidation of iron when exposed to air''. wikipedia : https://en.wikipedia.org"&amp;"/wiki/Hand_warmer")</f>
        <v>The evidence shows ''Air-activated hand warmers contain cellulose, iron powder, activated carbon, vermiculite (which holds water) and salt. They produce heat from the exothermic oxidation of iron when exposed to air''. wikipedia : https://en.wikipedia.org/wiki/Hand_warmer</v>
      </c>
      <c r="L21" s="71" t="str">
        <f>IFERROR(__xludf.DUMMYFUNCTION("""COMPUTED_VALUE"""),"Yes")</f>
        <v>Yes</v>
      </c>
      <c r="M21" s="71" t="str">
        <f>IFERROR(__xludf.DUMMYFUNCTION("""COMPUTED_VALUE"""),"Yes")</f>
        <v>Yes</v>
      </c>
      <c r="N21" s="71" t="str">
        <f>IFERROR(__xludf.DUMMYFUNCTION("""COMPUTED_VALUE"""),"Partially, No")</f>
        <v>Partially, No</v>
      </c>
      <c r="O21" s="71" t="str">
        <f>IFERROR(__xludf.DUMMYFUNCTION("""COMPUTED_VALUE"""),"Yes")</f>
        <v>Yes</v>
      </c>
      <c r="P21" s="71" t="str">
        <f>IFERROR(__xludf.DUMMYFUNCTION("""COMPUTED_VALUE"""),"Because my first piece of evidence shows how hand disposables work with quotes from wikipedia to support my claim. My #2 piece of evidence highlights more about hand warmers other specific things and supports my claim. ")</f>
        <v>Because my first piece of evidence shows how hand disposables work with quotes from wikipedia to support my claim. My #2 piece of evidence highlights more about hand warmers other specific things and supports my claim. </v>
      </c>
      <c r="Q21" s="71" t="str">
        <f>IFERROR(__xludf.DUMMYFUNCTION("""COMPUTED_VALUE"""),"Yes")</f>
        <v>Yes</v>
      </c>
      <c r="R21" s="71" t="str">
        <f>IFERROR(__xludf.DUMMYFUNCTION("""COMPUTED_VALUE"""),"Yes")</f>
        <v>Yes</v>
      </c>
      <c r="S21" s="71" t="str">
        <f>IFERROR(__xludf.DUMMYFUNCTION("""COMPUTED_VALUE"""),"Yes")</f>
        <v>Yes</v>
      </c>
      <c r="T21" s="71" t="str">
        <f>IFERROR(__xludf.DUMMYFUNCTION("""COMPUTED_VALUE"""),"Partially")</f>
        <v>Partially</v>
      </c>
      <c r="U21" s="71" t="str">
        <f>IFERROR(__xludf.DUMMYFUNCTION("""COMPUTED_VALUE"""),"While some may argue the evidence clearly shows. The oxygen molecules in the air, together with the water, react with iron, forming rust (which is a hydrated oxide of iron).")</f>
        <v>While some may argue the evidence clearly shows. The oxygen molecules in the air, together with the water, react with iron, forming rust (which is a hydrated oxide of iron).</v>
      </c>
      <c r="V21" s="71" t="str">
        <f>IFERROR(__xludf.DUMMYFUNCTION("""COMPUTED_VALUE"""),"Proficient")</f>
        <v>Proficient</v>
      </c>
      <c r="W21" s="71" t="str">
        <f>IFERROR(__xludf.DUMMYFUNCTION("""COMPUTED_VALUE"""),"Proficient")</f>
        <v>Proficient</v>
      </c>
      <c r="X21" s="71" t="str">
        <f>IFERROR(__xludf.DUMMYFUNCTION("""COMPUTED_VALUE"""),"Proficient")</f>
        <v>Proficient</v>
      </c>
      <c r="Y21" s="71" t="str">
        <f>IFERROR(__xludf.DUMMYFUNCTION("""COMPUTED_VALUE"""),"Proficient")</f>
        <v>Proficient</v>
      </c>
      <c r="Z21" s="71"/>
    </row>
    <row r="22">
      <c r="A22" s="128">
        <f>IFERROR(__xludf.DUMMYFUNCTION("""COMPUTED_VALUE"""),45944.46372396991)</f>
        <v>45944.46372</v>
      </c>
      <c r="B22" s="71" t="str">
        <f>IFERROR(__xludf.DUMMYFUNCTION("""COMPUTED_VALUE"""),"jade.howard@kairosacademies.org")</f>
        <v>jade.howard@kairosacademies.org</v>
      </c>
      <c r="C22" s="71" t="str">
        <f>IFERROR(__xludf.DUMMYFUNCTION("""COMPUTED_VALUE"""),"Prompt 1")</f>
        <v>Prompt 1</v>
      </c>
      <c r="D22" s="71" t="str">
        <f>IFERROR(__xludf.DUMMYFUNCTION("""COMPUTED_VALUE"""),"The candle lost mass. This proves that when you burn something, you destroy matter.""
This claim is not scientifically correct. Because he law of conservation of mass states that mass cannot be created or destroyed during a chemical reaction, therefore t"&amp;"he candle could not lose mass. The student might have been confused because they didn't know how to measure the gas the candle turned into.")</f>
        <v>The candle lost mass. This proves that when you burn something, you destroy matter."
This claim is not scientifically correct. Because he law of conservation of mass states that mass cannot be created or destroyed during a chemical reaction, therefore the candle could not lose mass. The student might have been confused because they didn't know how to measure the gas the candle turned into.</v>
      </c>
      <c r="E22" s="71" t="str">
        <f>IFERROR(__xludf.DUMMYFUNCTION("""COMPUTED_VALUE"""),"Yes")</f>
        <v>Yes</v>
      </c>
      <c r="F22" s="71" t="str">
        <f>IFERROR(__xludf.DUMMYFUNCTION("""COMPUTED_VALUE"""),"Yes")</f>
        <v>Yes</v>
      </c>
      <c r="G22" s="71" t="str">
        <f>IFERROR(__xludf.DUMMYFUNCTION("""COMPUTED_VALUE"""),"Yes")</f>
        <v>Yes</v>
      </c>
      <c r="H22" s="71" t="str">
        <f>IFERROR(__xludf.DUMMYFUNCTION("""COMPUTED_VALUE"""),"Yes")</f>
        <v>Yes</v>
      </c>
      <c r="I22" s="71" t="str">
        <f>IFERROR(__xludf.DUMMYFUNCTION("""COMPUTED_VALUE"""),"For example , when a candle burns, the wax is heated and melts. The wax doesn’t disappear its mass is just transformed into gas. (https://www.thoughtco.com/where-does-candle-wax-go-607886)")</f>
        <v>For example , when a candle burns, the wax is heated and melts. The wax doesn’t disappear its mass is just transformed into gas. (https://www.thoughtco.com/where-does-candle-wax-go-607886)</v>
      </c>
      <c r="J22" s="71" t="str">
        <f>IFERROR(__xludf.DUMMYFUNCTION("""COMPUTED_VALUE"""),"According to the data, the law of conservation of mass applies to a burning candle because the mass isn’t destroyed. The candle wax stays the same so it’s still equal. 
(https://brainly.com/question/41778899)")</f>
        <v>According to the data, the law of conservation of mass applies to a burning candle because the mass isn’t destroyed. The candle wax stays the same so it’s still equal. 
(https://brainly.com/question/41778899)</v>
      </c>
      <c r="K22" s="71" t="str">
        <f>IFERROR(__xludf.DUMMYFUNCTION("""COMPUTED_VALUE"""),"Research indicates, you can measure gas but the student was confused on how to measure the gas the candles turned into. (https://www.candlescience.com/where-does-the-wax-go-when-a-candle-burns/)")</f>
        <v>Research indicates, you can measure gas but the student was confused on how to measure the gas the candles turned into. (https://www.candlescience.com/where-does-the-wax-go-when-a-candle-burns/)</v>
      </c>
      <c r="L22" s="71" t="str">
        <f>IFERROR(__xludf.DUMMYFUNCTION("""COMPUTED_VALUE"""),"Yes")</f>
        <v>Yes</v>
      </c>
      <c r="M22" s="71" t="str">
        <f>IFERROR(__xludf.DUMMYFUNCTION("""COMPUTED_VALUE"""),"Yes")</f>
        <v>Yes</v>
      </c>
      <c r="N22" s="71" t="str">
        <f>IFERROR(__xludf.DUMMYFUNCTION("""COMPUTED_VALUE"""),"Yes")</f>
        <v>Yes</v>
      </c>
      <c r="O22" s="71" t="str">
        <f>IFERROR(__xludf.DUMMYFUNCTION("""COMPUTED_VALUE"""),"Yes")</f>
        <v>Yes</v>
      </c>
      <c r="P22" s="71" t="str">
        <f>IFERROR(__xludf.DUMMYFUNCTION("""COMPUTED_VALUE"""),"Because when a candle burns, the wax is heated and melts. The wax doesn’t disappear its mass is just transformed into gas. This shows the students claim is not scientifically correct. Because the law of conservation of mass states that mass cannot be crea"&amp;"ted or destroyed during a chemical reaction. Furthermore, because of the law of conservation of mass applies to a burning candle because the mass isn’t destroyed. Therefore the candle wouldn’t lose any mass it remains the same.")</f>
        <v>Because when a candle burns, the wax is heated and melts. The wax doesn’t disappear its mass is just transformed into gas. This shows the students claim is not scientifically correct. Because the law of conservation of mass states that mass cannot be created or destroyed during a chemical reaction. Furthermore, because of the law of conservation of mass applies to a burning candle because the mass isn’t destroyed. Therefore the candle wouldn’t lose any mass it remains the same.</v>
      </c>
      <c r="Q22" s="71" t="str">
        <f>IFERROR(__xludf.DUMMYFUNCTION("""COMPUTED_VALUE"""),"Yes")</f>
        <v>Yes</v>
      </c>
      <c r="R22" s="71" t="str">
        <f>IFERROR(__xludf.DUMMYFUNCTION("""COMPUTED_VALUE"""),"Yes")</f>
        <v>Yes</v>
      </c>
      <c r="S22" s="71" t="str">
        <f>IFERROR(__xludf.DUMMYFUNCTION("""COMPUTED_VALUE"""),"Yes")</f>
        <v>Yes</v>
      </c>
      <c r="T22" s="71" t="str">
        <f>IFERROR(__xludf.DUMMYFUNCTION("""COMPUTED_VALUE"""),"Yes")</f>
        <v>Yes</v>
      </c>
      <c r="U22" s="71" t="str">
        <f>IFERROR(__xludf.DUMMYFUNCTION("""COMPUTED_VALUE"""),"While some may argue that the mass of the candle would be lost, the evidence clearly shows that the mass isn’t lost it’s the same just in a different form which is gas.")</f>
        <v>While some may argue that the mass of the candle would be lost, the evidence clearly shows that the mass isn’t lost it’s the same just in a different form which is gas.</v>
      </c>
      <c r="V22" s="71" t="str">
        <f>IFERROR(__xludf.DUMMYFUNCTION("""COMPUTED_VALUE"""),"Proficient")</f>
        <v>Proficient</v>
      </c>
      <c r="W22" s="71" t="str">
        <f>IFERROR(__xludf.DUMMYFUNCTION("""COMPUTED_VALUE"""),"Developing")</f>
        <v>Developing</v>
      </c>
      <c r="X22" s="71" t="str">
        <f>IFERROR(__xludf.DUMMYFUNCTION("""COMPUTED_VALUE"""),"Developing")</f>
        <v>Developing</v>
      </c>
      <c r="Y22" s="71" t="str">
        <f>IFERROR(__xludf.DUMMYFUNCTION("""COMPUTED_VALUE"""),"Developing")</f>
        <v>Developing</v>
      </c>
      <c r="Z22" s="71"/>
    </row>
    <row r="23">
      <c r="A23" s="128">
        <f>IFERROR(__xludf.DUMMYFUNCTION("""COMPUTED_VALUE"""),45923.645045034726)</f>
        <v>45923.64505</v>
      </c>
      <c r="B23" s="71" t="str">
        <f>IFERROR(__xludf.DUMMYFUNCTION("""COMPUTED_VALUE"""),"aubrie.kincade@kairosacademies.org")</f>
        <v>aubrie.kincade@kairosacademies.org</v>
      </c>
      <c r="C23" s="71" t="str">
        <f>IFERROR(__xludf.DUMMYFUNCTION("""COMPUTED_VALUE"""),"Prompt 3")</f>
        <v>Prompt 3</v>
      </c>
      <c r="D23" s="71" t="str">
        <f>IFERROR(__xludf.DUMMYFUNCTION("""COMPUTED_VALUE"""),"""Both packs had a chemical reaction. Since they both created a temperature change, they must be releasing energy.""
One pack? Chemical AND physical reaction!? 
temp up or down? releasing OR taking?
The most likely explanation is that only the X pack i"&amp;"s a chemical change because when the students opens a disposable hand warmer its gets very hot which means it transformed into a new substance with different chemical properties through the chemical reaction and the x pack is a chemical change.
Heat is p"&amp;"roduced by a chemical change because when transformed into a new substance with different chemical properties, thermal energy was released. ")</f>
        <v>"Both packs had a chemical reaction. Since they both created a temperature change, they must be releasing energy."
One pack? Chemical AND physical reaction!? 
temp up or down? releasing OR taking?
The most likely explanation is that only the X pack is a chemical change because when the students opens a disposable hand warmer its gets very hot which means it transformed into a new substance with different chemical properties through the chemical reaction and the x pack is a chemical change.
Heat is produced by a chemical change because when transformed into a new substance with different chemical properties, thermal energy was released. </v>
      </c>
      <c r="E23" s="71" t="str">
        <f>IFERROR(__xludf.DUMMYFUNCTION("""COMPUTED_VALUE"""),"Partially")</f>
        <v>Partially</v>
      </c>
      <c r="F23" s="71" t="str">
        <f>IFERROR(__xludf.DUMMYFUNCTION("""COMPUTED_VALUE"""),"Partially")</f>
        <v>Partially</v>
      </c>
      <c r="G23" s="71" t="str">
        <f>IFERROR(__xludf.DUMMYFUNCTION("""COMPUTED_VALUE"""),"Yes, Partially")</f>
        <v>Yes, Partially</v>
      </c>
      <c r="H23" s="71" t="str">
        <f>IFERROR(__xludf.DUMMYFUNCTION("""COMPUTED_VALUE"""),"Yes")</f>
        <v>Yes</v>
      </c>
      <c r="I23" s="71" t="str">
        <f>IFERROR(__xludf.DUMMYFUNCTION("""COMPUTED_VALUE"""),"WIP")</f>
        <v>WIP</v>
      </c>
      <c r="J23" s="71" t="str">
        <f>IFERROR(__xludf.DUMMYFUNCTION("""COMPUTED_VALUE"""),"WIP")</f>
        <v>WIP</v>
      </c>
      <c r="K23" s="71" t="str">
        <f>IFERROR(__xludf.DUMMYFUNCTION("""COMPUTED_VALUE"""),"WIP")</f>
        <v>WIP</v>
      </c>
      <c r="L23" s="71" t="str">
        <f>IFERROR(__xludf.DUMMYFUNCTION("""COMPUTED_VALUE"""),"Yes")</f>
        <v>Yes</v>
      </c>
      <c r="M23" s="71" t="str">
        <f>IFERROR(__xludf.DUMMYFUNCTION("""COMPUTED_VALUE"""),"Partially, No")</f>
        <v>Partially, No</v>
      </c>
      <c r="N23" s="71" t="str">
        <f>IFERROR(__xludf.DUMMYFUNCTION("""COMPUTED_VALUE"""),"Partially")</f>
        <v>Partially</v>
      </c>
      <c r="O23" s="71" t="str">
        <f>IFERROR(__xludf.DUMMYFUNCTION("""COMPUTED_VALUE"""),"Partially")</f>
        <v>Partially</v>
      </c>
      <c r="P23" s="71" t="str">
        <f>IFERROR(__xludf.DUMMYFUNCTION("""COMPUTED_VALUE"""),"WIP")</f>
        <v>WIP</v>
      </c>
      <c r="Q23" s="71" t="str">
        <f>IFERROR(__xludf.DUMMYFUNCTION("""COMPUTED_VALUE"""),"Partially")</f>
        <v>Partially</v>
      </c>
      <c r="R23" s="71" t="str">
        <f>IFERROR(__xludf.DUMMYFUNCTION("""COMPUTED_VALUE"""),"Partially")</f>
        <v>Partially</v>
      </c>
      <c r="S23" s="71" t="str">
        <f>IFERROR(__xludf.DUMMYFUNCTION("""COMPUTED_VALUE"""),"Partially")</f>
        <v>Partially</v>
      </c>
      <c r="T23" s="71" t="str">
        <f>IFERROR(__xludf.DUMMYFUNCTION("""COMPUTED_VALUE"""),"Partially")</f>
        <v>Partially</v>
      </c>
      <c r="U23" s="71" t="str">
        <f>IFERROR(__xludf.DUMMYFUNCTION("""COMPUTED_VALUE"""),"WIP")</f>
        <v>WIP</v>
      </c>
      <c r="V23" s="71" t="str">
        <f>IFERROR(__xludf.DUMMYFUNCTION("""COMPUTED_VALUE"""),"Developing")</f>
        <v>Developing</v>
      </c>
      <c r="W23" s="71" t="str">
        <f>IFERROR(__xludf.DUMMYFUNCTION("""COMPUTED_VALUE"""),"Developing")</f>
        <v>Developing</v>
      </c>
      <c r="X23" s="71" t="str">
        <f>IFERROR(__xludf.DUMMYFUNCTION("""COMPUTED_VALUE"""),"Developing")</f>
        <v>Developing</v>
      </c>
      <c r="Y23" s="71" t="str">
        <f>IFERROR(__xludf.DUMMYFUNCTION("""COMPUTED_VALUE"""),"Developing")</f>
        <v>Developing</v>
      </c>
      <c r="Z23" s="71"/>
    </row>
    <row r="24">
      <c r="A24" s="128">
        <f>IFERROR(__xludf.DUMMYFUNCTION("""COMPUTED_VALUE"""),45951.61606388888)</f>
        <v>45951.61606</v>
      </c>
      <c r="B24" s="71" t="str">
        <f>IFERROR(__xludf.DUMMYFUNCTION("""COMPUTED_VALUE"""),"terrion.dunn@kairosacademies.org")</f>
        <v>terrion.dunn@kairosacademies.org</v>
      </c>
      <c r="C24" s="71" t="str">
        <f>IFERROR(__xludf.DUMMYFUNCTION("""COMPUTED_VALUE"""),"Prompt 1")</f>
        <v>Prompt 1</v>
      </c>
      <c r="D24" s="71" t="str">
        <f>IFERROR(__xludf.DUMMYFUNCTION("""COMPUTED_VALUE"""),"the candle gained mass. i know that matter cant be destroyed but can change states those proves when you burn something you can do not create or destroy.")</f>
        <v>the candle gained mass. i know that matter cant be destroyed but can change states those proves when you burn something you can do not create or destroy.</v>
      </c>
      <c r="E24" s="71" t="str">
        <f>IFERROR(__xludf.DUMMYFUNCTION("""COMPUTED_VALUE"""),"Partially")</f>
        <v>Partially</v>
      </c>
      <c r="F24" s="71" t="str">
        <f>IFERROR(__xludf.DUMMYFUNCTION("""COMPUTED_VALUE"""),"Partially")</f>
        <v>Partially</v>
      </c>
      <c r="G24" s="71" t="str">
        <f>IFERROR(__xludf.DUMMYFUNCTION("""COMPUTED_VALUE"""),"No")</f>
        <v>No</v>
      </c>
      <c r="H24" s="71" t="str">
        <f>IFERROR(__xludf.DUMMYFUNCTION("""COMPUTED_VALUE"""),"Yes")</f>
        <v>Yes</v>
      </c>
      <c r="I24" s="71" t="str">
        <f>IFERROR(__xludf.DUMMYFUNCTION("""COMPUTED_VALUE"""),"According to a couple of articles and videos, if you burn a candle and you have the exact amount of the candle, the candle will not gain any mass. And let me tell you why, matter can't be created or destroyed in a chemical reaction ")</f>
        <v>According to a couple of articles and videos, if you burn a candle and you have the exact amount of the candle, the candle will not gain any mass. And let me tell you why, matter can't be created or destroyed in a chemical reaction </v>
      </c>
      <c r="J24" s="71" t="str">
        <f>IFERROR(__xludf.DUMMYFUNCTION("""COMPUTED_VALUE"""),"some evidence shows that when candles changes from physical to chemical from  it loses
mass because  when the wax of the candle changes from a solid to a liquid then it will be a 
changes it loses.")</f>
        <v>some evidence shows that when candles changes from physical to chemical from  it loses
mass because  when the wax of the candle changes from a solid to a liquid then it will be a 
changes it loses.</v>
      </c>
      <c r="K24" s="71" t="str">
        <f>IFERROR(__xludf.DUMMYFUNCTION("""COMPUTED_VALUE"""),"The last amount of evidence that the candle lose mass. The candle's wax lost mass in the process of the candle was burned.")</f>
        <v>The last amount of evidence that the candle lose mass. The candle's wax lost mass in the process of the candle was burned.</v>
      </c>
      <c r="L24" s="71" t="str">
        <f>IFERROR(__xludf.DUMMYFUNCTION("""COMPUTED_VALUE"""),"Partially")</f>
        <v>Partially</v>
      </c>
      <c r="M24" s="71" t="str">
        <f>IFERROR(__xludf.DUMMYFUNCTION("""COMPUTED_VALUE"""),"Yes, Partially")</f>
        <v>Yes, Partially</v>
      </c>
      <c r="N24" s="71" t="str">
        <f>IFERROR(__xludf.DUMMYFUNCTION("""COMPUTED_VALUE"""),"Yes, Partially")</f>
        <v>Yes, Partially</v>
      </c>
      <c r="O24" s="71" t="str">
        <f>IFERROR(__xludf.DUMMYFUNCTION("""COMPUTED_VALUE"""),"Yes")</f>
        <v>Yes</v>
      </c>
      <c r="P24" s="71" t="str">
        <f>IFERROR(__xludf.DUMMYFUNCTION("""COMPUTED_VALUE"""),"our evidence supported our claim because all my sources came from reliable sources. Our evidence will back our claim. Evidence matter because, without  evidence to back your  
statement you have nothing to make you statement valid. The Candle definite los"&amp;"t mass in the process of the candle being burned, why? when the loss of mass. newton's Law states
the matter cant be created or destroyed in a chemical reason.
The candle did lose mass because, like newton's Third Law matter cant be  
created or destroye"&amp;"d. Our evidence show that the candle lost mass in the process of the 
candle being buried
")</f>
        <v>our evidence supported our claim because all my sources came from reliable sources. Our evidence will back our claim. Evidence matter because, without  evidence to back your  
statement you have nothing to make you statement valid. The Candle definite lost mass in the process of the candle being burned, why? when the loss of mass. newton's Law states
the matter cant be created or destroyed in a chemical reason.
The candle did lose mass because, like newton's Third Law matter cant be  
created or destroyed. Our evidence show that the candle lost mass in the process of the 
candle being buried
</v>
      </c>
      <c r="Q24" s="71" t="str">
        <f>IFERROR(__xludf.DUMMYFUNCTION("""COMPUTED_VALUE"""),"Partially")</f>
        <v>Partially</v>
      </c>
      <c r="R24" s="71" t="str">
        <f>IFERROR(__xludf.DUMMYFUNCTION("""COMPUTED_VALUE"""),"Yes")</f>
        <v>Yes</v>
      </c>
      <c r="S24" s="71" t="str">
        <f>IFERROR(__xludf.DUMMYFUNCTION("""COMPUTED_VALUE"""),"Yes")</f>
        <v>Yes</v>
      </c>
      <c r="T24" s="71" t="str">
        <f>IFERROR(__xludf.DUMMYFUNCTION("""COMPUTED_VALUE"""),"Partially")</f>
        <v>Partially</v>
      </c>
      <c r="U24" s="71" t="str">
        <f>IFERROR(__xludf.DUMMYFUNCTION("""COMPUTED_VALUE"""),"using evidence in argument can help your statement point out, with evidence your 
statement have a back up evidence.")</f>
        <v>using evidence in argument can help your statement point out, with evidence your 
statement have a back up evidence.</v>
      </c>
      <c r="V24" s="71" t="str">
        <f>IFERROR(__xludf.DUMMYFUNCTION("""COMPUTED_VALUE"""),"Developing")</f>
        <v>Developing</v>
      </c>
      <c r="W24" s="71" t="str">
        <f>IFERROR(__xludf.DUMMYFUNCTION("""COMPUTED_VALUE"""),"Developing")</f>
        <v>Developing</v>
      </c>
      <c r="X24" s="71" t="str">
        <f>IFERROR(__xludf.DUMMYFUNCTION("""COMPUTED_VALUE"""),"Proficient")</f>
        <v>Proficient</v>
      </c>
      <c r="Y24" s="71" t="str">
        <f>IFERROR(__xludf.DUMMYFUNCTION("""COMPUTED_VALUE"""),"Developing")</f>
        <v>Developing</v>
      </c>
      <c r="Z24" s="71"/>
    </row>
    <row r="25">
      <c r="A25" s="128">
        <f>IFERROR(__xludf.DUMMYFUNCTION("""COMPUTED_VALUE"""),45923.64531167824)</f>
        <v>45923.64531</v>
      </c>
      <c r="B25" s="71" t="str">
        <f>IFERROR(__xludf.DUMMYFUNCTION("""COMPUTED_VALUE"""),"brandon.reynolds@kairosacademies.org")</f>
        <v>brandon.reynolds@kairosacademies.org</v>
      </c>
      <c r="C25" s="71" t="str">
        <f>IFERROR(__xludf.DUMMYFUNCTION("""COMPUTED_VALUE"""),"Prompt 1")</f>
        <v>Prompt 1</v>
      </c>
      <c r="D25" s="71" t="str">
        <f>IFERROR(__xludf.DUMMYFUNCTION("""COMPUTED_VALUE"""),"The Candle  lost mass, I know that matter can't be destroyed but it can change states. Those prove that the candle didn't lose mass after being burned.")</f>
        <v>The Candle  lost mass, I know that matter can't be destroyed but it can change states. Those prove that the candle didn't lose mass after being burned.</v>
      </c>
      <c r="E25" s="71" t="str">
        <f>IFERROR(__xludf.DUMMYFUNCTION("""COMPUTED_VALUE"""),"Partially")</f>
        <v>Partially</v>
      </c>
      <c r="F25" s="71" t="str">
        <f>IFERROR(__xludf.DUMMYFUNCTION("""COMPUTED_VALUE"""),"Partially")</f>
        <v>Partially</v>
      </c>
      <c r="G25" s="71" t="str">
        <f>IFERROR(__xludf.DUMMYFUNCTION("""COMPUTED_VALUE"""),"Partially")</f>
        <v>Partially</v>
      </c>
      <c r="H25" s="71" t="str">
        <f>IFERROR(__xludf.DUMMYFUNCTION("""COMPUTED_VALUE"""),"Yes")</f>
        <v>Yes</v>
      </c>
      <c r="I25" s="71" t="str">
        <f>IFERROR(__xludf.DUMMYFUNCTION("""COMPUTED_VALUE"""),"According to a couple articles and videos states that if you do burn a candle and you have the exact mass of the candle, the candle will not gain no mass. And let me tell you why, matter can't be created nor destroyed  in a chemical reaction. WIP")</f>
        <v>According to a couple articles and videos states that if you do burn a candle and you have the exact mass of the candle, the candle will not gain no mass. And let me tell you why, matter can't be created nor destroyed  in a chemical reaction. WIP</v>
      </c>
      <c r="J25" s="71" t="str">
        <f>IFERROR(__xludf.DUMMYFUNCTION("""COMPUTED_VALUE"""),"Some evidence show that when candles changes from physical to chemical form it loses mass because when the wax of the candle changes from a solid to a liquid then it will be a changes it loses mass. WIP")</f>
        <v>Some evidence show that when candles changes from physical to chemical form it loses mass because when the wax of the candle changes from a solid to a liquid then it will be a changes it loses mass. WIP</v>
      </c>
      <c r="K25" s="71" t="str">
        <f>IFERROR(__xludf.DUMMYFUNCTION("""COMPUTED_VALUE"""),"WIP")</f>
        <v>WIP</v>
      </c>
      <c r="L25" s="71" t="str">
        <f>IFERROR(__xludf.DUMMYFUNCTION("""COMPUTED_VALUE"""),"No")</f>
        <v>No</v>
      </c>
      <c r="M25" s="71" t="str">
        <f>IFERROR(__xludf.DUMMYFUNCTION("""COMPUTED_VALUE"""),"No")</f>
        <v>No</v>
      </c>
      <c r="N25" s="71" t="str">
        <f>IFERROR(__xludf.DUMMYFUNCTION("""COMPUTED_VALUE"""),"No")</f>
        <v>No</v>
      </c>
      <c r="O25" s="71" t="str">
        <f>IFERROR(__xludf.DUMMYFUNCTION("""COMPUTED_VALUE"""),"No")</f>
        <v>No</v>
      </c>
      <c r="P25" s="71" t="str">
        <f>IFERROR(__xludf.DUMMYFUNCTION("""COMPUTED_VALUE"""),"WIP")</f>
        <v>WIP</v>
      </c>
      <c r="Q25" s="71" t="str">
        <f>IFERROR(__xludf.DUMMYFUNCTION("""COMPUTED_VALUE"""),"No")</f>
        <v>No</v>
      </c>
      <c r="R25" s="71" t="str">
        <f>IFERROR(__xludf.DUMMYFUNCTION("""COMPUTED_VALUE"""),"No")</f>
        <v>No</v>
      </c>
      <c r="S25" s="71" t="str">
        <f>IFERROR(__xludf.DUMMYFUNCTION("""COMPUTED_VALUE"""),"No")</f>
        <v>No</v>
      </c>
      <c r="T25" s="71" t="str">
        <f>IFERROR(__xludf.DUMMYFUNCTION("""COMPUTED_VALUE"""),"No")</f>
        <v>No</v>
      </c>
      <c r="U25" s="71" t="str">
        <f>IFERROR(__xludf.DUMMYFUNCTION("""COMPUTED_VALUE"""),"WIP")</f>
        <v>WIP</v>
      </c>
      <c r="V25" s="71"/>
      <c r="W25" s="71"/>
      <c r="X25" s="71"/>
      <c r="Y25" s="71"/>
      <c r="Z25" s="71"/>
    </row>
    <row r="26">
      <c r="A26" s="128">
        <f>IFERROR(__xludf.DUMMYFUNCTION("""COMPUTED_VALUE"""),45923.64537564815)</f>
        <v>45923.64538</v>
      </c>
      <c r="B26" s="71" t="str">
        <f>IFERROR(__xludf.DUMMYFUNCTION("""COMPUTED_VALUE"""),"marshawn.blair@kairosacademies.org")</f>
        <v>marshawn.blair@kairosacademies.org</v>
      </c>
      <c r="C26" s="71" t="str">
        <f>IFERROR(__xludf.DUMMYFUNCTION("""COMPUTED_VALUE"""),"Prompt 1")</f>
        <v>Prompt 1</v>
      </c>
      <c r="D26" s="71" t="str">
        <f>IFERROR(__xludf.DUMMYFUNCTION("""COMPUTED_VALUE"""),"Based on the data the candle waxes melted .4 grams when the flames went out as stated.")</f>
        <v>Based on the data the candle waxes melted .4 grams when the flames went out as stated.</v>
      </c>
      <c r="E26" s="71" t="str">
        <f>IFERROR(__xludf.DUMMYFUNCTION("""COMPUTED_VALUE"""),"Yes")</f>
        <v>Yes</v>
      </c>
      <c r="F26" s="71" t="str">
        <f>IFERROR(__xludf.DUMMYFUNCTION("""COMPUTED_VALUE"""),"Partially")</f>
        <v>Partially</v>
      </c>
      <c r="G26" s="71" t="str">
        <f>IFERROR(__xludf.DUMMYFUNCTION("""COMPUTED_VALUE"""),"Partially")</f>
        <v>Partially</v>
      </c>
      <c r="H26" s="71" t="str">
        <f>IFERROR(__xludf.DUMMYFUNCTION("""COMPUTED_VALUE"""),"Yes")</f>
        <v>Yes</v>
      </c>
      <c r="I26" s="71" t="str">
        <f>IFERROR(__xludf.DUMMYFUNCTION("""COMPUTED_VALUE"""),"According to the data burning matter causes decreasing in the weight as shown,""The candle lost mass. This proves that when you burn something, you destroy matter.""")</f>
        <v>According to the data burning matter causes decreasing in the weight as shown,"The candle lost mass. This proves that when you burn something, you destroy matter."</v>
      </c>
      <c r="J26" s="71" t="str">
        <f>IFERROR(__xludf.DUMMYFUNCTION("""COMPUTED_VALUE"""),"According to the data the candle was 10.0 before being lit but then melted from the fire causing the candle to decrease to 9.6 grams.")</f>
        <v>According to the data the candle was 10.0 before being lit but then melted from the fire causing the candle to decrease to 9.6 grams.</v>
      </c>
      <c r="K26" s="71" t="str">
        <f>IFERROR(__xludf.DUMMYFUNCTION("""COMPUTED_VALUE"""),"WIP")</f>
        <v>WIP</v>
      </c>
      <c r="L26" s="71" t="str">
        <f>IFERROR(__xludf.DUMMYFUNCTION("""COMPUTED_VALUE"""),"No")</f>
        <v>No</v>
      </c>
      <c r="M26" s="71" t="str">
        <f>IFERROR(__xludf.DUMMYFUNCTION("""COMPUTED_VALUE"""),"No")</f>
        <v>No</v>
      </c>
      <c r="N26" s="71" t="str">
        <f>IFERROR(__xludf.DUMMYFUNCTION("""COMPUTED_VALUE"""),"No")</f>
        <v>No</v>
      </c>
      <c r="O26" s="71" t="str">
        <f>IFERROR(__xludf.DUMMYFUNCTION("""COMPUTED_VALUE"""),"No")</f>
        <v>No</v>
      </c>
      <c r="P26" s="71" t="str">
        <f>IFERROR(__xludf.DUMMYFUNCTION("""COMPUTED_VALUE"""),"WIP")</f>
        <v>WIP</v>
      </c>
      <c r="Q26" s="71" t="str">
        <f>IFERROR(__xludf.DUMMYFUNCTION("""COMPUTED_VALUE"""),"No")</f>
        <v>No</v>
      </c>
      <c r="R26" s="71" t="str">
        <f>IFERROR(__xludf.DUMMYFUNCTION("""COMPUTED_VALUE"""),"No")</f>
        <v>No</v>
      </c>
      <c r="S26" s="71" t="str">
        <f>IFERROR(__xludf.DUMMYFUNCTION("""COMPUTED_VALUE"""),"No")</f>
        <v>No</v>
      </c>
      <c r="T26" s="71" t="str">
        <f>IFERROR(__xludf.DUMMYFUNCTION("""COMPUTED_VALUE"""),"No")</f>
        <v>No</v>
      </c>
      <c r="U26" s="71" t="str">
        <f>IFERROR(__xludf.DUMMYFUNCTION("""COMPUTED_VALUE"""),"WIP")</f>
        <v>WIP</v>
      </c>
      <c r="V26" s="71"/>
      <c r="W26" s="71"/>
      <c r="X26" s="71"/>
      <c r="Y26" s="71"/>
      <c r="Z26" s="71"/>
    </row>
    <row r="27">
      <c r="A27" s="128">
        <f>IFERROR(__xludf.DUMMYFUNCTION("""COMPUTED_VALUE"""),45923.64544940973)</f>
        <v>45923.64545</v>
      </c>
      <c r="B27" s="71" t="str">
        <f>IFERROR(__xludf.DUMMYFUNCTION("""COMPUTED_VALUE"""),"king.mckee@kairosacademies.org")</f>
        <v>king.mckee@kairosacademies.org</v>
      </c>
      <c r="C27" s="71" t="str">
        <f>IFERROR(__xludf.DUMMYFUNCTION("""COMPUTED_VALUE"""),"Prompt 1")</f>
        <v>Prompt 1</v>
      </c>
      <c r="D27" s="71" t="str">
        <f>IFERROR(__xludf.DUMMYFUNCTION("""COMPUTED_VALUE"""),"Based on the data the candle waxes  .4 grams when the flame went out.")</f>
        <v>Based on the data the candle waxes  .4 grams when the flame went out.</v>
      </c>
      <c r="E27" s="71" t="str">
        <f>IFERROR(__xludf.DUMMYFUNCTION("""COMPUTED_VALUE"""),"Yes")</f>
        <v>Yes</v>
      </c>
      <c r="F27" s="71" t="str">
        <f>IFERROR(__xludf.DUMMYFUNCTION("""COMPUTED_VALUE"""),"Partially")</f>
        <v>Partially</v>
      </c>
      <c r="G27" s="71" t="str">
        <f>IFERROR(__xludf.DUMMYFUNCTION("""COMPUTED_VALUE"""),"Partially")</f>
        <v>Partially</v>
      </c>
      <c r="H27" s="71" t="str">
        <f>IFERROR(__xludf.DUMMYFUNCTION("""COMPUTED_VALUE"""),"Yes")</f>
        <v>Yes</v>
      </c>
      <c r="I27" s="71" t="str">
        <f>IFERROR(__xludf.DUMMYFUNCTION("""COMPUTED_VALUE"""),"According to the  data burning  matter causes decreasing in the weight as shown'' The candle loss mass .proves that when  you burn something, you destroy  matter.''")</f>
        <v>According to the  data burning  matter causes decreasing in the weight as shown'' The candle loss mass .proves that when  you burn something, you destroy  matter.''</v>
      </c>
      <c r="J27" s="71" t="str">
        <f>IFERROR(__xludf.DUMMYFUNCTION("""COMPUTED_VALUE"""),"According to the data candle was 10.0 grams before being lit but  then melted from the fire causing the candle to decrease to 9.6 grams .")</f>
        <v>According to the data candle was 10.0 grams before being lit but  then melted from the fire causing the candle to decrease to 9.6 grams .</v>
      </c>
      <c r="K27" s="71" t="str">
        <f>IFERROR(__xludf.DUMMYFUNCTION("""COMPUTED_VALUE"""),"working progress ")</f>
        <v>working progress </v>
      </c>
      <c r="L27" s="71" t="str">
        <f>IFERROR(__xludf.DUMMYFUNCTION("""COMPUTED_VALUE"""),"Yes")</f>
        <v>Yes</v>
      </c>
      <c r="M27" s="71" t="str">
        <f>IFERROR(__xludf.DUMMYFUNCTION("""COMPUTED_VALUE"""),"Yes")</f>
        <v>Yes</v>
      </c>
      <c r="N27" s="71" t="str">
        <f>IFERROR(__xludf.DUMMYFUNCTION("""COMPUTED_VALUE"""),"Yes")</f>
        <v>Yes</v>
      </c>
      <c r="O27" s="71" t="str">
        <f>IFERROR(__xludf.DUMMYFUNCTION("""COMPUTED_VALUE"""),"Partially")</f>
        <v>Partially</v>
      </c>
      <c r="P27" s="71" t="str">
        <f>IFERROR(__xludf.DUMMYFUNCTION("""COMPUTED_VALUE"""),"wip")</f>
        <v>wip</v>
      </c>
      <c r="Q27" s="71" t="str">
        <f>IFERROR(__xludf.DUMMYFUNCTION("""COMPUTED_VALUE"""),"Yes")</f>
        <v>Yes</v>
      </c>
      <c r="R27" s="71" t="str">
        <f>IFERROR(__xludf.DUMMYFUNCTION("""COMPUTED_VALUE"""),"No")</f>
        <v>No</v>
      </c>
      <c r="S27" s="71" t="str">
        <f>IFERROR(__xludf.DUMMYFUNCTION("""COMPUTED_VALUE"""),"Yes")</f>
        <v>Yes</v>
      </c>
      <c r="T27" s="71" t="str">
        <f>IFERROR(__xludf.DUMMYFUNCTION("""COMPUTED_VALUE"""),"Partially")</f>
        <v>Partially</v>
      </c>
      <c r="U27" s="71" t="str">
        <f>IFERROR(__xludf.DUMMYFUNCTION("""COMPUTED_VALUE"""),"wip")</f>
        <v>wip</v>
      </c>
      <c r="V27" s="71"/>
      <c r="W27" s="71"/>
      <c r="X27" s="71"/>
      <c r="Y27" s="71"/>
      <c r="Z27" s="71"/>
    </row>
    <row r="28">
      <c r="A28" s="128">
        <f>IFERROR(__xludf.DUMMYFUNCTION("""COMPUTED_VALUE"""),45937.38690668982)</f>
        <v>45937.38691</v>
      </c>
      <c r="B28" s="71" t="str">
        <f>IFERROR(__xludf.DUMMYFUNCTION("""COMPUTED_VALUE"""),"khaleel.muhammad@kairosacademies.org")</f>
        <v>khaleel.muhammad@kairosacademies.org</v>
      </c>
      <c r="C28" s="71" t="str">
        <f>IFERROR(__xludf.DUMMYFUNCTION("""COMPUTED_VALUE"""),"Prompt 3")</f>
        <v>Prompt 3</v>
      </c>
      <c r="D28" s="71" t="str">
        <f>IFERROR(__xludf.DUMMYFUNCTION("""COMPUTED_VALUE"""),"Both packs went through a chemical reaction. Since they both created a temperature change, they are most likely to be releasing energy. This is true because it is identified as a exothermic reaction which is the release of tempature from a chemical reacti"&amp;"on. A study from Carolina Biollogical Supply states, Many instant hot and cold packs function by dissolving a salt into water. As the salt disassociates, heat is either released in an exothermic reaction or absorbed in an endothermic reaction.""  A study "&amp;"from Carolina Biollogical Supply states, Many instant hot and cold packs function by dissolving a salt into water. As the salt disassociates, heat is either released in an exothermic reaction or absorbed in an endothermic reaction."".")</f>
        <v>Both packs went through a chemical reaction. Since they both created a temperature change, they are most likely to be releasing energy. This is true because it is identified as a exothermic reaction which is the release of tempature from a chemical reaction. A study from Carolina Biollogical Supply states, Many instant hot and cold packs function by dissolving a salt into water. As the salt disassociates, heat is either released in an exothermic reaction or absorbed in an endothermic reaction."  A study from Carolina Biollogical Supply states, Many instant hot and cold packs function by dissolving a salt into water. As the salt disassociates, heat is either released in an exothermic reaction or absorbed in an endothermic reaction.".</v>
      </c>
      <c r="E28" s="71" t="str">
        <f>IFERROR(__xludf.DUMMYFUNCTION("""COMPUTED_VALUE"""),"Yes")</f>
        <v>Yes</v>
      </c>
      <c r="F28" s="71" t="str">
        <f>IFERROR(__xludf.DUMMYFUNCTION("""COMPUTED_VALUE"""),"Partially")</f>
        <v>Partially</v>
      </c>
      <c r="G28" s="71" t="str">
        <f>IFERROR(__xludf.DUMMYFUNCTION("""COMPUTED_VALUE"""),"Yes")</f>
        <v>Yes</v>
      </c>
      <c r="H28" s="71" t="str">
        <f>IFERROR(__xludf.DUMMYFUNCTION("""COMPUTED_VALUE"""),"Yes")</f>
        <v>Yes</v>
      </c>
      <c r="I28" s="71" t="str">
        <f>IFERROR(__xludf.DUMMYFUNCTION("""COMPUTED_VALUE""")," This is true because it is identified as a exothermic reaction which is the release of tempature from a chemical reaction")</f>
        <v> This is true because it is identified as a exothermic reaction which is the release of tempature from a chemical reaction</v>
      </c>
      <c r="J28" s="71" t="str">
        <f>IFERROR(__xludf.DUMMYFUNCTION("""COMPUTED_VALUE""")," A study from Carolina Biollogical Supply states, Many instant hot and cold packs function by dissolving a salt into water. As the salt disassociates, heat is either released in an exothermic reaction or absorbed in an endothermic reaction.""")</f>
        <v> A study from Carolina Biollogical Supply states, Many instant hot and cold packs function by dissolving a salt into water. As the salt disassociates, heat is either released in an exothermic reaction or absorbed in an endothermic reaction."</v>
      </c>
      <c r="K28" s="71" t="str">
        <f>IFERROR(__xludf.DUMMYFUNCTION("""COMPUTED_VALUE""")," A study from Carolina Biollogical Supply states, Many instant hot and cold packs function by dissolving a salt into water. As the salt disassociates, heat is either released in an exothermic reaction or absorbed in an endothermic reaction.""")</f>
        <v> A study from Carolina Biollogical Supply states, Many instant hot and cold packs function by dissolving a salt into water. As the salt disassociates, heat is either released in an exothermic reaction or absorbed in an endothermic reaction."</v>
      </c>
      <c r="L28" s="71" t="str">
        <f>IFERROR(__xludf.DUMMYFUNCTION("""COMPUTED_VALUE"""),"Partially")</f>
        <v>Partially</v>
      </c>
      <c r="M28" s="71" t="str">
        <f>IFERROR(__xludf.DUMMYFUNCTION("""COMPUTED_VALUE"""),"Yes, Partially")</f>
        <v>Yes, Partially</v>
      </c>
      <c r="N28" s="71" t="str">
        <f>IFERROR(__xludf.DUMMYFUNCTION("""COMPUTED_VALUE"""),"Yes")</f>
        <v>Yes</v>
      </c>
      <c r="O28" s="71" t="str">
        <f>IFERROR(__xludf.DUMMYFUNCTION("""COMPUTED_VALUE"""),"Partially")</f>
        <v>Partially</v>
      </c>
      <c r="P28" s="71" t="str">
        <f>IFERROR(__xludf.DUMMYFUNCTION("""COMPUTED_VALUE"""),"because of my edvidence from the Carolina Biological Supply shows that the substances inside went under an exothermic reaction., furthermore, because that type of reaction is the realease of energy in the form of heat or coolness, it highlights the idea o"&amp;"f hot packs undergoing an exothermic reaction. Therefore, based on all the evidence, it is clear that the packs underwent an exothermic reaction.")</f>
        <v>because of my edvidence from the Carolina Biological Supply shows that the substances inside went under an exothermic reaction., furthermore, because that type of reaction is the realease of energy in the form of heat or coolness, it highlights the idea of hot packs undergoing an exothermic reaction. Therefore, based on all the evidence, it is clear that the packs underwent an exothermic reaction.</v>
      </c>
      <c r="Q28" s="71" t="str">
        <f>IFERROR(__xludf.DUMMYFUNCTION("""COMPUTED_VALUE"""),"Yes")</f>
        <v>Yes</v>
      </c>
      <c r="R28" s="71" t="str">
        <f>IFERROR(__xludf.DUMMYFUNCTION("""COMPUTED_VALUE"""),"Partially")</f>
        <v>Partially</v>
      </c>
      <c r="S28" s="71" t="str">
        <f>IFERROR(__xludf.DUMMYFUNCTION("""COMPUTED_VALUE"""),"Yes")</f>
        <v>Yes</v>
      </c>
      <c r="T28" s="71" t="str">
        <f>IFERROR(__xludf.DUMMYFUNCTION("""COMPUTED_VALUE"""),"Yes")</f>
        <v>Yes</v>
      </c>
      <c r="U28" s="71"/>
      <c r="V28" s="71" t="str">
        <f>IFERROR(__xludf.DUMMYFUNCTION("""COMPUTED_VALUE"""),"Proficient")</f>
        <v>Proficient</v>
      </c>
      <c r="W28" s="71" t="str">
        <f>IFERROR(__xludf.DUMMYFUNCTION("""COMPUTED_VALUE"""),"Proficient")</f>
        <v>Proficient</v>
      </c>
      <c r="X28" s="71" t="str">
        <f>IFERROR(__xludf.DUMMYFUNCTION("""COMPUTED_VALUE"""),"Developing")</f>
        <v>Developing</v>
      </c>
      <c r="Y28" s="71" t="str">
        <f>IFERROR(__xludf.DUMMYFUNCTION("""COMPUTED_VALUE"""),"Developing")</f>
        <v>Developing</v>
      </c>
      <c r="Z28" s="71"/>
    </row>
    <row r="29">
      <c r="A29" s="128">
        <f>IFERROR(__xludf.DUMMYFUNCTION("""COMPUTED_VALUE"""),45937.395688067125)</f>
        <v>45937.39569</v>
      </c>
      <c r="B29" s="71" t="str">
        <f>IFERROR(__xludf.DUMMYFUNCTION("""COMPUTED_VALUE"""),"jackeydon.boykin@kairosacademies.org")</f>
        <v>jackeydon.boykin@kairosacademies.org</v>
      </c>
      <c r="C29" s="71" t="str">
        <f>IFERROR(__xludf.DUMMYFUNCTION("""COMPUTED_VALUE"""),"Prompt 3")</f>
        <v>Prompt 3</v>
      </c>
      <c r="D29" s="71" t="str">
        <f>IFERROR(__xludf.DUMMYFUNCTION("""COMPUTED_VALUE"""),"Based on the data i've collected i believe that the student is incorrect because heat collects energy and cold releases. Both packs went through a chemical reaction.  A study from Carolina Biollogical Supply states, Many instant hot and cold packs functio"&amp;"n by dissolving a salt into water. As the salt disassociates, heat is either released in an exothermic reaction or absorbed in an endothermic reaction.""  ")</f>
        <v>Based on the data i've collected i believe that the student is incorrect because heat collects energy and cold releases. Both packs went through a chemical reaction.  A study from Carolina Biollogical Supply states, Many instant hot and cold packs function by dissolving a salt into water. As the salt disassociates, heat is either released in an exothermic reaction or absorbed in an endothermic reaction."  </v>
      </c>
      <c r="E29" s="71" t="str">
        <f>IFERROR(__xludf.DUMMYFUNCTION("""COMPUTED_VALUE"""),"Partially")</f>
        <v>Partially</v>
      </c>
      <c r="F29" s="71" t="str">
        <f>IFERROR(__xludf.DUMMYFUNCTION("""COMPUTED_VALUE"""),"Yes, Partially")</f>
        <v>Yes, Partially</v>
      </c>
      <c r="G29" s="71" t="str">
        <f>IFERROR(__xludf.DUMMYFUNCTION("""COMPUTED_VALUE"""),"Yes")</f>
        <v>Yes</v>
      </c>
      <c r="H29" s="71" t="str">
        <f>IFERROR(__xludf.DUMMYFUNCTION("""COMPUTED_VALUE"""),"Yes")</f>
        <v>Yes</v>
      </c>
      <c r="I29" s="71" t="str">
        <f>IFERROR(__xludf.DUMMYFUNCTION("""COMPUTED_VALUE""")," According the the data i have obtained i have found that my claim was correct A study from Carolina Biollogical Supply states, Many instant hot and cold packs function by dissolving a salt into water. As the salt disassociates, heat is either released in"&amp;" an exothermic reaction or absorbed in an endothermic reaction."" https://www.carolina.com/?srsltid=AfmBOooyooifFLxELZdrk9hyNfSOYziI-VNXUp1Rmry-jw7FLQA1yFwb.")</f>
        <v> According the the data i have obtained i have found that my claim was correct A study from Carolina Biollogical Supply states, Many instant hot and cold packs function by dissolving a salt into water. As the salt disassociates, heat is either released in an exothermic reaction or absorbed in an endothermic reaction." https://www.carolina.com/?srsltid=AfmBOooyooifFLxELZdrk9hyNfSOYziI-VNXUp1Rmry-jw7FLQA1yFwb.</v>
      </c>
      <c r="J29" s="71" t="str">
        <f>IFERROR(__xludf.DUMMYFUNCTION("""COMPUTED_VALUE"""),"Since they both created a temperature change, they are most likely to be releasing energy. This is true because it is identified as a exothermic reaction which is the release of tempature from a chemical reaction. https://www.acs.org/middleschoolchemistry"&amp;"/lessonplans/chapter2/lesson1.html")</f>
        <v>Since they both created a temperature change, they are most likely to be releasing energy. This is true because it is identified as a exothermic reaction which is the release of tempature from a chemical reaction. https://www.acs.org/middleschoolchemistry/lessonplans/chapter2/lesson1.html</v>
      </c>
      <c r="K29" s="71" t="str">
        <f>IFERROR(__xludf.DUMMYFUNCTION("""COMPUTED_VALUE"""),"according to the Science Learning Hub it states, ""At higher temperatures, particles have more energy. Some of this energy can be transmitted to other particles that are at a lower temperature. For example, in the gas state, when a fast moving particle co"&amp;"llides with a slower moving particle, it transfers some of its energy to the slower moving particle, increasing the speed of that particle.""https://www.sciencelearn.org.nz/resources/750-heat-energy")</f>
        <v>according to the Science Learning Hub it states, "At higher temperatures, particles have more energy. Some of this energy can be transmitted to other particles that are at a lower temperature. For example, in the gas state, when a fast moving particle collides with a slower moving particle, it transfers some of its energy to the slower moving particle, increasing the speed of that particle."https://www.sciencelearn.org.nz/resources/750-heat-energy</v>
      </c>
      <c r="L29" s="71" t="str">
        <f>IFERROR(__xludf.DUMMYFUNCTION("""COMPUTED_VALUE"""),"Yes")</f>
        <v>Yes</v>
      </c>
      <c r="M29" s="71" t="str">
        <f>IFERROR(__xludf.DUMMYFUNCTION("""COMPUTED_VALUE"""),"Yes")</f>
        <v>Yes</v>
      </c>
      <c r="N29" s="71" t="str">
        <f>IFERROR(__xludf.DUMMYFUNCTION("""COMPUTED_VALUE"""),"Yes")</f>
        <v>Yes</v>
      </c>
      <c r="O29" s="71" t="str">
        <f>IFERROR(__xludf.DUMMYFUNCTION("""COMPUTED_VALUE"""),"Yes")</f>
        <v>Yes</v>
      </c>
      <c r="P29" s="71" t="str">
        <f>IFERROR(__xludf.DUMMYFUNCTION("""COMPUTED_VALUE"""),"Because of my evidence from the Carolina Biological Supply shows that the substances inside went under an exothermic reaction., furthermore, because that type of reaction is the release of energy in the form of heat or coolness, it highlights the idea of "&amp;"hot packs undergoing an exothermic reaction. Therefore, based on all the evidence, it is clear that the packs went through an exothermic reaction.
")</f>
        <v>Because of my evidence from the Carolina Biological Supply shows that the substances inside went under an exothermic reaction., furthermore, because that type of reaction is the release of energy in the form of heat or coolness, it highlights the idea of hot packs undergoing an exothermic reaction. Therefore, based on all the evidence, it is clear that the packs went through an exothermic reaction.
</v>
      </c>
      <c r="Q29" s="71" t="str">
        <f>IFERROR(__xludf.DUMMYFUNCTION("""COMPUTED_VALUE"""),"Yes")</f>
        <v>Yes</v>
      </c>
      <c r="R29" s="71" t="str">
        <f>IFERROR(__xludf.DUMMYFUNCTION("""COMPUTED_VALUE"""),"Partially")</f>
        <v>Partially</v>
      </c>
      <c r="S29" s="71" t="str">
        <f>IFERROR(__xludf.DUMMYFUNCTION("""COMPUTED_VALUE"""),"Yes")</f>
        <v>Yes</v>
      </c>
      <c r="T29" s="71" t="str">
        <f>IFERROR(__xludf.DUMMYFUNCTION("""COMPUTED_VALUE"""),"Yes")</f>
        <v>Yes</v>
      </c>
      <c r="U29" s="71" t="str">
        <f>IFERROR(__xludf.DUMMYFUNCTION("""COMPUTED_VALUE"""),"While some may argue that cold air gains energy and hot air releases energy the evidence that I've stated in earlier questions shows that their statements are wrong and the exact opposites. Although it might appear that cold air gains energy, actually tha"&amp;"t is incorrect because according to the National Oceanic and Atmospheric Administration of the
U.S. Department of Commerce, it states "" Electromagnetic radiation is made of waves of different frequencies. The frequency is the number of instances that a r"&amp;"epeated event occurs over a set time. In other words, the frequency of electromagnetic radiation is the number of electromagnetic waves moving past a point each second. Most wavelengths of electromagnetic radiation are invisible. Conduction is the transfe"&amp;"r of heat energy from one substance to another or within a substance. Have you ever left a metal spoon in a pot of soup being heated on a stove? After a short time, the handle of the spoon will become hot"".
https://www.noaa.gov/jetstream/atmosphere/trans"&amp;"fer-of-heat-energy")</f>
        <v>While some may argue that cold air gains energy and hot air releases energy the evidence that I've stated in earlier questions shows that their statements are wrong and the exact opposites. Although it might appear that cold air gains energy, actually that is incorrect because according to the National Oceanic and Atmospheric Administration of the
U.S. Department of Commerce, it states " Electromagnetic radiation is made of waves of different frequencies. The frequency is the number of instances that a repeated event occurs over a set time. In other words, the frequency of electromagnetic radiation is the number of electromagnetic waves moving past a point each second. Most wavelengths of electromagnetic radiation are invisible. Conduction is the transfer of heat energy from one substance to another or within a substance. Have you ever left a metal spoon in a pot of soup being heated on a stove? After a short time, the handle of the spoon will become hot".
https://www.noaa.gov/jetstream/atmosphere/transfer-of-heat-energy</v>
      </c>
      <c r="V29" s="71" t="str">
        <f>IFERROR(__xludf.DUMMYFUNCTION("""COMPUTED_VALUE"""),"Beginning")</f>
        <v>Beginning</v>
      </c>
      <c r="W29" s="71" t="str">
        <f>IFERROR(__xludf.DUMMYFUNCTION("""COMPUTED_VALUE"""),"Beginning")</f>
        <v>Beginning</v>
      </c>
      <c r="X29" s="71" t="str">
        <f>IFERROR(__xludf.DUMMYFUNCTION("""COMPUTED_VALUE"""),"Developing")</f>
        <v>Developing</v>
      </c>
      <c r="Y29" s="71" t="str">
        <f>IFERROR(__xludf.DUMMYFUNCTION("""COMPUTED_VALUE"""),"Beginning")</f>
        <v>Beginning</v>
      </c>
      <c r="Z29" s="71"/>
    </row>
    <row r="30">
      <c r="A30" s="128">
        <f>IFERROR(__xludf.DUMMYFUNCTION("""COMPUTED_VALUE"""),45924.44550835648)</f>
        <v>45924.44551</v>
      </c>
      <c r="B30" s="71" t="str">
        <f>IFERROR(__xludf.DUMMYFUNCTION("""COMPUTED_VALUE"""),"eli.wilcox@kairosacademies.org")</f>
        <v>eli.wilcox@kairosacademies.org</v>
      </c>
      <c r="C30" s="71" t="str">
        <f>IFERROR(__xludf.DUMMYFUNCTION("""COMPUTED_VALUE"""),"Prompt 1")</f>
        <v>Prompt 1</v>
      </c>
      <c r="D30" s="71" t="str">
        <f>IFERROR(__xludf.DUMMYFUNCTION("""COMPUTED_VALUE"""),"""The candle lost mass. This proves that when you burn something, you change the matter's form from solid to liquid to gas.""")</f>
        <v>"The candle lost mass. This proves that when you burn something, you change the matter's form from solid to liquid to gas."</v>
      </c>
      <c r="E30" s="71" t="str">
        <f>IFERROR(__xludf.DUMMYFUNCTION("""COMPUTED_VALUE"""),"Yes")</f>
        <v>Yes</v>
      </c>
      <c r="F30" s="71" t="str">
        <f>IFERROR(__xludf.DUMMYFUNCTION("""COMPUTED_VALUE"""),"Yes")</f>
        <v>Yes</v>
      </c>
      <c r="G30" s="71" t="str">
        <f>IFERROR(__xludf.DUMMYFUNCTION("""COMPUTED_VALUE"""),"Yes")</f>
        <v>Yes</v>
      </c>
      <c r="H30" s="71" t="str">
        <f>IFERROR(__xludf.DUMMYFUNCTION("""COMPUTED_VALUE"""),"Yes")</f>
        <v>Yes</v>
      </c>
      <c r="I30" s="71" t="str">
        <f>IFERROR(__xludf.DUMMYFUNCTION("""COMPUTED_VALUE"""),"https://chem.libretexts.org/Bookshelves/Introductory_Chemistry/Introductory_Chemistry_(LibreTexts)/03%3A_Matter_and_Energy/3.07%3A_Conservation_of_Mass_-_There_is_No_New_Matter 
With this link it shows that matter can not be destroyed but change forms.")</f>
        <v>https://chem.libretexts.org/Bookshelves/Introductory_Chemistry/Introductory_Chemistry_(LibreTexts)/03%3A_Matter_and_Energy/3.07%3A_Conservation_of_Mass_-_There_is_No_New_Matter 
With this link it shows that matter can not be destroyed but change forms.</v>
      </c>
      <c r="J30" s="71" t="str">
        <f>IFERROR(__xludf.DUMMYFUNCTION("""COMPUTED_VALUE"""),"https://chem.libretexts.org/Bookshelves/Introductory_Chemistry/Introductory_Chemistry_(LibreTexts)/03%3A_Matter_and_Energy/3.07%3A_Conservation_of_Mass_-_There_is_No_New_Matter
matter physically can not be destroyed but moves from solid to liquid to pla"&amp;"sma to gas.")</f>
        <v>https://chem.libretexts.org/Bookshelves/Introductory_Chemistry/Introductory_Chemistry_(LibreTexts)/03%3A_Matter_and_Energy/3.07%3A_Conservation_of_Mass_-_There_is_No_New_Matter
matter physically can not be destroyed but moves from solid to liquid to plasma to gas.</v>
      </c>
      <c r="K30" s="71" t="str">
        <f>IFERROR(__xludf.DUMMYFUNCTION("""COMPUTED_VALUE"""),"to conclude the evidencematter can not be destoroyed but it does change forms.")</f>
        <v>to conclude the evidencematter can not be destoroyed but it does change forms.</v>
      </c>
      <c r="L30" s="71" t="str">
        <f>IFERROR(__xludf.DUMMYFUNCTION("""COMPUTED_VALUE"""),"Yes")</f>
        <v>Yes</v>
      </c>
      <c r="M30" s="71" t="str">
        <f>IFERROR(__xludf.DUMMYFUNCTION("""COMPUTED_VALUE"""),"Yes")</f>
        <v>Yes</v>
      </c>
      <c r="N30" s="71" t="str">
        <f>IFERROR(__xludf.DUMMYFUNCTION("""COMPUTED_VALUE"""),"Yes")</f>
        <v>Yes</v>
      </c>
      <c r="O30" s="71" t="str">
        <f>IFERROR(__xludf.DUMMYFUNCTION("""COMPUTED_VALUE"""),"Yes")</f>
        <v>Yes</v>
      </c>
      <c r="P30" s="71" t="str">
        <f>IFERROR(__xludf.DUMMYFUNCTION("""COMPUTED_VALUE"""),"Because matter cannot be destroyed, this shows that the candle did not lose mass. Furthermore, because matter only changes form, it highlights that the candle did not lose mass but changed forms. Therefore, based on all the evidence, it is clear that the "&amp;"candle did not lose mass but it changed forms.
*
")</f>
        <v>Because matter cannot be destroyed, this shows that the candle did not lose mass. Furthermore, because matter only changes form, it highlights that the candle did not lose mass but changed forms. Therefore, based on all the evidence, it is clear that the candle did not lose mass but it changed forms.
*
</v>
      </c>
      <c r="Q30" s="71" t="str">
        <f>IFERROR(__xludf.DUMMYFUNCTION("""COMPUTED_VALUE"""),"Yes")</f>
        <v>Yes</v>
      </c>
      <c r="R30" s="71" t="str">
        <f>IFERROR(__xludf.DUMMYFUNCTION("""COMPUTED_VALUE"""),"Yes")</f>
        <v>Yes</v>
      </c>
      <c r="S30" s="71" t="str">
        <f>IFERROR(__xludf.DUMMYFUNCTION("""COMPUTED_VALUE"""),"Yes")</f>
        <v>Yes</v>
      </c>
      <c r="T30" s="71" t="str">
        <f>IFERROR(__xludf.DUMMYFUNCTION("""COMPUTED_VALUE"""),"Yes")</f>
        <v>Yes</v>
      </c>
      <c r="U30" s="71" t="str">
        <f>IFERROR(__xludf.DUMMYFUNCTION("""COMPUTED_VALUE"""),"While some may argue that candle destroyed mass, the evidence clearly shows that mass cannot be destroyed it can only change forms.")</f>
        <v>While some may argue that candle destroyed mass, the evidence clearly shows that mass cannot be destroyed it can only change forms.</v>
      </c>
      <c r="V30" s="71" t="str">
        <f>IFERROR(__xludf.DUMMYFUNCTION("""COMPUTED_VALUE"""),"Proficient")</f>
        <v>Proficient</v>
      </c>
      <c r="W30" s="71" t="str">
        <f>IFERROR(__xludf.DUMMYFUNCTION("""COMPUTED_VALUE"""),"Developing")</f>
        <v>Developing</v>
      </c>
      <c r="X30" s="71" t="str">
        <f>IFERROR(__xludf.DUMMYFUNCTION("""COMPUTED_VALUE"""),"Proficient")</f>
        <v>Proficient</v>
      </c>
      <c r="Y30" s="71" t="str">
        <f>IFERROR(__xludf.DUMMYFUNCTION("""COMPUTED_VALUE"""),"Developing")</f>
        <v>Developing</v>
      </c>
      <c r="Z30" s="71"/>
    </row>
    <row r="31">
      <c r="A31" s="128">
        <f>IFERROR(__xludf.DUMMYFUNCTION("""COMPUTED_VALUE"""),45925.58873012732)</f>
        <v>45925.58873</v>
      </c>
      <c r="B31" s="71" t="str">
        <f>IFERROR(__xludf.DUMMYFUNCTION("""COMPUTED_VALUE"""),"iyanna.parott@kairosacademies.org")</f>
        <v>iyanna.parott@kairosacademies.org</v>
      </c>
      <c r="C31" s="71" t="str">
        <f>IFERROR(__xludf.DUMMYFUNCTION("""COMPUTED_VALUE"""),"Prompt 1")</f>
        <v>Prompt 1</v>
      </c>
      <c r="D31" s="71" t="str">
        <f>IFERROR(__xludf.DUMMYFUNCTION("""COMPUTED_VALUE"""),"the evidence demonstartes that")</f>
        <v>the evidence demonstartes that</v>
      </c>
      <c r="E31" s="71" t="str">
        <f>IFERROR(__xludf.DUMMYFUNCTION("""COMPUTED_VALUE"""),"Yes")</f>
        <v>Yes</v>
      </c>
      <c r="F31" s="71" t="str">
        <f>IFERROR(__xludf.DUMMYFUNCTION("""COMPUTED_VALUE"""),"Partially")</f>
        <v>Partially</v>
      </c>
      <c r="G31" s="71" t="str">
        <f>IFERROR(__xludf.DUMMYFUNCTION("""COMPUTED_VALUE"""),"Partially")</f>
        <v>Partially</v>
      </c>
      <c r="H31" s="71" t="str">
        <f>IFERROR(__xludf.DUMMYFUNCTION("""COMPUTED_VALUE"""),"Yes")</f>
        <v>Yes</v>
      </c>
      <c r="I31" s="71" t="str">
        <f>IFERROR(__xludf.DUMMYFUNCTION("""COMPUTED_VALUE"""),"the evidence shows that the facts data and observations add a link to the resource")</f>
        <v>the evidence shows that the facts data and observations add a link to the resource</v>
      </c>
      <c r="J31" s="71"/>
      <c r="K31" s="71"/>
      <c r="L31" s="71" t="str">
        <f>IFERROR(__xludf.DUMMYFUNCTION("""COMPUTED_VALUE"""),"No")</f>
        <v>No</v>
      </c>
      <c r="M31" s="71" t="str">
        <f>IFERROR(__xludf.DUMMYFUNCTION("""COMPUTED_VALUE"""),"Partially")</f>
        <v>Partially</v>
      </c>
      <c r="N31" s="71" t="str">
        <f>IFERROR(__xludf.DUMMYFUNCTION("""COMPUTED_VALUE"""),"Partially")</f>
        <v>Partially</v>
      </c>
      <c r="O31" s="71" t="str">
        <f>IFERROR(__xludf.DUMMYFUNCTION("""COMPUTED_VALUE"""),"Yes")</f>
        <v>Yes</v>
      </c>
      <c r="P31" s="71" t="str">
        <f>IFERROR(__xludf.DUMMYFUNCTION("""COMPUTED_VALUE"""),"therefore")</f>
        <v>therefore</v>
      </c>
      <c r="Q31" s="71" t="str">
        <f>IFERROR(__xludf.DUMMYFUNCTION("""COMPUTED_VALUE"""),"Partially")</f>
        <v>Partially</v>
      </c>
      <c r="R31" s="71" t="str">
        <f>IFERROR(__xludf.DUMMYFUNCTION("""COMPUTED_VALUE"""),"Partially")</f>
        <v>Partially</v>
      </c>
      <c r="S31" s="71" t="str">
        <f>IFERROR(__xludf.DUMMYFUNCTION("""COMPUTED_VALUE"""),"No")</f>
        <v>No</v>
      </c>
      <c r="T31" s="71" t="str">
        <f>IFERROR(__xludf.DUMMYFUNCTION("""COMPUTED_VALUE"""),"Yes")</f>
        <v>Yes</v>
      </c>
      <c r="U31" s="71"/>
      <c r="V31" s="71" t="str">
        <f>IFERROR(__xludf.DUMMYFUNCTION("""COMPUTED_VALUE"""),"Beginning")</f>
        <v>Beginning</v>
      </c>
      <c r="W31" s="71" t="str">
        <f>IFERROR(__xludf.DUMMYFUNCTION("""COMPUTED_VALUE"""),"Developing")</f>
        <v>Developing</v>
      </c>
      <c r="X31" s="71" t="str">
        <f>IFERROR(__xludf.DUMMYFUNCTION("""COMPUTED_VALUE"""),"Developing")</f>
        <v>Developing</v>
      </c>
      <c r="Y31" s="71" t="str">
        <f>IFERROR(__xludf.DUMMYFUNCTION("""COMPUTED_VALUE"""),"Proficient")</f>
        <v>Proficient</v>
      </c>
      <c r="Z31" s="71"/>
    </row>
    <row r="32">
      <c r="A32" s="128">
        <f>IFERROR(__xludf.DUMMYFUNCTION("""COMPUTED_VALUE"""),45925.61299162037)</f>
        <v>45925.61299</v>
      </c>
      <c r="B32" s="71" t="str">
        <f>IFERROR(__xludf.DUMMYFUNCTION("""COMPUTED_VALUE"""),"kaiden.strong-noble@kairosacademies.org")</f>
        <v>kaiden.strong-noble@kairosacademies.org</v>
      </c>
      <c r="C32" s="71" t="str">
        <f>IFERROR(__xludf.DUMMYFUNCTION("""COMPUTED_VALUE"""),"Prompt 2")</f>
        <v>Prompt 2</v>
      </c>
      <c r="D32" s="71" t="str">
        <f>IFERROR(__xludf.DUMMYFUNCTION("""COMPUTED_VALUE"""),"The evidence demonstrates that the tablet dissolved in water. This is considered a chemical change because of the boiling water. The boiling water contains heat.")</f>
        <v>The evidence demonstrates that the tablet dissolved in water. This is considered a chemical change because of the boiling water. The boiling water contains heat.</v>
      </c>
      <c r="E32" s="71" t="str">
        <f>IFERROR(__xludf.DUMMYFUNCTION("""COMPUTED_VALUE"""),"Yes")</f>
        <v>Yes</v>
      </c>
      <c r="F32" s="71" t="str">
        <f>IFERROR(__xludf.DUMMYFUNCTION("""COMPUTED_VALUE"""),"Yes, Partially")</f>
        <v>Yes, Partially</v>
      </c>
      <c r="G32" s="71" t="str">
        <f>IFERROR(__xludf.DUMMYFUNCTION("""COMPUTED_VALUE"""),"Yes, Partially")</f>
        <v>Yes, Partially</v>
      </c>
      <c r="H32" s="71" t="str">
        <f>IFERROR(__xludf.DUMMYFUNCTION("""COMPUTED_VALUE"""),"Yes")</f>
        <v>Yes</v>
      </c>
      <c r="I32" s="71" t="str">
        <f>IFERROR(__xludf.DUMMYFUNCTION("""COMPUTED_VALUE"""),"The tablet has dissolved in the water.")</f>
        <v>The tablet has dissolved in the water.</v>
      </c>
      <c r="J32" s="71" t="str">
        <f>IFERROR(__xludf.DUMMYFUNCTION("""COMPUTED_VALUE"""),"This is a chemical change.")</f>
        <v>This is a chemical change.</v>
      </c>
      <c r="K32" s="71" t="str">
        <f>IFERROR(__xludf.DUMMYFUNCTION("""COMPUTED_VALUE"""),"The boiling water, due to its heat, caused the tablet to dissolve.")</f>
        <v>The boiling water, due to its heat, caused the tablet to dissolve.</v>
      </c>
      <c r="L32" s="71" t="str">
        <f>IFERROR(__xludf.DUMMYFUNCTION("""COMPUTED_VALUE"""),"Yes")</f>
        <v>Yes</v>
      </c>
      <c r="M32" s="71" t="str">
        <f>IFERROR(__xludf.DUMMYFUNCTION("""COMPUTED_VALUE"""),"Yes")</f>
        <v>Yes</v>
      </c>
      <c r="N32" s="71" t="str">
        <f>IFERROR(__xludf.DUMMYFUNCTION("""COMPUTED_VALUE"""),"Yes, Partially")</f>
        <v>Yes, Partially</v>
      </c>
      <c r="O32" s="71" t="str">
        <f>IFERROR(__xludf.DUMMYFUNCTION("""COMPUTED_VALUE"""),"Yes, Partially")</f>
        <v>Yes, Partially</v>
      </c>
      <c r="P32" s="71" t="str">
        <f>IFERROR(__xludf.DUMMYFUNCTION("""COMPUTED_VALUE"""),"Because the tablet dissolved in water, this shows the tablet's now gone. Furthermore, because of the chemical reaction, it highlights that the chemicals from the water caused this. Therefore, based on all the evidence, it's clear that the heat of the boil"&amp;"ing water caused these chemicals to dissolve the tablet.")</f>
        <v>Because the tablet dissolved in water, this shows the tablet's now gone. Furthermore, because of the chemical reaction, it highlights that the chemicals from the water caused this. Therefore, based on all the evidence, it's clear that the heat of the boiling water caused these chemicals to dissolve the tablet.</v>
      </c>
      <c r="Q32" s="71" t="str">
        <f>IFERROR(__xludf.DUMMYFUNCTION("""COMPUTED_VALUE"""),"Partially")</f>
        <v>Partially</v>
      </c>
      <c r="R32" s="71" t="str">
        <f>IFERROR(__xludf.DUMMYFUNCTION("""COMPUTED_VALUE"""),"Yes")</f>
        <v>Yes</v>
      </c>
      <c r="S32" s="71" t="str">
        <f>IFERROR(__xludf.DUMMYFUNCTION("""COMPUTED_VALUE"""),"Yes")</f>
        <v>Yes</v>
      </c>
      <c r="T32" s="71" t="str">
        <f>IFERROR(__xludf.DUMMYFUNCTION("""COMPUTED_VALUE"""),"Partially")</f>
        <v>Partially</v>
      </c>
      <c r="U32" s="71" t="str">
        <f>IFERROR(__xludf.DUMMYFUNCTION("""COMPUTED_VALUE"""),"While some may argue that this is a physical change,  the evidence clearly shows that this is a chemical change because the tablet dissolving in boiling water changes.")</f>
        <v>While some may argue that this is a physical change,  the evidence clearly shows that this is a chemical change because the tablet dissolving in boiling water changes.</v>
      </c>
      <c r="V32" s="71" t="str">
        <f>IFERROR(__xludf.DUMMYFUNCTION("""COMPUTED_VALUE"""),"Proficient")</f>
        <v>Proficient</v>
      </c>
      <c r="W32" s="71" t="str">
        <f>IFERROR(__xludf.DUMMYFUNCTION("""COMPUTED_VALUE"""),"Developing")</f>
        <v>Developing</v>
      </c>
      <c r="X32" s="71" t="str">
        <f>IFERROR(__xludf.DUMMYFUNCTION("""COMPUTED_VALUE"""),"Developing")</f>
        <v>Developing</v>
      </c>
      <c r="Y32" s="71" t="str">
        <f>IFERROR(__xludf.DUMMYFUNCTION("""COMPUTED_VALUE"""),"Developing")</f>
        <v>Developing</v>
      </c>
      <c r="Z32" s="71"/>
    </row>
    <row r="33">
      <c r="A33" s="128">
        <f>IFERROR(__xludf.DUMMYFUNCTION("""COMPUTED_VALUE"""),45932.60044938658)</f>
        <v>45932.60045</v>
      </c>
      <c r="B33" s="71" t="str">
        <f>IFERROR(__xludf.DUMMYFUNCTION("""COMPUTED_VALUE"""),"king.bell@kairosacademies.org")</f>
        <v>king.bell@kairosacademies.org</v>
      </c>
      <c r="C33" s="71" t="str">
        <f>IFERROR(__xludf.DUMMYFUNCTION("""COMPUTED_VALUE"""),"Prompt 3")</f>
        <v>Prompt 3</v>
      </c>
      <c r="D33" s="71" t="str">
        <f>IFERROR(__xludf.DUMMYFUNCTION("""COMPUTED_VALUE""")," ""Both packs had a chemical reaction. Since they both created a temperature change, they must be releasing energy.""
It's a physical reaction because when the heat touches his hands it transferred thermal energy to his body.")</f>
        <v> "Both packs had a chemical reaction. Since they both created a temperature change, they must be releasing energy."
It's a physical reaction because when the heat touches his hands it transferred thermal energy to his body.</v>
      </c>
      <c r="E33" s="71" t="str">
        <f>IFERROR(__xludf.DUMMYFUNCTION("""COMPUTED_VALUE"""),"Yes")</f>
        <v>Yes</v>
      </c>
      <c r="F33" s="71" t="str">
        <f>IFERROR(__xludf.DUMMYFUNCTION("""COMPUTED_VALUE"""),"Yes")</f>
        <v>Yes</v>
      </c>
      <c r="G33" s="71" t="str">
        <f>IFERROR(__xludf.DUMMYFUNCTION("""COMPUTED_VALUE"""),"Partially")</f>
        <v>Partially</v>
      </c>
      <c r="H33" s="71" t="str">
        <f>IFERROR(__xludf.DUMMYFUNCTION("""COMPUTED_VALUE"""),"Yes")</f>
        <v>Yes</v>
      </c>
      <c r="I33" s="71" t="str">
        <f>IFERROR(__xludf.DUMMYFUNCTION("""COMPUTED_VALUE"""),"The evidence shows that a heat warmer is a chemical reaction. 
")</f>
        <v>The evidence shows that a heat warmer is a chemical reaction. 
</v>
      </c>
      <c r="J33" s="71" t="str">
        <f>IFERROR(__xludf.DUMMYFUNCTION("""COMPUTED_VALUE"""),"according to the text/data they all were not a chemical reaction.")</f>
        <v>according to the text/data they all were not a chemical reaction.</v>
      </c>
      <c r="K33" s="71"/>
      <c r="L33" s="71" t="str">
        <f>IFERROR(__xludf.DUMMYFUNCTION("""COMPUTED_VALUE"""),"Partially")</f>
        <v>Partially</v>
      </c>
      <c r="M33" s="71" t="str">
        <f>IFERROR(__xludf.DUMMYFUNCTION("""COMPUTED_VALUE"""),"Yes")</f>
        <v>Yes</v>
      </c>
      <c r="N33" s="71" t="str">
        <f>IFERROR(__xludf.DUMMYFUNCTION("""COMPUTED_VALUE"""),"Yes")</f>
        <v>Yes</v>
      </c>
      <c r="O33" s="71" t="str">
        <f>IFERROR(__xludf.DUMMYFUNCTION("""COMPUTED_VALUE"""),"Yes")</f>
        <v>Yes</v>
      </c>
      <c r="P33" s="71" t="str">
        <f>IFERROR(__xludf.DUMMYFUNCTION("""COMPUTED_VALUE"""),"Because the evidence shows that a heat warmer is a chemical reaction this shows according to the text/data they all were not a chemical reaction it highlights. Both packs had a chemical reaction. Since they both created a temperature change, they must be "&amp;"releasing energy. Therefore it is clear that when a heat warmer or a cold pack touches the body the energy moves through the body.")</f>
        <v>Because the evidence shows that a heat warmer is a chemical reaction this shows according to the text/data they all were not a chemical reaction it highlights. Both packs had a chemical reaction. Since they both created a temperature change, they must be releasing energy. Therefore it is clear that when a heat warmer or a cold pack touches the body the energy moves through the body.</v>
      </c>
      <c r="Q33" s="71" t="str">
        <f>IFERROR(__xludf.DUMMYFUNCTION("""COMPUTED_VALUE"""),"Yes")</f>
        <v>Yes</v>
      </c>
      <c r="R33" s="71" t="str">
        <f>IFERROR(__xludf.DUMMYFUNCTION("""COMPUTED_VALUE"""),"Yes")</f>
        <v>Yes</v>
      </c>
      <c r="S33" s="71" t="str">
        <f>IFERROR(__xludf.DUMMYFUNCTION("""COMPUTED_VALUE"""),"Yes")</f>
        <v>Yes</v>
      </c>
      <c r="T33" s="71" t="str">
        <f>IFERROR(__xludf.DUMMYFUNCTION("""COMPUTED_VALUE"""),"Partially")</f>
        <v>Partially</v>
      </c>
      <c r="U33" s="71" t="str">
        <f>IFERROR(__xludf.DUMMYFUNCTION("""COMPUTED_VALUE"""),"While some may argue that both is a chemical change the evidence clearly shows that a heat pack is physical change. ")</f>
        <v>While some may argue that both is a chemical change the evidence clearly shows that a heat pack is physical change. </v>
      </c>
      <c r="V33" s="71" t="str">
        <f>IFERROR(__xludf.DUMMYFUNCTION("""COMPUTED_VALUE"""),"Proficient")</f>
        <v>Proficient</v>
      </c>
      <c r="W33" s="71" t="str">
        <f>IFERROR(__xludf.DUMMYFUNCTION("""COMPUTED_VALUE"""),"Developing")</f>
        <v>Developing</v>
      </c>
      <c r="X33" s="71" t="str">
        <f>IFERROR(__xludf.DUMMYFUNCTION("""COMPUTED_VALUE"""),"Developing")</f>
        <v>Developing</v>
      </c>
      <c r="Y33" s="71" t="str">
        <f>IFERROR(__xludf.DUMMYFUNCTION("""COMPUTED_VALUE"""),"Proficient")</f>
        <v>Proficient</v>
      </c>
      <c r="Z33" s="71"/>
    </row>
    <row r="34">
      <c r="A34" s="128">
        <f>IFERROR(__xludf.DUMMYFUNCTION("""COMPUTED_VALUE"""),45925.66237578703)</f>
        <v>45925.66238</v>
      </c>
      <c r="B34" s="71" t="str">
        <f>IFERROR(__xludf.DUMMYFUNCTION("""COMPUTED_VALUE"""),"maleek.newland@kairosacademies.org")</f>
        <v>maleek.newland@kairosacademies.org</v>
      </c>
      <c r="C34" s="71" t="str">
        <f>IFERROR(__xludf.DUMMYFUNCTION("""COMPUTED_VALUE"""),"Prompt 3")</f>
        <v>Prompt 3</v>
      </c>
      <c r="D34" s="71" t="str">
        <f>IFERROR(__xludf.DUMMYFUNCTION("""COMPUTED_VALUE"""),"""Both packs had a chemical reaction. Since they both created a temperature change, they must be releasing energy")</f>
        <v>"Both packs had a chemical reaction. Since they both created a temperature change, they must be releasing energy</v>
      </c>
      <c r="E34" s="71" t="str">
        <f>IFERROR(__xludf.DUMMYFUNCTION("""COMPUTED_VALUE"""),"Partially")</f>
        <v>Partially</v>
      </c>
      <c r="F34" s="71" t="str">
        <f>IFERROR(__xludf.DUMMYFUNCTION("""COMPUTED_VALUE"""),"Partially")</f>
        <v>Partially</v>
      </c>
      <c r="G34" s="71" t="str">
        <f>IFERROR(__xludf.DUMMYFUNCTION("""COMPUTED_VALUE"""),"Partially")</f>
        <v>Partially</v>
      </c>
      <c r="H34" s="71" t="str">
        <f>IFERROR(__xludf.DUMMYFUNCTION("""COMPUTED_VALUE"""),"Partially")</f>
        <v>Partially</v>
      </c>
      <c r="I34" s="71" t="str">
        <f>IFERROR(__xludf.DUMMYFUNCTION("""COMPUTED_VALUE"""),"temp change is something that takes a long time to change due to the Earths thermal mass especially the oceans that absorbs and stores heat 
other reasons ice and snow reflect on heat")</f>
        <v>temp change is something that takes a long time to change due to the Earths thermal mass especially the oceans that absorbs and stores heat 
other reasons ice and snow reflect on heat</v>
      </c>
      <c r="J34" s="71" t="str">
        <f>IFERROR(__xludf.DUMMYFUNCTION("""COMPUTED_VALUE"""),"wik why dose it take long for temp change air has low thermal conductivity
it dose not heat or cool down ")</f>
        <v>wik why dose it take long for temp change air has low thermal conductivity
it dose not heat or cool down </v>
      </c>
      <c r="K34" s="71" t="str">
        <f>IFERROR(__xludf.DUMMYFUNCTION("""COMPUTED_VALUE"""),"every chemical reaction needs a certain amount of energy ")</f>
        <v>every chemical reaction needs a certain amount of energy </v>
      </c>
      <c r="L34" s="71" t="str">
        <f>IFERROR(__xludf.DUMMYFUNCTION("""COMPUTED_VALUE"""),"Yes")</f>
        <v>Yes</v>
      </c>
      <c r="M34" s="71" t="str">
        <f>IFERROR(__xludf.DUMMYFUNCTION("""COMPUTED_VALUE"""),"Partially")</f>
        <v>Partially</v>
      </c>
      <c r="N34" s="71" t="str">
        <f>IFERROR(__xludf.DUMMYFUNCTION("""COMPUTED_VALUE"""),"Yes")</f>
        <v>Yes</v>
      </c>
      <c r="O34" s="71" t="str">
        <f>IFERROR(__xludf.DUMMYFUNCTION("""COMPUTED_VALUE"""),"Partially")</f>
        <v>Partially</v>
      </c>
      <c r="P34" s="71" t="str">
        <f>IFERROR(__xludf.DUMMYFUNCTION("""COMPUTED_VALUE"""),"all of this has something to do with my claim so look like temp and reactions all has something to do with it ")</f>
        <v>all of this has something to do with my claim so look like temp and reactions all has something to do with it </v>
      </c>
      <c r="Q34" s="71" t="str">
        <f>IFERROR(__xludf.DUMMYFUNCTION("""COMPUTED_VALUE"""),"Yes")</f>
        <v>Yes</v>
      </c>
      <c r="R34" s="71" t="str">
        <f>IFERROR(__xludf.DUMMYFUNCTION("""COMPUTED_VALUE"""),"Yes")</f>
        <v>Yes</v>
      </c>
      <c r="S34" s="71" t="str">
        <f>IFERROR(__xludf.DUMMYFUNCTION("""COMPUTED_VALUE"""),"No")</f>
        <v>No</v>
      </c>
      <c r="T34" s="71" t="str">
        <f>IFERROR(__xludf.DUMMYFUNCTION("""COMPUTED_VALUE"""),"Partially")</f>
        <v>Partially</v>
      </c>
      <c r="U34" s="71" t="str">
        <f>IFERROR(__xludf.DUMMYFUNCTION("""COMPUTED_VALUE"""),"mines it becuase I used all facts that is something with mine and also I had mines on the spot like I use detail people pob did not know about")</f>
        <v>mines it becuase I used all facts that is something with mine and also I had mines on the spot like I use detail people pob did not know about</v>
      </c>
      <c r="V34" s="71" t="str">
        <f>IFERROR(__xludf.DUMMYFUNCTION("""COMPUTED_VALUE"""),"Developing")</f>
        <v>Developing</v>
      </c>
      <c r="W34" s="71" t="str">
        <f>IFERROR(__xludf.DUMMYFUNCTION("""COMPUTED_VALUE"""),"Developing")</f>
        <v>Developing</v>
      </c>
      <c r="X34" s="71" t="str">
        <f>IFERROR(__xludf.DUMMYFUNCTION("""COMPUTED_VALUE"""),"Beginning")</f>
        <v>Beginning</v>
      </c>
      <c r="Y34" s="71" t="str">
        <f>IFERROR(__xludf.DUMMYFUNCTION("""COMPUTED_VALUE"""),"Developing")</f>
        <v>Developing</v>
      </c>
      <c r="Z34" s="71"/>
    </row>
    <row r="35">
      <c r="A35" s="128">
        <f>IFERROR(__xludf.DUMMYFUNCTION("""COMPUTED_VALUE"""),45926.39510653935)</f>
        <v>45926.39511</v>
      </c>
      <c r="B35" s="71" t="str">
        <f>IFERROR(__xludf.DUMMYFUNCTION("""COMPUTED_VALUE"""),"henry.hardy@kairosacademies.org")</f>
        <v>henry.hardy@kairosacademies.org</v>
      </c>
      <c r="C35" s="71" t="str">
        <f>IFERROR(__xludf.DUMMYFUNCTION("""COMPUTED_VALUE"""),"Prompt 3")</f>
        <v>Prompt 3</v>
      </c>
      <c r="D35" s="71" t="str">
        <f>IFERROR(__xludf.DUMMYFUNCTION("""COMPUTED_VALUE"""),"Both packs had a chemical reaction. Since they both created a temperature change, they must be releasing energy or taking in energy to create there temperature")</f>
        <v>Both packs had a chemical reaction. Since they both created a temperature change, they must be releasing energy or taking in energy to create there temperature</v>
      </c>
      <c r="E35" s="71" t="str">
        <f>IFERROR(__xludf.DUMMYFUNCTION("""COMPUTED_VALUE"""),"Yes")</f>
        <v>Yes</v>
      </c>
      <c r="F35" s="71" t="str">
        <f>IFERROR(__xludf.DUMMYFUNCTION("""COMPUTED_VALUE"""),"Yes")</f>
        <v>Yes</v>
      </c>
      <c r="G35" s="71" t="str">
        <f>IFERROR(__xludf.DUMMYFUNCTION("""COMPUTED_VALUE"""),"Yes")</f>
        <v>Yes</v>
      </c>
      <c r="H35" s="71" t="str">
        <f>IFERROR(__xludf.DUMMYFUNCTION("""COMPUTED_VALUE"""),"Yes")</f>
        <v>Yes</v>
      </c>
      <c r="I35" s="71" t="str">
        <f>IFERROR(__xludf.DUMMYFUNCTION("""COMPUTED_VALUE"""),"The claim is wrong because it's basically saying that all temp changes are caused cause energy is realest.")</f>
        <v>The claim is wrong because it's basically saying that all temp changes are caused cause energy is realest.</v>
      </c>
      <c r="J35" s="71" t="str">
        <f>IFERROR(__xludf.DUMMYFUNCTION("""COMPUTED_VALUE"""),"Also the cold pack is doing the opposite of it by absorbing energy.")</f>
        <v>Also the cold pack is doing the opposite of it by absorbing energy.</v>
      </c>
      <c r="K35" s="71" t="str">
        <f>IFERROR(__xludf.DUMMYFUNCTION("""COMPUTED_VALUE"""),"Both processes are driven by a chemical reaction involving energy transfer, but in opposite directions.")</f>
        <v>Both processes are driven by a chemical reaction involving energy transfer, but in opposite directions.</v>
      </c>
      <c r="L35" s="71" t="str">
        <f>IFERROR(__xludf.DUMMYFUNCTION("""COMPUTED_VALUE"""),"Yes")</f>
        <v>Yes</v>
      </c>
      <c r="M35" s="71" t="str">
        <f>IFERROR(__xludf.DUMMYFUNCTION("""COMPUTED_VALUE"""),"Yes")</f>
        <v>Yes</v>
      </c>
      <c r="N35" s="71" t="str">
        <f>IFERROR(__xludf.DUMMYFUNCTION("""COMPUTED_VALUE"""),"Yes")</f>
        <v>Yes</v>
      </c>
      <c r="O35" s="71" t="str">
        <f>IFERROR(__xludf.DUMMYFUNCTION("""COMPUTED_VALUE"""),"Yes")</f>
        <v>Yes</v>
      </c>
      <c r="P35" s="71" t="str">
        <f>IFERROR(__xludf.DUMMYFUNCTION("""COMPUTED_VALUE"""),"Because of my evidence from piece #1 shows that no they aren't both releasing energy this shows the claim is wrong. Furthermore,because of my evidence from piece #2 it highlights the fact that cold pack is a parallel of the heat because it absorbs energy."&amp;" Therefore, based on all the evidence, it is clear that they both had chemical reactions that ended up in the temperature changing but for different reasons.")</f>
        <v>Because of my evidence from piece #1 shows that no they aren't both releasing energy this shows the claim is wrong. Furthermore,because of my evidence from piece #2 it highlights the fact that cold pack is a parallel of the heat because it absorbs energy. Therefore, based on all the evidence, it is clear that they both had chemical reactions that ended up in the temperature changing but for different reasons.</v>
      </c>
      <c r="Q35" s="71" t="str">
        <f>IFERROR(__xludf.DUMMYFUNCTION("""COMPUTED_VALUE"""),"Partially")</f>
        <v>Partially</v>
      </c>
      <c r="R35" s="71" t="str">
        <f>IFERROR(__xludf.DUMMYFUNCTION("""COMPUTED_VALUE"""),"Yes")</f>
        <v>Yes</v>
      </c>
      <c r="S35" s="71" t="str">
        <f>IFERROR(__xludf.DUMMYFUNCTION("""COMPUTED_VALUE"""),"Yes")</f>
        <v>Yes</v>
      </c>
      <c r="T35" s="71" t="str">
        <f>IFERROR(__xludf.DUMMYFUNCTION("""COMPUTED_VALUE"""),"Partially")</f>
        <v>Partially</v>
      </c>
      <c r="U35" s="71" t="str">
        <f>IFERROR(__xludf.DUMMYFUNCTION("""COMPUTED_VALUE"""),"While some may argue that they both release energy the evidence clearly shows that my evidence is stronger because i have multiple pieces of evidence.")</f>
        <v>While some may argue that they both release energy the evidence clearly shows that my evidence is stronger because i have multiple pieces of evidence.</v>
      </c>
      <c r="V35" s="71" t="str">
        <f>IFERROR(__xludf.DUMMYFUNCTION("""COMPUTED_VALUE"""),"Beginning")</f>
        <v>Beginning</v>
      </c>
      <c r="W35" s="71" t="str">
        <f>IFERROR(__xludf.DUMMYFUNCTION("""COMPUTED_VALUE"""),"Beginning")</f>
        <v>Beginning</v>
      </c>
      <c r="X35" s="71" t="str">
        <f>IFERROR(__xludf.DUMMYFUNCTION("""COMPUTED_VALUE"""),"Beginning")</f>
        <v>Beginning</v>
      </c>
      <c r="Y35" s="71" t="str">
        <f>IFERROR(__xludf.DUMMYFUNCTION("""COMPUTED_VALUE"""),"Beginning")</f>
        <v>Beginning</v>
      </c>
      <c r="Z35" s="71"/>
    </row>
    <row r="36">
      <c r="A36" s="128">
        <f>IFERROR(__xludf.DUMMYFUNCTION("""COMPUTED_VALUE"""),45926.39592922454)</f>
        <v>45926.39593</v>
      </c>
      <c r="B36" s="71" t="str">
        <f>IFERROR(__xludf.DUMMYFUNCTION("""COMPUTED_VALUE"""),"taylor.horton@kairosacademies.org")</f>
        <v>taylor.horton@kairosacademies.org</v>
      </c>
      <c r="C36" s="71" t="str">
        <f>IFERROR(__xludf.DUMMYFUNCTION("""COMPUTED_VALUE"""),"Prompt 1")</f>
        <v>Prompt 1</v>
      </c>
      <c r="D36" s="71" t="str">
        <f>IFERROR(__xludf.DUMMYFUNCTION("""COMPUTED_VALUE"""),"""The candle lost mass. This proves that when you burn something, you destroy matter."" The most likely explanation is this is wrong ")</f>
        <v>"The candle lost mass. This proves that when you burn something, you destroy matter." The most likely explanation is this is wrong </v>
      </c>
      <c r="E36" s="71" t="str">
        <f>IFERROR(__xludf.DUMMYFUNCTION("""COMPUTED_VALUE"""),"Yes")</f>
        <v>Yes</v>
      </c>
      <c r="F36" s="71" t="str">
        <f>IFERROR(__xludf.DUMMYFUNCTION("""COMPUTED_VALUE"""),"Yes")</f>
        <v>Yes</v>
      </c>
      <c r="G36" s="71" t="str">
        <f>IFERROR(__xludf.DUMMYFUNCTION("""COMPUTED_VALUE"""),"Yes")</f>
        <v>Yes</v>
      </c>
      <c r="H36" s="71" t="str">
        <f>IFERROR(__xludf.DUMMYFUNCTION("""COMPUTED_VALUE"""),"Yes")</f>
        <v>Yes</v>
      </c>
      <c r="I36" s="71" t="str">
        <f>IFERROR(__xludf.DUMMYFUNCTION("""COMPUTED_VALUE"""),"The evidence shows that matter can not be created or destroyed it can only change the link for my information. .https://chem.libretexts.org/Bookshelves/Introductory_Chemistry/Introductory_Chemistry_(LibreTexts)/03%3A_Matter_and_Energy/3.07%3A_Conservation"&amp;"_of_Mass_-_There_is_No_New_Matter")</f>
        <v>The evidence shows that matter can not be created or destroyed it can only change the link for my information. .https://chem.libretexts.org/Bookshelves/Introductory_Chemistry/Introductory_Chemistry_(LibreTexts)/03%3A_Matter_and_Energy/3.07%3A_Conservation_of_Mass_-_There_is_No_New_Matter</v>
      </c>
      <c r="J36" s="71" t="str">
        <f>IFERROR(__xludf.DUMMYFUNCTION("""COMPUTED_VALUE"""),"Candles lose mass because the wax burns and turns into gases (like carbon dioxide and water vapor) that float away the source of my information.
https://candles.org/candle-science/")</f>
        <v>Candles lose mass because the wax burns and turns into gases (like carbon dioxide and water vapor) that float away the source of my information.
https://candles.org/candle-science/</v>
      </c>
      <c r="K36" s="71"/>
      <c r="L36" s="71" t="str">
        <f>IFERROR(__xludf.DUMMYFUNCTION("""COMPUTED_VALUE"""),"Partially")</f>
        <v>Partially</v>
      </c>
      <c r="M36" s="71" t="str">
        <f>IFERROR(__xludf.DUMMYFUNCTION("""COMPUTED_VALUE"""),"Yes")</f>
        <v>Yes</v>
      </c>
      <c r="N36" s="71" t="str">
        <f>IFERROR(__xludf.DUMMYFUNCTION("""COMPUTED_VALUE"""),"Yes")</f>
        <v>Yes</v>
      </c>
      <c r="O36" s="71" t="str">
        <f>IFERROR(__xludf.DUMMYFUNCTION("""COMPUTED_VALUE"""),"Yes")</f>
        <v>Yes</v>
      </c>
      <c r="P36" s="71" t="str">
        <f>IFERROR(__xludf.DUMMYFUNCTION("""COMPUTED_VALUE"""),"My evidence supports the claim because as you can see the order peice of evidence proves that matter can not be destroyed or created therefore that means the its not being destroyed its changing and that connects my claim  to the second peice of evidence "&amp;"some of the wax burns and turns into a gas.")</f>
        <v>My evidence supports the claim because as you can see the order peice of evidence proves that matter can not be destroyed or created therefore that means the its not being destroyed its changing and that connects my claim  to the second peice of evidence some of the wax burns and turns into a gas.</v>
      </c>
      <c r="Q36" s="71" t="str">
        <f>IFERROR(__xludf.DUMMYFUNCTION("""COMPUTED_VALUE"""),"Yes")</f>
        <v>Yes</v>
      </c>
      <c r="R36" s="71" t="str">
        <f>IFERROR(__xludf.DUMMYFUNCTION("""COMPUTED_VALUE"""),"Partially")</f>
        <v>Partially</v>
      </c>
      <c r="S36" s="71" t="str">
        <f>IFERROR(__xludf.DUMMYFUNCTION("""COMPUTED_VALUE"""),"Yes")</f>
        <v>Yes</v>
      </c>
      <c r="T36" s="71" t="str">
        <f>IFERROR(__xludf.DUMMYFUNCTION("""COMPUTED_VALUE"""),"Yes")</f>
        <v>Yes</v>
      </c>
      <c r="U36" s="71" t="str">
        <f>IFERROR(__xludf.DUMMYFUNCTION("""COMPUTED_VALUE"""),"while some may argue that how can the candle turn into gas, but the evidence shows that the candles matter cant be destroyed or created only changed  ")</f>
        <v>while some may argue that how can the candle turn into gas, but the evidence shows that the candles matter cant be destroyed or created only changed  </v>
      </c>
      <c r="V36" s="71" t="str">
        <f>IFERROR(__xludf.DUMMYFUNCTION("""COMPUTED_VALUE"""),"Beginning")</f>
        <v>Beginning</v>
      </c>
      <c r="W36" s="71" t="str">
        <f>IFERROR(__xludf.DUMMYFUNCTION("""COMPUTED_VALUE"""),"Developing")</f>
        <v>Developing</v>
      </c>
      <c r="X36" s="71" t="str">
        <f>IFERROR(__xludf.DUMMYFUNCTION("""COMPUTED_VALUE"""),"Proficient")</f>
        <v>Proficient</v>
      </c>
      <c r="Y36" s="71" t="str">
        <f>IFERROR(__xludf.DUMMYFUNCTION("""COMPUTED_VALUE"""),"Developing")</f>
        <v>Developing</v>
      </c>
      <c r="Z36" s="71"/>
    </row>
    <row r="37">
      <c r="A37" s="128">
        <f>IFERROR(__xludf.DUMMYFUNCTION("""COMPUTED_VALUE"""),45926.39633862269)</f>
        <v>45926.39634</v>
      </c>
      <c r="B37" s="71" t="str">
        <f>IFERROR(__xludf.DUMMYFUNCTION("""COMPUTED_VALUE"""),"alejandro.mendieta@kairosacademies.org")</f>
        <v>alejandro.mendieta@kairosacademies.org</v>
      </c>
      <c r="C37" s="71" t="str">
        <f>IFERROR(__xludf.DUMMYFUNCTION("""COMPUTED_VALUE"""),"Prompt 3")</f>
        <v>Prompt 3</v>
      </c>
      <c r="D37" s="71" t="str">
        <f>IFERROR(__xludf.DUMMYFUNCTION("""COMPUTED_VALUE"""),"""Both packs had a chemical reaction. Since they both created a temperature change, they must be releasing energy.""
All temperature changes release energy.")</f>
        <v>"Both packs had a chemical reaction. Since they both created a temperature change, they must be releasing energy."
All temperature changes release energy.</v>
      </c>
      <c r="E37" s="71" t="str">
        <f>IFERROR(__xludf.DUMMYFUNCTION("""COMPUTED_VALUE"""),"Partially")</f>
        <v>Partially</v>
      </c>
      <c r="F37" s="71" t="str">
        <f>IFERROR(__xludf.DUMMYFUNCTION("""COMPUTED_VALUE"""),"Yes")</f>
        <v>Yes</v>
      </c>
      <c r="G37" s="71" t="str">
        <f>IFERROR(__xludf.DUMMYFUNCTION("""COMPUTED_VALUE"""),"Yes")</f>
        <v>Yes</v>
      </c>
      <c r="H37" s="71" t="str">
        <f>IFERROR(__xludf.DUMMYFUNCTION("""COMPUTED_VALUE"""),"Yes")</f>
        <v>Yes</v>
      </c>
      <c r="I37" s="71" t="str">
        <f>IFERROR(__xludf.DUMMYFUNCTION("""COMPUTED_VALUE"""),"When you open a disposable hand warmer, oxygen enters and reacts with the iron powder to cause oxidation, generating heat. The salt and water inside help with speeding up this reaction, while the charcoal and vermiculite help to evenly distribute the heat"&amp;" and regulate its release over several hours.
https://www.google.com/search?q=how+does+a+disposable+hand+warmer+work&amp;sca_esv=cda52438cd53ad97&amp;rlz=1CABQYG_enUS1181&amp;ei=jrLSaIq-LM7Ap84P4ovisQw&amp;oq=how+does+a+disposable+hand+&amp;gs_lp=Egxnd3Mtd2l6LXNlcnAiG2hvd"&amp;"yBkb2VzIGEgZGlzcG9zYWJsZSBoYW5kICoCCAAyBxAAGKkGGB4yBhAAGBYYHjIGEAAYFhgeMgYQABgWGB4yBhAAGBYYHjIIEAAYFhgKGB4yBhAAGBYYHjIGEAAYFhgeMgYQABgWGB4yBhAAGBYYHkjrzAFQ7w1YqLoBcAN4AZABAJgBd6ABpROqAQQyMi43uAEByAEA-AEBmAIgoAK5F6gCCsICEBAuGAMYtAIY6gIYjwHYAQHCAhAQABgDGLQC"&amp;"GOoCGI8B2AEBwgIKEAAYgAQYQxiKBcICDhAuGIAEGLEDGNEDGMcBwgIOEAAYgAQYsQMYgwEYigXCAgUQABiABMICFBAuGIAEGMcBGJgFGJ4FGI4FGK8BwgILEC4YgAQYsQMY1ALCAgsQLhiABBixAxiDAcICDhAuGIAEGLEDGIMBGIoFwgIaEC4YgAQYsQMY1AIYlwUY3AQY3gQY4ATYAQLCAgsQABiABBiRAhiKBcICCxAAGIAEGIYDGIoFmAM"&amp;"P8QX8_n1LA_H7ZLoGBAgBGAq6BgYIAhABGBSSBwUxNy4xNaAHrN4BsgcFMTQuMTW4B4cXwgcGMy0yNS43yAfaAw&amp;sclient=gws-wiz-serp&amp;safe=active&amp;ssui=on")</f>
        <v>When you open a disposable hand warmer, oxygen enters and reacts with the iron powder to cause oxidation, generating heat. The salt and water inside help with speeding up this reaction, while the charcoal and vermiculite help to evenly distribute the heat and regulate its release over several hours.
https://www.google.com/search?q=how+does+a+disposable+hand+warmer+work&amp;sca_esv=cda52438cd53ad97&amp;rlz=1CABQYG_enUS1181&amp;ei=jrLSaIq-LM7Ap84P4ovisQw&amp;oq=how+does+a+disposable+hand+&amp;gs_lp=Egxnd3Mtd2l6LXNlcnAiG2hvdyBkb2VzIGEgZGlzcG9zYWJsZSBoYW5kICoCCAAyBxAAGKkGGB4yBhAAGBYYHjIGEAAYFhgeMgYQABgWGB4yBhAAGBYYHjIIEAAYFhgKGB4yBhAAGBYYHjIGEAAYFhgeMgYQABgWGB4yBhAAGBYYHkjrzAFQ7w1YqLoBcAN4AZABAJgBd6ABpROqAQQyMi43uAEByAEA-AEBmAIgoAK5F6gCCsICEBAuGAMYtAIY6gIYjwHYAQHCAhAQABgDGLQCGOoCGI8B2AEBwgIKEAAYgAQYQxiKBcICDhAuGIAEGLEDGNEDGMcBwgIOEAAYgAQYsQMYgwEYigXCAgUQABiABMICFBAuGIAEGMcBGJgFGJ4FGI4FGK8BwgILEC4YgAQYsQMY1ALCAgsQLhiABBixAxiDAcICDhAuGIAEGLEDGIMBGIoFwgIaEC4YgAQYsQMY1AIYlwUY3AQY3gQY4ATYAQLCAgsQABiABBiRAhiKBcICCxAAGIAEGIYDGIoFmAMP8QX8_n1LA_H7ZLoGBAgBGAq6BgYIAhABGBSSBwUxNy4xNaAHrN4BsgcFMTQuMTW4B4cXwgcGMy0yNS43yAfaAw&amp;sclient=gws-wiz-serp&amp;safe=active&amp;ssui=on</v>
      </c>
      <c r="J37" s="71" t="str">
        <f>IFERROR(__xludf.DUMMYFUNCTION("""COMPUTED_VALUE"""),"Whenever you use an instant ice pack, a chemical reaction inside takes in heat from its surroundings when it mixes with the water inside. By squeezing the pack, you break an inner bag, releasing the water to dissolve the solid chemical, which consumes ene"&amp;"rgy from the environment to break its bonds, resulting in a sudden drop in temperature. This process rapidly cools the pack for immediate use on injuries or swelling.
https://www.google.com/search?q=how+does+an+instant+cold+pack+work&amp;sca_esv=cda52438cd5"&amp;"3ad97&amp;rlz=1CABQYG_enUS1181&amp;ei=8rHSaOPGFd7Ap84PrN-dqAQ&amp;oq=how+does+an+instant+&amp;gs_lp=Egxnd3Mtd2l6LXNlcnAiFGhvdyBkb2VzIGFuIGluc3RhbnQgKgIIATIFEAAYgAQyBRAAGIAEMgUQABiABDIFEAAYgAQyBRAAGIAEMgUQABiABDIFEAAYgAQyBRAAGIAEMgUQABiABDIFEAAYgARIljRQuwpY0iNwAXgBkAEBmAH"&amp;"eAaABqw2qAQYxNy4yLjG4AQHIAQD4AQGYAhSgAusOqAIKwgIQEAAYAxi0AhjqAhiPAdgBAcICEBAuGAMYtAIY6gIYjwHYAQHCAgsQABiABBiRAhiKBcICDhAuGIAEGLEDGNEDGMcBwgILEAAYgAQYsQMYgwHCAg4QLhiABBixAxiDARiKBcICCBAuGIAEGNQCwgIFEC4YgATCAgoQABiABBhDGIoFwgIUEC4YgAQYxwEYmAUYngUYjgUYrwHCAg"&amp;"sQLhiABBixAxjUAsICCBAAGIAEGLEDwgIOEAAYgAQYsQMYgwEYigXCAgsQLhiABBixAxiDAcICBBAAGAOYAxnxBeLnnZdcrx2hugYECAEYCpIHBDEyLjigB-GbAbIHBDExLji4B9EOwgcGMy05LjExyAeBAw&amp;sclient=gws-wiz-serp&amp;safe=active&amp;ssui=on")</f>
        <v>Whenever you use an instant ice pack, a chemical reaction inside takes in heat from its surroundings when it mixes with the water inside. By squeezing the pack, you break an inner bag, releasing the water to dissolve the solid chemical, which consumes energy from the environment to break its bonds, resulting in a sudden drop in temperature. This process rapidly cools the pack for immediate use on injuries or swelling.
https://www.google.com/search?q=how+does+an+instant+cold+pack+work&amp;sca_esv=cda52438cd53ad97&amp;rlz=1CABQYG_enUS1181&amp;ei=8rHSaOPGFd7Ap84PrN-dqAQ&amp;oq=how+does+an+instant+&amp;gs_lp=Egxnd3Mtd2l6LXNlcnAiFGhvdyBkb2VzIGFuIGluc3RhbnQgKgIIATIFEAAYgAQyBRAAGIAEMgUQABiABDIFEAAYgAQyBRAAGIAEMgUQABiABDIFEAAYgAQyBRAAGIAEMgUQABiABDIFEAAYgARIljRQuwpY0iNwAXgBkAEBmAHeAaABqw2qAQYxNy4yLjG4AQHIAQD4AQGYAhSgAusOqAIKwgIQEAAYAxi0AhjqAhiPAdgBAcICEBAuGAMYtAIY6gIYjwHYAQHCAgsQABiABBiRAhiKBcICDhAuGIAEGLEDGNEDGMcBwgILEAAYgAQYsQMYgwHCAg4QLhiABBixAxiDARiKBcICCBAuGIAEGNQCwgIFEC4YgATCAgoQABiABBhDGIoFwgIUEC4YgAQYxwEYmAUYngUYjgUYrwHCAgsQLhiABBixAxjUAsICCBAAGIAEGLEDwgIOEAAYgAQYsQMYgwEYigXCAgsQLhiABBixAxiDAcICBBAAGAOYAxnxBeLnnZdcrx2hugYECAEYCpIHBDEyLjigB-GbAbIHBDExLji4B9EOwgcGMy05LjExyAeBAw&amp;sclient=gws-wiz-serp&amp;safe=active&amp;ssui=on</v>
      </c>
      <c r="K37" s="71"/>
      <c r="L37" s="71" t="str">
        <f>IFERROR(__xludf.DUMMYFUNCTION("""COMPUTED_VALUE"""),"Partially")</f>
        <v>Partially</v>
      </c>
      <c r="M37" s="71" t="str">
        <f>IFERROR(__xludf.DUMMYFUNCTION("""COMPUTED_VALUE"""),"Yes")</f>
        <v>Yes</v>
      </c>
      <c r="N37" s="71" t="str">
        <f>IFERROR(__xludf.DUMMYFUNCTION("""COMPUTED_VALUE"""),"Yes")</f>
        <v>Yes</v>
      </c>
      <c r="O37" s="71" t="str">
        <f>IFERROR(__xludf.DUMMYFUNCTION("""COMPUTED_VALUE"""),"Yes")</f>
        <v>Yes</v>
      </c>
      <c r="P37" s="71" t="str">
        <f>IFERROR(__xludf.DUMMYFUNCTION("""COMPUTED_VALUE"""),"Because my evidence shows that chemical reactions change the temperature and that it makes energy")</f>
        <v>Because my evidence shows that chemical reactions change the temperature and that it makes energy</v>
      </c>
      <c r="Q37" s="71" t="str">
        <f>IFERROR(__xludf.DUMMYFUNCTION("""COMPUTED_VALUE"""),"Partially")</f>
        <v>Partially</v>
      </c>
      <c r="R37" s="71" t="str">
        <f>IFERROR(__xludf.DUMMYFUNCTION("""COMPUTED_VALUE"""),"Yes")</f>
        <v>Yes</v>
      </c>
      <c r="S37" s="71" t="str">
        <f>IFERROR(__xludf.DUMMYFUNCTION("""COMPUTED_VALUE"""),"Partially")</f>
        <v>Partially</v>
      </c>
      <c r="T37" s="71" t="str">
        <f>IFERROR(__xludf.DUMMYFUNCTION("""COMPUTED_VALUE"""),"Yes")</f>
        <v>Yes</v>
      </c>
      <c r="U37" s="71"/>
      <c r="V37" s="71" t="str">
        <f>IFERROR(__xludf.DUMMYFUNCTION("""COMPUTED_VALUE"""),"Proficient")</f>
        <v>Proficient</v>
      </c>
      <c r="W37" s="71" t="str">
        <f>IFERROR(__xludf.DUMMYFUNCTION("""COMPUTED_VALUE"""),"Developing")</f>
        <v>Developing</v>
      </c>
      <c r="X37" s="71" t="str">
        <f>IFERROR(__xludf.DUMMYFUNCTION("""COMPUTED_VALUE"""),"Developing")</f>
        <v>Developing</v>
      </c>
      <c r="Y37" s="71" t="str">
        <f>IFERROR(__xludf.DUMMYFUNCTION("""COMPUTED_VALUE"""),"Developing")</f>
        <v>Developing</v>
      </c>
      <c r="Z37" s="71"/>
    </row>
    <row r="38">
      <c r="A38" s="128">
        <f>IFERROR(__xludf.DUMMYFUNCTION("""COMPUTED_VALUE"""),45926.40224494213)</f>
        <v>45926.40224</v>
      </c>
      <c r="B38" s="71" t="str">
        <f>IFERROR(__xludf.DUMMYFUNCTION("""COMPUTED_VALUE"""),"kaegan.zimbelmann@kairosacademies.org")</f>
        <v>kaegan.zimbelmann@kairosacademies.org</v>
      </c>
      <c r="C38" s="71" t="str">
        <f>IFERROR(__xludf.DUMMYFUNCTION("""COMPUTED_VALUE"""),"Prompt 2")</f>
        <v>Prompt 2</v>
      </c>
      <c r="D38" s="71" t="str">
        <f>IFERROR(__xludf.DUMMYFUNCTION("""COMPUTED_VALUE"""),"""The candle lost mass. This proves that when you burn something, you destroy matter.""
")</f>
        <v>"The candle lost mass. This proves that when you burn something, you destroy matter."
</v>
      </c>
      <c r="E38" s="71" t="str">
        <f>IFERROR(__xludf.DUMMYFUNCTION("""COMPUTED_VALUE"""),"Partially")</f>
        <v>Partially</v>
      </c>
      <c r="F38" s="71" t="str">
        <f>IFERROR(__xludf.DUMMYFUNCTION("""COMPUTED_VALUE"""),"Partially")</f>
        <v>Partially</v>
      </c>
      <c r="G38" s="71" t="str">
        <f>IFERROR(__xludf.DUMMYFUNCTION("""COMPUTED_VALUE"""),"Partially")</f>
        <v>Partially</v>
      </c>
      <c r="H38" s="71" t="str">
        <f>IFERROR(__xludf.DUMMYFUNCTION("""COMPUTED_VALUE"""),"Yes")</f>
        <v>Yes</v>
      </c>
      <c r="I38" s="71" t="str">
        <f>IFERROR(__xludf.DUMMYFUNCTION("""COMPUTED_VALUE"""),"
https://www.google.com/search?q=how+does+fire+change+matter+into+a+different+form&amp;sca_esv=a5d06971ec5450ef&amp;rlz=1CAHTBP_enUS1181&amp;udm=50&amp;fbs=AIIjpHxU7SXXniUZfeShr2fp4giZ1Y6MJ25_tmWITc7uy4KIeoJTKjrFjVxydQWqI2NcOhZVmrJB8DQUK5IzxA2fZbQF4YL5sNSRJGgx0e9Z9AxEx"&amp;"1bmPbSY3ROQyoKhw9UuuwMa6u73fOSUeNMl3nUidiZzLnwz6Z8MHmWi4YdNSL-h_t8V7LARbEt0dOcH9HsmIXwiB-7_vX2wqahbyWxd3rXB8FJu8Q&amp;aep=1&amp;ntc=1&amp;sa=X&amp;ved=2ahUKEwisvpOel--PAxVj6skDHfN4M7IQ2J8OegQIERAE&amp;biw=1517&amp;bih=731&amp;dpr=0.9&amp;safe=active&amp;ssui=on&amp;mstk=AUtExfA7F8SawCK_dvELqMj2"&amp;"U5kSjqT3aHGyVgUvx5r4O4fSalL9FXY8ty0jsQJnC-nocWXEgIK0QJlo2cD9Sj6TsbLGu720pbqD9cUpTsVQz22DugpGGTX2CkNCj-8Rx-Cz8m25VzDEAMgTdW1w5ZjYV1VWNMQxrGGnJH8&amp;csuir=1
Fire changes matter into entirely different forms through a chemical process called combustion, or bur"&amp;"ning. This is not a physical change, like melting, but a chemical reaction that rearranges the atoms of the original substance into new products
")</f>
        <v>
https://www.google.com/search?q=how+does+fire+change+matter+into+a+different+form&amp;sca_esv=a5d06971ec5450ef&amp;rlz=1CAHTBP_enUS1181&amp;udm=50&amp;fbs=AIIjpHxU7SXXniUZfeShr2fp4giZ1Y6MJ25_tmWITc7uy4KIeoJTKjrFjVxydQWqI2NcOhZVmrJB8DQUK5IzxA2fZbQF4YL5sNSRJGgx0e9Z9AxEx1bmPbSY3ROQyoKhw9UuuwMa6u73fOSUeNMl3nUidiZzLnwz6Z8MHmWi4YdNSL-h_t8V7LARbEt0dOcH9HsmIXwiB-7_vX2wqahbyWxd3rXB8FJu8Q&amp;aep=1&amp;ntc=1&amp;sa=X&amp;ved=2ahUKEwisvpOel--PAxVj6skDHfN4M7IQ2J8OegQIERAE&amp;biw=1517&amp;bih=731&amp;dpr=0.9&amp;safe=active&amp;ssui=on&amp;mstk=AUtExfA7F8SawCK_dvELqMj2U5kSjqT3aHGyVgUvx5r4O4fSalL9FXY8ty0jsQJnC-nocWXEgIK0QJlo2cD9Sj6TsbLGu720pbqD9cUpTsVQz22DugpGGTX2CkNCj-8Rx-Cz8m25VzDEAMgTdW1w5ZjYV1VWNMQxrGGnJH8&amp;csuir=1
Fire changes matter into entirely different forms through a chemical process called combustion, or burning. This is not a physical change, like melting, but a chemical reaction that rearranges the atoms of the original substance into new products
</v>
      </c>
      <c r="J38" s="71" t="str">
        <f>IFERROR(__xludf.DUMMYFUNCTION("""COMPUTED_VALUE"""),"you cant destory matter but you can change it into differentsubstances 
https://www.google.com/search?q=does+fire+brun+matter+away&amp;sca_esv=cda52438cd53ad97&amp;rlz=1CAHTBP_enUS1181&amp;ei=P7nSaL-UB7G_p84PmbXYwAc&amp;ved=0ahUKEwj_r42Zlu-PAxWx38kDHZkaFngQ4dUDCBA&amp;uact="&amp;"5&amp;oq=does+fire+brun+matter+away&amp;gs_lp=Egxnd3Mtd2l6LXNlcnAiGmRvZXMgZmlyZSBicnVuIG1hdHRlciBhd2F5MgcQIRigARgKMgcQIRigARgKMgcQIRigARgKMgcQIRigARgKSK8NUMgGWMMLcAF4AZABAJgB2gGgAbQGqgEFMC4zLjK4AQPIAQD4AQGYAgagAq4HwgIKEAAYsAMY1gQYR8ICBhAAGBYYHsICCxAAGIAEGIYDGIoFw"&amp;"gIIEAAYgAQYogTCAgUQABjvBZgDAOIDBRIBMSBAiAYBkAYIkgcFMS4zLjKgB8QfsgcFMC4zLjK4B5gHwgcDMy02yAdT&amp;sclient=gws-wiz-serp&amp;safe=active&amp;ssui=on")</f>
        <v>you cant destory matter but you can change it into differentsubstances 
https://www.google.com/search?q=does+fire+brun+matter+away&amp;sca_esv=cda52438cd53ad97&amp;rlz=1CAHTBP_enUS1181&amp;ei=P7nSaL-UB7G_p84PmbXYwAc&amp;ved=0ahUKEwj_r42Zlu-PAxWx38kDHZkaFngQ4dUDCBA&amp;uact=5&amp;oq=does+fire+brun+matter+away&amp;gs_lp=Egxnd3Mtd2l6LXNlcnAiGmRvZXMgZmlyZSBicnVuIG1hdHRlciBhd2F5MgcQIRigARgKMgcQIRigARgKMgcQIRigARgKMgcQIRigARgKSK8NUMgGWMMLcAF4AZABAJgB2gGgAbQGqgEFMC4zLjK4AQPIAQD4AQGYAgagAq4HwgIKEAAYsAMY1gQYR8ICBhAAGBYYHsICCxAAGIAEGIYDGIoFwgIIEAAYgAQYogTCAgUQABjvBZgDAOIDBRIBMSBAiAYBkAYIkgcFMS4zLjKgB8QfsgcFMC4zLjK4B5gHwgcDMy02yAdT&amp;sclient=gws-wiz-serp&amp;safe=active&amp;ssui=on</v>
      </c>
      <c r="K38" s="71" t="str">
        <f>IFERROR(__xludf.DUMMYFUNCTION("""COMPUTED_VALUE""")," ")</f>
        <v> </v>
      </c>
      <c r="L38" s="71" t="str">
        <f>IFERROR(__xludf.DUMMYFUNCTION("""COMPUTED_VALUE"""),"Yes")</f>
        <v>Yes</v>
      </c>
      <c r="M38" s="71" t="str">
        <f>IFERROR(__xludf.DUMMYFUNCTION("""COMPUTED_VALUE"""),"Yes, Partially")</f>
        <v>Yes, Partially</v>
      </c>
      <c r="N38" s="71" t="str">
        <f>IFERROR(__xludf.DUMMYFUNCTION("""COMPUTED_VALUE"""),"Yes")</f>
        <v>Yes</v>
      </c>
      <c r="O38" s="71" t="str">
        <f>IFERROR(__xludf.DUMMYFUNCTION("""COMPUTED_VALUE"""),"Yes, Partially")</f>
        <v>Yes, Partially</v>
      </c>
      <c r="P38" s="71" t="str">
        <f>IFERROR(__xludf.DUMMYFUNCTION("""COMPUTED_VALUE"""),"cuz im 67 god  and i just KNOW its from a credible source and also ehhhhhhh mazing (conrad)")</f>
        <v>cuz im 67 god  and i just KNOW its from a credible source and also ehhhhhhh mazing (conrad)</v>
      </c>
      <c r="Q38" s="71" t="str">
        <f>IFERROR(__xludf.DUMMYFUNCTION("""COMPUTED_VALUE"""),"Yes, Partially")</f>
        <v>Yes, Partially</v>
      </c>
      <c r="R38" s="71" t="str">
        <f>IFERROR(__xludf.DUMMYFUNCTION("""COMPUTED_VALUE"""),"Yes, Partially")</f>
        <v>Yes, Partially</v>
      </c>
      <c r="S38" s="71" t="str">
        <f>IFERROR(__xludf.DUMMYFUNCTION("""COMPUTED_VALUE"""),"Yes, Partially")</f>
        <v>Yes, Partially</v>
      </c>
      <c r="T38" s="71" t="str">
        <f>IFERROR(__xludf.DUMMYFUNCTION("""COMPUTED_VALUE"""),"Yes, Partially")</f>
        <v>Yes, Partially</v>
      </c>
      <c r="U38" s="71"/>
      <c r="V38" s="71"/>
      <c r="W38" s="71"/>
      <c r="X38" s="71"/>
      <c r="Y38" s="71"/>
      <c r="Z38" s="71"/>
    </row>
    <row r="39">
      <c r="A39" s="128">
        <f>IFERROR(__xludf.DUMMYFUNCTION("""COMPUTED_VALUE"""),45926.41267179398)</f>
        <v>45926.41267</v>
      </c>
      <c r="B39" s="71" t="str">
        <f>IFERROR(__xludf.DUMMYFUNCTION("""COMPUTED_VALUE"""),"sariah.sanders@kairosacademies.org")</f>
        <v>sariah.sanders@kairosacademies.org</v>
      </c>
      <c r="C39" s="71" t="str">
        <f>IFERROR(__xludf.DUMMYFUNCTION("""COMPUTED_VALUE"""),"Prompt 3")</f>
        <v>Prompt 3</v>
      </c>
      <c r="D39" s="71" t="str">
        <f>IFERROR(__xludf.DUMMYFUNCTION("""COMPUTED_VALUE"""),"Both packs had some kind of reaction. They both had a temperature change. they also change in to there temperature and  i believe that the energy is releasing in a form of heat.")</f>
        <v>Both packs had some kind of reaction. They both had a temperature change. they also change in to there temperature and  i believe that the energy is releasing in a form of heat.</v>
      </c>
      <c r="E39" s="71" t="str">
        <f>IFERROR(__xludf.DUMMYFUNCTION("""COMPUTED_VALUE"""),"Yes")</f>
        <v>Yes</v>
      </c>
      <c r="F39" s="71" t="str">
        <f>IFERROR(__xludf.DUMMYFUNCTION("""COMPUTED_VALUE"""),"Partially")</f>
        <v>Partially</v>
      </c>
      <c r="G39" s="71" t="str">
        <f>IFERROR(__xludf.DUMMYFUNCTION("""COMPUTED_VALUE"""),"Partially")</f>
        <v>Partially</v>
      </c>
      <c r="H39" s="71" t="str">
        <f>IFERROR(__xludf.DUMMYFUNCTION("""COMPUTED_VALUE"""),"Yes")</f>
        <v>Yes</v>
      </c>
      <c r="I39" s="71" t="str">
        <f>IFERROR(__xludf.DUMMYFUNCTION("""COMPUTED_VALUE""")," According to google  hand warmers can produce from the heat exothermic oxidation of iron when exposed to air. The oxygen molecules in the air, together with the water. According to google cold packs the irons then forms bonds with the water,a process tha"&amp;"t releases energy.")</f>
        <v> According to google  hand warmers can produce from the heat exothermic oxidation of iron when exposed to air. The oxygen molecules in the air, together with the water. According to google cold packs the irons then forms bonds with the water,a process that releases energy.</v>
      </c>
      <c r="J39" s="71" t="str">
        <f>IFERROR(__xludf.DUMMYFUNCTION("""COMPUTED_VALUE"""),"Facts about hand warmers and cold packs. Hand warmers, however, because they are almost instantaneous, will also help avoid potential discomfort and frostbite. cold usually relieves more pain and more quickly than heat; 2) pain relief from cold lasts long"&amp;"er than pain relief from heat; and 3) cold is more effective in decreasing pain and swelling in the first 72 hours following an acute injury.")</f>
        <v>Facts about hand warmers and cold packs. Hand warmers, however, because they are almost instantaneous, will also help avoid potential discomfort and frostbite. cold usually relieves more pain and more quickly than heat; 2) pain relief from cold lasts longer than pain relief from heat; and 3) cold is more effective in decreasing pain and swelling in the first 72 hours following an acute injury.</v>
      </c>
      <c r="K39" s="71" t="str">
        <f>IFERROR(__xludf.DUMMYFUNCTION("""COMPUTED_VALUE"""),"hand warmers only last for a few hours to over ten hours. Cold packs only last for 15-30  min.")</f>
        <v>hand warmers only last for a few hours to over ten hours. Cold packs only last for 15-30  min.</v>
      </c>
      <c r="L39" s="71" t="str">
        <f>IFERROR(__xludf.DUMMYFUNCTION("""COMPUTED_VALUE"""),"No")</f>
        <v>No</v>
      </c>
      <c r="M39" s="71" t="str">
        <f>IFERROR(__xludf.DUMMYFUNCTION("""COMPUTED_VALUE"""),"Partially")</f>
        <v>Partially</v>
      </c>
      <c r="N39" s="71" t="str">
        <f>IFERROR(__xludf.DUMMYFUNCTION("""COMPUTED_VALUE"""),"Yes")</f>
        <v>Yes</v>
      </c>
      <c r="O39" s="71" t="str">
        <f>IFERROR(__xludf.DUMMYFUNCTION("""COMPUTED_VALUE"""),"Partially")</f>
        <v>Partially</v>
      </c>
      <c r="P39" s="71" t="str">
        <f>IFERROR(__xludf.DUMMYFUNCTION("""COMPUTED_VALUE"""),"Because therefore people know if the hand warmer and the cold pack have a type of energy.")</f>
        <v>Because therefore people know if the hand warmer and the cold pack have a type of energy.</v>
      </c>
      <c r="Q39" s="71" t="str">
        <f>IFERROR(__xludf.DUMMYFUNCTION("""COMPUTED_VALUE"""),"Yes")</f>
        <v>Yes</v>
      </c>
      <c r="R39" s="71" t="str">
        <f>IFERROR(__xludf.DUMMYFUNCTION("""COMPUTED_VALUE"""),"Partially")</f>
        <v>Partially</v>
      </c>
      <c r="S39" s="71" t="str">
        <f>IFERROR(__xludf.DUMMYFUNCTION("""COMPUTED_VALUE"""),"Partially")</f>
        <v>Partially</v>
      </c>
      <c r="T39" s="71" t="str">
        <f>IFERROR(__xludf.DUMMYFUNCTION("""COMPUTED_VALUE"""),"Partially")</f>
        <v>Partially</v>
      </c>
      <c r="U39" s="71" t="str">
        <f>IFERROR(__xludf.DUMMYFUNCTION("""COMPUTED_VALUE"""),"Some people will not agree with my evidence but that okay because it's my evidence not there's")</f>
        <v>Some people will not agree with my evidence but that okay because it's my evidence not there's</v>
      </c>
      <c r="V39" s="71" t="str">
        <f>IFERROR(__xludf.DUMMYFUNCTION("""COMPUTED_VALUE"""),"Developing")</f>
        <v>Developing</v>
      </c>
      <c r="W39" s="71" t="str">
        <f>IFERROR(__xludf.DUMMYFUNCTION("""COMPUTED_VALUE"""),"Developing")</f>
        <v>Developing</v>
      </c>
      <c r="X39" s="71" t="str">
        <f>IFERROR(__xludf.DUMMYFUNCTION("""COMPUTED_VALUE"""),"Beginning")</f>
        <v>Beginning</v>
      </c>
      <c r="Y39" s="71" t="str">
        <f>IFERROR(__xludf.DUMMYFUNCTION("""COMPUTED_VALUE"""),"Developing")</f>
        <v>Developing</v>
      </c>
      <c r="Z39" s="71"/>
    </row>
    <row r="40">
      <c r="A40" s="128">
        <f>IFERROR(__xludf.DUMMYFUNCTION("""COMPUTED_VALUE"""),45926.55589494213)</f>
        <v>45926.55589</v>
      </c>
      <c r="B40" s="71" t="str">
        <f>IFERROR(__xludf.DUMMYFUNCTION("""COMPUTED_VALUE"""),"miriam.morales@kairosacademies.org")</f>
        <v>miriam.morales@kairosacademies.org</v>
      </c>
      <c r="C40" s="71" t="str">
        <f>IFERROR(__xludf.DUMMYFUNCTION("""COMPUTED_VALUE"""),"Prompt 1")</f>
        <v>Prompt 1</v>
      </c>
      <c r="D40" s="71" t="str">
        <f>IFERROR(__xludf.DUMMYFUNCTION("""COMPUTED_VALUE"""),"The candle lost mass. This proves that when you burn something, the matter changes form from solid to liquid to gas.")</f>
        <v>The candle lost mass. This proves that when you burn something, the matter changes form from solid to liquid to gas.</v>
      </c>
      <c r="E40" s="71" t="str">
        <f>IFERROR(__xludf.DUMMYFUNCTION("""COMPUTED_VALUE"""),"Yes")</f>
        <v>Yes</v>
      </c>
      <c r="F40" s="71" t="str">
        <f>IFERROR(__xludf.DUMMYFUNCTION("""COMPUTED_VALUE"""),"Partially")</f>
        <v>Partially</v>
      </c>
      <c r="G40" s="71" t="str">
        <f>IFERROR(__xludf.DUMMYFUNCTION("""COMPUTED_VALUE"""),"Partially")</f>
        <v>Partially</v>
      </c>
      <c r="H40" s="71" t="str">
        <f>IFERROR(__xludf.DUMMYFUNCTION("""COMPUTED_VALUE"""),"Yes")</f>
        <v>Yes</v>
      </c>
      <c r="I40" s="71" t="str">
        <f>IFERROR(__xludf.DUMMYFUNCTION("""COMPUTED_VALUE"""),"Physical changes only change the appearance of a substance, not its chemical composition. Chemical changes cause a substance to change into an entirely substance with a new chemical formula.")</f>
        <v>Physical changes only change the appearance of a substance, not its chemical composition. Chemical changes cause a substance to change into an entirely substance with a new chemical formula.</v>
      </c>
      <c r="J40" s="130" t="str">
        <f>IFERROR(__xludf.DUMMYFUNCTION("""COMPUTED_VALUE"""),"https://www.vedantu.com/question-answer/melting-of-wax-is-a-change-a-physical-b-chemical-class-7-chemistry-cbse-5f087ec0832a2662986672f8")</f>
        <v>https://www.vedantu.com/question-answer/melting-of-wax-is-a-change-a-physical-b-chemical-class-7-chemistry-cbse-5f087ec0832a2662986672f8</v>
      </c>
      <c r="K40" s="71" t="str">
        <f>IFERROR(__xludf.DUMMYFUNCTION("""COMPUTED_VALUE"""),"At low temperatures, most substances are solid; as the temperature increases, they become liquid; at higher temperatures still, they become gaseous. The process of a solid becoming a liquid is called melting.")</f>
        <v>At low temperatures, most substances are solid; as the temperature increases, they become liquid; at higher temperatures still, they become gaseous. The process of a solid becoming a liquid is called melting.</v>
      </c>
      <c r="L40" s="71" t="str">
        <f>IFERROR(__xludf.DUMMYFUNCTION("""COMPUTED_VALUE"""),"Partially")</f>
        <v>Partially</v>
      </c>
      <c r="M40" s="71" t="str">
        <f>IFERROR(__xludf.DUMMYFUNCTION("""COMPUTED_VALUE"""),"Partially")</f>
        <v>Partially</v>
      </c>
      <c r="N40" s="71" t="str">
        <f>IFERROR(__xludf.DUMMYFUNCTION("""COMPUTED_VALUE"""),"Yes")</f>
        <v>Yes</v>
      </c>
      <c r="O40" s="71" t="str">
        <f>IFERROR(__xludf.DUMMYFUNCTION("""COMPUTED_VALUE"""),"Partially")</f>
        <v>Partially</v>
      </c>
      <c r="P40" s="71" t="str">
        <f>IFERROR(__xludf.DUMMYFUNCTION("""COMPUTED_VALUE"""),"Because physical changes only change the appearance of a substance, not its chemical composition. Chemical changes cause a substance to change into an entirely substance with a new chemical formula, this shows at low temperatures, most substances are soli"&amp;"d; as the temperature increases, they become liquid; at higher temperatures still, they become gaseous. Therefore the process of a solid becoming a liquid is called melting, it highlights  ")</f>
        <v>Because physical changes only change the appearance of a substance, not its chemical composition. Chemical changes cause a substance to change into an entirely substance with a new chemical formula, this shows at low temperatures, most substances are solid; as the temperature increases, they become liquid; at higher temperatures still, they become gaseous. Therefore the process of a solid becoming a liquid is called melting, it highlights  </v>
      </c>
      <c r="Q40" s="71" t="str">
        <f>IFERROR(__xludf.DUMMYFUNCTION("""COMPUTED_VALUE"""),"Partially")</f>
        <v>Partially</v>
      </c>
      <c r="R40" s="71" t="str">
        <f>IFERROR(__xludf.DUMMYFUNCTION("""COMPUTED_VALUE"""),"Yes")</f>
        <v>Yes</v>
      </c>
      <c r="S40" s="71" t="str">
        <f>IFERROR(__xludf.DUMMYFUNCTION("""COMPUTED_VALUE"""),"Yes")</f>
        <v>Yes</v>
      </c>
      <c r="T40" s="71" t="str">
        <f>IFERROR(__xludf.DUMMYFUNCTION("""COMPUTED_VALUE"""),"Partially")</f>
        <v>Partially</v>
      </c>
      <c r="U40" s="71" t="str">
        <f>IFERROR(__xludf.DUMMYFUNCTION("""COMPUTED_VALUE"""),"To address and refute an alternative explanation for why a candle loses mass, let's first consider a common alternative explanation: the idea that the mass loss of a candle could be due to evaporation of volatile compounds in the wax, rather than combusti"&amp;"on")</f>
        <v>To address and refute an alternative explanation for why a candle loses mass, let's first consider a common alternative explanation: the idea that the mass loss of a candle could be due to evaporation of volatile compounds in the wax, rather than combustion</v>
      </c>
      <c r="V40" s="71" t="str">
        <f>IFERROR(__xludf.DUMMYFUNCTION("""COMPUTED_VALUE"""),"Proficient")</f>
        <v>Proficient</v>
      </c>
      <c r="W40" s="71" t="str">
        <f>IFERROR(__xludf.DUMMYFUNCTION("""COMPUTED_VALUE"""),"Developing")</f>
        <v>Developing</v>
      </c>
      <c r="X40" s="71" t="str">
        <f>IFERROR(__xludf.DUMMYFUNCTION("""COMPUTED_VALUE"""),"Developing")</f>
        <v>Developing</v>
      </c>
      <c r="Y40" s="71" t="str">
        <f>IFERROR(__xludf.DUMMYFUNCTION("""COMPUTED_VALUE"""),"Beginning")</f>
        <v>Beginning</v>
      </c>
      <c r="Z40" s="71"/>
    </row>
    <row r="41">
      <c r="A41" s="128">
        <f>IFERROR(__xludf.DUMMYFUNCTION("""COMPUTED_VALUE"""),45926.57401690972)</f>
        <v>45926.57402</v>
      </c>
      <c r="B41" s="71" t="str">
        <f>IFERROR(__xludf.DUMMYFUNCTION("""COMPUTED_VALUE"""),"cyle.morris@kairosacademies.org")</f>
        <v>cyle.morris@kairosacademies.org</v>
      </c>
      <c r="C41" s="71" t="str">
        <f>IFERROR(__xludf.DUMMYFUNCTION("""COMPUTED_VALUE"""),"Prompt 2")</f>
        <v>Prompt 2</v>
      </c>
      <c r="D41" s="71" t="str">
        <f>IFERROR(__xludf.DUMMYFUNCTION("""COMPUTED_VALUE"""),"A classmate claims: ""Both packs had a chemical reaction. Since they both created a temperature change, they must be releasing energy.")</f>
        <v>A classmate claims: "Both packs had a chemical reaction. Since they both created a temperature change, they must be releasing energy.</v>
      </c>
      <c r="E41" s="71" t="str">
        <f>IFERROR(__xludf.DUMMYFUNCTION("""COMPUTED_VALUE"""),"Partially")</f>
        <v>Partially</v>
      </c>
      <c r="F41" s="71" t="str">
        <f>IFERROR(__xludf.DUMMYFUNCTION("""COMPUTED_VALUE"""),"No")</f>
        <v>No</v>
      </c>
      <c r="G41" s="71" t="str">
        <f>IFERROR(__xludf.DUMMYFUNCTION("""COMPUTED_VALUE"""),"Partially")</f>
        <v>Partially</v>
      </c>
      <c r="H41" s="71" t="str">
        <f>IFERROR(__xludf.DUMMYFUNCTION("""COMPUTED_VALUE"""),"Yes")</f>
        <v>Yes</v>
      </c>
      <c r="I41" s="71" t="str">
        <f>IFERROR(__xludf.DUMMYFUNCTION("""COMPUTED_VALUE"""),"INVESTIGATE THE SOURCE: Who is behind this information? What is their expertise? Do a quick search on the author or organization.")</f>
        <v>INVESTIGATE THE SOURCE: Who is behind this information? What is their expertise? Do a quick search on the author or organization.</v>
      </c>
      <c r="J41" s="71" t="str">
        <f>IFERROR(__xludf.DUMMYFUNCTION("""COMPUTED_VALUE"""),"T - TRACE CLAIMS TO THE ORIGINAL CONTEXT: Find the original source of the information (like the actual scientific study or the original document). Don't just trust a summary.")</f>
        <v>T - TRACE CLAIMS TO THE ORIGINAL CONTEXT: Find the original source of the information (like the actual scientific study or the original document). Don't just trust a summary.</v>
      </c>
      <c r="K41" s="71" t="str">
        <f>IFERROR(__xludf.DUMMYFUNCTION("""COMPUTED_VALUE"""),"F - FIND BETTER COVERAGE: Look for other sources. Do other credible sources report the same thing? Is there a consensus?")</f>
        <v>F - FIND BETTER COVERAGE: Look for other sources. Do other credible sources report the same thing? Is there a consensus?</v>
      </c>
      <c r="L41" s="71" t="str">
        <f>IFERROR(__xludf.DUMMYFUNCTION("""COMPUTED_VALUE"""),"Yes")</f>
        <v>Yes</v>
      </c>
      <c r="M41" s="71" t="str">
        <f>IFERROR(__xludf.DUMMYFUNCTION("""COMPUTED_VALUE"""),"Partially")</f>
        <v>Partially</v>
      </c>
      <c r="N41" s="71" t="str">
        <f>IFERROR(__xludf.DUMMYFUNCTION("""COMPUTED_VALUE"""),"Yes")</f>
        <v>Yes</v>
      </c>
      <c r="O41" s="71" t="str">
        <f>IFERROR(__xludf.DUMMYFUNCTION("""COMPUTED_VALUE"""),"No")</f>
        <v>No</v>
      </c>
      <c r="P41" s="71" t="str">
        <f>IFERROR(__xludf.DUMMYFUNCTION("""COMPUTED_VALUE"""),"THEREFORE [connect back to your claim and explain the significance]...
Sentence Starters:")</f>
        <v>THEREFORE [connect back to your claim and explain the significance]...
Sentence Starters:</v>
      </c>
      <c r="Q41" s="71" t="str">
        <f>IFERROR(__xludf.DUMMYFUNCTION("""COMPUTED_VALUE"""),"Partially")</f>
        <v>Partially</v>
      </c>
      <c r="R41" s="71" t="str">
        <f>IFERROR(__xludf.DUMMYFUNCTION("""COMPUTED_VALUE"""),"No")</f>
        <v>No</v>
      </c>
      <c r="S41" s="71" t="str">
        <f>IFERROR(__xludf.DUMMYFUNCTION("""COMPUTED_VALUE"""),"No")</f>
        <v>No</v>
      </c>
      <c r="T41" s="71" t="str">
        <f>IFERROR(__xludf.DUMMYFUNCTION("""COMPUTED_VALUE"""),"Partially")</f>
        <v>Partially</v>
      </c>
      <c r="U41" s="71" t="str">
        <f>IFERROR(__xludf.DUMMYFUNCTION("""COMPUTED_VALUE"""),"When specifically required by the assignment``")</f>
        <v>When specifically required by the assignment``</v>
      </c>
      <c r="V41" s="71" t="str">
        <f>IFERROR(__xludf.DUMMYFUNCTION("""COMPUTED_VALUE"""),"Proficient")</f>
        <v>Proficient</v>
      </c>
      <c r="W41" s="71" t="str">
        <f>IFERROR(__xludf.DUMMYFUNCTION("""COMPUTED_VALUE"""),"Proficient")</f>
        <v>Proficient</v>
      </c>
      <c r="X41" s="71" t="str">
        <f>IFERROR(__xludf.DUMMYFUNCTION("""COMPUTED_VALUE"""),"Beginning")</f>
        <v>Beginning</v>
      </c>
      <c r="Y41" s="71" t="str">
        <f>IFERROR(__xludf.DUMMYFUNCTION("""COMPUTED_VALUE"""),"Developing")</f>
        <v>Developing</v>
      </c>
      <c r="Z41" s="71"/>
    </row>
    <row r="42">
      <c r="A42" s="128">
        <f>IFERROR(__xludf.DUMMYFUNCTION("""COMPUTED_VALUE"""),45926.57900913194)</f>
        <v>45926.57901</v>
      </c>
      <c r="B42" s="71" t="str">
        <f>IFERROR(__xludf.DUMMYFUNCTION("""COMPUTED_VALUE"""),"jelon.knox@kairosacademies.org")</f>
        <v>jelon.knox@kairosacademies.org</v>
      </c>
      <c r="C42" s="71" t="str">
        <f>IFERROR(__xludf.DUMMYFUNCTION("""COMPUTED_VALUE"""),"Prompt 1")</f>
        <v>Prompt 1</v>
      </c>
      <c r="D42" s="71" t="str">
        <f>IFERROR(__xludf.DUMMYFUNCTION("""COMPUTED_VALUE"""),"when you burn something it does not lose matter because of the law of conversation of mass says that it can never be destroyed only change it's form ")</f>
        <v>when you burn something it does not lose matter because of the law of conversation of mass says that it can never be destroyed only change it's form </v>
      </c>
      <c r="E42" s="71" t="str">
        <f>IFERROR(__xludf.DUMMYFUNCTION("""COMPUTED_VALUE"""),"Yes")</f>
        <v>Yes</v>
      </c>
      <c r="F42" s="71" t="str">
        <f>IFERROR(__xludf.DUMMYFUNCTION("""COMPUTED_VALUE"""),"Partially")</f>
        <v>Partially</v>
      </c>
      <c r="G42" s="71" t="str">
        <f>IFERROR(__xludf.DUMMYFUNCTION("""COMPUTED_VALUE"""),"Yes")</f>
        <v>Yes</v>
      </c>
      <c r="H42" s="71" t="str">
        <f>IFERROR(__xludf.DUMMYFUNCTION("""COMPUTED_VALUE"""),"Yes")</f>
        <v>Yes</v>
      </c>
      <c r="I42" s="71" t="str">
        <f>IFERROR(__xludf.DUMMYFUNCTION("""COMPUTED_VALUE"""),"According to google.com AI Mode in a chemical reaction like combustion, the total mass of the reactants (the object and the oxygen from the air)is equal to the total mass of products(ashes,smoke,and gases).source link https://www.google.com/search?q=ai+mo"&amp;"de&amp;sca_esv=a0d1b552b0cbf3bf&amp;rlz=1CAHTBP_enUS1181&amp;udm=50&amp;fbs=AIIjpHxU7SXXniUZfeShr2fp4giZ1Y6MJ25_tmWITc7uy4KIeqDdErwP5rACeJAty2zADJjYuUnSkczEhozYdaq1wZrEheAY38UjnRKVLYFDREDmzxDQH5cf73Nv5SUwLly1WG2RRTz5Zp2Uvco3Dr76giEv7KoLdER8DerohCvE5WYq8IvfNQRQHkwcsZAmUfF"&amp;"I3CBSx3HjRSebGup2eLjFz8thpHIe2Q&amp;aep=1&amp;ntc=1&amp;sa=X&amp;ved=2ahUKEwi-5pXKhfePAxUGHNAFHbrMGMQQ2J8OegQIDxAE&amp;biw=1517&amp;bih=684&amp;dpr=0.9&amp;safe=active&amp;ssui=on&amp;mstk=AUtExfA5fkQQJsrJ9CL8yFbrJ-9OMraQAltaUR5uEXhcULAm_gGaSUnmEbMcH8KOWqZ8g0dTfWYuO1QtZtXTMigpShDwxpzb6Lg31flMVF"&amp;"nYhnZ460in9cPXz-NPNCvvj2LiydTh1KiyECJ86rnMZzK_0aUy-psaiNOJLcI&amp;csuir=1")</f>
        <v>According to google.com AI Mode in a chemical reaction like combustion, the total mass of the reactants (the object and the oxygen from the air)is equal to the total mass of products(ashes,smoke,and gases).source link https://www.google.com/search?q=ai+mode&amp;sca_esv=a0d1b552b0cbf3bf&amp;rlz=1CAHTBP_enUS1181&amp;udm=50&amp;fbs=AIIjpHxU7SXXniUZfeShr2fp4giZ1Y6MJ25_tmWITc7uy4KIeqDdErwP5rACeJAty2zADJjYuUnSkczEhozYdaq1wZrEheAY38UjnRKVLYFDREDmzxDQH5cf73Nv5SUwLly1WG2RRTz5Zp2Uvco3Dr76giEv7KoLdER8DerohCvE5WYq8IvfNQRQHkwcsZAmUfFI3CBSx3HjRSebGup2eLjFz8thpHIe2Q&amp;aep=1&amp;ntc=1&amp;sa=X&amp;ved=2ahUKEwi-5pXKhfePAxUGHNAFHbrMGMQQ2J8OegQIDxAE&amp;biw=1517&amp;bih=684&amp;dpr=0.9&amp;safe=active&amp;ssui=on&amp;mstk=AUtExfA5fkQQJsrJ9CL8yFbrJ-9OMraQAltaUR5uEXhcULAm_gGaSUnmEbMcH8KOWqZ8g0dTfWYuO1QtZtXTMigpShDwxpzb6Lg31flMVFnYhnZ460in9cPXz-NPNCvvj2LiydTh1KiyECJ86rnMZzK_0aUy-psaiNOJLcI&amp;csuir=1</v>
      </c>
      <c r="J42" s="71" t="str">
        <f>IFERROR(__xludf.DUMMYFUNCTION("""COMPUTED_VALUE"""),"According to Google.com /AI Mode; Matter is not destroyed when it burns;it simply  changes  form in a chemical reaction known as combustion . source Link (https://www.google.com/search?q=ai+mode&amp;sca_esv=a0d1b552b0cbf3bf&amp;rlz=1CAHTBP_enUS1181&amp;udm=50&amp;fbs=AII"&amp;"jpHxU7SXXniUZfeShr2fp4giZ1Y6MJ25_tmWITc7uy4KIeqDdErwP5rACeJAty2zADJjYuUnSkczEhozYdaq1wZrEheAY38UjnRKVLYFDREDmzxDQH5cf73Nv5SUwLly1WG2RRTz5Zp2Uvco3Dr76giEv7KoLdER8DerohCvE5WYq8IvfNQRQHkwcsZAmUfFI3CBSx3HjRSebGup2eLjFz8thpHIe2Q&amp;aep=1&amp;ntc=1&amp;sa=X&amp;ved=2ahUKEwi-5"&amp;"pXKhfePAxUGHNAFHbrMGMQQ2J8OegQIDxAE&amp;biw=1517&amp;bih=684&amp;dpr=0.9&amp;safe=active&amp;ssui=on&amp;mstk=AUtExfA5fkQQJsrJ9CL8yFbrJ-9OMraQAltaUR5uEXhcULAm_gGaSUnmEbMcH8KOWqZ8g0dTfWYuO1QtZtXTMigpShDwxpzb6Lg31flMVFnYhnZ460in9cPXz-NPNCvvj2LiydTh1KiyECJ86rnMZzK_0aUy-psaiNOJLcI&amp;c"&amp;"suir=1)")</f>
        <v>According to Google.com /AI Mode; Matter is not destroyed when it burns;it simply  changes  form in a chemical reaction known as combustion . source Link (https://www.google.com/search?q=ai+mode&amp;sca_esv=a0d1b552b0cbf3bf&amp;rlz=1CAHTBP_enUS1181&amp;udm=50&amp;fbs=AIIjpHxU7SXXniUZfeShr2fp4giZ1Y6MJ25_tmWITc7uy4KIeqDdErwP5rACeJAty2zADJjYuUnSkczEhozYdaq1wZrEheAY38UjnRKVLYFDREDmzxDQH5cf73Nv5SUwLly1WG2RRTz5Zp2Uvco3Dr76giEv7KoLdER8DerohCvE5WYq8IvfNQRQHkwcsZAmUfFI3CBSx3HjRSebGup2eLjFz8thpHIe2Q&amp;aep=1&amp;ntc=1&amp;sa=X&amp;ved=2ahUKEwi-5pXKhfePAxUGHNAFHbrMGMQQ2J8OegQIDxAE&amp;biw=1517&amp;bih=684&amp;dpr=0.9&amp;safe=active&amp;ssui=on&amp;mstk=AUtExfA5fkQQJsrJ9CL8yFbrJ-9OMraQAltaUR5uEXhcULAm_gGaSUnmEbMcH8KOWqZ8g0dTfWYuO1QtZtXTMigpShDwxpzb6Lg31flMVFnYhnZ460in9cPXz-NPNCvvj2LiydTh1KiyECJ86rnMZzK_0aUy-psaiNOJLcI&amp;csuir=1)</v>
      </c>
      <c r="K42" s="71" t="str">
        <f>IFERROR(__xludf.DUMMYFUNCTION("""COMPUTED_VALUE"""),"According to Google.com /AI Mode : This is explained by the Law of conservation of Mass which states that mass cannot be created or destroyed in a chemical reaction .source Link https://www.google.com/search?q=ai+mode&amp;sca_esv=a0d1b552b0cbf3bf&amp;rlz=1CAHTBP_"&amp;"enUS1181&amp;udm=50&amp;fbs=AIIjpHxU7SXXniUZfeShr2fp4giZ1Y6MJ25_tmWITc7uy4KIeqDdErwP5rACeJAty2zADJjYuUnSkczEhozYdaq1wZrEheAY38UjnRKVLYFDREDmzxDQH5cf73Nv5SUwLly1WG2RRTz5Zp2Uvco3Dr76giEv7KoLdER8DerohCvE5WYq8IvfNQRQHkwcsZAmUfFI3CBSx3HjRSebGup2eLjFz8thpHIe2Q&amp;aep=1&amp;nt"&amp;"c=1&amp;sa=X&amp;ved=2ahUKEwi-5pXKhfePAxUGHNAFHbrMGMQQ2J8OegQIDxAE&amp;biw=1517&amp;bih=684&amp;dpr=0.9&amp;safe=active&amp;ssui=on&amp;mstk=AUtExfA5fkQQJsrJ9CL8yFbrJ-9OMraQAltaUR5uEXhcULAm_gGaSUnmEbMcH8KOWqZ8g0dTfWYuO1QtZtXTMigpShDwxpzb6Lg31flMVFnYhnZ460in9cPXz-NPNCvvj2LiydTh1KiyECJ86r"&amp;"nMZzK_0aUy-psaiNOJLcI&amp;csuir=1")</f>
        <v>According to Google.com /AI Mode : This is explained by the Law of conservation of Mass which states that mass cannot be created or destroyed in a chemical reaction .source Link https://www.google.com/search?q=ai+mode&amp;sca_esv=a0d1b552b0cbf3bf&amp;rlz=1CAHTBP_enUS1181&amp;udm=50&amp;fbs=AIIjpHxU7SXXniUZfeShr2fp4giZ1Y6MJ25_tmWITc7uy4KIeqDdErwP5rACeJAty2zADJjYuUnSkczEhozYdaq1wZrEheAY38UjnRKVLYFDREDmzxDQH5cf73Nv5SUwLly1WG2RRTz5Zp2Uvco3Dr76giEv7KoLdER8DerohCvE5WYq8IvfNQRQHkwcsZAmUfFI3CBSx3HjRSebGup2eLjFz8thpHIe2Q&amp;aep=1&amp;ntc=1&amp;sa=X&amp;ved=2ahUKEwi-5pXKhfePAxUGHNAFHbrMGMQQ2J8OegQIDxAE&amp;biw=1517&amp;bih=684&amp;dpr=0.9&amp;safe=active&amp;ssui=on&amp;mstk=AUtExfA5fkQQJsrJ9CL8yFbrJ-9OMraQAltaUR5uEXhcULAm_gGaSUnmEbMcH8KOWqZ8g0dTfWYuO1QtZtXTMigpShDwxpzb6Lg31flMVFnYhnZ460in9cPXz-NPNCvvj2LiydTh1KiyECJ86rnMZzK_0aUy-psaiNOJLcI&amp;csuir=1</v>
      </c>
      <c r="L42" s="71" t="str">
        <f>IFERROR(__xludf.DUMMYFUNCTION("""COMPUTED_VALUE"""),"Partially")</f>
        <v>Partially</v>
      </c>
      <c r="M42" s="71" t="str">
        <f>IFERROR(__xludf.DUMMYFUNCTION("""COMPUTED_VALUE"""),"Yes")</f>
        <v>Yes</v>
      </c>
      <c r="N42" s="71" t="str">
        <f>IFERROR(__xludf.DUMMYFUNCTION("""COMPUTED_VALUE"""),"Yes")</f>
        <v>Yes</v>
      </c>
      <c r="O42" s="71" t="str">
        <f>IFERROR(__xludf.DUMMYFUNCTION("""COMPUTED_VALUE"""),"Yes")</f>
        <v>Yes</v>
      </c>
      <c r="P42" s="71" t="str">
        <f>IFERROR(__xludf.DUMMYFUNCTION("""COMPUTED_VALUE"""),"because of my evidence from piece 1 ")</f>
        <v>because of my evidence from piece 1 </v>
      </c>
      <c r="Q42" s="71" t="str">
        <f>IFERROR(__xludf.DUMMYFUNCTION("""COMPUTED_VALUE"""),"Yes")</f>
        <v>Yes</v>
      </c>
      <c r="R42" s="71" t="str">
        <f>IFERROR(__xludf.DUMMYFUNCTION("""COMPUTED_VALUE"""),"Yes")</f>
        <v>Yes</v>
      </c>
      <c r="S42" s="71" t="str">
        <f>IFERROR(__xludf.DUMMYFUNCTION("""COMPUTED_VALUE"""),"Partially, No")</f>
        <v>Partially, No</v>
      </c>
      <c r="T42" s="71" t="str">
        <f>IFERROR(__xludf.DUMMYFUNCTION("""COMPUTED_VALUE"""),"Yes")</f>
        <v>Yes</v>
      </c>
      <c r="U42" s="71" t="str">
        <f>IFERROR(__xludf.DUMMYFUNCTION("""COMPUTED_VALUE"""),"when you burn something it does not lose matter because of the law of conversation of mass says that it can never be destroyed only change it's form ")</f>
        <v>when you burn something it does not lose matter because of the law of conversation of mass says that it can never be destroyed only change it's form </v>
      </c>
      <c r="V42" s="71" t="str">
        <f>IFERROR(__xludf.DUMMYFUNCTION("""COMPUTED_VALUE"""),"Proficient")</f>
        <v>Proficient</v>
      </c>
      <c r="W42" s="71" t="str">
        <f>IFERROR(__xludf.DUMMYFUNCTION("""COMPUTED_VALUE"""),"Developing")</f>
        <v>Developing</v>
      </c>
      <c r="X42" s="71" t="str">
        <f>IFERROR(__xludf.DUMMYFUNCTION("""COMPUTED_VALUE"""),"Proficient")</f>
        <v>Proficient</v>
      </c>
      <c r="Y42" s="71" t="str">
        <f>IFERROR(__xludf.DUMMYFUNCTION("""COMPUTED_VALUE"""),"Proficient")</f>
        <v>Proficient</v>
      </c>
      <c r="Z42" s="71"/>
    </row>
    <row r="43">
      <c r="A43" s="128">
        <f>IFERROR(__xludf.DUMMYFUNCTION("""COMPUTED_VALUE"""),45926.58586021991)</f>
        <v>45926.58586</v>
      </c>
      <c r="B43" s="71" t="str">
        <f>IFERROR(__xludf.DUMMYFUNCTION("""COMPUTED_VALUE"""),"caylin.brown@kairosacademies.org")</f>
        <v>caylin.brown@kairosacademies.org</v>
      </c>
      <c r="C43" s="71" t="str">
        <f>IFERROR(__xludf.DUMMYFUNCTION("""COMPUTED_VALUE"""),"Prompt 1")</f>
        <v>Prompt 1</v>
      </c>
      <c r="D43" s="71" t="str">
        <f>IFERROR(__xludf.DUMMYFUNCTION("""COMPUTED_VALUE"""),"They candle lost mass. Since i know matter is never destoryed i conclude that only the energy is lost.")</f>
        <v>They candle lost mass. Since i know matter is never destoryed i conclude that only the energy is lost.</v>
      </c>
      <c r="E43" s="71" t="str">
        <f>IFERROR(__xludf.DUMMYFUNCTION("""COMPUTED_VALUE"""),"Partially")</f>
        <v>Partially</v>
      </c>
      <c r="F43" s="71" t="str">
        <f>IFERROR(__xludf.DUMMYFUNCTION("""COMPUTED_VALUE"""),"Yes")</f>
        <v>Yes</v>
      </c>
      <c r="G43" s="71" t="str">
        <f>IFERROR(__xludf.DUMMYFUNCTION("""COMPUTED_VALUE"""),"Yes")</f>
        <v>Yes</v>
      </c>
      <c r="H43" s="71" t="str">
        <f>IFERROR(__xludf.DUMMYFUNCTION("""COMPUTED_VALUE"""),"Partially")</f>
        <v>Partially</v>
      </c>
      <c r="I43" s="71" t="str">
        <f>IFERROR(__xludf.DUMMYFUNCTION("""COMPUTED_VALUE"""),"The evidence that is supporting my claim is that the smoke is a mass and it is forming into a gas.")</f>
        <v>The evidence that is supporting my claim is that the smoke is a mass and it is forming into a gas.</v>
      </c>
      <c r="J43" s="71" t="str">
        <f>IFERROR(__xludf.DUMMYFUNCTION("""COMPUTED_VALUE"""),"Facts about my claim is that my claim is a mass and it involes a lot of science.")</f>
        <v>Facts about my claim is that my claim is a mass and it involes a lot of science.</v>
      </c>
      <c r="K43" s="71" t="str">
        <f>IFERROR(__xludf.DUMMYFUNCTION("""COMPUTED_VALUE"""),"I notice that the mass from the candle wasnt destroyed, but it was transformed into gas.")</f>
        <v>I notice that the mass from the candle wasnt destroyed, but it was transformed into gas.</v>
      </c>
      <c r="L43" s="71" t="str">
        <f>IFERROR(__xludf.DUMMYFUNCTION("""COMPUTED_VALUE"""),"Partially")</f>
        <v>Partially</v>
      </c>
      <c r="M43" s="71" t="str">
        <f>IFERROR(__xludf.DUMMYFUNCTION("""COMPUTED_VALUE"""),"Yes")</f>
        <v>Yes</v>
      </c>
      <c r="N43" s="71" t="str">
        <f>IFERROR(__xludf.DUMMYFUNCTION("""COMPUTED_VALUE"""),"Yes")</f>
        <v>Yes</v>
      </c>
      <c r="O43" s="71" t="str">
        <f>IFERROR(__xludf.DUMMYFUNCTION("""COMPUTED_VALUE"""),"Partially")</f>
        <v>Partially</v>
      </c>
      <c r="P43" s="71" t="str">
        <f>IFERROR(__xludf.DUMMYFUNCTION("""COMPUTED_VALUE"""),"Because of my evidence from piece 1 this shows that the evidence that is supporting my claim is that the smoke is a mass and it is forming into a gas. Furthermore because of my evidence from piece 2 it highlights connects to the claim. Therefor based on a"&amp;"ll the evidence it is clear that mass is forming into a gas.")</f>
        <v>Because of my evidence from piece 1 this shows that the evidence that is supporting my claim is that the smoke is a mass and it is forming into a gas. Furthermore because of my evidence from piece 2 it highlights connects to the claim. Therefor based on all the evidence it is clear that mass is forming into a gas.</v>
      </c>
      <c r="Q43" s="71" t="str">
        <f>IFERROR(__xludf.DUMMYFUNCTION("""COMPUTED_VALUE"""),"Partially")</f>
        <v>Partially</v>
      </c>
      <c r="R43" s="71" t="str">
        <f>IFERROR(__xludf.DUMMYFUNCTION("""COMPUTED_VALUE"""),"Partially")</f>
        <v>Partially</v>
      </c>
      <c r="S43" s="71" t="str">
        <f>IFERROR(__xludf.DUMMYFUNCTION("""COMPUTED_VALUE"""),"Yes")</f>
        <v>Yes</v>
      </c>
      <c r="T43" s="71" t="str">
        <f>IFERROR(__xludf.DUMMYFUNCTION("""COMPUTED_VALUE"""),"Yes")</f>
        <v>Yes</v>
      </c>
      <c r="U43" s="71" t="str">
        <f>IFERROR(__xludf.DUMMYFUNCTION("""COMPUTED_VALUE"""),"while some may argue that a mass cant form into a gas the evidence cleary shows that i know that a mass can form into a gas because the addition of energy, and also it increases the motion and kinetic energy of the substance's molecules. ")</f>
        <v>while some may argue that a mass cant form into a gas the evidence cleary shows that i know that a mass can form into a gas because the addition of energy, and also it increases the motion and kinetic energy of the substance's molecules. </v>
      </c>
      <c r="V43" s="71" t="str">
        <f>IFERROR(__xludf.DUMMYFUNCTION("""COMPUTED_VALUE"""),"Beginning")</f>
        <v>Beginning</v>
      </c>
      <c r="W43" s="71" t="str">
        <f>IFERROR(__xludf.DUMMYFUNCTION("""COMPUTED_VALUE"""),"Developing")</f>
        <v>Developing</v>
      </c>
      <c r="X43" s="71" t="str">
        <f>IFERROR(__xludf.DUMMYFUNCTION("""COMPUTED_VALUE"""),"Proficient")</f>
        <v>Proficient</v>
      </c>
      <c r="Y43" s="71" t="str">
        <f>IFERROR(__xludf.DUMMYFUNCTION("""COMPUTED_VALUE"""),"Developing")</f>
        <v>Developing</v>
      </c>
      <c r="Z43" s="71"/>
    </row>
    <row r="44">
      <c r="A44" s="128">
        <f>IFERROR(__xludf.DUMMYFUNCTION("""COMPUTED_VALUE"""),45926.58588951389)</f>
        <v>45926.58589</v>
      </c>
      <c r="B44" s="71" t="str">
        <f>IFERROR(__xludf.DUMMYFUNCTION("""COMPUTED_VALUE"""),"charlotte.williams@kairosacademies.org")</f>
        <v>charlotte.williams@kairosacademies.org</v>
      </c>
      <c r="C44" s="71" t="str">
        <f>IFERROR(__xludf.DUMMYFUNCTION("""COMPUTED_VALUE"""),"Prompt 1")</f>
        <v>Prompt 1</v>
      </c>
      <c r="D44" s="71" t="str">
        <f>IFERROR(__xludf.DUMMYFUNCTION("""COMPUTED_VALUE"""),"The candle lost mass.Since i know matter is never destroyed, i conclude that only the energy is lost. ")</f>
        <v>The candle lost mass.Since i know matter is never destroyed, i conclude that only the energy is lost. </v>
      </c>
      <c r="E44" s="71" t="str">
        <f>IFERROR(__xludf.DUMMYFUNCTION("""COMPUTED_VALUE"""),"Partially")</f>
        <v>Partially</v>
      </c>
      <c r="F44" s="71" t="str">
        <f>IFERROR(__xludf.DUMMYFUNCTION("""COMPUTED_VALUE"""),"Yes")</f>
        <v>Yes</v>
      </c>
      <c r="G44" s="71" t="str">
        <f>IFERROR(__xludf.DUMMYFUNCTION("""COMPUTED_VALUE"""),"Yes")</f>
        <v>Yes</v>
      </c>
      <c r="H44" s="71" t="str">
        <f>IFERROR(__xludf.DUMMYFUNCTION("""COMPUTED_VALUE"""),"Partially")</f>
        <v>Partially</v>
      </c>
      <c r="I44" s="71" t="str">
        <f>IFERROR(__xludf.DUMMYFUNCTION("""COMPUTED_VALUE"""),"The evidence that supports my claim is that the smoke is a mass and it is turning into a gas.")</f>
        <v>The evidence that supports my claim is that the smoke is a mass and it is turning into a gas.</v>
      </c>
      <c r="J44" s="71" t="str">
        <f>IFERROR(__xludf.DUMMYFUNCTION("""COMPUTED_VALUE"""),"Facts about my claim is that my claim is a mass and it involves an lot of science.")</f>
        <v>Facts about my claim is that my claim is a mass and it involves an lot of science.</v>
      </c>
      <c r="K44" s="71" t="str">
        <f>IFERROR(__xludf.DUMMYFUNCTION("""COMPUTED_VALUE"""),"I noticed that the mass from the candle wasnt destroyed, but it was transformed into gas.")</f>
        <v>I noticed that the mass from the candle wasnt destroyed, but it was transformed into gas.</v>
      </c>
      <c r="L44" s="71" t="str">
        <f>IFERROR(__xludf.DUMMYFUNCTION("""COMPUTED_VALUE"""),"Yes")</f>
        <v>Yes</v>
      </c>
      <c r="M44" s="71" t="str">
        <f>IFERROR(__xludf.DUMMYFUNCTION("""COMPUTED_VALUE"""),"Yes")</f>
        <v>Yes</v>
      </c>
      <c r="N44" s="71" t="str">
        <f>IFERROR(__xludf.DUMMYFUNCTION("""COMPUTED_VALUE"""),"Yes")</f>
        <v>Yes</v>
      </c>
      <c r="O44" s="71" t="str">
        <f>IFERROR(__xludf.DUMMYFUNCTION("""COMPUTED_VALUE"""),"Yes")</f>
        <v>Yes</v>
      </c>
      <c r="P44" s="71" t="str">
        <f>IFERROR(__xludf.DUMMYFUNCTION("""COMPUTED_VALUE"""),"Because of my evidence from piece 1 this shows that the evidence that is supporting my claim is that the smoke is a mass and it is forming into a gas. Futhermore because of my evidence from piece 2 it highlights conecets to the claim. Therefore based on a"&amp;"ll the evidence is it clear that mass is forming into a gas.")</f>
        <v>Because of my evidence from piece 1 this shows that the evidence that is supporting my claim is that the smoke is a mass and it is forming into a gas. Futhermore because of my evidence from piece 2 it highlights conecets to the claim. Therefore based on all the evidence is it clear that mass is forming into a gas.</v>
      </c>
      <c r="Q44" s="71" t="str">
        <f>IFERROR(__xludf.DUMMYFUNCTION("""COMPUTED_VALUE"""),"Yes")</f>
        <v>Yes</v>
      </c>
      <c r="R44" s="71" t="str">
        <f>IFERROR(__xludf.DUMMYFUNCTION("""COMPUTED_VALUE"""),"Yes")</f>
        <v>Yes</v>
      </c>
      <c r="S44" s="71" t="str">
        <f>IFERROR(__xludf.DUMMYFUNCTION("""COMPUTED_VALUE"""),"Yes")</f>
        <v>Yes</v>
      </c>
      <c r="T44" s="71" t="str">
        <f>IFERROR(__xludf.DUMMYFUNCTION("""COMPUTED_VALUE"""),"Yes")</f>
        <v>Yes</v>
      </c>
      <c r="U44" s="71" t="str">
        <f>IFERROR(__xludf.DUMMYFUNCTION("""COMPUTED_VALUE"""),"while some may argue that a mass cant form into a gas the evidence clearly shows that i know that mass can form into a gas because the addition of energy, and also it increases the motion and kinetic energy of the substances molecules.")</f>
        <v>while some may argue that a mass cant form into a gas the evidence clearly shows that i know that mass can form into a gas because the addition of energy, and also it increases the motion and kinetic energy of the substances molecules.</v>
      </c>
      <c r="V44" s="71" t="str">
        <f>IFERROR(__xludf.DUMMYFUNCTION("""COMPUTED_VALUE"""),"Beginning")</f>
        <v>Beginning</v>
      </c>
      <c r="W44" s="71" t="str">
        <f>IFERROR(__xludf.DUMMYFUNCTION("""COMPUTED_VALUE"""),"Developing")</f>
        <v>Developing</v>
      </c>
      <c r="X44" s="71" t="str">
        <f>IFERROR(__xludf.DUMMYFUNCTION("""COMPUTED_VALUE"""),"Proficient")</f>
        <v>Proficient</v>
      </c>
      <c r="Y44" s="71" t="str">
        <f>IFERROR(__xludf.DUMMYFUNCTION("""COMPUTED_VALUE"""),"Developing")</f>
        <v>Developing</v>
      </c>
      <c r="Z44" s="71"/>
    </row>
    <row r="45">
      <c r="A45" s="128">
        <f>IFERROR(__xludf.DUMMYFUNCTION("""COMPUTED_VALUE"""),45926.587268020834)</f>
        <v>45926.58727</v>
      </c>
      <c r="B45" s="71" t="str">
        <f>IFERROR(__xludf.DUMMYFUNCTION("""COMPUTED_VALUE"""),"zariah.scales@kairosacademies.org")</f>
        <v>zariah.scales@kairosacademies.org</v>
      </c>
      <c r="C45" s="71" t="str">
        <f>IFERROR(__xludf.DUMMYFUNCTION("""COMPUTED_VALUE"""),"Prompt 1")</f>
        <v>Prompt 1</v>
      </c>
      <c r="D45" s="71" t="str">
        <f>IFERROR(__xludf.DUMMYFUNCTION("""COMPUTED_VALUE"""),"When you burn something it does not lose matter because of the Law of Conversaton of Mass says that it cannot be created or destroyed therefore, the mass is turned into smoke")</f>
        <v>When you burn something it does not lose matter because of the Law of Conversaton of Mass says that it cannot be created or destroyed therefore, the mass is turned into smoke</v>
      </c>
      <c r="E45" s="71" t="str">
        <f>IFERROR(__xludf.DUMMYFUNCTION("""COMPUTED_VALUE"""),"Yes")</f>
        <v>Yes</v>
      </c>
      <c r="F45" s="71" t="str">
        <f>IFERROR(__xludf.DUMMYFUNCTION("""COMPUTED_VALUE"""),"Partially")</f>
        <v>Partially</v>
      </c>
      <c r="G45" s="71" t="str">
        <f>IFERROR(__xludf.DUMMYFUNCTION("""COMPUTED_VALUE"""),"Yes")</f>
        <v>Yes</v>
      </c>
      <c r="H45" s="71" t="str">
        <f>IFERROR(__xludf.DUMMYFUNCTION("""COMPUTED_VALUE"""),"Yes")</f>
        <v>Yes</v>
      </c>
      <c r="I45" s="71" t="str">
        <f>IFERROR(__xludf.DUMMYFUNCTION("""COMPUTED_VALUE"""),"According to google.com AI Mode in a chemical reaction like combustion , the total mass of the reactants(the object and the oxygen from the air ) https://www.google.com/search?q=ai+mode&amp;sca_esv=a0d1b552b0cbf3bf&amp;rlz=1CABQYG_enUS1181&amp;udm=50&amp;fbs=AIIjpHxU7SXX"&amp;"niUZfeShr2fp4giZ1Y6MJ25_tmWITc7uy4KIeqDdErwP5rACeJAty2zADJjYuUnSkczEhozYdaq1wZrEheAY38UjnRKVLYFDREDmzxDQH5cf73Nv5SUwLly1WG2RRTz5Zp2Uvco3Dr76giEv7KoLdER8DerohCvE5WYq8IvfNQRQHkwcsZAmUfFI3CBSx3HjRSebGup2eLjFz8thpHIe2Q&amp;aep=1&amp;ntc=1&amp;sa=X&amp;sqi=2&amp;ved=2ahUKEwie0L3T"&amp;"hfePAxViv4kEHS_hM9EQ2J8OegQIERAE&amp;biw=1517&amp;bih=684&amp;dpr=0.9&amp;safe=active&amp;ssui=on&amp;mstk=AUtExfByk54jemOTDqFnmXm70t7CBN2EFKJYGtYEwdMZSKfUv-KlFLOfhhkeq78BXx0weXgrevGZg3eiIN5xeEBKxOy5CHK7HtPVudDK4zBY2mSPMb1p7J-WhDcQW79bcHrupyfFbKjK5CuCTz8Ssb5fetpw2B4neSbnwU8&amp;csui"&amp;"r=1")</f>
        <v>According to google.com AI Mode in a chemical reaction like combustion , the total mass of the reactants(the object and the oxygen from the air ) https://www.google.com/search?q=ai+mode&amp;sca_esv=a0d1b552b0cbf3bf&amp;rlz=1CABQYG_enUS1181&amp;udm=50&amp;fbs=AIIjpHxU7SXXniUZfeShr2fp4giZ1Y6MJ25_tmWITc7uy4KIeqDdErwP5rACeJAty2zADJjYuUnSkczEhozYdaq1wZrEheAY38UjnRKVLYFDREDmzxDQH5cf73Nv5SUwLly1WG2RRTz5Zp2Uvco3Dr76giEv7KoLdER8DerohCvE5WYq8IvfNQRQHkwcsZAmUfFI3CBSx3HjRSebGup2eLjFz8thpHIe2Q&amp;aep=1&amp;ntc=1&amp;sa=X&amp;sqi=2&amp;ved=2ahUKEwie0L3ThfePAxViv4kEHS_hM9EQ2J8OegQIERAE&amp;biw=1517&amp;bih=684&amp;dpr=0.9&amp;safe=active&amp;ssui=on&amp;mstk=AUtExfByk54jemOTDqFnmXm70t7CBN2EFKJYGtYEwdMZSKfUv-KlFLOfhhkeq78BXx0weXgrevGZg3eiIN5xeEBKxOy5CHK7HtPVudDK4zBY2mSPMb1p7J-WhDcQW79bcHrupyfFbKjK5CuCTz8Ssb5fetpw2B4neSbnwU8&amp;csuir=1</v>
      </c>
      <c r="J45" s="71" t="str">
        <f>IFERROR(__xludf.DUMMYFUNCTION("""COMPUTED_VALUE"""),"According to google.com / AI mode Matter is not destroyed when it burns it simply changes form in a chemical reaction known combustion . source link (https://www.google.com/search?q=ai+mode&amp;sca_esv=a0d1b552b0cbf3bf&amp;rlz=1CABQYG_enUS1181&amp;udm=50&amp;fbs=AIIjpHxU"&amp;"7SXXniUZfeShr2fp4giZ1Y6MJ25_tmWITc7uy4KIeqDdErwP5rACeJAty2zADJjYuUnSkczEhozYdaq1wZrEheAY38UjnRKVLYFDREDmzxDQH5cf73Nv5SUwLly1WG2RRTz5Zp2Uvco3Dr76giEv7KoLdER8DerohCvE5WYq8IvfNQRQHkwcsZAmUfFI3CBSx3HjRSebGup2eLjFz8thpHIe2Q&amp;aep=1&amp;ntc=1&amp;sa=X&amp;sqi=2&amp;ved=2ahUKEwie"&amp;"0L3ThfePAxViv4kEHS_hM9EQ2J8OegQIERAE&amp;biw=1517&amp;bih=684&amp;dpr=0.9&amp;safe=active&amp;ssui=on&amp;mstk=AUtExfByk54jemOTDqFnmXm70t7CBN2EFKJYGtYEwdMZSKfUv-KlFLOfhhkeq78BXx0weXgrevGZg3eiIN5xeEBKxOy5CHK7HtPVudDK4zBY2mSPMb1p7J-WhDcQW79bcHrupyfFbKjK5CuCTz8Ssb5fetpw2B4neSbnwU8&amp;"&amp;"csuir=1) ")</f>
        <v>According to google.com / AI mode Matter is not destroyed when it burns it simply changes form in a chemical reaction known combustion . source link (https://www.google.com/search?q=ai+mode&amp;sca_esv=a0d1b552b0cbf3bf&amp;rlz=1CABQYG_enUS1181&amp;udm=50&amp;fbs=AIIjpHxU7SXXniUZfeShr2fp4giZ1Y6MJ25_tmWITc7uy4KIeqDdErwP5rACeJAty2zADJjYuUnSkczEhozYdaq1wZrEheAY38UjnRKVLYFDREDmzxDQH5cf73Nv5SUwLly1WG2RRTz5Zp2Uvco3Dr76giEv7KoLdER8DerohCvE5WYq8IvfNQRQHkwcsZAmUfFI3CBSx3HjRSebGup2eLjFz8thpHIe2Q&amp;aep=1&amp;ntc=1&amp;sa=X&amp;sqi=2&amp;ved=2ahUKEwie0L3ThfePAxViv4kEHS_hM9EQ2J8OegQIERAE&amp;biw=1517&amp;bih=684&amp;dpr=0.9&amp;safe=active&amp;ssui=on&amp;mstk=AUtExfByk54jemOTDqFnmXm70t7CBN2EFKJYGtYEwdMZSKfUv-KlFLOfhhkeq78BXx0weXgrevGZg3eiIN5xeEBKxOy5CHK7HtPVudDK4zBY2mSPMb1p7J-WhDcQW79bcHrupyfFbKjK5CuCTz8Ssb5fetpw2B4neSbnwU8&amp;csuir=1) </v>
      </c>
      <c r="K45" s="71" t="str">
        <f>IFERROR(__xludf.DUMMYFUNCTION("""COMPUTED_VALUE"""),"According to google.com/ AI Mode . This is explained by the law of conversation of mass, Which States")</f>
        <v>According to google.com/ AI Mode . This is explained by the law of conversation of mass, Which States</v>
      </c>
      <c r="L45" s="71" t="str">
        <f>IFERROR(__xludf.DUMMYFUNCTION("""COMPUTED_VALUE"""),"Partially")</f>
        <v>Partially</v>
      </c>
      <c r="M45" s="71" t="str">
        <f>IFERROR(__xludf.DUMMYFUNCTION("""COMPUTED_VALUE"""),"Yes")</f>
        <v>Yes</v>
      </c>
      <c r="N45" s="71" t="str">
        <f>IFERROR(__xludf.DUMMYFUNCTION("""COMPUTED_VALUE"""),"Yes")</f>
        <v>Yes</v>
      </c>
      <c r="O45" s="71" t="str">
        <f>IFERROR(__xludf.DUMMYFUNCTION("""COMPUTED_VALUE"""),"Yes")</f>
        <v>Yes</v>
      </c>
      <c r="P45" s="71" t="str">
        <f>IFERROR(__xludf.DUMMYFUNCTION("""COMPUTED_VALUE"""),"Because of my evidence in piece #1 ")</f>
        <v>Because of my evidence in piece #1 </v>
      </c>
      <c r="Q45" s="71" t="str">
        <f>IFERROR(__xludf.DUMMYFUNCTION("""COMPUTED_VALUE"""),"Yes")</f>
        <v>Yes</v>
      </c>
      <c r="R45" s="71" t="str">
        <f>IFERROR(__xludf.DUMMYFUNCTION("""COMPUTED_VALUE"""),"Yes")</f>
        <v>Yes</v>
      </c>
      <c r="S45" s="71" t="str">
        <f>IFERROR(__xludf.DUMMYFUNCTION("""COMPUTED_VALUE"""),"Partially, No")</f>
        <v>Partially, No</v>
      </c>
      <c r="T45" s="71" t="str">
        <f>IFERROR(__xludf.DUMMYFUNCTION("""COMPUTED_VALUE"""),"Yes")</f>
        <v>Yes</v>
      </c>
      <c r="U45" s="71" t="str">
        <f>IFERROR(__xludf.DUMMYFUNCTION("""COMPUTED_VALUE"""),"When you burn something it does not lose matter because of the Law of Conversaton of Mass says that it cannot be created or destroyed therefore, the mass is turned into smoke")</f>
        <v>When you burn something it does not lose matter because of the Law of Conversaton of Mass says that it cannot be created or destroyed therefore, the mass is turned into smoke</v>
      </c>
      <c r="V45" s="71" t="str">
        <f>IFERROR(__xludf.DUMMYFUNCTION("""COMPUTED_VALUE"""),"Proficient")</f>
        <v>Proficient</v>
      </c>
      <c r="W45" s="71" t="str">
        <f>IFERROR(__xludf.DUMMYFUNCTION("""COMPUTED_VALUE"""),"Proficient")</f>
        <v>Proficient</v>
      </c>
      <c r="X45" s="71" t="str">
        <f>IFERROR(__xludf.DUMMYFUNCTION("""COMPUTED_VALUE"""),"Proficient")</f>
        <v>Proficient</v>
      </c>
      <c r="Y45" s="71" t="str">
        <f>IFERROR(__xludf.DUMMYFUNCTION("""COMPUTED_VALUE"""),"Proficient")</f>
        <v>Proficient</v>
      </c>
      <c r="Z45" s="71"/>
    </row>
    <row r="46">
      <c r="A46" s="128">
        <f>IFERROR(__xludf.DUMMYFUNCTION("""COMPUTED_VALUE"""),45926.616703101856)</f>
        <v>45926.6167</v>
      </c>
      <c r="B46" s="71" t="str">
        <f>IFERROR(__xludf.DUMMYFUNCTION("""COMPUTED_VALUE"""),"estrella.hurtado-garcia@kairosacademies.org")</f>
        <v>estrella.hurtado-garcia@kairosacademies.org</v>
      </c>
      <c r="C46" s="71" t="str">
        <f>IFERROR(__xludf.DUMMYFUNCTION("""COMPUTED_VALUE"""),"Prompt 2")</f>
        <v>Prompt 2</v>
      </c>
      <c r="D46" s="71" t="str">
        <f>IFERROR(__xludf.DUMMYFUNCTION("""COMPUTED_VALUE"""),"Based on the data and the student claim the student claim is right but the classmate's  claim is not scientifically correct  because it involves a chemical change not a physical one.The loss of mass (due to gas release) shows that mass was not conserved i"&amp;"n the way it would be in a physical change.
 Thus, the classmate's claim that the tablet just dissolved is incorrect.   
//sites.tufts.edu/middleschoolcheme/2020/06/19/the-alka-seltzer-reaction/")</f>
        <v>Based on the data and the student claim the student claim is right but the classmate's  claim is not scientifically correct  because it involves a chemical change not a physical one.The loss of mass (due to gas release) shows that mass was not conserved in the way it would be in a physical change.
 Thus, the classmate's claim that the tablet just dissolved is incorrect.   
//sites.tufts.edu/middleschoolcheme/2020/06/19/the-alka-seltzer-reaction/</v>
      </c>
      <c r="E46" s="71" t="str">
        <f>IFERROR(__xludf.DUMMYFUNCTION("""COMPUTED_VALUE"""),"Yes")</f>
        <v>Yes</v>
      </c>
      <c r="F46" s="71" t="str">
        <f>IFERROR(__xludf.DUMMYFUNCTION("""COMPUTED_VALUE"""),"Yes")</f>
        <v>Yes</v>
      </c>
      <c r="G46" s="71" t="str">
        <f>IFERROR(__xludf.DUMMYFUNCTION("""COMPUTED_VALUE"""),"Yes")</f>
        <v>Yes</v>
      </c>
      <c r="H46" s="71" t="str">
        <f>IFERROR(__xludf.DUMMYFUNCTION("""COMPUTED_VALUE"""),"Yes")</f>
        <v>Yes</v>
      </c>
      <c r="I46" s="71" t="str">
        <f>IFERROR(__xludf.DUMMYFUNCTION("""COMPUTED_VALUE"""),"According to  the  text  this is a chemical change, not a physical one  because the loss of mass (due to gas release) shows that mass was not conserved in the way it would be in a physical change. The loss of mass further supports the idea that a gas (CO₂"&amp;") was released during the reaction, which is inconsistent with a simple physical change like dissolving.
https://sites.tufts.edu/middleschoolcheme/2020/06/19/the-alka-seltzer-reaction/")</f>
        <v>According to  the  text  this is a chemical change, not a physical one  because the loss of mass (due to gas release) shows that mass was not conserved in the way it would be in a physical change. The loss of mass further supports the idea that a gas (CO₂) was released during the reaction, which is inconsistent with a simple physical change like dissolving.
https://sites.tufts.edu/middleschoolcheme/2020/06/19/the-alka-seltzer-reaction/</v>
      </c>
      <c r="J46" s="71" t="str">
        <f>IFERROR(__xludf.DUMMYFUNCTION("""COMPUTED_VALUE"""),"If the tablet had only dissolved (like sugar), the total mass on the scale would still be 105 g. Dissolving doesn't make mass vanish. The fact the scale reads 1. The fizzing is evidence of a chemical reaction.
https://sites.tufts.edu/middleschoolcheme/20"&amp;"20/06/19/the-alka-seltzer-reaction/")</f>
        <v>If the tablet had only dissolved (like sugar), the total mass on the scale would still be 105 g. Dissolving doesn't make mass vanish. The fact the scale reads 1. The fizzing is evidence of a chemical reaction.
https://sites.tufts.edu/middleschoolcheme/2020/06/19/the-alka-seltzer-reaction/</v>
      </c>
      <c r="K46" s="71" t="str">
        <f>IFERROR(__xludf.DUMMYFUNCTION("""COMPUTED_VALUE"""),"The fizzing is evidence of a chemical reaction.
Alka-Seltzer tablets typically contain sodium bicarbonate (NaHCO3) and citric acid. When they meet water they chemically react to form new substances and produce carbon dioxide gas (COz) (that's the fizz). 
"&amp;"
https://sites.tufts.edu/middleschoolcheme/2020/06/19/the-alka-seltzer-reaction/")</f>
        <v>The fizzing is evidence of a chemical reaction.
Alka-Seltzer tablets typically contain sodium bicarbonate (NaHCO3) and citric acid. When they meet water they chemically react to form new substances and produce carbon dioxide gas (COz) (that's the fizz). 
https://sites.tufts.edu/middleschoolcheme/2020/06/19/the-alka-seltzer-reaction/</v>
      </c>
      <c r="L46" s="71" t="str">
        <f>IFERROR(__xludf.DUMMYFUNCTION("""COMPUTED_VALUE"""),"Yes")</f>
        <v>Yes</v>
      </c>
      <c r="M46" s="71" t="str">
        <f>IFERROR(__xludf.DUMMYFUNCTION("""COMPUTED_VALUE"""),"Yes")</f>
        <v>Yes</v>
      </c>
      <c r="N46" s="71" t="str">
        <f>IFERROR(__xludf.DUMMYFUNCTION("""COMPUTED_VALUE"""),"Partially")</f>
        <v>Partially</v>
      </c>
      <c r="O46" s="71" t="str">
        <f>IFERROR(__xludf.DUMMYFUNCTION("""COMPUTED_VALUE"""),"Partially")</f>
        <v>Partially</v>
      </c>
      <c r="P46" s="71" t="str">
        <f>IFERROR(__xludf.DUMMYFUNCTION("""COMPUTED_VALUE"""),"Because of my evidence from piece 1 it shows that this involves a chemical change, not a physical one this shows Chemical reactions occur when bonds within molecules are broken or formed. There are several things that signify that a chemical reaction took"&amp;" place. These include a change in color, the production of a gas or solid, and of course a change in chemical composition. Furthermore, because of my evidence from piece 2 it highlights 
Chemical reactions occur when bonds within molecules are broken or f"&amp;"ormed. There are several things that signify that a chemical reaction took place. Therefore, based on all the evidence, it is clear that this chemical change and not a physical change.")</f>
        <v>Because of my evidence from piece 1 it shows that this involves a chemical change, not a physical one this shows Chemical reactions occur when bonds within molecules are broken or formed. There are several things that signify that a chemical reaction took place. These include a change in color, the production of a gas or solid, and of course a change in chemical composition. Furthermore, because of my evidence from piece 2 it highlights 
Chemical reactions occur when bonds within molecules are broken or formed. There are several things that signify that a chemical reaction took place. Therefore, based on all the evidence, it is clear that this chemical change and not a physical change.</v>
      </c>
      <c r="Q46" s="71" t="str">
        <f>IFERROR(__xludf.DUMMYFUNCTION("""COMPUTED_VALUE"""),"Yes")</f>
        <v>Yes</v>
      </c>
      <c r="R46" s="71" t="str">
        <f>IFERROR(__xludf.DUMMYFUNCTION("""COMPUTED_VALUE"""),"Yes")</f>
        <v>Yes</v>
      </c>
      <c r="S46" s="71" t="str">
        <f>IFERROR(__xludf.DUMMYFUNCTION("""COMPUTED_VALUE"""),"Yes")</f>
        <v>Yes</v>
      </c>
      <c r="T46" s="71" t="str">
        <f>IFERROR(__xludf.DUMMYFUNCTION("""COMPUTED_VALUE"""),"Yes")</f>
        <v>Yes</v>
      </c>
      <c r="U46" s="71" t="str">
        <f>IFERROR(__xludf.DUMMYFUNCTION("""COMPUTED_VALUE""")," While some may say the tablet just dissolved like sugar, the evidence proves otherwise. If it only dissolved, the mass would still be 105 g. Instead, the scale dropped to 103.5 g because gas escaped. The fizzing and bubbles show a new substance (CO₂) was"&amp;" made, so this was a chemical change.")</f>
        <v> While some may say the tablet just dissolved like sugar, the evidence proves otherwise. If it only dissolved, the mass would still be 105 g. Instead, the scale dropped to 103.5 g because gas escaped. The fizzing and bubbles show a new substance (CO₂) was made, so this was a chemical change.</v>
      </c>
      <c r="V46" s="71" t="str">
        <f>IFERROR(__xludf.DUMMYFUNCTION("""COMPUTED_VALUE"""),"Developing")</f>
        <v>Developing</v>
      </c>
      <c r="W46" s="71" t="str">
        <f>IFERROR(__xludf.DUMMYFUNCTION("""COMPUTED_VALUE"""),"Developing")</f>
        <v>Developing</v>
      </c>
      <c r="X46" s="71" t="str">
        <f>IFERROR(__xludf.DUMMYFUNCTION("""COMPUTED_VALUE"""),"Developing")</f>
        <v>Developing</v>
      </c>
      <c r="Y46" s="71" t="str">
        <f>IFERROR(__xludf.DUMMYFUNCTION("""COMPUTED_VALUE"""),"Developing")</f>
        <v>Developing</v>
      </c>
      <c r="Z46" s="71"/>
    </row>
    <row r="47">
      <c r="A47" s="128">
        <f>IFERROR(__xludf.DUMMYFUNCTION("""COMPUTED_VALUE"""),45926.625192858795)</f>
        <v>45926.62519</v>
      </c>
      <c r="B47" s="71" t="str">
        <f>IFERROR(__xludf.DUMMYFUNCTION("""COMPUTED_VALUE"""),"matthias.schlemmer@kairosacademies.org")</f>
        <v>matthias.schlemmer@kairosacademies.org</v>
      </c>
      <c r="C47" s="71" t="str">
        <f>IFERROR(__xludf.DUMMYFUNCTION("""COMPUTED_VALUE"""),"Prompt 1")</f>
        <v>Prompt 1</v>
      </c>
      <c r="D47" s="71" t="str">
        <f>IFERROR(__xludf.DUMMYFUNCTION("""COMPUTED_VALUE"""),"""The tablet just dissolved in the water, like sugar does. This was only a physical change.""
 while a tablet does dissolve in water like sugar its the chemical reaction and formation of gas that makes it different 
but sugar to which water surrounds th"&amp;"e sugar to dissolves and causes  it to change them from two different things (Water and a sugar crystal) To a sugar water mix.
But Tablets dissolve in water through a chemical reaction between the water. and the properties of the tablet itself. Some tabl"&amp;"ets are designed for rapid disintegration while others can take a while to dissolve into the water.
So Yes dissolving Sugar and a Tablet are all physical changes
")</f>
        <v>"The tablet just dissolved in the water, like sugar does. This was only a physical change."
 while a tablet does dissolve in water like sugar its the chemical reaction and formation of gas that makes it different 
but sugar to which water surrounds the sugar to dissolves and causes  it to change them from two different things (Water and a sugar crystal) To a sugar water mix.
But Tablets dissolve in water through a chemical reaction between the water. and the properties of the tablet itself. Some tablets are designed for rapid disintegration while others can take a while to dissolve into the water.
So Yes dissolving Sugar and a Tablet are all physical changes
</v>
      </c>
      <c r="E47" s="71" t="str">
        <f>IFERROR(__xludf.DUMMYFUNCTION("""COMPUTED_VALUE"""),"Yes")</f>
        <v>Yes</v>
      </c>
      <c r="F47" s="71" t="str">
        <f>IFERROR(__xludf.DUMMYFUNCTION("""COMPUTED_VALUE"""),"Yes")</f>
        <v>Yes</v>
      </c>
      <c r="G47" s="71" t="str">
        <f>IFERROR(__xludf.DUMMYFUNCTION("""COMPUTED_VALUE"""),"Yes")</f>
        <v>Yes</v>
      </c>
      <c r="H47" s="71" t="str">
        <f>IFERROR(__xludf.DUMMYFUNCTION("""COMPUTED_VALUE"""),"Yes")</f>
        <v>Yes</v>
      </c>
      <c r="I47" s="71" t="str">
        <f>IFERROR(__xludf.DUMMYFUNCTION("""COMPUTED_VALUE""")," The difference between a physical reaction and a chemical reaction is composition. In a chemical reaction, there is a change in the composition of the substances in question; in a physical change there is a difference in the appearance, smell, or simple "&amp;"display of a sample of matter without a change in composition. Although we call them physical ""reactions,"" no reaction is actually occurring. In order for a reaction to take place, there must be a change in the elemental composition of the substance in "&amp;"question. Thus, we shall simply refer to physical ""reactions"" as physical changes from now on.
https://chem.libretexts.org/Bookshelves/Physical_and_Theoretical_Chemistry_Textbook_Maps/Supplemental_Modules_(Physical_and_Theoretical_Chemistry)/Fundame"&amp;"ntals/Chemical_Change_vs._Physical_Change
")</f>
        <v> The difference between a physical reaction and a chemical reaction is composition. In a chemical reaction, there is a change in the composition of the substances in question; in a physical change there is a difference in the appearance, smell, or simple display of a sample of matter without a change in composition. Although we call them physical "reactions," no reaction is actually occurring. In order for a reaction to take place, there must be a change in the elemental composition of the substance in question. Thus, we shall simply refer to physical "reactions" as physical changes from now on.
https://chem.libretexts.org/Bookshelves/Physical_and_Theoretical_Chemistry_Textbook_Maps/Supplemental_Modules_(Physical_and_Theoretical_Chemistry)/Fundamentals/Chemical_Change_vs._Physical_Change
</v>
      </c>
      <c r="J47" s="71" t="str">
        <f>IFERROR(__xludf.DUMMYFUNCTION("""COMPUTED_VALUE"""),"Dissolving sugar in water is an example of a physical change. Here's why: A chemical change produces new chemical products. In order for sugar in water to be a chemical change, something new would need to result. A chemical reaction would have to occur. H"&amp;"owever, mixing sugar and water simply produces... sugar in water! The substances change form, but not their identity. That's a physical change.
One way to identify some physical changes (not all) is to ask whether the starting materials or reactants have"&amp;" the same chemical identity as the ending materials or products. If you evaporate the water from a sugar-water solution, you're left with sugar.
https://www.thoughtco.com/dissolving-sugar-water-chemical-physical-change-608347")</f>
        <v>Dissolving sugar in water is an example of a physical change. Here's why: A chemical change produces new chemical products. In order for sugar in water to be a chemical change, something new would need to result. A chemical reaction would have to occur. However, mixing sugar and water simply produces... sugar in water! The substances change form, but not their identity. That's a physical change.
One way to identify some physical changes (not all) is to ask whether the starting materials or reactants have the same chemical identity as the ending materials or products. If you evaporate the water from a sugar-water solution, you're left with sugar.
https://www.thoughtco.com/dissolving-sugar-water-chemical-physical-change-608347</v>
      </c>
      <c r="K47" s="71" t="str">
        <f>IFERROR(__xludf.DUMMYFUNCTION("""COMPUTED_VALUE"""),"Any time you dissolve a covalent compound like sugar, you're looking at a physical change. The molecules get further apart in the solvent, but they don't change.
However, there's a dispute about whether dissolving an ionic compound (like salt) is a chemi"&amp;"cal or physical change because a chemical reaction does occur, where the salt breaks into its component ions (sodium and chloride) in water. The ions display different properties from the original compound. That indicates a chemical change. On the other h"&amp;"and, if you evaporate the water, you're left with salt. That seems consistent with a physical change. 
https://www.thoughtco.com/dissolving-sugar-water-chemical-physical-change-608347")</f>
        <v>Any time you dissolve a covalent compound like sugar, you're looking at a physical change. The molecules get further apart in the solvent, but they don't change.
However, there's a dispute about whether dissolving an ionic compound (like salt) is a chemical or physical change because a chemical reaction does occur, where the salt breaks into its component ions (sodium and chloride) in water. The ions display different properties from the original compound. That indicates a chemical change. On the other hand, if you evaporate the water, you're left with salt. That seems consistent with a physical change. 
https://www.thoughtco.com/dissolving-sugar-water-chemical-physical-change-608347</v>
      </c>
      <c r="L47" s="71" t="str">
        <f>IFERROR(__xludf.DUMMYFUNCTION("""COMPUTED_VALUE"""),"Yes")</f>
        <v>Yes</v>
      </c>
      <c r="M47" s="71" t="str">
        <f>IFERROR(__xludf.DUMMYFUNCTION("""COMPUTED_VALUE"""),"Yes")</f>
        <v>Yes</v>
      </c>
      <c r="N47" s="71" t="str">
        <f>IFERROR(__xludf.DUMMYFUNCTION("""COMPUTED_VALUE"""),"Yes")</f>
        <v>Yes</v>
      </c>
      <c r="O47" s="71" t="str">
        <f>IFERROR(__xludf.DUMMYFUNCTION("""COMPUTED_VALUE"""),"Yes")</f>
        <v>Yes</v>
      </c>
      <c r="P47" s="71" t="str">
        <f>IFERROR(__xludf.DUMMYFUNCTION("""COMPUTED_VALUE""")," Because dissolving both sugar and a medicine tablet in water are both physical reactions my first piece of evidence was showing the meaning of a physical and chemical reaction  and the next to evidence pieces are about how sugar and tablets dissolve in t"&amp;"he water.")</f>
        <v> Because dissolving both sugar and a medicine tablet in water are both physical reactions my first piece of evidence was showing the meaning of a physical and chemical reaction  and the next to evidence pieces are about how sugar and tablets dissolve in the water.</v>
      </c>
      <c r="Q47" s="71" t="str">
        <f>IFERROR(__xludf.DUMMYFUNCTION("""COMPUTED_VALUE"""),"Yes")</f>
        <v>Yes</v>
      </c>
      <c r="R47" s="71" t="str">
        <f>IFERROR(__xludf.DUMMYFUNCTION("""COMPUTED_VALUE"""),"Yes")</f>
        <v>Yes</v>
      </c>
      <c r="S47" s="71" t="str">
        <f>IFERROR(__xludf.DUMMYFUNCTION("""COMPUTED_VALUE"""),"Yes")</f>
        <v>Yes</v>
      </c>
      <c r="T47" s="71" t="str">
        <f>IFERROR(__xludf.DUMMYFUNCTION("""COMPUTED_VALUE"""),"Yes")</f>
        <v>Yes</v>
      </c>
      <c r="U47" s="71" t="str">
        <f>IFERROR(__xludf.DUMMYFUNCTION("""COMPUTED_VALUE"""),"The physical part of the reaction is the process of the solid tablet breaking down and dispersing into the water.  the ingredients of the tablet  mix with the water Although the form of the ingredients changes from solid to liquid, their fundamental chemi"&amp;"cal identity remains the same. If you were to evaporate the water, the original components would be left behind, though they would no longer be compressed into a single tablet. ")</f>
        <v>The physical part of the reaction is the process of the solid tablet breaking down and dispersing into the water.  the ingredients of the tablet  mix with the water Although the form of the ingredients changes from solid to liquid, their fundamental chemical identity remains the same. If you were to evaporate the water, the original components would be left behind, though they would no longer be compressed into a single tablet. </v>
      </c>
      <c r="V47" s="71" t="str">
        <f>IFERROR(__xludf.DUMMYFUNCTION("""COMPUTED_VALUE"""),"Proficient")</f>
        <v>Proficient</v>
      </c>
      <c r="W47" s="71" t="str">
        <f>IFERROR(__xludf.DUMMYFUNCTION("""COMPUTED_VALUE"""),"Developing")</f>
        <v>Developing</v>
      </c>
      <c r="X47" s="71" t="str">
        <f>IFERROR(__xludf.DUMMYFUNCTION("""COMPUTED_VALUE"""),"Developing")</f>
        <v>Developing</v>
      </c>
      <c r="Y47" s="71" t="str">
        <f>IFERROR(__xludf.DUMMYFUNCTION("""COMPUTED_VALUE"""),"Proficient")</f>
        <v>Proficient</v>
      </c>
      <c r="Z47" s="71"/>
    </row>
    <row r="48">
      <c r="A48" s="128">
        <f>IFERROR(__xludf.DUMMYFUNCTION("""COMPUTED_VALUE"""),45929.465732268516)</f>
        <v>45929.46573</v>
      </c>
      <c r="B48" s="71" t="str">
        <f>IFERROR(__xludf.DUMMYFUNCTION("""COMPUTED_VALUE"""),"kyren.young@kairosacademies.org")</f>
        <v>kyren.young@kairosacademies.org</v>
      </c>
      <c r="C48" s="71" t="str">
        <f>IFERROR(__xludf.DUMMYFUNCTION("""COMPUTED_VALUE"""),"Prompt 3")</f>
        <v>Prompt 3</v>
      </c>
      <c r="D48" s="71" t="str">
        <f>IFERROR(__xludf.DUMMYFUNCTION("""COMPUTED_VALUE"""),"I picked prompt 3 because, I wanted to know about the student claims about the disposable hand warmers.")</f>
        <v>I picked prompt 3 because, I wanted to know about the student claims about the disposable hand warmers.</v>
      </c>
      <c r="E48" s="71" t="str">
        <f>IFERROR(__xludf.DUMMYFUNCTION("""COMPUTED_VALUE"""),"Partially")</f>
        <v>Partially</v>
      </c>
      <c r="F48" s="71" t="str">
        <f>IFERROR(__xludf.DUMMYFUNCTION("""COMPUTED_VALUE"""),"Yes")</f>
        <v>Yes</v>
      </c>
      <c r="G48" s="71" t="str">
        <f>IFERROR(__xludf.DUMMYFUNCTION("""COMPUTED_VALUE"""),"Partially")</f>
        <v>Partially</v>
      </c>
      <c r="H48" s="71" t="str">
        <f>IFERROR(__xludf.DUMMYFUNCTION("""COMPUTED_VALUE"""),"No")</f>
        <v>No</v>
      </c>
      <c r="I48" s="71" t="str">
        <f>IFERROR(__xludf.DUMMYFUNCTION("""COMPUTED_VALUE"""),"I can't find the link but. One important fact about Prompt 3 is, How students talk about the disposeable hand warmer and how it create a chemical reaction. ")</f>
        <v>I can't find the link but. One important fact about Prompt 3 is, How students talk about the disposeable hand warmer and how it create a chemical reaction. </v>
      </c>
      <c r="J48" s="71" t="str">
        <f>IFERROR(__xludf.DUMMYFUNCTION("""COMPUTED_VALUE"""),"I can not find a source of link")</f>
        <v>I can not find a source of link</v>
      </c>
      <c r="K48" s="71"/>
      <c r="L48" s="71" t="str">
        <f>IFERROR(__xludf.DUMMYFUNCTION("""COMPUTED_VALUE"""),"No")</f>
        <v>No</v>
      </c>
      <c r="M48" s="71" t="str">
        <f>IFERROR(__xludf.DUMMYFUNCTION("""COMPUTED_VALUE"""),"Partially")</f>
        <v>Partially</v>
      </c>
      <c r="N48" s="71" t="str">
        <f>IFERROR(__xludf.DUMMYFUNCTION("""COMPUTED_VALUE"""),"No")</f>
        <v>No</v>
      </c>
      <c r="O48" s="71" t="str">
        <f>IFERROR(__xludf.DUMMYFUNCTION("""COMPUTED_VALUE"""),"Partially")</f>
        <v>Partially</v>
      </c>
      <c r="P48" s="71" t="str">
        <f>IFERROR(__xludf.DUMMYFUNCTION("""COMPUTED_VALUE"""),"yes")</f>
        <v>yes</v>
      </c>
      <c r="Q48" s="71" t="str">
        <f>IFERROR(__xludf.DUMMYFUNCTION("""COMPUTED_VALUE"""),"Partially")</f>
        <v>Partially</v>
      </c>
      <c r="R48" s="71" t="str">
        <f>IFERROR(__xludf.DUMMYFUNCTION("""COMPUTED_VALUE"""),"No")</f>
        <v>No</v>
      </c>
      <c r="S48" s="71" t="str">
        <f>IFERROR(__xludf.DUMMYFUNCTION("""COMPUTED_VALUE"""),"Yes")</f>
        <v>Yes</v>
      </c>
      <c r="T48" s="71" t="str">
        <f>IFERROR(__xludf.DUMMYFUNCTION("""COMPUTED_VALUE"""),"Partially")</f>
        <v>Partially</v>
      </c>
      <c r="U48" s="71" t="str">
        <f>IFERROR(__xludf.DUMMYFUNCTION("""COMPUTED_VALUE"""),"yes")</f>
        <v>yes</v>
      </c>
      <c r="V48" s="71" t="str">
        <f>IFERROR(__xludf.DUMMYFUNCTION("""COMPUTED_VALUE"""),"Developing")</f>
        <v>Developing</v>
      </c>
      <c r="W48" s="71" t="str">
        <f>IFERROR(__xludf.DUMMYFUNCTION("""COMPUTED_VALUE"""),"Beginning")</f>
        <v>Beginning</v>
      </c>
      <c r="X48" s="71" t="str">
        <f>IFERROR(__xludf.DUMMYFUNCTION("""COMPUTED_VALUE"""),"Developing")</f>
        <v>Developing</v>
      </c>
      <c r="Y48" s="71" t="str">
        <f>IFERROR(__xludf.DUMMYFUNCTION("""COMPUTED_VALUE"""),"Developing")</f>
        <v>Developing</v>
      </c>
      <c r="Z48" s="71"/>
    </row>
    <row r="49">
      <c r="A49" s="128">
        <f>IFERROR(__xludf.DUMMYFUNCTION("""COMPUTED_VALUE"""),45930.426306747686)</f>
        <v>45930.42631</v>
      </c>
      <c r="B49" s="71" t="str">
        <f>IFERROR(__xludf.DUMMYFUNCTION("""COMPUTED_VALUE"""),"cali.reinhardt@kairosacademies.org")</f>
        <v>cali.reinhardt@kairosacademies.org</v>
      </c>
      <c r="C49" s="71" t="str">
        <f>IFERROR(__xludf.DUMMYFUNCTION("""COMPUTED_VALUE"""),"Prompt 1")</f>
        <v>Prompt 1</v>
      </c>
      <c r="D49" s="71" t="str">
        <f>IFERROR(__xludf.DUMMYFUNCTION("""COMPUTED_VALUE"""),"Based on the data given, that this is incorrect because it does not prove you can destroy mass by burning it.")</f>
        <v>Based on the data given, that this is incorrect because it does not prove you can destroy mass by burning it.</v>
      </c>
      <c r="E49" s="71" t="str">
        <f>IFERROR(__xludf.DUMMYFUNCTION("""COMPUTED_VALUE"""),"No")</f>
        <v>No</v>
      </c>
      <c r="F49" s="71" t="str">
        <f>IFERROR(__xludf.DUMMYFUNCTION("""COMPUTED_VALUE"""),"Yes")</f>
        <v>Yes</v>
      </c>
      <c r="G49" s="71" t="str">
        <f>IFERROR(__xludf.DUMMYFUNCTION("""COMPUTED_VALUE"""),"Yes")</f>
        <v>Yes</v>
      </c>
      <c r="H49" s="71" t="str">
        <f>IFERROR(__xludf.DUMMYFUNCTION("""COMPUTED_VALUE"""),"Yes")</f>
        <v>Yes</v>
      </c>
      <c r="I49" s="71" t="str">
        <f>IFERROR(__xludf.DUMMYFUNCTION("""COMPUTED_VALUE"""),"Research shows that, ""In a chemical reaction, matter is neither created nor destroyed.""
(Vhttps://chem.libretexts.org/Bookshelves/Introductory_Chemistry/The_Basics_of_General_Organic_and_Biological_Chemistry_(Ball_et_al.)/05%3A_Introduction_to_Chemical"&amp;"_Reactions/5.01%3A_The_Law_of_Conservation_of_Matter)")</f>
        <v>Research shows that, "In a chemical reaction, matter is neither created nor destroyed."
(Vhttps://chem.libretexts.org/Bookshelves/Introductory_Chemistry/The_Basics_of_General_Organic_and_Biological_Chemistry_(Ball_et_al.)/05%3A_Introduction_to_Chemical_Reactions/5.01%3A_The_Law_of_Conservation_of_Matter)</v>
      </c>
      <c r="J49" s="71" t="str">
        <f>IFERROR(__xludf.DUMMYFUNCTION("""COMPUTED_VALUE"""),"For example, ""It may seem as though burning destroys matter, but the same amount, or mass, of matter still exists after a campfire as before.""
(https://chem.libretexts.org/Bookshelves/Introductory_Chemistry/The_Basics_of_General_Organic_and_Biological_"&amp;"Chemistry_(Ball_et_al.)/05%3A_Introduction_to_Chemical_Reactions/5.01%3A_The_Law_of_Conservation_of_Matter)")</f>
        <v>For example, "It may seem as though burning destroys matter, but the same amount, or mass, of matter still exists after a campfire as before."
(https://chem.libretexts.org/Bookshelves/Introductory_Chemistry/The_Basics_of_General_Organic_and_Biological_Chemistry_(Ball_et_al.)/05%3A_Introduction_to_Chemical_Reactions/5.01%3A_The_Law_of_Conservation_of_Matter)</v>
      </c>
      <c r="K49" s="71" t="str">
        <f>IFERROR(__xludf.DUMMYFUNCTION("""COMPUTED_VALUE"""),"Research says that, ""Smoke is a collection of tiny solid, liquid, and gas particles suspended in the air. These particles are made up of various chemicals and substances that have mass.""
(https://www.numerade.com/ask/question/does-smoke-have-mass-does-"&amp;"it-occupy-space-explain-why-04343/)")</f>
        <v>Research says that, "Smoke is a collection of tiny solid, liquid, and gas particles suspended in the air. These particles are made up of various chemicals and substances that have mass."
(https://www.numerade.com/ask/question/does-smoke-have-mass-does-it-occupy-space-explain-why-04343/)</v>
      </c>
      <c r="L49" s="71" t="str">
        <f>IFERROR(__xludf.DUMMYFUNCTION("""COMPUTED_VALUE"""),"Partially")</f>
        <v>Partially</v>
      </c>
      <c r="M49" s="71" t="str">
        <f>IFERROR(__xludf.DUMMYFUNCTION("""COMPUTED_VALUE"""),"Yes")</f>
        <v>Yes</v>
      </c>
      <c r="N49" s="71" t="str">
        <f>IFERROR(__xludf.DUMMYFUNCTION("""COMPUTED_VALUE"""),"Yes")</f>
        <v>Yes</v>
      </c>
      <c r="O49" s="71" t="str">
        <f>IFERROR(__xludf.DUMMYFUNCTION("""COMPUTED_VALUE"""),"Yes")</f>
        <v>Yes</v>
      </c>
      <c r="P49" s="71" t="str">
        <f>IFERROR(__xludf.DUMMYFUNCTION("""COMPUTED_VALUE"""),"Since in a chemical reaction, matter can not be created nor destroyed, this shows that it does not prove you can destroy mass. Futhermore, because  ""It may seem as though burning destroys matter, but the same amount, or mass, of matter still exists after"&amp;" a campfire as before."" connects to how it is not the reason it lost but mass but rather ""Smoke is a collection of tiny solid, liquid, and gas particles suspended in the air. These particles are made up of various chemicals and substances that have mass"&amp;".""
")</f>
        <v>Since in a chemical reaction, matter can not be created nor destroyed, this shows that it does not prove you can destroy mass. Futhermore, because  "It may seem as though burning destroys matter, but the same amount, or mass, of matter still exists after a campfire as before." connects to how it is not the reason it lost but mass but rather "Smoke is a collection of tiny solid, liquid, and gas particles suspended in the air. These particles are made up of various chemicals and substances that have mass."
</v>
      </c>
      <c r="Q49" s="71" t="str">
        <f>IFERROR(__xludf.DUMMYFUNCTION("""COMPUTED_VALUE"""),"Yes")</f>
        <v>Yes</v>
      </c>
      <c r="R49" s="71" t="str">
        <f>IFERROR(__xludf.DUMMYFUNCTION("""COMPUTED_VALUE"""),"Yes")</f>
        <v>Yes</v>
      </c>
      <c r="S49" s="71" t="str">
        <f>IFERROR(__xludf.DUMMYFUNCTION("""COMPUTED_VALUE"""),"Yes")</f>
        <v>Yes</v>
      </c>
      <c r="T49" s="71" t="str">
        <f>IFERROR(__xludf.DUMMYFUNCTION("""COMPUTED_VALUE"""),"Partially")</f>
        <v>Partially</v>
      </c>
      <c r="U49" s="71" t="str">
        <f>IFERROR(__xludf.DUMMYFUNCTION("""COMPUTED_VALUE"""),"While some may say that candles lose mass by destroying/burning matter but evidence clearly proves that this is incorrect because it does not prove you can destroy mass by burning it.")</f>
        <v>While some may say that candles lose mass by destroying/burning matter but evidence clearly proves that this is incorrect because it does not prove you can destroy mass by burning it.</v>
      </c>
      <c r="V49" s="71" t="str">
        <f>IFERROR(__xludf.DUMMYFUNCTION("""COMPUTED_VALUE"""),"Proficient")</f>
        <v>Proficient</v>
      </c>
      <c r="W49" s="71" t="str">
        <f>IFERROR(__xludf.DUMMYFUNCTION("""COMPUTED_VALUE"""),"Proficient")</f>
        <v>Proficient</v>
      </c>
      <c r="X49" s="71" t="str">
        <f>IFERROR(__xludf.DUMMYFUNCTION("""COMPUTED_VALUE"""),"Developing")</f>
        <v>Developing</v>
      </c>
      <c r="Y49" s="71" t="str">
        <f>IFERROR(__xludf.DUMMYFUNCTION("""COMPUTED_VALUE"""),"Developing")</f>
        <v>Developing</v>
      </c>
      <c r="Z49" s="71"/>
    </row>
    <row r="50">
      <c r="A50" s="128">
        <f>IFERROR(__xludf.DUMMYFUNCTION("""COMPUTED_VALUE"""),45937.394494444445)</f>
        <v>45937.39449</v>
      </c>
      <c r="B50" s="71" t="str">
        <f>IFERROR(__xludf.DUMMYFUNCTION("""COMPUTED_VALUE"""),"deshaun.andrews@kairosacademies.org")</f>
        <v>deshaun.andrews@kairosacademies.org</v>
      </c>
      <c r="C50" s="71" t="str">
        <f>IFERROR(__xludf.DUMMYFUNCTION("""COMPUTED_VALUE"""),"Prompt 3")</f>
        <v>Prompt 3</v>
      </c>
      <c r="D50" s="71" t="str">
        <f>IFERROR(__xludf.DUMMYFUNCTION("""COMPUTED_VALUE"""),"""Both packs had a chemical reaction. Since they both created a temperature change, they must be releasing energy.""product after the packet is opened and this heat energy was released This is called an exothermic reaction.")</f>
        <v>"Both packs had a chemical reaction. Since they both created a temperature change, they must be releasing energy."product after the packet is opened and this heat energy was released This is called an exothermic reaction.</v>
      </c>
      <c r="E50" s="71" t="str">
        <f>IFERROR(__xludf.DUMMYFUNCTION("""COMPUTED_VALUE"""),"Yes")</f>
        <v>Yes</v>
      </c>
      <c r="F50" s="71" t="str">
        <f>IFERROR(__xludf.DUMMYFUNCTION("""COMPUTED_VALUE"""),"Yes")</f>
        <v>Yes</v>
      </c>
      <c r="G50" s="71" t="str">
        <f>IFERROR(__xludf.DUMMYFUNCTION("""COMPUTED_VALUE"""),"Yes")</f>
        <v>Yes</v>
      </c>
      <c r="H50" s="71" t="str">
        <f>IFERROR(__xludf.DUMMYFUNCTION("""COMPUTED_VALUE"""),"Yes")</f>
        <v>Yes</v>
      </c>
      <c r="I50" s="71" t="str">
        <f>IFERROR(__xludf.DUMMYFUNCTION("""COMPUTED_VALUE"""),"Research indicates that.""In the case of a single-use heat pack, the reactants before a packet is opened have a greater chemical energy than the oxidized product after the packet is opened, and thus heat energy was released. This phenomenon is called an e"&amp;"xothermic reaction.""- Three bond")</f>
        <v>Research indicates that."In the case of a single-use heat pack, the reactants before a packet is opened have a greater chemical energy than the oxidized product after the packet is opened, and thus heat energy was released. This phenomenon is called an exothermic reaction."- Three bond</v>
      </c>
      <c r="J50" s="130" t="str">
        <f>IFERROR(__xludf.DUMMYFUNCTION("""COMPUTED_VALUE"""),"https://www.threebond.co.jp/en/technical/familiar-queries/hand_warmer/#:~:text=In%20the%20case%20of%20a,is%20called%20an%20exothermic%20reaction.
")</f>
        <v>https://www.threebond.co.jp/en/technical/familiar-queries/hand_warmer/#:~:text=In%20the%20case%20of%20a,is%20called%20an%20exothermic%20reaction.
</v>
      </c>
      <c r="K50" s="71"/>
      <c r="L50" s="71" t="str">
        <f>IFERROR(__xludf.DUMMYFUNCTION("""COMPUTED_VALUE"""),"Partially")</f>
        <v>Partially</v>
      </c>
      <c r="M50" s="71" t="str">
        <f>IFERROR(__xludf.DUMMYFUNCTION("""COMPUTED_VALUE"""),"Yes")</f>
        <v>Yes</v>
      </c>
      <c r="N50" s="71" t="str">
        <f>IFERROR(__xludf.DUMMYFUNCTION("""COMPUTED_VALUE"""),"Yes")</f>
        <v>Yes</v>
      </c>
      <c r="O50" s="71" t="str">
        <f>IFERROR(__xludf.DUMMYFUNCTION("""COMPUTED_VALUE"""),"Yes")</f>
        <v>Yes</v>
      </c>
      <c r="P50" s="71" t="str">
        <f>IFERROR(__xludf.DUMMYFUNCTION("""COMPUTED_VALUE"""),"Because  Research indicates that.""In the case of a single-use heat pack, the reactants before a packet is opened have a greater chemical energy than the oxidized product after the packet is opened, and thus heat energy was released. This phenomenon is ca"&amp;"lled an exothermic reaction.")</f>
        <v>Because  Research indicates that."In the case of a single-use heat pack, the reactants before a packet is opened have a greater chemical energy than the oxidized product after the packet is opened, and thus heat energy was released. This phenomenon is called an exothermic reaction.</v>
      </c>
      <c r="Q50" s="71" t="str">
        <f>IFERROR(__xludf.DUMMYFUNCTION("""COMPUTED_VALUE"""),"Yes")</f>
        <v>Yes</v>
      </c>
      <c r="R50" s="71" t="str">
        <f>IFERROR(__xludf.DUMMYFUNCTION("""COMPUTED_VALUE"""),"Yes")</f>
        <v>Yes</v>
      </c>
      <c r="S50" s="71" t="str">
        <f>IFERROR(__xludf.DUMMYFUNCTION("""COMPUTED_VALUE"""),"Yes")</f>
        <v>Yes</v>
      </c>
      <c r="T50" s="71" t="str">
        <f>IFERROR(__xludf.DUMMYFUNCTION("""COMPUTED_VALUE"""),"Yes")</f>
        <v>Yes</v>
      </c>
      <c r="U50" s="71" t="str">
        <f>IFERROR(__xludf.DUMMYFUNCTION("""COMPUTED_VALUE"""),"While some may argue that the hand warmers energy comes from the heat from your hand, the evidence clearly shows that Because  Research indicates that.""In the case of a single-use heat pack, the reactants before a packet is opened have a greater chemical"&amp;" energy than the oxidized product after the packet is opened, and thus heat energy was released. This phenomenon is called an exothermic reaction.")</f>
        <v>While some may argue that the hand warmers energy comes from the heat from your hand, the evidence clearly shows that Because  Research indicates that."In the case of a single-use heat pack, the reactants before a packet is opened have a greater chemical energy than the oxidized product after the packet is opened, and thus heat energy was released. This phenomenon is called an exothermic reaction.</v>
      </c>
      <c r="V50" s="71" t="str">
        <f>IFERROR(__xludf.DUMMYFUNCTION("""COMPUTED_VALUE"""),"Developing")</f>
        <v>Developing</v>
      </c>
      <c r="W50" s="71" t="str">
        <f>IFERROR(__xludf.DUMMYFUNCTION("""COMPUTED_VALUE"""),"Proficient")</f>
        <v>Proficient</v>
      </c>
      <c r="X50" s="71" t="str">
        <f>IFERROR(__xludf.DUMMYFUNCTION("""COMPUTED_VALUE"""),"Proficient")</f>
        <v>Proficient</v>
      </c>
      <c r="Y50" s="71" t="str">
        <f>IFERROR(__xludf.DUMMYFUNCTION("""COMPUTED_VALUE"""),"Developing")</f>
        <v>Developing</v>
      </c>
      <c r="Z50" s="71"/>
    </row>
    <row r="51">
      <c r="A51" s="128">
        <f>IFERROR(__xludf.DUMMYFUNCTION("""COMPUTED_VALUE"""),45933.42227591436)</f>
        <v>45933.42228</v>
      </c>
      <c r="B51" s="71" t="str">
        <f>IFERROR(__xludf.DUMMYFUNCTION("""COMPUTED_VALUE"""),"mya.frazier@kairosacademies.org")</f>
        <v>mya.frazier@kairosacademies.org</v>
      </c>
      <c r="C51" s="71" t="str">
        <f>IFERROR(__xludf.DUMMYFUNCTION("""COMPUTED_VALUE"""),"Prompt 1")</f>
        <v>Prompt 1</v>
      </c>
      <c r="D51" s="71" t="str">
        <f>IFERROR(__xludf.DUMMYFUNCTION("""COMPUTED_VALUE"""),"""The candle lost mass. This proves that when you burn something, you destroy matter"" Based on the data, The candle did burn by 4 grams,  but we don't know how long they let the candle burn, or how large or wide the candle was, or what the candle is made"&amp;" out of.. all we really know is how many grams the candle weighs.")</f>
        <v>"The candle lost mass. This proves that when you burn something, you destroy matter" Based on the data, The candle did burn by 4 grams,  but we don't know how long they let the candle burn, or how large or wide the candle was, or what the candle is made out of.. all we really know is how many grams the candle weighs.</v>
      </c>
      <c r="E51" s="71" t="str">
        <f>IFERROR(__xludf.DUMMYFUNCTION("""COMPUTED_VALUE"""),"Partially")</f>
        <v>Partially</v>
      </c>
      <c r="F51" s="71" t="str">
        <f>IFERROR(__xludf.DUMMYFUNCTION("""COMPUTED_VALUE"""),"No")</f>
        <v>No</v>
      </c>
      <c r="G51" s="71" t="str">
        <f>IFERROR(__xludf.DUMMYFUNCTION("""COMPUTED_VALUE"""),"Yes")</f>
        <v>Yes</v>
      </c>
      <c r="H51" s="71" t="str">
        <f>IFERROR(__xludf.DUMMYFUNCTION("""COMPUTED_VALUE"""),"Yes")</f>
        <v>Yes</v>
      </c>
      <c r="I51" s="71" t="str">
        <f>IFERROR(__xludf.DUMMYFUNCTION("""COMPUTED_VALUE"""),"a 10 gram candle should take around 4 hours to burn, but depending on what type of wax the candle is made out it depends, the resource i used was ""https://blendedwaxes.com/blog/glossary-of-wax/?srsltid=AfmBOoqIJSDQN-LgPW--OlltZ7QtFsOURR_LTgol5eXlNNHPJ1U8"&amp;"8cPS'' beeswax takes arond 1 hour for each gram to burn, so approxiently an hour and a half for  it to end to 9.6 grams.")</f>
        <v>a 10 gram candle should take around 4 hours to burn, but depending on what type of wax the candle is made out it depends, the resource i used was "https://blendedwaxes.com/blog/glossary-of-wax/?srsltid=AfmBOoqIJSDQN-LgPW--OlltZ7QtFsOURR_LTgol5eXlNNHPJ1U88cPS'' beeswax takes arond 1 hour for each gram to burn, so approxiently an hour and a half for  it to end to 9.6 grams.</v>
      </c>
      <c r="J51" s="71" t="str">
        <f>IFERROR(__xludf.DUMMYFUNCTION("""COMPUTED_VALUE"""),"foer abput 2 hours a candle need to burn, to be atleast around 9.'6 grams.                        https://www.google.com/search?q=how+long+would+a+candle+need+to+burn+to+lose+1+pound&amp;rlz=1CAHTBP_enUS1182&amp;oq=howw+long+wouldd+a+candle+need+to+burn+to&amp;gs_lcr"&amp;"p=EgZjaHJvbWUqBwgDECEYqwIyBggAEEUYOTIHCAEQIRirAjIHCAIQIRirAjIHCAMQIRirAjIHCAQQIRifBTIHCAUQIRifBTIHCAYQIRifBTIHCAcQIRifBTIHCAgQIRifBTIHCAkQIRiPAtIBCTEyMTU3ajBqNKgCALACAA&amp;sourceid=chrome&amp;ie=UTF-8&amp;safe=active&amp;ssui=on")</f>
        <v>foer abput 2 hours a candle need to burn, to be atleast around 9.'6 grams.                        https://www.google.com/search?q=how+long+would+a+candle+need+to+burn+to+lose+1+pound&amp;rlz=1CAHTBP_enUS1182&amp;oq=howw+long+wouldd+a+candle+need+to+burn+to&amp;gs_lcrp=EgZjaHJvbWUqBwgDECEYqwIyBggAEEUYOTIHCAEQIRirAjIHCAIQIRirAjIHCAMQIRirAjIHCAQQIRifBTIHCAUQIRifBTIHCAYQIRifBTIHCAcQIRifBTIHCAgQIRifBTIHCAkQIRiPAtIBCTEyMTU3ajBqNKgCALACAA&amp;sourceid=chrome&amp;ie=UTF-8&amp;safe=active&amp;ssui=on</v>
      </c>
      <c r="K51" s="71" t="str">
        <f>IFERROR(__xludf.DUMMYFUNCTION("""COMPUTED_VALUE"""),"this website is where there are many types of candles listed below.         https://www.webstaurantstore.com/guide/739/types-of-candles.html?srsltid=AfmBOorjIFLLJp7wmfN-tytsMf4mRfbwszC0WvdbEMnwhKI5ZP_s6Ntj")</f>
        <v>this website is where there are many types of candles listed below.         https://www.webstaurantstore.com/guide/739/types-of-candles.html?srsltid=AfmBOorjIFLLJp7wmfN-tytsMf4mRfbwszC0WvdbEMnwhKI5ZP_s6Ntj</v>
      </c>
      <c r="L51" s="71" t="str">
        <f>IFERROR(__xludf.DUMMYFUNCTION("""COMPUTED_VALUE"""),"Partially")</f>
        <v>Partially</v>
      </c>
      <c r="M51" s="71" t="str">
        <f>IFERROR(__xludf.DUMMYFUNCTION("""COMPUTED_VALUE"""),"Partially")</f>
        <v>Partially</v>
      </c>
      <c r="N51" s="71" t="str">
        <f>IFERROR(__xludf.DUMMYFUNCTION("""COMPUTED_VALUE"""),"Yes")</f>
        <v>Yes</v>
      </c>
      <c r="O51" s="71" t="str">
        <f>IFERROR(__xludf.DUMMYFUNCTION("""COMPUTED_VALUE"""),"Partially")</f>
        <v>Partially</v>
      </c>
      <c r="P51" s="71" t="str">
        <f>IFERROR(__xludf.DUMMYFUNCTION("""COMPUTED_VALUE"""),"yes, my evidence shows that a candle cannot be burned for that long to that many grams, unless its a certian candle.")</f>
        <v>yes, my evidence shows that a candle cannot be burned for that long to that many grams, unless its a certian candle.</v>
      </c>
      <c r="Q51" s="71" t="str">
        <f>IFERROR(__xludf.DUMMYFUNCTION("""COMPUTED_VALUE"""),"Yes")</f>
        <v>Yes</v>
      </c>
      <c r="R51" s="71" t="str">
        <f>IFERROR(__xludf.DUMMYFUNCTION("""COMPUTED_VALUE"""),"Partially")</f>
        <v>Partially</v>
      </c>
      <c r="S51" s="71" t="str">
        <f>IFERROR(__xludf.DUMMYFUNCTION("""COMPUTED_VALUE"""),"Partially")</f>
        <v>Partially</v>
      </c>
      <c r="T51" s="71" t="str">
        <f>IFERROR(__xludf.DUMMYFUNCTION("""COMPUTED_VALUE"""),"Yes")</f>
        <v>Yes</v>
      </c>
      <c r="U51" s="71" t="str">
        <f>IFERROR(__xludf.DUMMYFUNCTION("""COMPUTED_VALUE"""),"while some may argue that, the claim has enough evidence, the evidence i contributed clearly shows that, the claim the student from prompt 1 gave, was clearly not enough and it was Insufficient.")</f>
        <v>while some may argue that, the claim has enough evidence, the evidence i contributed clearly shows that, the claim the student from prompt 1 gave, was clearly not enough and it was Insufficient.</v>
      </c>
      <c r="V51" s="71" t="str">
        <f>IFERROR(__xludf.DUMMYFUNCTION("""COMPUTED_VALUE"""),"Developing")</f>
        <v>Developing</v>
      </c>
      <c r="W51" s="71" t="str">
        <f>IFERROR(__xludf.DUMMYFUNCTION("""COMPUTED_VALUE"""),"Proficient")</f>
        <v>Proficient</v>
      </c>
      <c r="X51" s="71" t="str">
        <f>IFERROR(__xludf.DUMMYFUNCTION("""COMPUTED_VALUE"""),"Developing")</f>
        <v>Developing</v>
      </c>
      <c r="Y51" s="71" t="str">
        <f>IFERROR(__xludf.DUMMYFUNCTION("""COMPUTED_VALUE"""),"Proficient")</f>
        <v>Proficient</v>
      </c>
      <c r="Z51" s="71"/>
    </row>
    <row r="52">
      <c r="A52" s="128">
        <f>IFERROR(__xludf.DUMMYFUNCTION("""COMPUTED_VALUE"""),45936.37404672454)</f>
        <v>45936.37405</v>
      </c>
      <c r="B52" s="71" t="str">
        <f>IFERROR(__xludf.DUMMYFUNCTION("""COMPUTED_VALUE"""),"david.heartfield@kairosacademies.org")</f>
        <v>david.heartfield@kairosacademies.org</v>
      </c>
      <c r="C52" s="71" t="str">
        <f>IFERROR(__xludf.DUMMYFUNCTION("""COMPUTED_VALUE"""),"Prompt 2")</f>
        <v>Prompt 2</v>
      </c>
      <c r="D52" s="71" t="str">
        <f>IFERROR(__xludf.DUMMYFUNCTION("""COMPUTED_VALUE"""),"based on the data i think the claim is true becuase when something fizzes up something else is dissolving")</f>
        <v>based on the data i think the claim is true becuase when something fizzes up something else is dissolving</v>
      </c>
      <c r="E52" s="71" t="str">
        <f>IFERROR(__xludf.DUMMYFUNCTION("""COMPUTED_VALUE"""),"Partially")</f>
        <v>Partially</v>
      </c>
      <c r="F52" s="71" t="str">
        <f>IFERROR(__xludf.DUMMYFUNCTION("""COMPUTED_VALUE"""),"Partially")</f>
        <v>Partially</v>
      </c>
      <c r="G52" s="71" t="str">
        <f>IFERROR(__xludf.DUMMYFUNCTION("""COMPUTED_VALUE"""),"Yes, Partially")</f>
        <v>Yes, Partially</v>
      </c>
      <c r="H52" s="71" t="str">
        <f>IFERROR(__xludf.DUMMYFUNCTION("""COMPUTED_VALUE"""),"Partially")</f>
        <v>Partially</v>
      </c>
      <c r="I52" s="71" t="str">
        <f>IFERROR(__xludf.DUMMYFUNCTION("""COMPUTED_VALUE"""),"for example the sift method works becuase it helps people with work ")</f>
        <v>for example the sift method works becuase it helps people with work </v>
      </c>
      <c r="J52" s="71" t="str">
        <f>IFERROR(__xludf.DUMMYFUNCTION("""COMPUTED_VALUE"""),"it helps people with work how becuase you can follow the steps ")</f>
        <v>it helps people with work how becuase you can follow the steps </v>
      </c>
      <c r="K52" s="71" t="str">
        <f>IFERROR(__xludf.DUMMYFUNCTION("""COMPUTED_VALUE"""),"i observate that the sift method is a key peice of data for finding sources ")</f>
        <v>i observate that the sift method is a key peice of data for finding sources </v>
      </c>
      <c r="L52" s="71" t="str">
        <f>IFERROR(__xludf.DUMMYFUNCTION("""COMPUTED_VALUE"""),"Yes")</f>
        <v>Yes</v>
      </c>
      <c r="M52" s="71" t="str">
        <f>IFERROR(__xludf.DUMMYFUNCTION("""COMPUTED_VALUE"""),"Partially")</f>
        <v>Partially</v>
      </c>
      <c r="N52" s="71" t="str">
        <f>IFERROR(__xludf.DUMMYFUNCTION("""COMPUTED_VALUE"""),"Partially, No")</f>
        <v>Partially, No</v>
      </c>
      <c r="O52" s="71" t="str">
        <f>IFERROR(__xludf.DUMMYFUNCTION("""COMPUTED_VALUE"""),"Partially")</f>
        <v>Partially</v>
      </c>
      <c r="P52" s="71" t="str">
        <f>IFERROR(__xludf.DUMMYFUNCTION("""COMPUTED_VALUE"""),"i think my evedence suports my claim becuase i think i got good evidence friom the text and used context clues  and the internet 
Because E1 this shows C. Therefore, ")</f>
        <v>i think my evedence suports my claim becuase i think i got good evidence friom the text and used context clues  and the internet 
Because E1 this shows C. Therefore, </v>
      </c>
      <c r="Q52" s="71" t="str">
        <f>IFERROR(__xludf.DUMMYFUNCTION("""COMPUTED_VALUE"""),"Partially")</f>
        <v>Partially</v>
      </c>
      <c r="R52" s="71" t="str">
        <f>IFERROR(__xludf.DUMMYFUNCTION("""COMPUTED_VALUE"""),"Partially")</f>
        <v>Partially</v>
      </c>
      <c r="S52" s="71" t="str">
        <f>IFERROR(__xludf.DUMMYFUNCTION("""COMPUTED_VALUE"""),"Partially")</f>
        <v>Partially</v>
      </c>
      <c r="T52" s="71" t="str">
        <f>IFERROR(__xludf.DUMMYFUNCTION("""COMPUTED_VALUE"""),"Partially")</f>
        <v>Partially</v>
      </c>
      <c r="U52" s="71" t="str">
        <f>IFERROR(__xludf.DUMMYFUNCTION("""COMPUTED_VALUE"""),"i think my evidence is stronger becuase i have recorces for my evidence.")</f>
        <v>i think my evidence is stronger becuase i have recorces for my evidence.</v>
      </c>
      <c r="V52" s="71" t="str">
        <f>IFERROR(__xludf.DUMMYFUNCTION("""COMPUTED_VALUE"""),"Developing")</f>
        <v>Developing</v>
      </c>
      <c r="W52" s="71" t="str">
        <f>IFERROR(__xludf.DUMMYFUNCTION("""COMPUTED_VALUE"""),"Developing")</f>
        <v>Developing</v>
      </c>
      <c r="X52" s="71" t="str">
        <f>IFERROR(__xludf.DUMMYFUNCTION("""COMPUTED_VALUE"""),"Developing")</f>
        <v>Developing</v>
      </c>
      <c r="Y52" s="71" t="str">
        <f>IFERROR(__xludf.DUMMYFUNCTION("""COMPUTED_VALUE"""),"Developing")</f>
        <v>Developing</v>
      </c>
      <c r="Z52" s="71"/>
    </row>
    <row r="53">
      <c r="A53" s="128">
        <f>IFERROR(__xludf.DUMMYFUNCTION("""COMPUTED_VALUE"""),45937.570058275465)</f>
        <v>45937.57006</v>
      </c>
      <c r="B53" s="71" t="str">
        <f>IFERROR(__xludf.DUMMYFUNCTION("""COMPUTED_VALUE"""),"adrian.king@kairosacademies.org")</f>
        <v>adrian.king@kairosacademies.org</v>
      </c>
      <c r="C53" s="71" t="str">
        <f>IFERROR(__xludf.DUMMYFUNCTION("""COMPUTED_VALUE"""),"Prompt 1")</f>
        <v>Prompt 1</v>
      </c>
      <c r="D53" s="71" t="str">
        <f>IFERROR(__xludf.DUMMYFUNCTION("""COMPUTED_VALUE"""),"the candle gained mass. Since I know matter is never destroyed, I conclude that only the energy is lost.")</f>
        <v>the candle gained mass. Since I know matter is never destroyed, I conclude that only the energy is lost.</v>
      </c>
      <c r="E53" s="71" t="str">
        <f>IFERROR(__xludf.DUMMYFUNCTION("""COMPUTED_VALUE"""),"Yes")</f>
        <v>Yes</v>
      </c>
      <c r="F53" s="71" t="str">
        <f>IFERROR(__xludf.DUMMYFUNCTION("""COMPUTED_VALUE"""),"Yes")</f>
        <v>Yes</v>
      </c>
      <c r="G53" s="71" t="str">
        <f>IFERROR(__xludf.DUMMYFUNCTION("""COMPUTED_VALUE"""),"Yes")</f>
        <v>Yes</v>
      </c>
      <c r="H53" s="71" t="str">
        <f>IFERROR(__xludf.DUMMYFUNCTION("""COMPUTED_VALUE"""),"Yes")</f>
        <v>Yes</v>
      </c>
      <c r="I53" s="71" t="str">
        <f>IFERROR(__xludf.DUMMYFUNCTION("""COMPUTED_VALUE"""),"According to National Geographic  it says that, the same amount of matter exists before and after the change—none is created or destroyed. This concept is called the Law of Conservation of Mass. (https://education.nationalgeographic.org/resource/conservat"&amp;"ion-matter-during-physical-and-chemical-changes/)")</f>
        <v>According to National Geographic  it says that, the same amount of matter exists before and after the change—none is created or destroyed. This concept is called the Law of Conservation of Mass. (https://education.nationalgeographic.org/resource/conservation-matter-during-physical-and-chemical-changes/)</v>
      </c>
      <c r="J53" s="71" t="str">
        <f>IFERROR(__xludf.DUMMYFUNCTION("""COMPUTED_VALUE"""),"Research shows that the Law of Conservation of Mass was created by Antoine Lavoisier. His discovery of how mass can't be destroyed or created laid the foundation for modern science.https://www.nature.com/scitable/knowledge/library/the-conservation-of-mass"&amp;"-17395478/  ")</f>
        <v>Research shows that the Law of Conservation of Mass was created by Antoine Lavoisier. His discovery of how mass can't be destroyed or created laid the foundation for modern science.https://www.nature.com/scitable/knowledge/library/the-conservation-of-mass-17395478/  </v>
      </c>
      <c r="K53" s="71" t="str">
        <f>IFERROR(__xludf.DUMMYFUNCTION("""COMPUTED_VALUE"""),""" The atom itself is neither created nor destroyed but cycles among chemical compounds."" This shows how atoms can not be destroyed nor created and that they only cycle through different chemical compounds. Since matter is made up of atoms that supports "&amp;"the part about how the candle didn't lose any mass in my claim about how the candle didn't lose any mass but it gained mass. https://www.nature.com/scitable/knowledge/library/the-conservation-of-mass-17395478/")</f>
        <v>" The atom itself is neither created nor destroyed but cycles among chemical compounds." This shows how atoms can not be destroyed nor created and that they only cycle through different chemical compounds. Since matter is made up of atoms that supports the part about how the candle didn't lose any mass in my claim about how the candle didn't lose any mass but it gained mass. https://www.nature.com/scitable/knowledge/library/the-conservation-of-mass-17395478/</v>
      </c>
      <c r="L53" s="71" t="str">
        <f>IFERROR(__xludf.DUMMYFUNCTION("""COMPUTED_VALUE"""),"Yes")</f>
        <v>Yes</v>
      </c>
      <c r="M53" s="71" t="str">
        <f>IFERROR(__xludf.DUMMYFUNCTION("""COMPUTED_VALUE"""),"Yes")</f>
        <v>Yes</v>
      </c>
      <c r="N53" s="71" t="str">
        <f>IFERROR(__xludf.DUMMYFUNCTION("""COMPUTED_VALUE"""),"Yes")</f>
        <v>Yes</v>
      </c>
      <c r="O53" s="71" t="str">
        <f>IFERROR(__xludf.DUMMYFUNCTION("""COMPUTED_VALUE"""),"Yes")</f>
        <v>Yes</v>
      </c>
      <c r="P53" s="71" t="str">
        <f>IFERROR(__xludf.DUMMYFUNCTION("""COMPUTED_VALUE"""),"My pieces of evidence supports my claim because all three pieces of my evidence support my claim in one way. Therefore based on all of my evidence it is clear that the candle didnt lose any matter because it says that matter can not be destroyed, nor crea"&amp;"ted.")</f>
        <v>My pieces of evidence supports my claim because all three pieces of my evidence support my claim in one way. Therefore based on all of my evidence it is clear that the candle didnt lose any matter because it says that matter can not be destroyed, nor created.</v>
      </c>
      <c r="Q53" s="71" t="str">
        <f>IFERROR(__xludf.DUMMYFUNCTION("""COMPUTED_VALUE"""),"Yes")</f>
        <v>Yes</v>
      </c>
      <c r="R53" s="71" t="str">
        <f>IFERROR(__xludf.DUMMYFUNCTION("""COMPUTED_VALUE"""),"Yes")</f>
        <v>Yes</v>
      </c>
      <c r="S53" s="71" t="str">
        <f>IFERROR(__xludf.DUMMYFUNCTION("""COMPUTED_VALUE"""),"Yes")</f>
        <v>Yes</v>
      </c>
      <c r="T53" s="71" t="str">
        <f>IFERROR(__xludf.DUMMYFUNCTION("""COMPUTED_VALUE"""),"Partially")</f>
        <v>Partially</v>
      </c>
      <c r="U53" s="71"/>
      <c r="V53" s="71" t="str">
        <f>IFERROR(__xludf.DUMMYFUNCTION("""COMPUTED_VALUE"""),"Proficient")</f>
        <v>Proficient</v>
      </c>
      <c r="W53" s="71" t="str">
        <f>IFERROR(__xludf.DUMMYFUNCTION("""COMPUTED_VALUE"""),"Proficient")</f>
        <v>Proficient</v>
      </c>
      <c r="X53" s="71" t="str">
        <f>IFERROR(__xludf.DUMMYFUNCTION("""COMPUTED_VALUE"""),"Developing")</f>
        <v>Developing</v>
      </c>
      <c r="Y53" s="71" t="str">
        <f>IFERROR(__xludf.DUMMYFUNCTION("""COMPUTED_VALUE"""),"Proficient")</f>
        <v>Proficient</v>
      </c>
      <c r="Z53" s="71"/>
    </row>
    <row r="54">
      <c r="A54" s="128">
        <f>IFERROR(__xludf.DUMMYFUNCTION("""COMPUTED_VALUE"""),45939.466592962955)</f>
        <v>45939.46659</v>
      </c>
      <c r="B54" s="71" t="str">
        <f>IFERROR(__xludf.DUMMYFUNCTION("""COMPUTED_VALUE"""),"mckenzie.holt@kairosacademies.org")</f>
        <v>mckenzie.holt@kairosacademies.org</v>
      </c>
      <c r="C54" s="71" t="str">
        <f>IFERROR(__xludf.DUMMYFUNCTION("""COMPUTED_VALUE"""),"Prompt 1")</f>
        <v>Prompt 1</v>
      </c>
      <c r="D54" s="71" t="str">
        <f>IFERROR(__xludf.DUMMYFUNCTION("""COMPUTED_VALUE"""),"The evidence demonstrates that the candle did lose mass, because due to the flame being lit on the candle, the fire made the wax(or candle) melt and made it lose mass; the lost mass became smoke.")</f>
        <v>The evidence demonstrates that the candle did lose mass, because due to the flame being lit on the candle, the fire made the wax(or candle) melt and made it lose mass; the lost mass became smoke.</v>
      </c>
      <c r="E54" s="71" t="str">
        <f>IFERROR(__xludf.DUMMYFUNCTION("""COMPUTED_VALUE"""),"Yes")</f>
        <v>Yes</v>
      </c>
      <c r="F54" s="71" t="str">
        <f>IFERROR(__xludf.DUMMYFUNCTION("""COMPUTED_VALUE"""),"Yes")</f>
        <v>Yes</v>
      </c>
      <c r="G54" s="71" t="str">
        <f>IFERROR(__xludf.DUMMYFUNCTION("""COMPUTED_VALUE"""),"Yes")</f>
        <v>Yes</v>
      </c>
      <c r="H54" s="71" t="str">
        <f>IFERROR(__xludf.DUMMYFUNCTION("""COMPUTED_VALUE"""),"Yes")</f>
        <v>Yes</v>
      </c>
      <c r="I54" s="71" t="str">
        <f>IFERROR(__xludf.DUMMYFUNCTION("""COMPUTED_VALUE"""),"Research indicates that when candles burns, it melts and the melted wax solidifies again on the sides or at the foot of the candle. I wondered if the melted candle wax is reusable. Maybe that is why some candle manufacturers use glass cups as candle sidin"&amp;"gs, where melted wax can not leak out.")</f>
        <v>Research indicates that when candles burns, it melts and the melted wax solidifies again on the sides or at the foot of the candle. I wondered if the melted candle wax is reusable. Maybe that is why some candle manufacturers use glass cups as candle sidings, where melted wax can not leak out.</v>
      </c>
      <c r="J54" s="71" t="str">
        <f>IFERROR(__xludf.DUMMYFUNCTION("""COMPUTED_VALUE"""),"For example, when candles burn, most of their matter goes into the air.
The light and heat from a candle comes from the wax burning. When you light the wick, the flame causes some of the wax to melt, flow up the wick and evaporate, and then the wax vapor"&amp;" burns. The wick, which is made of cotton, also burns, although it’s the wax that contributes most of the heat. The puddles you sometimes see around the base are from wax that spilled and dripped down without burning.")</f>
        <v>For example, when candles burn, most of their matter goes into the air.
The light and heat from a candle comes from the wax burning. When you light the wick, the flame causes some of the wax to melt, flow up the wick and evaporate, and then the wax vapor burns. The wick, which is made of cotton, also burns, although it’s the wax that contributes most of the heat. The puddles you sometimes see around the base are from wax that spilled and dripped down without burning.</v>
      </c>
      <c r="K54" s="71" t="str">
        <f>IFERROR(__xludf.DUMMYFUNCTION("""COMPUTED_VALUE"""),"According to the text/data, the smoke from a candle is actually vaporized paraffin wax. When you blow out the candle, the heat remains and continues to vaporize the candle wax (only for a few seconds though). This produces a trail of what appears to be ca"&amp;"ndle smoke.")</f>
        <v>According to the text/data, the smoke from a candle is actually vaporized paraffin wax. When you blow out the candle, the heat remains and continues to vaporize the candle wax (only for a few seconds though). This produces a trail of what appears to be candle smoke.</v>
      </c>
      <c r="L54" s="71" t="str">
        <f>IFERROR(__xludf.DUMMYFUNCTION("""COMPUTED_VALUE"""),"Yes")</f>
        <v>Yes</v>
      </c>
      <c r="M54" s="71" t="str">
        <f>IFERROR(__xludf.DUMMYFUNCTION("""COMPUTED_VALUE"""),"Yes")</f>
        <v>Yes</v>
      </c>
      <c r="N54" s="71" t="str">
        <f>IFERROR(__xludf.DUMMYFUNCTION("""COMPUTED_VALUE"""),"Yes")</f>
        <v>Yes</v>
      </c>
      <c r="O54" s="71" t="str">
        <f>IFERROR(__xludf.DUMMYFUNCTION("""COMPUTED_VALUE"""),"Yes, Partially")</f>
        <v>Yes, Partially</v>
      </c>
      <c r="P54" s="71" t="str">
        <f>IFERROR(__xludf.DUMMYFUNCTION("""COMPUTED_VALUE"""),"Because Research indicates that when candles burns, it melts and the melted wax solidifies again on the sides or at the foot of the candle, this shows that this piece connects to how the candles grams go down because of the wax. Furthermore, because of th"&amp;"e light and heat from a candle comes from the wax burning. When you light the wick, the flame causes some of the wax to melt, flow up the wick and evaporate, and then the wax vapor burns, it highlights that The candle lost mass. This proves that when you "&amp;"burn something, you destroy matter. Therefore based on all the evidence, it is clear that some things lose matter when you destroy it.")</f>
        <v>Because Research indicates that when candles burns, it melts and the melted wax solidifies again on the sides or at the foot of the candle, this shows that this piece connects to how the candles grams go down because of the wax. Furthermore, because of the light and heat from a candle comes from the wax burning. When you light the wick, the flame causes some of the wax to melt, flow up the wick and evaporate, and then the wax vapor burns, it highlights that The candle lost mass. This proves that when you burn something, you destroy matter. Therefore based on all the evidence, it is clear that some things lose matter when you destroy it.</v>
      </c>
      <c r="Q54" s="71" t="str">
        <f>IFERROR(__xludf.DUMMYFUNCTION("""COMPUTED_VALUE"""),"Yes, Partially")</f>
        <v>Yes, Partially</v>
      </c>
      <c r="R54" s="71" t="str">
        <f>IFERROR(__xludf.DUMMYFUNCTION("""COMPUTED_VALUE"""),"Yes")</f>
        <v>Yes</v>
      </c>
      <c r="S54" s="71" t="str">
        <f>IFERROR(__xludf.DUMMYFUNCTION("""COMPUTED_VALUE"""),"Yes")</f>
        <v>Yes</v>
      </c>
      <c r="T54" s="71" t="str">
        <f>IFERROR(__xludf.DUMMYFUNCTION("""COMPUTED_VALUE"""),"Partially")</f>
        <v>Partially</v>
      </c>
      <c r="U54" s="71" t="str">
        <f>IFERROR(__xludf.DUMMYFUNCTION("""COMPUTED_VALUE"""),"While some may argue that when you burn something, you destroy matter, the evidence clearly shows that  when candles burns, it melts and the melted wax solidifies again on the sides or at the foot of the candle, this shows that this piece connects to how "&amp;"the candles grams go down because of the wax. Furthermore, because of the light and heat from a candle comes from the wax burning. When you light the wick, the flame causes some of the wax to melt, flow up the wick and evaporate, and then the wax vapor bu"&amp;"rns, it highlights that The candle lost mass. This proves that when you burn something, you destroy matter. Therefore based on all the evidence, it is clear that some things lose matter when you destroy it.")</f>
        <v>While some may argue that when you burn something, you destroy matter, the evidence clearly shows that  when candles burns, it melts and the melted wax solidifies again on the sides or at the foot of the candle, this shows that this piece connects to how the candles grams go down because of the wax. Furthermore, because of the light and heat from a candle comes from the wax burning. When you light the wick, the flame causes some of the wax to melt, flow up the wick and evaporate, and then the wax vapor burns, it highlights that The candle lost mass. This proves that when you burn something, you destroy matter. Therefore based on all the evidence, it is clear that some things lose matter when you destroy it.</v>
      </c>
      <c r="V54" s="71" t="str">
        <f>IFERROR(__xludf.DUMMYFUNCTION("""COMPUTED_VALUE"""),"Proficient")</f>
        <v>Proficient</v>
      </c>
      <c r="W54" s="71" t="str">
        <f>IFERROR(__xludf.DUMMYFUNCTION("""COMPUTED_VALUE"""),"Developing")</f>
        <v>Developing</v>
      </c>
      <c r="X54" s="71" t="str">
        <f>IFERROR(__xludf.DUMMYFUNCTION("""COMPUTED_VALUE"""),"Beginning")</f>
        <v>Beginning</v>
      </c>
      <c r="Y54" s="71" t="str">
        <f>IFERROR(__xludf.DUMMYFUNCTION("""COMPUTED_VALUE"""),"Proficient")</f>
        <v>Proficient</v>
      </c>
      <c r="Z54" s="71"/>
    </row>
    <row r="55">
      <c r="A55" s="128">
        <f>IFERROR(__xludf.DUMMYFUNCTION("""COMPUTED_VALUE"""),45973.43585458333)</f>
        <v>45973.43585</v>
      </c>
      <c r="B55" s="71" t="str">
        <f>IFERROR(__xludf.DUMMYFUNCTION("""COMPUTED_VALUE"""),"khori.harris@kairosacademies.org")</f>
        <v>khori.harris@kairosacademies.org</v>
      </c>
      <c r="C55" s="71" t="str">
        <f>IFERROR(__xludf.DUMMYFUNCTION("""COMPUTED_VALUE"""),"Prompt 1")</f>
        <v>Prompt 1</v>
      </c>
      <c r="D55" s="71" t="str">
        <f>IFERROR(__xludf.DUMMYFUNCTION("""COMPUTED_VALUE"""),"A classmate claims: ""The candle lost mass. This proves that when you burn something, you destroy matter.""
The candle did lose 0.4g of mass, but it didn't get destroyed; instead it burnt.")</f>
        <v>A classmate claims: "The candle lost mass. This proves that when you burn something, you destroy matter."
The candle did lose 0.4g of mass, but it didn't get destroyed; instead it burnt.</v>
      </c>
      <c r="E55" s="71" t="str">
        <f>IFERROR(__xludf.DUMMYFUNCTION("""COMPUTED_VALUE"""),"Yes")</f>
        <v>Yes</v>
      </c>
      <c r="F55" s="71" t="str">
        <f>IFERROR(__xludf.DUMMYFUNCTION("""COMPUTED_VALUE"""),"No")</f>
        <v>No</v>
      </c>
      <c r="G55" s="71" t="str">
        <f>IFERROR(__xludf.DUMMYFUNCTION("""COMPUTED_VALUE"""),"Partially")</f>
        <v>Partially</v>
      </c>
      <c r="H55" s="71" t="str">
        <f>IFERROR(__xludf.DUMMYFUNCTION("""COMPUTED_VALUE"""),"Partially")</f>
        <v>Partially</v>
      </c>
      <c r="I55" s="71" t="str">
        <f>IFERROR(__xludf.DUMMYFUNCTION("""COMPUTED_VALUE"""),"             
")</f>
        <v>             
</v>
      </c>
      <c r="J55" s="71"/>
      <c r="K55" s="71"/>
      <c r="L55" s="71" t="str">
        <f>IFERROR(__xludf.DUMMYFUNCTION("""COMPUTED_VALUE"""),"Yes, No")</f>
        <v>Yes, No</v>
      </c>
      <c r="M55" s="71" t="str">
        <f>IFERROR(__xludf.DUMMYFUNCTION("""COMPUTED_VALUE"""),"Partially")</f>
        <v>Partially</v>
      </c>
      <c r="N55" s="71" t="str">
        <f>IFERROR(__xludf.DUMMYFUNCTION("""COMPUTED_VALUE"""),"Yes")</f>
        <v>Yes</v>
      </c>
      <c r="O55" s="71" t="str">
        <f>IFERROR(__xludf.DUMMYFUNCTION("""COMPUTED_VALUE"""),"Partially")</f>
        <v>Partially</v>
      </c>
      <c r="P55" s="71" t="str">
        <f>IFERROR(__xludf.DUMMYFUNCTION("""COMPUTED_VALUE"""),".")</f>
        <v>.</v>
      </c>
      <c r="Q55" s="71" t="str">
        <f>IFERROR(__xludf.DUMMYFUNCTION("""COMPUTED_VALUE"""),"Yes")</f>
        <v>Yes</v>
      </c>
      <c r="R55" s="71" t="str">
        <f>IFERROR(__xludf.DUMMYFUNCTION("""COMPUTED_VALUE"""),"Partially")</f>
        <v>Partially</v>
      </c>
      <c r="S55" s="71" t="str">
        <f>IFERROR(__xludf.DUMMYFUNCTION("""COMPUTED_VALUE"""),"No")</f>
        <v>No</v>
      </c>
      <c r="T55" s="71" t="str">
        <f>IFERROR(__xludf.DUMMYFUNCTION("""COMPUTED_VALUE"""),"Partially")</f>
        <v>Partially</v>
      </c>
      <c r="U55" s="71"/>
      <c r="V55" s="71" t="str">
        <f>IFERROR(__xludf.DUMMYFUNCTION("""COMPUTED_VALUE"""),"Beginning")</f>
        <v>Beginning</v>
      </c>
      <c r="W55" s="71" t="str">
        <f>IFERROR(__xludf.DUMMYFUNCTION("""COMPUTED_VALUE"""),"Beginning")</f>
        <v>Beginning</v>
      </c>
      <c r="X55" s="71" t="str">
        <f>IFERROR(__xludf.DUMMYFUNCTION("""COMPUTED_VALUE"""),"Developing")</f>
        <v>Developing</v>
      </c>
      <c r="Y55" s="71" t="str">
        <f>IFERROR(__xludf.DUMMYFUNCTION("""COMPUTED_VALUE"""),"Proficient")</f>
        <v>Proficient</v>
      </c>
      <c r="Z55" s="71"/>
    </row>
    <row r="56">
      <c r="A56" s="128">
        <f>IFERROR(__xludf.DUMMYFUNCTION("""COMPUTED_VALUE"""),45939.62057555556)</f>
        <v>45939.62058</v>
      </c>
      <c r="B56" s="71" t="str">
        <f>IFERROR(__xludf.DUMMYFUNCTION("""COMPUTED_VALUE"""),"haylee.wadley@kairosacademies.org")</f>
        <v>haylee.wadley@kairosacademies.org</v>
      </c>
      <c r="C56" s="71" t="str">
        <f>IFERROR(__xludf.DUMMYFUNCTION("""COMPUTED_VALUE"""),"Prompt 3")</f>
        <v>Prompt 3</v>
      </c>
      <c r="D56" s="71" t="str">
        <f>IFERROR(__xludf.DUMMYFUNCTION("""COMPUTED_VALUE"""),"one is relesing energy that one is the hot one the more engery it realeses the hotter it gets and the cold one does the oppisite")</f>
        <v>one is relesing energy that one is the hot one the more engery it realeses the hotter it gets and the cold one does the oppisite</v>
      </c>
      <c r="E56" s="71" t="str">
        <f>IFERROR(__xludf.DUMMYFUNCTION("""COMPUTED_VALUE"""),"Yes")</f>
        <v>Yes</v>
      </c>
      <c r="F56" s="71" t="str">
        <f>IFERROR(__xludf.DUMMYFUNCTION("""COMPUTED_VALUE"""),"Partially")</f>
        <v>Partially</v>
      </c>
      <c r="G56" s="71" t="str">
        <f>IFERROR(__xludf.DUMMYFUNCTION("""COMPUTED_VALUE"""),"Yes")</f>
        <v>Yes</v>
      </c>
      <c r="H56" s="71" t="str">
        <f>IFERROR(__xludf.DUMMYFUNCTION("""COMPUTED_VALUE"""),"Yes")</f>
        <v>Yes</v>
      </c>
      <c r="I56" s="71" t="str">
        <f>IFERROR(__xludf.DUMMYFUNCTION("""COMPUTED_VALUE"""),"for examlpe the hand warmer is just like burning wood it releses enegry making it hotter. (source: google ai)")</f>
        <v>for examlpe the hand warmer is just like burning wood it releses enegry making it hotter. (source: google ai)</v>
      </c>
      <c r="J56" s="71" t="str">
        <f>IFERROR(__xludf.DUMMYFUNCTION("""COMPUTED_VALUE"""),"the reaction is called thermite reaction it is when heat releeases ")</f>
        <v>the reaction is called thermite reaction it is when heat releeases </v>
      </c>
      <c r="K56" s="71" t="str">
        <f>IFERROR(__xludf.DUMMYFUNCTION("""COMPUTED_VALUE"""),"the cemicle reaction is between a metal fual and a metal oxide")</f>
        <v>the cemicle reaction is between a metal fual and a metal oxide</v>
      </c>
      <c r="L56" s="71" t="str">
        <f>IFERROR(__xludf.DUMMYFUNCTION("""COMPUTED_VALUE"""),"Yes")</f>
        <v>Yes</v>
      </c>
      <c r="M56" s="71" t="str">
        <f>IFERROR(__xludf.DUMMYFUNCTION("""COMPUTED_VALUE"""),"Partially")</f>
        <v>Partially</v>
      </c>
      <c r="N56" s="71" t="str">
        <f>IFERROR(__xludf.DUMMYFUNCTION("""COMPUTED_VALUE"""),"Partially")</f>
        <v>Partially</v>
      </c>
      <c r="O56" s="71" t="str">
        <f>IFERROR(__xludf.DUMMYFUNCTION("""COMPUTED_VALUE"""),"No")</f>
        <v>No</v>
      </c>
      <c r="P56" s="71" t="str">
        <f>IFERROR(__xludf.DUMMYFUNCTION("""COMPUTED_VALUE"""),"#2 shows the name of the reation and how it happenes then continuing onto #3 it shows the most common cemicle reaction")</f>
        <v>#2 shows the name of the reation and how it happenes then continuing onto #3 it shows the most common cemicle reaction</v>
      </c>
      <c r="Q56" s="71" t="str">
        <f>IFERROR(__xludf.DUMMYFUNCTION("""COMPUTED_VALUE"""),"Partially")</f>
        <v>Partially</v>
      </c>
      <c r="R56" s="71" t="str">
        <f>IFERROR(__xludf.DUMMYFUNCTION("""COMPUTED_VALUE"""),"Yes")</f>
        <v>Yes</v>
      </c>
      <c r="S56" s="71" t="str">
        <f>IFERROR(__xludf.DUMMYFUNCTION("""COMPUTED_VALUE"""),"No")</f>
        <v>No</v>
      </c>
      <c r="T56" s="71" t="str">
        <f>IFERROR(__xludf.DUMMYFUNCTION("""COMPUTED_VALUE"""),"Yes")</f>
        <v>Yes</v>
      </c>
      <c r="U56" s="71" t="str">
        <f>IFERROR(__xludf.DUMMYFUNCTION("""COMPUTED_VALUE"""),"some may say its just cemicles while they are mostly right its helps tons to show the real proceses on how it happens")</f>
        <v>some may say its just cemicles while they are mostly right its helps tons to show the real proceses on how it happens</v>
      </c>
      <c r="V56" s="71" t="str">
        <f>IFERROR(__xludf.DUMMYFUNCTION("""COMPUTED_VALUE"""),"Beginning")</f>
        <v>Beginning</v>
      </c>
      <c r="W56" s="71" t="str">
        <f>IFERROR(__xludf.DUMMYFUNCTION("""COMPUTED_VALUE"""),"Developing")</f>
        <v>Developing</v>
      </c>
      <c r="X56" s="71" t="str">
        <f>IFERROR(__xludf.DUMMYFUNCTION("""COMPUTED_VALUE"""),"Proficient")</f>
        <v>Proficient</v>
      </c>
      <c r="Y56" s="71" t="str">
        <f>IFERROR(__xludf.DUMMYFUNCTION("""COMPUTED_VALUE"""),"Developing")</f>
        <v>Developing</v>
      </c>
      <c r="Z56" s="71"/>
    </row>
    <row r="57">
      <c r="A57" s="128">
        <f>IFERROR(__xludf.DUMMYFUNCTION("""COMPUTED_VALUE"""),45939.7478587963)</f>
        <v>45939.74786</v>
      </c>
      <c r="B57" s="71" t="str">
        <f>IFERROR(__xludf.DUMMYFUNCTION("""COMPUTED_VALUE"""),"ziy'la.griffin@kairosacademies.org")</f>
        <v>ziy'la.griffin@kairosacademies.org</v>
      </c>
      <c r="C57" s="71" t="str">
        <f>IFERROR(__xludf.DUMMYFUNCTION("""COMPUTED_VALUE"""),"Prompt 3")</f>
        <v>Prompt 3</v>
      </c>
      <c r="D57" s="71" t="str">
        <f>IFERROR(__xludf.DUMMYFUNCTION("""COMPUTED_VALUE"""),"The evidence demonstrates that its very cold in saint louis.")</f>
        <v>The evidence demonstrates that its very cold in saint louis.</v>
      </c>
      <c r="E57" s="71" t="str">
        <f>IFERROR(__xludf.DUMMYFUNCTION("""COMPUTED_VALUE"""),"Yes")</f>
        <v>Yes</v>
      </c>
      <c r="F57" s="71" t="str">
        <f>IFERROR(__xludf.DUMMYFUNCTION("""COMPUTED_VALUE"""),"Yes")</f>
        <v>Yes</v>
      </c>
      <c r="G57" s="71" t="str">
        <f>IFERROR(__xludf.DUMMYFUNCTION("""COMPUTED_VALUE"""),"Partially")</f>
        <v>Partially</v>
      </c>
      <c r="H57" s="71" t="str">
        <f>IFERROR(__xludf.DUMMYFUNCTION("""COMPUTED_VALUE"""),"No")</f>
        <v>No</v>
      </c>
      <c r="I57" s="71" t="str">
        <f>IFERROR(__xludf.DUMMYFUNCTION("""COMPUTED_VALUE"""),"According to the text it was an very cold day in stl. But 2 students used packs that released two different energies.")</f>
        <v>According to the text it was an very cold day in stl. But 2 students used packs that released two different energies.</v>
      </c>
      <c r="J57" s="71" t="str">
        <f>IFERROR(__xludf.DUMMYFUNCTION("""COMPUTED_VALUE"""),"The first student experienced heat but the 2nd experienced cold because of the ice pack.")</f>
        <v>The first student experienced heat but the 2nd experienced cold because of the ice pack.</v>
      </c>
      <c r="K57" s="71" t="str">
        <f>IFERROR(__xludf.DUMMYFUNCTION("""COMPUTED_VALUE"""),"“Cold day in stl” “student opened an heat thing and it got warmer” “kid put an ice pack on they arm and it got colder” all from the passage ")</f>
        <v>“Cold day in stl” “student opened an heat thing and it got warmer” “kid put an ice pack on they arm and it got colder” all from the passage </v>
      </c>
      <c r="L57" s="71" t="str">
        <f>IFERROR(__xludf.DUMMYFUNCTION("""COMPUTED_VALUE"""),"Yes")</f>
        <v>Yes</v>
      </c>
      <c r="M57" s="71" t="str">
        <f>IFERROR(__xludf.DUMMYFUNCTION("""COMPUTED_VALUE"""),"Yes")</f>
        <v>Yes</v>
      </c>
      <c r="N57" s="71" t="str">
        <f>IFERROR(__xludf.DUMMYFUNCTION("""COMPUTED_VALUE"""),"No")</f>
        <v>No</v>
      </c>
      <c r="O57" s="71" t="str">
        <f>IFERROR(__xludf.DUMMYFUNCTION("""COMPUTED_VALUE"""),"Partially")</f>
        <v>Partially</v>
      </c>
      <c r="P57" s="71" t="str">
        <f>IFERROR(__xludf.DUMMYFUNCTION("""COMPUTED_VALUE"""),"Therefore based on all my evidence it all adds up to everything in my  CER.")</f>
        <v>Therefore based on all my evidence it all adds up to everything in my  CER.</v>
      </c>
      <c r="Q57" s="71" t="str">
        <f>IFERROR(__xludf.DUMMYFUNCTION("""COMPUTED_VALUE"""),"Partially")</f>
        <v>Partially</v>
      </c>
      <c r="R57" s="71" t="str">
        <f>IFERROR(__xludf.DUMMYFUNCTION("""COMPUTED_VALUE"""),"Partially")</f>
        <v>Partially</v>
      </c>
      <c r="S57" s="71" t="str">
        <f>IFERROR(__xludf.DUMMYFUNCTION("""COMPUTED_VALUE"""),"No")</f>
        <v>No</v>
      </c>
      <c r="T57" s="71" t="str">
        <f>IFERROR(__xludf.DUMMYFUNCTION("""COMPUTED_VALUE"""),"Partially")</f>
        <v>Partially</v>
      </c>
      <c r="U57" s="71" t="str">
        <f>IFERROR(__xludf.DUMMYFUNCTION("""COMPUTED_VALUE"""),"Because it clearly shows that it was very cold but due to simple heat it got warmer and due to an ice pack it got colder.")</f>
        <v>Because it clearly shows that it was very cold but due to simple heat it got warmer and due to an ice pack it got colder.</v>
      </c>
      <c r="V57" s="71" t="str">
        <f>IFERROR(__xludf.DUMMYFUNCTION("""COMPUTED_VALUE"""),"Developing")</f>
        <v>Developing</v>
      </c>
      <c r="W57" s="71" t="str">
        <f>IFERROR(__xludf.DUMMYFUNCTION("""COMPUTED_VALUE"""),"Developing")</f>
        <v>Developing</v>
      </c>
      <c r="X57" s="71" t="str">
        <f>IFERROR(__xludf.DUMMYFUNCTION("""COMPUTED_VALUE"""),"Developing")</f>
        <v>Developing</v>
      </c>
      <c r="Y57" s="71" t="str">
        <f>IFERROR(__xludf.DUMMYFUNCTION("""COMPUTED_VALUE"""),"Developing")</f>
        <v>Developing</v>
      </c>
      <c r="Z57" s="71"/>
    </row>
    <row r="58">
      <c r="A58" s="128">
        <f>IFERROR(__xludf.DUMMYFUNCTION("""COMPUTED_VALUE"""),45940.60671115741)</f>
        <v>45940.60671</v>
      </c>
      <c r="B58" s="71" t="str">
        <f>IFERROR(__xludf.DUMMYFUNCTION("""COMPUTED_VALUE"""),"alina.watkins@kairosacademies.org")</f>
        <v>alina.watkins@kairosacademies.org</v>
      </c>
      <c r="C58" s="71" t="str">
        <f>IFERROR(__xludf.DUMMYFUNCTION("""COMPUTED_VALUE"""),"Prompt 2")</f>
        <v>Prompt 2</v>
      </c>
      <c r="D58" s="71" t="str">
        <f>IFERROR(__xludf.DUMMYFUNCTION("""COMPUTED_VALUE"""),"Based on the data, the tablet caused a chemical change in the beaker of  water, and the classmates claim is scientifically incorrect because instead of it being a physical change like sugar dissolving, it's actually a chemical reaction that produced a gas"&amp;" which was carbon dioxide. ")</f>
        <v>Based on the data, the tablet caused a chemical change in the beaker of  water, and the classmates claim is scientifically incorrect because instead of it being a physical change like sugar dissolving, it's actually a chemical reaction that produced a gas which was carbon dioxide. </v>
      </c>
      <c r="E58" s="71" t="str">
        <f>IFERROR(__xludf.DUMMYFUNCTION("""COMPUTED_VALUE"""),"Yes")</f>
        <v>Yes</v>
      </c>
      <c r="F58" s="71" t="str">
        <f>IFERROR(__xludf.DUMMYFUNCTION("""COMPUTED_VALUE"""),"Yes")</f>
        <v>Yes</v>
      </c>
      <c r="G58" s="71" t="str">
        <f>IFERROR(__xludf.DUMMYFUNCTION("""COMPUTED_VALUE"""),"Yes")</f>
        <v>Yes</v>
      </c>
      <c r="H58" s="71" t="str">
        <f>IFERROR(__xludf.DUMMYFUNCTION("""COMPUTED_VALUE"""),"Yes")</f>
        <v>Yes</v>
      </c>
      <c r="I58" s="71" t="str">
        <f>IFERROR(__xludf.DUMMYFUNCTION("""COMPUTED_VALUE"""),"According to the data, the total mass decreased from 105 g to 103.5 g after the fizzing stopped. This shows that some of the matter, which is the gas it produced, left the beaker. ")</f>
        <v>According to the data, the total mass decreased from 105 g to 103.5 g after the fizzing stopped. This shows that some of the matter, which is the gas it produced, left the beaker. </v>
      </c>
      <c r="J58" s="71" t="str">
        <f>IFERROR(__xludf.DUMMYFUNCTION("""COMPUTED_VALUE"""),"Research indicates that when Alka-Seltzer reacts which water, it produces new substances like sodium citrate, water, and carbon dioxide. (Florida State University/ FSU Chemistry Lab)")</f>
        <v>Research indicates that when Alka-Seltzer reacts which water, it produces new substances like sodium citrate, water, and carbon dioxide. (Florida State University/ FSU Chemistry Lab)</v>
      </c>
      <c r="K58" s="71" t="str">
        <f>IFERROR(__xludf.DUMMYFUNCTION("""COMPUTED_VALUE"""),"For example, when sugar dissolves in water, it doesn't release any gas or create new substances, so it’s a physical change. The fizzing of the Alka-Seltzer and the fact the mass went down and nothing visibly escaped the beaker,  shows that a chemical reac"&amp;"tion occurred.")</f>
        <v>For example, when sugar dissolves in water, it doesn't release any gas or create new substances, so it’s a physical change. The fizzing of the Alka-Seltzer and the fact the mass went down and nothing visibly escaped the beaker,  shows that a chemical reaction occurred.</v>
      </c>
      <c r="L58" s="71" t="str">
        <f>IFERROR(__xludf.DUMMYFUNCTION("""COMPUTED_VALUE"""),"Yes")</f>
        <v>Yes</v>
      </c>
      <c r="M58" s="71" t="str">
        <f>IFERROR(__xludf.DUMMYFUNCTION("""COMPUTED_VALUE"""),"Yes")</f>
        <v>Yes</v>
      </c>
      <c r="N58" s="71" t="str">
        <f>IFERROR(__xludf.DUMMYFUNCTION("""COMPUTED_VALUE"""),"Yes")</f>
        <v>Yes</v>
      </c>
      <c r="O58" s="71" t="str">
        <f>IFERROR(__xludf.DUMMYFUNCTION("""COMPUTED_VALUE"""),"Yes")</f>
        <v>Yes</v>
      </c>
      <c r="P58" s="71" t="str">
        <f>IFERROR(__xludf.DUMMYFUNCTION("""COMPUTED_VALUE"""),"Because the data shows that gas was released and the mass decreased after the Alka-Seltzer tablet had been added, and research confirms that citric acid and sodium bicarbonate in the tablet react in water to form new substances, Like carbon dioxide, water"&amp;", and sodium citrate, The tablet caused a chemical reaction. Therefore the classmate’s claim was scientifically incorrect, since it wasn’t a physical change like sugar dissolving in water, but a chemical change that produced new substances.")</f>
        <v>Because the data shows that gas was released and the mass decreased after the Alka-Seltzer tablet had been added, and research confirms that citric acid and sodium bicarbonate in the tablet react in water to form new substances, Like carbon dioxide, water, and sodium citrate, The tablet caused a chemical reaction. Therefore the classmate’s claim was scientifically incorrect, since it wasn’t a physical change like sugar dissolving in water, but a chemical change that produced new substances.</v>
      </c>
      <c r="Q58" s="71" t="str">
        <f>IFERROR(__xludf.DUMMYFUNCTION("""COMPUTED_VALUE"""),"Yes")</f>
        <v>Yes</v>
      </c>
      <c r="R58" s="71" t="str">
        <f>IFERROR(__xludf.DUMMYFUNCTION("""COMPUTED_VALUE"""),"Yes")</f>
        <v>Yes</v>
      </c>
      <c r="S58" s="71" t="str">
        <f>IFERROR(__xludf.DUMMYFUNCTION("""COMPUTED_VALUE"""),"Yes")</f>
        <v>Yes</v>
      </c>
      <c r="T58" s="71" t="str">
        <f>IFERROR(__xludf.DUMMYFUNCTION("""COMPUTED_VALUE"""),"Yes")</f>
        <v>Yes</v>
      </c>
      <c r="U58" s="71" t="str">
        <f>IFERROR(__xludf.DUMMYFUNCTION("""COMPUTED_VALUE"""),"While some may argue that the tablet dissolving was a physical change, similar to sugar dissolving in water. The evidence clearly shows that the tablet caused a chemical change in the beaker of water, based on the fact that the water fizzed and nothing vi"&amp;"sibly escaped, and the mass decreased when the tablet was added. This further supports my claim that it was, in fact, not a physical, but a chemical change.")</f>
        <v>While some may argue that the tablet dissolving was a physical change, similar to sugar dissolving in water. The evidence clearly shows that the tablet caused a chemical change in the beaker of water, based on the fact that the water fizzed and nothing visibly escaped, and the mass decreased when the tablet was added. This further supports my claim that it was, in fact, not a physical, but a chemical change.</v>
      </c>
      <c r="V58" s="71" t="str">
        <f>IFERROR(__xludf.DUMMYFUNCTION("""COMPUTED_VALUE"""),"Proficient")</f>
        <v>Proficient</v>
      </c>
      <c r="W58" s="71" t="str">
        <f>IFERROR(__xludf.DUMMYFUNCTION("""COMPUTED_VALUE"""),"Proficient")</f>
        <v>Proficient</v>
      </c>
      <c r="X58" s="71" t="str">
        <f>IFERROR(__xludf.DUMMYFUNCTION("""COMPUTED_VALUE"""),"Proficient")</f>
        <v>Proficient</v>
      </c>
      <c r="Y58" s="71" t="str">
        <f>IFERROR(__xludf.DUMMYFUNCTION("""COMPUTED_VALUE"""),"Proficient")</f>
        <v>Proficient</v>
      </c>
      <c r="Z58" s="71"/>
    </row>
    <row r="59">
      <c r="A59" s="128">
        <f>IFERROR(__xludf.DUMMYFUNCTION("""COMPUTED_VALUE"""),45940.6420969676)</f>
        <v>45940.6421</v>
      </c>
      <c r="B59" s="71" t="str">
        <f>IFERROR(__xludf.DUMMYFUNCTION("""COMPUTED_VALUE"""),"cameron.brown@kairosacademies.org")</f>
        <v>cameron.brown@kairosacademies.org</v>
      </c>
      <c r="C59" s="71" t="str">
        <f>IFERROR(__xludf.DUMMYFUNCTION("""COMPUTED_VALUE"""),"Prompt 1")</f>
        <v>Prompt 1</v>
      </c>
      <c r="D59" s="71" t="str">
        <f>IFERROR(__xludf.DUMMYFUNCTION("""COMPUTED_VALUE"""),"Based on the data the candle waxes transformed into .4 grams of smoke when the flames went out.")</f>
        <v>Based on the data the candle waxes transformed into .4 grams of smoke when the flames went out.</v>
      </c>
      <c r="E59" s="71" t="str">
        <f>IFERROR(__xludf.DUMMYFUNCTION("""COMPUTED_VALUE"""),"Yes")</f>
        <v>Yes</v>
      </c>
      <c r="F59" s="71" t="str">
        <f>IFERROR(__xludf.DUMMYFUNCTION("""COMPUTED_VALUE"""),"Partially")</f>
        <v>Partially</v>
      </c>
      <c r="G59" s="71" t="str">
        <f>IFERROR(__xludf.DUMMYFUNCTION("""COMPUTED_VALUE"""),"Partially")</f>
        <v>Partially</v>
      </c>
      <c r="H59" s="71" t="str">
        <f>IFERROR(__xludf.DUMMYFUNCTION("""COMPUTED_VALUE"""),"Yes")</f>
        <v>Yes</v>
      </c>
      <c r="I59" s="71" t="str">
        <f>IFERROR(__xludf.DUMMYFUNCTION("""COMPUTED_VALUE"""),"According to the data burning matter causes decreasing in the weight as shown, ""The candle lost mass. This proves that when you burn something, you destroy matter.""")</f>
        <v>According to the data burning matter causes decreasing in the weight as shown, "The candle lost mass. This proves that when you burn something, you destroy matter."</v>
      </c>
      <c r="J59" s="71" t="str">
        <f>IFERROR(__xludf.DUMMYFUNCTION("""COMPUTED_VALUE"""),"According to the data the candle was 10.0 grams before being lit but then melted from the fire causing the candle to decrease to 9.6 grams.  ")</f>
        <v>According to the data the candle was 10.0 grams before being lit but then melted from the fire causing the candle to decrease to 9.6 grams.  </v>
      </c>
      <c r="K59" s="71"/>
      <c r="L59" s="71" t="str">
        <f>IFERROR(__xludf.DUMMYFUNCTION("""COMPUTED_VALUE"""),"Yes")</f>
        <v>Yes</v>
      </c>
      <c r="M59" s="71" t="str">
        <f>IFERROR(__xludf.DUMMYFUNCTION("""COMPUTED_VALUE"""),"Yes")</f>
        <v>Yes</v>
      </c>
      <c r="N59" s="71" t="str">
        <f>IFERROR(__xludf.DUMMYFUNCTION("""COMPUTED_VALUE"""),"Partially")</f>
        <v>Partially</v>
      </c>
      <c r="O59" s="71" t="str">
        <f>IFERROR(__xludf.DUMMYFUNCTION("""COMPUTED_VALUE"""),"Yes")</f>
        <v>Yes</v>
      </c>
      <c r="P59" s="71" t="str">
        <f>IFERROR(__xludf.DUMMYFUNCTION("""COMPUTED_VALUE"""),"While some may argue that the fire ")</f>
        <v>While some may argue that the fire </v>
      </c>
      <c r="Q59" s="71" t="str">
        <f>IFERROR(__xludf.DUMMYFUNCTION("""COMPUTED_VALUE"""),"Yes")</f>
        <v>Yes</v>
      </c>
      <c r="R59" s="71" t="str">
        <f>IFERROR(__xludf.DUMMYFUNCTION("""COMPUTED_VALUE"""),"No")</f>
        <v>No</v>
      </c>
      <c r="S59" s="71" t="str">
        <f>IFERROR(__xludf.DUMMYFUNCTION("""COMPUTED_VALUE"""),"Yes")</f>
        <v>Yes</v>
      </c>
      <c r="T59" s="71" t="str">
        <f>IFERROR(__xludf.DUMMYFUNCTION("""COMPUTED_VALUE"""),"Partially")</f>
        <v>Partially</v>
      </c>
      <c r="U59" s="71"/>
      <c r="V59" s="71" t="str">
        <f>IFERROR(__xludf.DUMMYFUNCTION("""COMPUTED_VALUE"""),"Proficient")</f>
        <v>Proficient</v>
      </c>
      <c r="W59" s="71" t="str">
        <f>IFERROR(__xludf.DUMMYFUNCTION("""COMPUTED_VALUE"""),"Developing")</f>
        <v>Developing</v>
      </c>
      <c r="X59" s="71" t="str">
        <f>IFERROR(__xludf.DUMMYFUNCTION("""COMPUTED_VALUE"""),"Developing")</f>
        <v>Developing</v>
      </c>
      <c r="Y59" s="71" t="str">
        <f>IFERROR(__xludf.DUMMYFUNCTION("""COMPUTED_VALUE"""),"Proficient")</f>
        <v>Proficient</v>
      </c>
      <c r="Z59" s="71"/>
    </row>
    <row r="60">
      <c r="A60" s="128">
        <f>IFERROR(__xludf.DUMMYFUNCTION("""COMPUTED_VALUE"""),45964.42658712963)</f>
        <v>45964.42659</v>
      </c>
      <c r="B60" s="71" t="str">
        <f>IFERROR(__xludf.DUMMYFUNCTION("""COMPUTED_VALUE"""),"enu.mensah-fisher@kairosacademies.org")</f>
        <v>enu.mensah-fisher@kairosacademies.org</v>
      </c>
      <c r="C60" s="71" t="str">
        <f>IFERROR(__xludf.DUMMYFUNCTION("""COMPUTED_VALUE"""),"Prompt 1")</f>
        <v>Prompt 1</v>
      </c>
      <c r="D60" s="71" t="str">
        <f>IFERROR(__xludf.DUMMYFUNCTION("""COMPUTED_VALUE"""),"the evidence demonstrates that based on the date analysis reveals that the most likely explanatoin is just because theirs evidence it does it mean its right ")</f>
        <v>the evidence demonstrates that based on the date analysis reveals that the most likely explanatoin is just because theirs evidence it does it mean its right </v>
      </c>
      <c r="E60" s="71" t="str">
        <f>IFERROR(__xludf.DUMMYFUNCTION("""COMPUTED_VALUE"""),"Yes")</f>
        <v>Yes</v>
      </c>
      <c r="F60" s="71" t="str">
        <f>IFERROR(__xludf.DUMMYFUNCTION("""COMPUTED_VALUE"""),"Partially")</f>
        <v>Partially</v>
      </c>
      <c r="G60" s="71" t="str">
        <f>IFERROR(__xludf.DUMMYFUNCTION("""COMPUTED_VALUE"""),"Yes")</f>
        <v>Yes</v>
      </c>
      <c r="H60" s="71" t="str">
        <f>IFERROR(__xludf.DUMMYFUNCTION("""COMPUTED_VALUE"""),"Partially")</f>
        <v>Partially</v>
      </c>
      <c r="I60" s="71" t="str">
        <f>IFERROR(__xludf.DUMMYFUNCTION("""COMPUTED_VALUE"""),"according to the text/data for example if its a observations about the date and if you can use it if its good and not wrong")</f>
        <v>according to the text/data for example if its a observations about the date and if you can use it if its good and not wrong</v>
      </c>
      <c r="J60" s="71" t="str">
        <f>IFERROR(__xludf.DUMMYFUNCTION("""COMPUTED_VALUE"""),"who is behind this information what is their expertise")</f>
        <v>who is behind this information what is their expertise</v>
      </c>
      <c r="K60" s="71" t="str">
        <f>IFERROR(__xludf.DUMMYFUNCTION("""COMPUTED_VALUE"""),"the note it came with number measurements ")</f>
        <v>the note it came with number measurements </v>
      </c>
      <c r="L60" s="71" t="str">
        <f>IFERROR(__xludf.DUMMYFUNCTION("""COMPUTED_VALUE"""),"Yes")</f>
        <v>Yes</v>
      </c>
      <c r="M60" s="71" t="str">
        <f>IFERROR(__xludf.DUMMYFUNCTION("""COMPUTED_VALUE"""),"No")</f>
        <v>No</v>
      </c>
      <c r="N60" s="71" t="str">
        <f>IFERROR(__xludf.DUMMYFUNCTION("""COMPUTED_VALUE"""),"Partially")</f>
        <v>Partially</v>
      </c>
      <c r="O60" s="71" t="str">
        <f>IFERROR(__xludf.DUMMYFUNCTION("""COMPUTED_VALUE"""),"Partially")</f>
        <v>Partially</v>
      </c>
      <c r="P60" s="71" t="str">
        <f>IFERROR(__xludf.DUMMYFUNCTION("""COMPUTED_VALUE"""),"my claim was that it not right if the evedence is not right ")</f>
        <v>my claim was that it not right if the evedence is not right </v>
      </c>
      <c r="Q60" s="71" t="str">
        <f>IFERROR(__xludf.DUMMYFUNCTION("""COMPUTED_VALUE"""),"Partially")</f>
        <v>Partially</v>
      </c>
      <c r="R60" s="71" t="str">
        <f>IFERROR(__xludf.DUMMYFUNCTION("""COMPUTED_VALUE"""),"No")</f>
        <v>No</v>
      </c>
      <c r="S60" s="71" t="str">
        <f>IFERROR(__xludf.DUMMYFUNCTION("""COMPUTED_VALUE"""),"Yes")</f>
        <v>Yes</v>
      </c>
      <c r="T60" s="71" t="str">
        <f>IFERROR(__xludf.DUMMYFUNCTION("""COMPUTED_VALUE"""),"Yes")</f>
        <v>Yes</v>
      </c>
      <c r="U60" s="71" t="str">
        <f>IFERROR(__xludf.DUMMYFUNCTION("""COMPUTED_VALUE"""),"because it says whilei some may argue its not showing you why they are  argueing ")</f>
        <v>because it says whilei some may argue its not showing you why they are  argueing </v>
      </c>
      <c r="V60" s="71" t="str">
        <f>IFERROR(__xludf.DUMMYFUNCTION("""COMPUTED_VALUE"""),"Proficient")</f>
        <v>Proficient</v>
      </c>
      <c r="W60" s="71" t="str">
        <f>IFERROR(__xludf.DUMMYFUNCTION("""COMPUTED_VALUE"""),"Beginning")</f>
        <v>Beginning</v>
      </c>
      <c r="X60" s="71" t="str">
        <f>IFERROR(__xludf.DUMMYFUNCTION("""COMPUTED_VALUE"""),"Developing")</f>
        <v>Developing</v>
      </c>
      <c r="Y60" s="71" t="str">
        <f>IFERROR(__xludf.DUMMYFUNCTION("""COMPUTED_VALUE"""),"Beginning")</f>
        <v>Beginning</v>
      </c>
      <c r="Z60" s="71"/>
    </row>
    <row r="61">
      <c r="A61" s="128">
        <f>IFERROR(__xludf.DUMMYFUNCTION("""COMPUTED_VALUE"""),45975.581660289354)</f>
        <v>45975.58166</v>
      </c>
      <c r="B61" s="71" t="str">
        <f>IFERROR(__xludf.DUMMYFUNCTION("""COMPUTED_VALUE"""),"chyna.turner@kairosacademies.org")</f>
        <v>chyna.turner@kairosacademies.org</v>
      </c>
      <c r="C61" s="71" t="str">
        <f>IFERROR(__xludf.DUMMYFUNCTION("""COMPUTED_VALUE"""),"Prompt 3")</f>
        <v>Prompt 3</v>
      </c>
      <c r="D61" s="71" t="str">
        <f>IFERROR(__xludf.DUMMYFUNCTION("""COMPUTED_VALUE"""),"based on the data  i think the student is right because they are  doing the same chemical reaction just making it hot or cold.o")</f>
        <v>based on the data  i think the student is right because they are  doing the same chemical reaction just making it hot or cold.o</v>
      </c>
      <c r="E61" s="71" t="str">
        <f>IFERROR(__xludf.DUMMYFUNCTION("""COMPUTED_VALUE"""),"Yes")</f>
        <v>Yes</v>
      </c>
      <c r="F61" s="71" t="str">
        <f>IFERROR(__xludf.DUMMYFUNCTION("""COMPUTED_VALUE"""),"Partially")</f>
        <v>Partially</v>
      </c>
      <c r="G61" s="71" t="str">
        <f>IFERROR(__xludf.DUMMYFUNCTION("""COMPUTED_VALUE"""),"No")</f>
        <v>No</v>
      </c>
      <c r="H61" s="71" t="str">
        <f>IFERROR(__xludf.DUMMYFUNCTION("""COMPUTED_VALUE"""),"Yes")</f>
        <v>Yes</v>
      </c>
      <c r="I61" s="71" t="str">
        <f>IFERROR(__xludf.DUMMYFUNCTION("""COMPUTED_VALUE"""),"research indicates that both hand warmer and instant cold pack have an chemical reaction . ")</f>
        <v>research indicates that both hand warmer and instant cold pack have an chemical reaction . </v>
      </c>
      <c r="J61" s="71" t="str">
        <f>IFERROR(__xludf.DUMMYFUNCTION("""COMPUTED_VALUE"""),"for example one releases heat and one absorbs heatt to make it cold
")</f>
        <v>for example one releases heat and one absorbs heatt to make it cold
</v>
      </c>
      <c r="K61" s="71" t="str">
        <f>IFERROR(__xludf.DUMMYFUNCTION("""COMPUTED_VALUE"""),"nothimg")</f>
        <v>nothimg</v>
      </c>
      <c r="L61" s="71" t="str">
        <f>IFERROR(__xludf.DUMMYFUNCTION("""COMPUTED_VALUE"""),"Partially")</f>
        <v>Partially</v>
      </c>
      <c r="M61" s="71" t="str">
        <f>IFERROR(__xludf.DUMMYFUNCTION("""COMPUTED_VALUE"""),"Yes")</f>
        <v>Yes</v>
      </c>
      <c r="N61" s="71" t="str">
        <f>IFERROR(__xludf.DUMMYFUNCTION("""COMPUTED_VALUE"""),"Yes")</f>
        <v>Yes</v>
      </c>
      <c r="O61" s="71" t="str">
        <f>IFERROR(__xludf.DUMMYFUNCTION("""COMPUTED_VALUE"""),"Partially")</f>
        <v>Partially</v>
      </c>
      <c r="P61" s="71" t="str">
        <f>IFERROR(__xludf.DUMMYFUNCTION("""COMPUTED_VALUE"""),"The hand warmer's chemical reaction releases heat, while the cold pack's chemical reaction absorbs it, showing both use chemical reactions for temperature change.")</f>
        <v>The hand warmer's chemical reaction releases heat, while the cold pack's chemical reaction absorbs it, showing both use chemical reactions for temperature change.</v>
      </c>
      <c r="Q61" s="71" t="str">
        <f>IFERROR(__xludf.DUMMYFUNCTION("""COMPUTED_VALUE"""),"Yes")</f>
        <v>Yes</v>
      </c>
      <c r="R61" s="71" t="str">
        <f>IFERROR(__xludf.DUMMYFUNCTION("""COMPUTED_VALUE"""),"Yes")</f>
        <v>Yes</v>
      </c>
      <c r="S61" s="71" t="str">
        <f>IFERROR(__xludf.DUMMYFUNCTION("""COMPUTED_VALUE"""),"Partially")</f>
        <v>Partially</v>
      </c>
      <c r="T61" s="71" t="str">
        <f>IFERROR(__xludf.DUMMYFUNCTION("""COMPUTED_VALUE"""),"Yes")</f>
        <v>Yes</v>
      </c>
      <c r="U61" s="71" t="str">
        <f>IFERROR(__xludf.DUMMYFUNCTION("""COMPUTED_VALUE"""),"while some may argue that hand warmers and instant cold packs dont have an chemical reaction , the evidence clearly show that hand warmers and instant cold packs do have an chhemcial reaction just in diffrent ways.")</f>
        <v>while some may argue that hand warmers and instant cold packs dont have an chemical reaction , the evidence clearly show that hand warmers and instant cold packs do have an chhemcial reaction just in diffrent ways.</v>
      </c>
      <c r="V61" s="71" t="str">
        <f>IFERROR(__xludf.DUMMYFUNCTION("""COMPUTED_VALUE"""),"Developing")</f>
        <v>Developing</v>
      </c>
      <c r="W61" s="71" t="str">
        <f>IFERROR(__xludf.DUMMYFUNCTION("""COMPUTED_VALUE"""),"Developing")</f>
        <v>Developing</v>
      </c>
      <c r="X61" s="71" t="str">
        <f>IFERROR(__xludf.DUMMYFUNCTION("""COMPUTED_VALUE"""),"Proficient")</f>
        <v>Proficient</v>
      </c>
      <c r="Y61" s="71" t="str">
        <f>IFERROR(__xludf.DUMMYFUNCTION("""COMPUTED_VALUE"""),"Proficient")</f>
        <v>Proficient</v>
      </c>
      <c r="Z61" s="71"/>
    </row>
  </sheetData>
  <hyperlinks>
    <hyperlink r:id="rId1" ref="J40"/>
    <hyperlink r:id="rId2" location=":~:text=In%20the%20case%20of%20a,is%20called%20an%20exothermic%20reaction." ref="J50"/>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tr">
        <f>IFERROR(__xludf.DUMMYFUNCTION("QUERY(IMPORTRANGE(""https://docs.google.com/spreadsheets/d/1_ByAEUS67hzRggZRJKq-zyIDHntfmpVCXxU863p7jI0/edit?gid=586174071#gid=586174071"", ""Form Responses 1!A:Z""), ""SELECT * WHERE Col1 IS NOT NULL"")"),"Timestamp")</f>
        <v>Timestamp</v>
      </c>
      <c r="B1" s="71" t="str">
        <f>IFERROR(__xludf.DUMMYFUNCTION("""COMPUTED_VALUE"""),"Email Address")</f>
        <v>Email Address</v>
      </c>
      <c r="C1" s="71" t="str">
        <f>IFERROR(__xludf.DUMMYFUNCTION("""COMPUTED_VALUE"""),"Score")</f>
        <v>Score</v>
      </c>
      <c r="D1" s="71" t="str">
        <f>IFERROR(__xludf.DUMMYFUNCTION("""COMPUTED_VALUE"""),"Rate your current understanding of these concepts: [Forces always come in pairs]")</f>
        <v>Rate your current understanding of these concepts: [Forces always come in pairs]</v>
      </c>
      <c r="E1" s="71" t="str">
        <f>IFERROR(__xludf.DUMMYFUNCTION("""COMPUTED_VALUE"""),"Rate your current understanding of these concepts: [Objects can exert forces on each other]")</f>
        <v>Rate your current understanding of these concepts: [Objects can exert forces on each other]</v>
      </c>
      <c r="F1" s="71" t="str">
        <f>IFERROR(__xludf.DUMMYFUNCTION("""COMPUTED_VALUE"""),"Rate your current understanding of these concepts: [Forces have direction and magnitude]")</f>
        <v>Rate your current understanding of these concepts: [Forces have direction and magnitude]</v>
      </c>
      <c r="G1" s="71" t="str">
        <f>IFERROR(__xludf.DUMMYFUNCTION("""COMPUTED_VALUE"""),"Rate your current understanding of these concepts: [Collisions involve multiple forces]")</f>
        <v>Rate your current understanding of these concepts: [Collisions involve multiple forces]</v>
      </c>
      <c r="H1" s="71" t="str">
        <f>IFERROR(__xludf.DUMMYFUNCTION("""COMPUTED_VALUE"""),"Rate your current understanding of these concepts: [Rockets work in space]")</f>
        <v>Rate your current understanding of these concepts: [Rockets work in space]</v>
      </c>
      <c r="I1" s="71" t="str">
        <f>IFERROR(__xludf.DUMMYFUNCTION("""COMPUTED_VALUE"""),"Which statements do you currently believe are TRUE? (Check all that apply)")</f>
        <v>Which statements do you currently believe are TRUE? (Check all that apply)</v>
      </c>
      <c r="J1" s="71" t="str">
        <f>IFERROR(__xludf.DUMMYFUNCTION("""COMPUTED_VALUE"""),"Have you experienced any of these activities?")</f>
        <v>Have you experienced any of these activities?</v>
      </c>
      <c r="K1" s="71" t="str">
        <f>IFERROR(__xludf.DUMMYFUNCTION("""COMPUTED_VALUE"""),"🖐️ ACTIVITY: Stand up. Push your hands together as hard as you can for 5 seconds.
What did you observe about your hands?")</f>
        <v>🖐️ ACTIVITY: Stand up. Push your hands together as hard as you can for 5 seconds.
What did you observe about your hands?</v>
      </c>
      <c r="L1" s="71" t="str">
        <f>IFERROR(__xludf.DUMMYFUNCTION("""COMPUTED_VALUE"""),"If you push a wall with 50 Newtons of force, how much force does the wall exert on you?")</f>
        <v>If you push a wall with 50 Newtons of force, how much force does the wall exert on you?</v>
      </c>
      <c r="M1" s="71" t="str">
        <f>IFERROR(__xludf.DUMMYFUNCTION("""COMPUTED_VALUE"""),"Look at this scenario: Two ice skaters push off each other.
Skater A (50 kg) ← → Skater B (100 kg)
Which arrow diagram correctly shows the forces?")</f>
        <v>Look at this scenario: Two ice skaters push off each other.
Skater A (50 kg) ← → Skater B (100 kg)
Which arrow diagram correctly shows the forces?</v>
      </c>
      <c r="N1" s="71" t="str">
        <f>IFERROR(__xludf.DUMMYFUNCTION("""COMPUTED_VALUE"""),"Match each real-world scenario with the correct force pair description: [Rocket launching]")</f>
        <v>Match each real-world scenario with the correct force pair description: [Rocket launching]</v>
      </c>
      <c r="O1" s="71" t="str">
        <f>IFERROR(__xludf.DUMMYFUNCTION("""COMPUTED_VALUE"""),"Match each real-world scenario with the correct force pair description: [Soccer ball being kicked]")</f>
        <v>Match each real-world scenario with the correct force pair description: [Soccer ball being kicked]</v>
      </c>
      <c r="P1" s="71" t="str">
        <f>IFERROR(__xludf.DUMMYFUNCTION("""COMPUTED_VALUE"""),"Match each real-world scenario with the correct force pair description: [Car hitting a wall]")</f>
        <v>Match each real-world scenario with the correct force pair description: [Car hitting a wall]</v>
      </c>
      <c r="Q1" s="71" t="str">
        <f>IFERROR(__xludf.DUMMYFUNCTION("""COMPUTED_VALUE"""),"Match each real-world scenario with the correct force pair description: [Person jumping up]")</f>
        <v>Match each real-world scenario with the correct force pair description: [Person jumping up]</v>
      </c>
      <c r="R1" s="71" t="str">
        <f>IFERROR(__xludf.DUMMYFUNCTION("""COMPUTED_VALUE"""),"A student says: 'When a big truck hits a small car, the truck exerts more force because it's bigger.'
Explain what's wrong with this statement and what actually happens.")</f>
        <v>A student says: 'When a big truck hits a small car, the truck exerts more force because it's bigger.'
Explain what's wrong with this statement and what actually happens.</v>
      </c>
      <c r="S1" s="71" t="str">
        <f>IFERROR(__xludf.DUMMYFUNCTION("""COMPUTED_VALUE"""),"A force-time graph shows two objects colliding. If Object A experiences a 100N force for 0.1 seconds, what does Object B experience?")</f>
        <v>A force-time graph shows two objects colliding. If Object A experiences a 100N force for 0.1 seconds, what does Object B experience?</v>
      </c>
      <c r="T1" s="71" t="str">
        <f>IFERROR(__xludf.DUMMYFUNCTION("""COMPUTED_VALUE"""),"🚀 SPACE CHALLENGE: You're an astronaut floating in space. Your jetpack fails. You have a heavy toolbox. How can you use Newton's Third Law to get back to your spaceship?")</f>
        <v>🚀 SPACE CHALLENGE: You're an astronaut floating in space. Your jetpack fails. You have a heavy toolbox. How can you use Newton's Third Law to get back to your spaceship?</v>
      </c>
      <c r="U1" s="71" t="str">
        <f>IFERROR(__xludf.DUMMYFUNCTION("""COMPUTED_VALUE"""),"Compare these collision scenarios. Rate the relative FORCE experienced: [Bug hits windshield: Force on bug vs. Force on windshield]")</f>
        <v>Compare these collision scenarios. Rate the relative FORCE experienced: [Bug hits windshield: Force on bug vs. Force on windshield]</v>
      </c>
      <c r="V1" s="71" t="str">
        <f>IFERROR(__xludf.DUMMYFUNCTION("""COMPUTED_VALUE"""),"Compare these collision scenarios. Rate the relative FORCE experienced: [Ball hits bat: Force on ball vs. Force on bat]")</f>
        <v>Compare these collision scenarios. Rate the relative FORCE experienced: [Ball hits bat: Force on ball vs. Force on bat]</v>
      </c>
      <c r="W1" s="71" t="str">
        <f>IFERROR(__xludf.DUMMYFUNCTION("""COMPUTED_VALUE"""),"Compare these collision scenarios. Rate the relative FORCE experienced: [Earth pulls you: Force on you vs. Force on Earth]")</f>
        <v>Compare these collision scenarios. Rate the relative FORCE experienced: [Earth pulls you: Force on you vs. Force on Earth]</v>
      </c>
      <c r="X1" s="71" t="str">
        <f>IFERROR(__xludf.DUMMYFUNCTION("""COMPUTED_VALUE"""),"🏗️ ENGINEERING CHALLENGE: Design a safety device for playground equipment that uses Newton's Third Law to reduce injury during falls.")</f>
        <v>🏗️ ENGINEERING CHALLENGE: Design a safety device for playground equipment that uses Newton's Third Law to reduce injury during falls.</v>
      </c>
      <c r="Y1" s="71" t="str">
        <f>IFERROR(__xludf.DUMMYFUNCTION("""COMPUTED_VALUE"""),"Choose a cultural activity to analyze with Newton's Third Law:")</f>
        <v>Choose a cultural activity to analyze with Newton's Third Law:</v>
      </c>
      <c r="Z1" s="71" t="str">
        <f>IFERROR(__xludf.DUMMYFUNCTION("""COMPUTED_VALUE"""),"For your chosen activity above, identify ALL force pairs involved:")</f>
        <v>For your chosen activity above, identify ALL force pairs involved:</v>
      </c>
    </row>
    <row r="2">
      <c r="A2" s="128">
        <f>IFERROR(__xludf.DUMMYFUNCTION("""COMPUTED_VALUE"""),45916.43018112268)</f>
        <v>45916.43018</v>
      </c>
      <c r="B2" s="71" t="str">
        <f>IFERROR(__xludf.DUMMYFUNCTION("""COMPUTED_VALUE"""),"michael.frazier@kairosacademies.org")</f>
        <v>michael.frazier@kairosacademies.org</v>
      </c>
      <c r="C2" s="131">
        <f>IFERROR(__xludf.DUMMYFUNCTION("""COMPUTED_VALUE"""),33.5)</f>
        <v>33.5</v>
      </c>
      <c r="D2" s="71" t="str">
        <f>IFERROR(__xludf.DUMMYFUNCTION("""COMPUTED_VALUE"""),"Heard but confused")</f>
        <v>Heard but confused</v>
      </c>
      <c r="E2" s="71" t="str">
        <f>IFERROR(__xludf.DUMMYFUNCTION("""COMPUTED_VALUE"""),"Heard but confused")</f>
        <v>Heard but confused</v>
      </c>
      <c r="F2" s="71" t="str">
        <f>IFERROR(__xludf.DUMMYFUNCTION("""COMPUTED_VALUE"""),"Never heard of it")</f>
        <v>Never heard of it</v>
      </c>
      <c r="G2" s="71" t="str">
        <f>IFERROR(__xludf.DUMMYFUNCTION("""COMPUTED_VALUE"""),"Heard but confused")</f>
        <v>Heard but confused</v>
      </c>
      <c r="H2" s="71" t="str">
        <f>IFERROR(__xludf.DUMMYFUNCTION("""COMPUTED_VALUE"""),"Somewhat understand")</f>
        <v>Somewhat understand</v>
      </c>
      <c r="I2" s="71" t="str">
        <f>IFERROR(__xludf.DUMMYFUNCTION("""COMPUTED_VALUE"""),"Heavier objects always exert more force, Rockets need air to push against, In a collision, one object 'wins', Stationary objects don't exert forces")</f>
        <v>Heavier objects always exert more force, Rockets need air to push against, In a collision, one object 'wins', Stationary objects don't exert forces</v>
      </c>
      <c r="J2" s="71" t="str">
        <f>IFERROR(__xludf.DUMMYFUNCTION("""COMPUTED_VALUE"""),"Played collision sports (football, hockey)")</f>
        <v>Played collision sports (football, hockey)</v>
      </c>
      <c r="K2" s="71" t="str">
        <f>IFERROR(__xludf.DUMMYFUNCTION("""COMPUTED_VALUE"""),"Both hands felt equal pressure pushing against each other")</f>
        <v>Both hands felt equal pressure pushing against each other</v>
      </c>
      <c r="L2" s="71" t="str">
        <f>IFERROR(__xludf.DUMMYFUNCTION("""COMPUTED_VALUE"""),"i think that they will apply the same force as you did")</f>
        <v>i think that they will apply the same force as you did</v>
      </c>
      <c r="M2" s="71" t="str">
        <f>IFERROR(__xludf.DUMMYFUNCTION("""COMPUTED_VALUE"""),"A: ← (small arrow)  B: → (large arrow)")</f>
        <v>A: ← (small arrow)  B: → (large arrow)</v>
      </c>
      <c r="N2" s="71" t="str">
        <f>IFERROR(__xludf.DUMMYFUNCTION("""COMPUTED_VALUE"""),"A pushes B down, B pushes A up")</f>
        <v>A pushes B down, B pushes A up</v>
      </c>
      <c r="O2" s="71" t="str">
        <f>IFERROR(__xludf.DUMMYFUNCTION("""COMPUTED_VALUE"""),"A pushes B forward, B pushes A backward")</f>
        <v>A pushes B forward, B pushes A backward</v>
      </c>
      <c r="P2" s="71" t="str">
        <f>IFERROR(__xludf.DUMMYFUNCTION("""COMPUTED_VALUE"""),"A pushes B backward, B pushes A forward")</f>
        <v>A pushes B backward, B pushes A forward</v>
      </c>
      <c r="Q2" s="71" t="str">
        <f>IFERROR(__xludf.DUMMYFUNCTION("""COMPUTED_VALUE"""),"A pushes B forward, B pushes A backward")</f>
        <v>A pushes B forward, B pushes A backward</v>
      </c>
      <c r="R2" s="71" t="str">
        <f>IFERROR(__xludf.DUMMYFUNCTION("""COMPUTED_VALUE"""),"what newtons 3rd law actully says is they both expirenced the same force ")</f>
        <v>what newtons 3rd law actully says is they both expirenced the same force </v>
      </c>
      <c r="S2" s="71" t="str">
        <f>IFERROR(__xludf.DUMMYFUNCTION("""COMPUTED_VALUE"""),"100N for 0.1 seconds in the opposite direction")</f>
        <v>100N for 0.1 seconds in the opposite direction</v>
      </c>
      <c r="T2" s="71" t="str">
        <f>IFERROR(__xludf.DUMMYFUNCTION("""COMPUTED_VALUE"""),"I belive that the heavy toolbox appiled more weight to the person so thats how he came down ")</f>
        <v>I belive that the heavy toolbox appiled more weight to the person so thats how he came down </v>
      </c>
      <c r="U2" s="71" t="str">
        <f>IFERROR(__xludf.DUMMYFUNCTION("""COMPUTED_VALUE"""),"Bug/Ball/You experiences MORE")</f>
        <v>Bug/Ball/You experiences MORE</v>
      </c>
      <c r="V2" s="71" t="str">
        <f>IFERROR(__xludf.DUMMYFUNCTION("""COMPUTED_VALUE"""),"EQUAL forces")</f>
        <v>EQUAL forces</v>
      </c>
      <c r="W2" s="71" t="str">
        <f>IFERROR(__xludf.DUMMYFUNCTION("""COMPUTED_VALUE"""),"Windshield/Bat/Earth experiences MORE")</f>
        <v>Windshield/Bat/Earth experiences MORE</v>
      </c>
      <c r="X2" s="71" t="str">
        <f>IFERROR(__xludf.DUMMYFUNCTION("""COMPUTED_VALUE"""),"I would lower the playground because the more weight= the more friction ")</f>
        <v>I would lower the playground because the more weight= the more friction </v>
      </c>
      <c r="Y2" s="71" t="str">
        <f>IFERROR(__xludf.DUMMYFUNCTION("""COMPUTED_VALUE"""),"Parkour: How traceurs push off walls to change direction")</f>
        <v>Parkour: How traceurs push off walls to change direction</v>
      </c>
      <c r="Z2" s="71" t="str">
        <f>IFERROR(__xludf.DUMMYFUNCTION("""COMPUTED_VALUE"""),"all above ")</f>
        <v>all above </v>
      </c>
    </row>
    <row r="3">
      <c r="A3" s="128">
        <f>IFERROR(__xludf.DUMMYFUNCTION("""COMPUTED_VALUE"""),45916.422035497686)</f>
        <v>45916.42204</v>
      </c>
      <c r="B3" s="71" t="str">
        <f>IFERROR(__xludf.DUMMYFUNCTION("""COMPUTED_VALUE"""),"conrad.guebert@kairosacademies.org")</f>
        <v>conrad.guebert@kairosacademies.org</v>
      </c>
      <c r="C3" s="131">
        <f>IFERROR(__xludf.DUMMYFUNCTION("""COMPUTED_VALUE"""),39.5)</f>
        <v>39.5</v>
      </c>
      <c r="D3" s="71" t="str">
        <f>IFERROR(__xludf.DUMMYFUNCTION("""COMPUTED_VALUE"""),"Somewhat understand")</f>
        <v>Somewhat understand</v>
      </c>
      <c r="E3" s="71" t="str">
        <f>IFERROR(__xludf.DUMMYFUNCTION("""COMPUTED_VALUE"""),"Heard but confused")</f>
        <v>Heard but confused</v>
      </c>
      <c r="F3" s="71" t="str">
        <f>IFERROR(__xludf.DUMMYFUNCTION("""COMPUTED_VALUE"""),"Somewhat understand")</f>
        <v>Somewhat understand</v>
      </c>
      <c r="G3" s="71" t="str">
        <f>IFERROR(__xludf.DUMMYFUNCTION("""COMPUTED_VALUE"""),"Fully understand")</f>
        <v>Fully understand</v>
      </c>
      <c r="H3" s="71" t="str">
        <f>IFERROR(__xludf.DUMMYFUNCTION("""COMPUTED_VALUE"""),"Never heard of it")</f>
        <v>Never heard of it</v>
      </c>
      <c r="I3" s="71" t="str">
        <f>IFERROR(__xludf.DUMMYFUNCTION("""COMPUTED_VALUE"""),"Heavier objects always exert more force, Rockets need air to push against, In a collision, one object 'wins'")</f>
        <v>Heavier objects always exert more force, Rockets need air to push against, In a collision, one object 'wins'</v>
      </c>
      <c r="J3" s="71" t="str">
        <f>IFERROR(__xludf.DUMMYFUNCTION("""COMPUTED_VALUE"""),"Used a trampoline")</f>
        <v>Used a trampoline</v>
      </c>
      <c r="K3" s="71" t="str">
        <f>IFERROR(__xludf.DUMMYFUNCTION("""COMPUTED_VALUE"""),"Both hands felt equal pressure pushing against each other")</f>
        <v>Both hands felt equal pressure pushing against each other</v>
      </c>
      <c r="L3" s="71" t="str">
        <f>IFERROR(__xludf.DUMMYFUNCTION("""COMPUTED_VALUE"""),"50 newtons")</f>
        <v>50 newtons</v>
      </c>
      <c r="M3" s="71" t="str">
        <f>IFERROR(__xludf.DUMMYFUNCTION("""COMPUTED_VALUE"""),"A: ← (small arrow)  B: → (large arrow)")</f>
        <v>A: ← (small arrow)  B: → (large arrow)</v>
      </c>
      <c r="N3" s="71" t="str">
        <f>IFERROR(__xludf.DUMMYFUNCTION("""COMPUTED_VALUE"""),"A pushes B down, B pushes A up")</f>
        <v>A pushes B down, B pushes A up</v>
      </c>
      <c r="O3" s="71" t="str">
        <f>IFERROR(__xludf.DUMMYFUNCTION("""COMPUTED_VALUE"""),"A pushes B backward, B pushes A forward")</f>
        <v>A pushes B backward, B pushes A forward</v>
      </c>
      <c r="P3" s="71" t="str">
        <f>IFERROR(__xludf.DUMMYFUNCTION("""COMPUTED_VALUE"""),"A pushes B forward, B pushes A backward")</f>
        <v>A pushes B forward, B pushes A backward</v>
      </c>
      <c r="Q3" s="71" t="str">
        <f>IFERROR(__xludf.DUMMYFUNCTION("""COMPUTED_VALUE"""),"A pushes B down, B pushes A up")</f>
        <v>A pushes B down, B pushes A up</v>
      </c>
      <c r="R3" s="71" t="str">
        <f>IFERROR(__xludf.DUMMYFUNCTION("""COMPUTED_VALUE"""),"the truck exerts more force because it has more mass but also the speed of the cars should be accounted for because if a truck was going 30 mph and a normal sedan was going 130 mph the sedan would exert more force.")</f>
        <v>the truck exerts more force because it has more mass but also the speed of the cars should be accounted for because if a truck was going 30 mph and a normal sedan was going 130 mph the sedan would exert more force.</v>
      </c>
      <c r="S3" s="71" t="str">
        <f>IFERROR(__xludf.DUMMYFUNCTION("""COMPUTED_VALUE"""),"100N for 0.1 seconds in the opposite direction")</f>
        <v>100N for 0.1 seconds in the opposite direction</v>
      </c>
      <c r="T3" s="71" t="str">
        <f>IFERROR(__xludf.DUMMYFUNCTION("""COMPUTED_VALUE"""),"you could use the box by kicking off of the box toward the spaceship.")</f>
        <v>you could use the box by kicking off of the box toward the spaceship.</v>
      </c>
      <c r="U3" s="71" t="str">
        <f>IFERROR(__xludf.DUMMYFUNCTION("""COMPUTED_VALUE"""),"EQUAL forces")</f>
        <v>EQUAL forces</v>
      </c>
      <c r="V3" s="71" t="str">
        <f>IFERROR(__xludf.DUMMYFUNCTION("""COMPUTED_VALUE"""),"Bug/Ball/You experiences MORE")</f>
        <v>Bug/Ball/You experiences MORE</v>
      </c>
      <c r="W3" s="71" t="str">
        <f>IFERROR(__xludf.DUMMYFUNCTION("""COMPUTED_VALUE"""),"Bug/Ball/You experiences MORE")</f>
        <v>Bug/Ball/You experiences MORE</v>
      </c>
      <c r="X3" s="71" t="str">
        <f>IFERROR(__xludf.DUMMYFUNCTION("""COMPUTED_VALUE"""),"change the material of the ground on the playground to something that absorbs force well")</f>
        <v>change the material of the ground on the playground to something that absorbs force well</v>
      </c>
      <c r="Y3" s="71" t="str">
        <f>IFERROR(__xludf.DUMMYFUNCTION("""COMPUTED_VALUE"""),"Capoeira (Brazilian martial art): How fighters generate spinning kicks")</f>
        <v>Capoeira (Brazilian martial art): How fighters generate spinning kicks</v>
      </c>
      <c r="Z3" s="71" t="str">
        <f>IFERROR(__xludf.DUMMYFUNCTION("""COMPUTED_VALUE"""),"object A pushes off the ground against object B and object B pushes object A in the opposite direction")</f>
        <v>object A pushes off the ground against object B and object B pushes object A in the opposite direction</v>
      </c>
    </row>
    <row r="4">
      <c r="A4" s="128">
        <f>IFERROR(__xludf.DUMMYFUNCTION("""COMPUTED_VALUE"""),45916.42849747686)</f>
        <v>45916.4285</v>
      </c>
      <c r="B4" s="71" t="str">
        <f>IFERROR(__xludf.DUMMYFUNCTION("""COMPUTED_VALUE"""),"khaleel.muhammad@kairosacademies.org")</f>
        <v>khaleel.muhammad@kairosacademies.org</v>
      </c>
      <c r="C4" s="131">
        <f>IFERROR(__xludf.DUMMYFUNCTION("""COMPUTED_VALUE"""),27.5)</f>
        <v>27.5</v>
      </c>
      <c r="D4" s="71" t="str">
        <f>IFERROR(__xludf.DUMMYFUNCTION("""COMPUTED_VALUE"""),"Somewhat understand")</f>
        <v>Somewhat understand</v>
      </c>
      <c r="E4" s="71" t="str">
        <f>IFERROR(__xludf.DUMMYFUNCTION("""COMPUTED_VALUE"""),"Fully understand")</f>
        <v>Fully understand</v>
      </c>
      <c r="F4" s="71" t="str">
        <f>IFERROR(__xludf.DUMMYFUNCTION("""COMPUTED_VALUE"""),"Somewhat understand")</f>
        <v>Somewhat understand</v>
      </c>
      <c r="G4" s="71" t="str">
        <f>IFERROR(__xludf.DUMMYFUNCTION("""COMPUTED_VALUE"""),"Heard but confused")</f>
        <v>Heard but confused</v>
      </c>
      <c r="H4" s="71" t="str">
        <f>IFERROR(__xludf.DUMMYFUNCTION("""COMPUTED_VALUE"""),"Somewhat understand")</f>
        <v>Somewhat understand</v>
      </c>
      <c r="I4" s="71" t="str">
        <f>IFERROR(__xludf.DUMMYFUNCTION("""COMPUTED_VALUE"""),"Heavier objects always exert more force, In a collision, one object 'wins', Forces can exist by themselves, Stationary objects don't exert forces")</f>
        <v>Heavier objects always exert more force, In a collision, one object 'wins', Forces can exist by themselves, Stationary objects don't exert forces</v>
      </c>
      <c r="J4" s="71" t="str">
        <f>IFERROR(__xludf.DUMMYFUNCTION("""COMPUTED_VALUE"""),"Used a trampoline")</f>
        <v>Used a trampoline</v>
      </c>
      <c r="K4" s="71" t="str">
        <f>IFERROR(__xludf.DUMMYFUNCTION("""COMPUTED_VALUE"""),"The stronger hand felt more pressure")</f>
        <v>The stronger hand felt more pressure</v>
      </c>
      <c r="L4" s="71" t="str">
        <f>IFERROR(__xludf.DUMMYFUNCTION("""COMPUTED_VALUE"""),"i think the wall exerts none since its a stationary object.")</f>
        <v>i think the wall exerts none since its a stationary object.</v>
      </c>
      <c r="M4" s="71" t="str">
        <f>IFERROR(__xludf.DUMMYFUNCTION("""COMPUTED_VALUE"""),"A: ← (same size)   B: → (same size)")</f>
        <v>A: ← (same size)   B: → (same size)</v>
      </c>
      <c r="N4" s="71" t="str">
        <f>IFERROR(__xludf.DUMMYFUNCTION("""COMPUTED_VALUE"""),"A pushes B backward, B pushes A forward")</f>
        <v>A pushes B backward, B pushes A forward</v>
      </c>
      <c r="O4" s="71" t="str">
        <f>IFERROR(__xludf.DUMMYFUNCTION("""COMPUTED_VALUE"""),"A pushes B down, B pushes A up")</f>
        <v>A pushes B down, B pushes A up</v>
      </c>
      <c r="P4" s="71" t="str">
        <f>IFERROR(__xludf.DUMMYFUNCTION("""COMPUTED_VALUE"""),"A pushes B down, B pushes A up")</f>
        <v>A pushes B down, B pushes A up</v>
      </c>
      <c r="Q4" s="71" t="str">
        <f>IFERROR(__xludf.DUMMYFUNCTION("""COMPUTED_VALUE"""),"A pushes B down, B pushes A up, A pushes B forward, B pushes A backward")</f>
        <v>A pushes B down, B pushes A up, A pushes B forward, B pushes A backward</v>
      </c>
      <c r="R4" s="71" t="str">
        <f>IFERROR(__xludf.DUMMYFUNCTION("""COMPUTED_VALUE"""),"what actually happens is that they both give the same amount of force as the truck being initial force and the small car being the oppisite force.")</f>
        <v>what actually happens is that they both give the same amount of force as the truck being initial force and the small car being the oppisite force.</v>
      </c>
      <c r="S4" s="71" t="str">
        <f>IFERROR(__xludf.DUMMYFUNCTION("""COMPUTED_VALUE"""),"100N for 0.1 seconds in the opposite direction")</f>
        <v>100N for 0.1 seconds in the opposite direction</v>
      </c>
      <c r="T4" s="71" t="str">
        <f>IFERROR(__xludf.DUMMYFUNCTION("""COMPUTED_VALUE"""),"I would try to do a swimming motion to propel myself back to the ship.")</f>
        <v>I would try to do a swimming motion to propel myself back to the ship.</v>
      </c>
      <c r="U4" s="71" t="str">
        <f>IFERROR(__xludf.DUMMYFUNCTION("""COMPUTED_VALUE"""),"Bug/Ball/You experiences MORE")</f>
        <v>Bug/Ball/You experiences MORE</v>
      </c>
      <c r="V4" s="71" t="str">
        <f>IFERROR(__xludf.DUMMYFUNCTION("""COMPUTED_VALUE"""),"EQUAL forces")</f>
        <v>EQUAL forces</v>
      </c>
      <c r="W4" s="71" t="str">
        <f>IFERROR(__xludf.DUMMYFUNCTION("""COMPUTED_VALUE"""),"Bug/Ball/You experiences MORE")</f>
        <v>Bug/Ball/You experiences MORE</v>
      </c>
      <c r="X4" s="71" t="str">
        <f>IFERROR(__xludf.DUMMYFUNCTION("""COMPUTED_VALUE"""),"maybe a type of rubber that asorbs most of the force collision of the fall.")</f>
        <v>maybe a type of rubber that asorbs most of the force collision of the fall.</v>
      </c>
      <c r="Y4" s="71" t="str">
        <f>IFERROR(__xludf.DUMMYFUNCTION("""COMPUTED_VALUE"""),"Dragon boat racing: How paddlers move the boat forward")</f>
        <v>Dragon boat racing: How paddlers move the boat forward</v>
      </c>
      <c r="Z4" s="71" t="str">
        <f>IFERROR(__xludf.DUMMYFUNCTION("""COMPUTED_VALUE"""),"A paddle pushes the boat forward, water pushes the boat back.")</f>
        <v>A paddle pushes the boat forward, water pushes the boat back.</v>
      </c>
    </row>
    <row r="5">
      <c r="A5" s="128">
        <f>IFERROR(__xludf.DUMMYFUNCTION("""COMPUTED_VALUE"""),45916.431801851846)</f>
        <v>45916.4318</v>
      </c>
      <c r="B5" s="71" t="str">
        <f>IFERROR(__xludf.DUMMYFUNCTION("""COMPUTED_VALUE"""),"ayden.justice@kairosacademies.org")</f>
        <v>ayden.justice@kairosacademies.org</v>
      </c>
      <c r="C5" s="131">
        <f>IFERROR(__xludf.DUMMYFUNCTION("""COMPUTED_VALUE"""),24.5)</f>
        <v>24.5</v>
      </c>
      <c r="D5" s="71" t="str">
        <f>IFERROR(__xludf.DUMMYFUNCTION("""COMPUTED_VALUE"""),"Somewhat understand")</f>
        <v>Somewhat understand</v>
      </c>
      <c r="E5" s="71" t="str">
        <f>IFERROR(__xludf.DUMMYFUNCTION("""COMPUTED_VALUE"""),"Heard but confused")</f>
        <v>Heard but confused</v>
      </c>
      <c r="F5" s="71" t="str">
        <f>IFERROR(__xludf.DUMMYFUNCTION("""COMPUTED_VALUE"""),"Somewhat understand")</f>
        <v>Somewhat understand</v>
      </c>
      <c r="G5" s="71" t="str">
        <f>IFERROR(__xludf.DUMMYFUNCTION("""COMPUTED_VALUE"""),"Somewhat understand")</f>
        <v>Somewhat understand</v>
      </c>
      <c r="H5" s="71" t="str">
        <f>IFERROR(__xludf.DUMMYFUNCTION("""COMPUTED_VALUE"""),"Fully understand")</f>
        <v>Fully understand</v>
      </c>
      <c r="I5" s="71" t="str">
        <f>IFERROR(__xludf.DUMMYFUNCTION("""COMPUTED_VALUE"""),"Heavier objects always exert more force, Rockets need air to push against, In a collision, one object 'wins', Stationary objects don't exert forces")</f>
        <v>Heavier objects always exert more force, Rockets need air to push against, In a collision, one object 'wins', Stationary objects don't exert forces</v>
      </c>
      <c r="J5" s="71" t="str">
        <f>IFERROR(__xludf.DUMMYFUNCTION("""COMPUTED_VALUE"""),"Played collision sports (football, hockey)")</f>
        <v>Played collision sports (football, hockey)</v>
      </c>
      <c r="K5" s="71" t="str">
        <f>IFERROR(__xludf.DUMMYFUNCTION("""COMPUTED_VALUE"""),"One hand pushed while the other just resisted")</f>
        <v>One hand pushed while the other just resisted</v>
      </c>
      <c r="L5" s="71" t="str">
        <f>IFERROR(__xludf.DUMMYFUNCTION("""COMPUTED_VALUE"""),"dang ion know")</f>
        <v>dang ion know</v>
      </c>
      <c r="M5" s="71" t="str">
        <f>IFERROR(__xludf.DUMMYFUNCTION("""COMPUTED_VALUE"""),"A: ← (large arrow)  B: → (small arrow)")</f>
        <v>A: ← (large arrow)  B: → (small arrow)</v>
      </c>
      <c r="N5" s="71" t="str">
        <f>IFERROR(__xludf.DUMMYFUNCTION("""COMPUTED_VALUE"""),"A pushes B down, B pushes A up")</f>
        <v>A pushes B down, B pushes A up</v>
      </c>
      <c r="O5" s="71" t="str">
        <f>IFERROR(__xludf.DUMMYFUNCTION("""COMPUTED_VALUE"""),"A pushes B backward, B pushes A forward")</f>
        <v>A pushes B backward, B pushes A forward</v>
      </c>
      <c r="P5" s="71" t="str">
        <f>IFERROR(__xludf.DUMMYFUNCTION("""COMPUTED_VALUE"""),"A pushes B forward, B pushes A backward")</f>
        <v>A pushes B forward, B pushes A backward</v>
      </c>
      <c r="Q5" s="71" t="str">
        <f>IFERROR(__xludf.DUMMYFUNCTION("""COMPUTED_VALUE"""),"A pushes B down, B pushes A up")</f>
        <v>A pushes B down, B pushes A up</v>
      </c>
      <c r="R5" s="71" t="str">
        <f>IFERROR(__xludf.DUMMYFUNCTION("""COMPUTED_VALUE"""),"i forgot what newtons third law says but the reason the student thinks this is because the truck is bigger and larger so they think it can conduct way more force then things smaller then it . if the forces are he same then either both will have the same a"&amp;"mount of impact and take damage from one another or either one is gonna take more damage from which way u hit it ")</f>
        <v>i forgot what newtons third law says but the reason the student thinks this is because the truck is bigger and larger so they think it can conduct way more force then things smaller then it . if the forces are he same then either both will have the same amount of impact and take damage from one another or either one is gonna take more damage from which way u hit it </v>
      </c>
      <c r="S5" s="71" t="str">
        <f>IFERROR(__xludf.DUMMYFUNCTION("""COMPUTED_VALUE"""),"It depends on the mass of Object B")</f>
        <v>It depends on the mass of Object B</v>
      </c>
      <c r="T5" s="71" t="str">
        <f>IFERROR(__xludf.DUMMYFUNCTION("""COMPUTED_VALUE"""),"dont know:(")</f>
        <v>dont know:(</v>
      </c>
      <c r="U5" s="71" t="str">
        <f>IFERROR(__xludf.DUMMYFUNCTION("""COMPUTED_VALUE"""),"EQUAL forces")</f>
        <v>EQUAL forces</v>
      </c>
      <c r="V5" s="71" t="str">
        <f>IFERROR(__xludf.DUMMYFUNCTION("""COMPUTED_VALUE"""),"Bug/Ball/You experiences MORE")</f>
        <v>Bug/Ball/You experiences MORE</v>
      </c>
      <c r="W5" s="71" t="str">
        <f>IFERROR(__xludf.DUMMYFUNCTION("""COMPUTED_VALUE"""),"Windshield/Bat/Earth experiences MORE")</f>
        <v>Windshield/Bat/Earth experiences MORE</v>
      </c>
      <c r="X5" s="71" t="str">
        <f>IFERROR(__xludf.DUMMYFUNCTION("""COMPUTED_VALUE"""),"dang i dont know im sorry")</f>
        <v>dang i dont know im sorry</v>
      </c>
      <c r="Y5" s="71" t="str">
        <f>IFERROR(__xludf.DUMMYFUNCTION("""COMPUTED_VALUE"""),"Parkour: How traceurs push off walls to change direction")</f>
        <v>Parkour: How traceurs push off walls to change direction</v>
      </c>
      <c r="Z5" s="71" t="str">
        <f>IFERROR(__xludf.DUMMYFUNCTION("""COMPUTED_VALUE"""),"idk")</f>
        <v>idk</v>
      </c>
    </row>
    <row r="6">
      <c r="A6" s="128">
        <f>IFERROR(__xludf.DUMMYFUNCTION("""COMPUTED_VALUE"""),45916.56649866897)</f>
        <v>45916.5665</v>
      </c>
      <c r="B6" s="71" t="str">
        <f>IFERROR(__xludf.DUMMYFUNCTION("""COMPUTED_VALUE"""),"elijah.bell@kairosacademies.org")</f>
        <v>elijah.bell@kairosacademies.org</v>
      </c>
      <c r="C6" s="131">
        <f>IFERROR(__xludf.DUMMYFUNCTION("""COMPUTED_VALUE"""),21.5)</f>
        <v>21.5</v>
      </c>
      <c r="D6" s="71" t="str">
        <f>IFERROR(__xludf.DUMMYFUNCTION("""COMPUTED_VALUE"""),"Somewhat understand")</f>
        <v>Somewhat understand</v>
      </c>
      <c r="E6" s="71" t="str">
        <f>IFERROR(__xludf.DUMMYFUNCTION("""COMPUTED_VALUE"""),"Heard but confused")</f>
        <v>Heard but confused</v>
      </c>
      <c r="F6" s="71" t="str">
        <f>IFERROR(__xludf.DUMMYFUNCTION("""COMPUTED_VALUE"""),"Never heard of it")</f>
        <v>Never heard of it</v>
      </c>
      <c r="G6" s="71" t="str">
        <f>IFERROR(__xludf.DUMMYFUNCTION("""COMPUTED_VALUE"""),"Never heard of it")</f>
        <v>Never heard of it</v>
      </c>
      <c r="H6" s="71" t="str">
        <f>IFERROR(__xludf.DUMMYFUNCTION("""COMPUTED_VALUE"""),"Somewhat understand")</f>
        <v>Somewhat understand</v>
      </c>
      <c r="I6" s="71" t="str">
        <f>IFERROR(__xludf.DUMMYFUNCTION("""COMPUTED_VALUE"""),"Heavier objects always exert more force, Rockets need air to push against, In a collision, one object 'wins'")</f>
        <v>Heavier objects always exert more force, Rockets need air to push against, In a collision, one object 'wins'</v>
      </c>
      <c r="J6" s="71" t="str">
        <f>IFERROR(__xludf.DUMMYFUNCTION("""COMPUTED_VALUE"""),"Played collision sports (football, hockey), Pushed off a wall while swimming, Used a trampoline")</f>
        <v>Played collision sports (football, hockey), Pushed off a wall while swimming, Used a trampoline</v>
      </c>
      <c r="K6" s="71" t="str">
        <f>IFERROR(__xludf.DUMMYFUNCTION("""COMPUTED_VALUE"""),"Both hands felt equal pressure pushing against each other")</f>
        <v>Both hands felt equal pressure pushing against each other</v>
      </c>
      <c r="L6" s="71" t="str">
        <f>IFERROR(__xludf.DUMMYFUNCTION("""COMPUTED_VALUE"""),"40")</f>
        <v>40</v>
      </c>
      <c r="M6" s="71" t="str">
        <f>IFERROR(__xludf.DUMMYFUNCTION("""COMPUTED_VALUE"""),"A: ← (same size)   B: → (same size)")</f>
        <v>A: ← (same size)   B: → (same size)</v>
      </c>
      <c r="N6" s="71" t="str">
        <f>IFERROR(__xludf.DUMMYFUNCTION("""COMPUTED_VALUE"""),"A pushes B down, B pushes A up")</f>
        <v>A pushes B down, B pushes A up</v>
      </c>
      <c r="O6" s="71" t="str">
        <f>IFERROR(__xludf.DUMMYFUNCTION("""COMPUTED_VALUE"""),"A pushes B forward, B pushes A backward")</f>
        <v>A pushes B forward, B pushes A backward</v>
      </c>
      <c r="P6" s="71" t="str">
        <f>IFERROR(__xludf.DUMMYFUNCTION("""COMPUTED_VALUE"""),"A pushes B forward, B pushes A backward")</f>
        <v>A pushes B forward, B pushes A backward</v>
      </c>
      <c r="Q6" s="71" t="str">
        <f>IFERROR(__xludf.DUMMYFUNCTION("""COMPUTED_VALUE"""),"A pushes B down, B pushes A up")</f>
        <v>A pushes B down, B pushes A up</v>
      </c>
      <c r="R6" s="71" t="str">
        <f>IFERROR(__xludf.DUMMYFUNCTION("""COMPUTED_VALUE"""),"idk")</f>
        <v>idk</v>
      </c>
      <c r="S6" s="71" t="str">
        <f>IFERROR(__xludf.DUMMYFUNCTION("""COMPUTED_VALUE"""),"50N for 0.2 seconds in the opposite direction")</f>
        <v>50N for 0.2 seconds in the opposite direction</v>
      </c>
      <c r="T6" s="71" t="str">
        <f>IFERROR(__xludf.DUMMYFUNCTION("""COMPUTED_VALUE"""),"idk")</f>
        <v>idk</v>
      </c>
      <c r="U6" s="71" t="str">
        <f>IFERROR(__xludf.DUMMYFUNCTION("""COMPUTED_VALUE"""),"Bug/Ball/You experiences MORE")</f>
        <v>Bug/Ball/You experiences MORE</v>
      </c>
      <c r="V6" s="71" t="str">
        <f>IFERROR(__xludf.DUMMYFUNCTION("""COMPUTED_VALUE"""),"EQUAL forces")</f>
        <v>EQUAL forces</v>
      </c>
      <c r="W6" s="71" t="str">
        <f>IFERROR(__xludf.DUMMYFUNCTION("""COMPUTED_VALUE"""),"EQUAL forces")</f>
        <v>EQUAL forces</v>
      </c>
      <c r="X6" s="71" t="str">
        <f>IFERROR(__xludf.DUMMYFUNCTION("""COMPUTED_VALUE"""),"idkk")</f>
        <v>idkk</v>
      </c>
      <c r="Y6" s="71" t="str">
        <f>IFERROR(__xludf.DUMMYFUNCTION("""COMPUTED_VALUE"""),"Mariachi dancing: How dancers create jumps and stamps")</f>
        <v>Mariachi dancing: How dancers create jumps and stamps</v>
      </c>
      <c r="Z6" s="71" t="str">
        <f>IFERROR(__xludf.DUMMYFUNCTION("""COMPUTED_VALUE"""),"idk")</f>
        <v>idk</v>
      </c>
    </row>
    <row r="7">
      <c r="A7" s="128">
        <f>IFERROR(__xludf.DUMMYFUNCTION("""COMPUTED_VALUE"""),45916.575918738425)</f>
        <v>45916.57592</v>
      </c>
      <c r="B7" s="71" t="str">
        <f>IFERROR(__xludf.DUMMYFUNCTION("""COMPUTED_VALUE"""),"caylin.brown@kairosacademies.org")</f>
        <v>caylin.brown@kairosacademies.org</v>
      </c>
      <c r="C7" s="131">
        <f>IFERROR(__xludf.DUMMYFUNCTION("""COMPUTED_VALUE"""),30.5)</f>
        <v>30.5</v>
      </c>
      <c r="D7" s="71" t="str">
        <f>IFERROR(__xludf.DUMMYFUNCTION("""COMPUTED_VALUE"""),"Heard but confused")</f>
        <v>Heard but confused</v>
      </c>
      <c r="E7" s="71" t="str">
        <f>IFERROR(__xludf.DUMMYFUNCTION("""COMPUTED_VALUE"""),"Fully understand")</f>
        <v>Fully understand</v>
      </c>
      <c r="F7" s="71" t="str">
        <f>IFERROR(__xludf.DUMMYFUNCTION("""COMPUTED_VALUE"""),"Never heard of it")</f>
        <v>Never heard of it</v>
      </c>
      <c r="G7" s="71" t="str">
        <f>IFERROR(__xludf.DUMMYFUNCTION("""COMPUTED_VALUE"""),"Never heard of it")</f>
        <v>Never heard of it</v>
      </c>
      <c r="H7" s="71" t="str">
        <f>IFERROR(__xludf.DUMMYFUNCTION("""COMPUTED_VALUE"""),"Heard but confused")</f>
        <v>Heard but confused</v>
      </c>
      <c r="I7" s="71" t="str">
        <f>IFERROR(__xludf.DUMMYFUNCTION("""COMPUTED_VALUE"""),"Heavier objects always exert more force, Rockets need air to push against, Forces can exist by themselves")</f>
        <v>Heavier objects always exert more force, Rockets need air to push against, Forces can exist by themselves</v>
      </c>
      <c r="J7" s="71" t="str">
        <f>IFERROR(__xludf.DUMMYFUNCTION("""COMPUTED_VALUE"""),"Pushed off a wall while swimming, Used a trampoline")</f>
        <v>Pushed off a wall while swimming, Used a trampoline</v>
      </c>
      <c r="K7" s="71" t="str">
        <f>IFERROR(__xludf.DUMMYFUNCTION("""COMPUTED_VALUE"""),"Both hands felt equal pressure pushing against each other")</f>
        <v>Both hands felt equal pressure pushing against each other</v>
      </c>
      <c r="L7" s="71" t="str">
        <f>IFERROR(__xludf.DUMMYFUNCTION("""COMPUTED_VALUE"""),"50")</f>
        <v>50</v>
      </c>
      <c r="M7" s="71" t="str">
        <f>IFERROR(__xludf.DUMMYFUNCTION("""COMPUTED_VALUE"""),"A: ← (large arrow)  B: → (small arrow)")</f>
        <v>A: ← (large arrow)  B: → (small arrow)</v>
      </c>
      <c r="N7" s="71" t="str">
        <f>IFERROR(__xludf.DUMMYFUNCTION("""COMPUTED_VALUE"""),"A pushes B forward, B pushes A backward")</f>
        <v>A pushes B forward, B pushes A backward</v>
      </c>
      <c r="O7" s="71" t="str">
        <f>IFERROR(__xludf.DUMMYFUNCTION("""COMPUTED_VALUE"""),"A pushes B forward, B pushes A backward, A pushes B backward, B pushes A forward")</f>
        <v>A pushes B forward, B pushes A backward, A pushes B backward, B pushes A forward</v>
      </c>
      <c r="P7" s="71" t="str">
        <f>IFERROR(__xludf.DUMMYFUNCTION("""COMPUTED_VALUE"""),"A pushes B forward, B pushes A backward")</f>
        <v>A pushes B forward, B pushes A backward</v>
      </c>
      <c r="Q7" s="71" t="str">
        <f>IFERROR(__xludf.DUMMYFUNCTION("""COMPUTED_VALUE"""),"A pushes B down, B pushes A up")</f>
        <v>A pushes B down, B pushes A up</v>
      </c>
      <c r="R7" s="71" t="str">
        <f>IFERROR(__xludf.DUMMYFUNCTION("""COMPUTED_VALUE"""),"it is making the small car break")</f>
        <v>it is making the small car break</v>
      </c>
      <c r="S7" s="71" t="str">
        <f>IFERROR(__xludf.DUMMYFUNCTION("""COMPUTED_VALUE"""),"50N for 0.2 seconds in the opposite direction")</f>
        <v>50N for 0.2 seconds in the opposite direction</v>
      </c>
      <c r="T7" s="71" t="str">
        <f>IFERROR(__xludf.DUMMYFUNCTION("""COMPUTED_VALUE"""),"you could use whatever that is in the tool box.")</f>
        <v>you could use whatever that is in the tool box.</v>
      </c>
      <c r="U7" s="71" t="str">
        <f>IFERROR(__xludf.DUMMYFUNCTION("""COMPUTED_VALUE"""),"Bug/Ball/You experiences MORE")</f>
        <v>Bug/Ball/You experiences MORE</v>
      </c>
      <c r="V7" s="71" t="str">
        <f>IFERROR(__xludf.DUMMYFUNCTION("""COMPUTED_VALUE"""),"EQUAL forces")</f>
        <v>EQUAL forces</v>
      </c>
      <c r="W7" s="71" t="str">
        <f>IFERROR(__xludf.DUMMYFUNCTION("""COMPUTED_VALUE"""),"EQUAL forces")</f>
        <v>EQUAL forces</v>
      </c>
      <c r="X7" s="71" t="str">
        <f>IFERROR(__xludf.DUMMYFUNCTION("""COMPUTED_VALUE"""),"you could make safety device like the ground is soft ")</f>
        <v>you could make safety device like the ground is soft </v>
      </c>
      <c r="Y7" s="71" t="str">
        <f>IFERROR(__xludf.DUMMYFUNCTION("""COMPUTED_VALUE"""),"Parkour: How traceurs push off walls to change direction")</f>
        <v>Parkour: How traceurs push off walls to change direction</v>
      </c>
      <c r="Z7" s="71" t="str">
        <f>IFERROR(__xludf.DUMMYFUNCTION("""COMPUTED_VALUE"""),"object A , Object B")</f>
        <v>object A , Object B</v>
      </c>
    </row>
    <row r="8">
      <c r="A8" s="128">
        <f>IFERROR(__xludf.DUMMYFUNCTION("""COMPUTED_VALUE"""),45916.58406833333)</f>
        <v>45916.58407</v>
      </c>
      <c r="B8" s="71" t="str">
        <f>IFERROR(__xludf.DUMMYFUNCTION("""COMPUTED_VALUE"""),"eli.wilcox@kairosacademies.org")</f>
        <v>eli.wilcox@kairosacademies.org</v>
      </c>
      <c r="C8" s="131">
        <f>IFERROR(__xludf.DUMMYFUNCTION("""COMPUTED_VALUE"""),30.5)</f>
        <v>30.5</v>
      </c>
      <c r="D8" s="71" t="str">
        <f>IFERROR(__xludf.DUMMYFUNCTION("""COMPUTED_VALUE"""),"Somewhat understand")</f>
        <v>Somewhat understand</v>
      </c>
      <c r="E8" s="71" t="str">
        <f>IFERROR(__xludf.DUMMYFUNCTION("""COMPUTED_VALUE"""),"Heard but confused")</f>
        <v>Heard but confused</v>
      </c>
      <c r="F8" s="71" t="str">
        <f>IFERROR(__xludf.DUMMYFUNCTION("""COMPUTED_VALUE"""),"Somewhat understand")</f>
        <v>Somewhat understand</v>
      </c>
      <c r="G8" s="71" t="str">
        <f>IFERROR(__xludf.DUMMYFUNCTION("""COMPUTED_VALUE"""),"Fully understand")</f>
        <v>Fully understand</v>
      </c>
      <c r="H8" s="71" t="str">
        <f>IFERROR(__xludf.DUMMYFUNCTION("""COMPUTED_VALUE"""),"Heard but confused")</f>
        <v>Heard but confused</v>
      </c>
      <c r="I8" s="71" t="str">
        <f>IFERROR(__xludf.DUMMYFUNCTION("""COMPUTED_VALUE"""),"Heavier objects always exert more force, Forces can exist by themselves, Stationary objects don't exert forces")</f>
        <v>Heavier objects always exert more force, Forces can exist by themselves, Stationary objects don't exert forces</v>
      </c>
      <c r="J8" s="71" t="str">
        <f>IFERROR(__xludf.DUMMYFUNCTION("""COMPUTED_VALUE"""),"Played collision sports (football, hockey), Pushed off a wall while swimming, Used a trampoline")</f>
        <v>Played collision sports (football, hockey), Pushed off a wall while swimming, Used a trampoline</v>
      </c>
      <c r="K8" s="71" t="str">
        <f>IFERROR(__xludf.DUMMYFUNCTION("""COMPUTED_VALUE"""),"One hand pushed while the other just resisted")</f>
        <v>One hand pushed while the other just resisted</v>
      </c>
      <c r="L8" s="71" t="str">
        <f>IFERROR(__xludf.DUMMYFUNCTION("""COMPUTED_VALUE"""),"50")</f>
        <v>50</v>
      </c>
      <c r="M8" s="71" t="str">
        <f>IFERROR(__xludf.DUMMYFUNCTION("""COMPUTED_VALUE"""),"A: ← (large arrow)  B: → (small arrow)")</f>
        <v>A: ← (large arrow)  B: → (small arrow)</v>
      </c>
      <c r="N8" s="71" t="str">
        <f>IFERROR(__xludf.DUMMYFUNCTION("""COMPUTED_VALUE"""),"A pushes B backward, B pushes A forward")</f>
        <v>A pushes B backward, B pushes A forward</v>
      </c>
      <c r="O8" s="71" t="str">
        <f>IFERROR(__xludf.DUMMYFUNCTION("""COMPUTED_VALUE"""),"A pushes B forward, B pushes A backward")</f>
        <v>A pushes B forward, B pushes A backward</v>
      </c>
      <c r="P8" s="71" t="str">
        <f>IFERROR(__xludf.DUMMYFUNCTION("""COMPUTED_VALUE"""),"A pushes B backward, B pushes A forward")</f>
        <v>A pushes B backward, B pushes A forward</v>
      </c>
      <c r="Q8" s="71" t="str">
        <f>IFERROR(__xludf.DUMMYFUNCTION("""COMPUTED_VALUE"""),"A pushes B down, B pushes A up")</f>
        <v>A pushes B down, B pushes A up</v>
      </c>
      <c r="R8" s="71" t="str">
        <f>IFERROR(__xludf.DUMMYFUNCTION("""COMPUTED_VALUE"""),";n j ")</f>
        <v>;n j </v>
      </c>
      <c r="S8" s="71" t="str">
        <f>IFERROR(__xludf.DUMMYFUNCTION("""COMPUTED_VALUE"""),"100N for 0.1 seconds in the opposite direction")</f>
        <v>100N for 0.1 seconds in the opposite direction</v>
      </c>
      <c r="T8" s="71" t="str">
        <f>IFERROR(__xludf.DUMMYFUNCTION("""COMPUTED_VALUE"""),"throwing pushing tools from your tool box to propel your self towards  the space shuttle")</f>
        <v>throwing pushing tools from your tool box to propel your self towards  the space shuttle</v>
      </c>
      <c r="U8" s="71" t="str">
        <f>IFERROR(__xludf.DUMMYFUNCTION("""COMPUTED_VALUE"""),"Bug/Ball/You experiences MORE")</f>
        <v>Bug/Ball/You experiences MORE</v>
      </c>
      <c r="V8" s="71" t="str">
        <f>IFERROR(__xludf.DUMMYFUNCTION("""COMPUTED_VALUE"""),"Windshield/Bat/Earth experiences MORE")</f>
        <v>Windshield/Bat/Earth experiences MORE</v>
      </c>
      <c r="W8" s="71" t="str">
        <f>IFERROR(__xludf.DUMMYFUNCTION("""COMPUTED_VALUE"""),"EQUAL forces")</f>
        <v>EQUAL forces</v>
      </c>
      <c r="X8" s="71" t="str">
        <f>IFERROR(__xludf.DUMMYFUNCTION("""COMPUTED_VALUE"""),"utrcytivulbi;j
")</f>
        <v>utrcytivulbi;j
</v>
      </c>
      <c r="Y8" s="71" t="str">
        <f>IFERROR(__xludf.DUMMYFUNCTION("""COMPUTED_VALUE"""),"Dragon boat racing: How paddlers move the boat forward")</f>
        <v>Dragon boat racing: How paddlers move the boat forward</v>
      </c>
      <c r="Z8" s="71" t="str">
        <f>IFERROR(__xludf.DUMMYFUNCTION("""COMPUTED_VALUE"""),"hjio")</f>
        <v>hjio</v>
      </c>
    </row>
    <row r="9">
      <c r="A9" s="128">
        <f>IFERROR(__xludf.DUMMYFUNCTION("""COMPUTED_VALUE"""),45916.626091342594)</f>
        <v>45916.62609</v>
      </c>
      <c r="B9" s="71" t="str">
        <f>IFERROR(__xludf.DUMMYFUNCTION("""COMPUTED_VALUE"""),"matthias.schlemmer@kairosacademies.org")</f>
        <v>matthias.schlemmer@kairosacademies.org</v>
      </c>
      <c r="C9" s="131">
        <f>IFERROR(__xludf.DUMMYFUNCTION("""COMPUTED_VALUE"""),35.5)</f>
        <v>35.5</v>
      </c>
      <c r="D9" s="71" t="str">
        <f>IFERROR(__xludf.DUMMYFUNCTION("""COMPUTED_VALUE"""),"Somewhat understand")</f>
        <v>Somewhat understand</v>
      </c>
      <c r="E9" s="71" t="str">
        <f>IFERROR(__xludf.DUMMYFUNCTION("""COMPUTED_VALUE"""),"Somewhat understand")</f>
        <v>Somewhat understand</v>
      </c>
      <c r="F9" s="71" t="str">
        <f>IFERROR(__xludf.DUMMYFUNCTION("""COMPUTED_VALUE"""),"Heard but confused")</f>
        <v>Heard but confused</v>
      </c>
      <c r="G9" s="71" t="str">
        <f>IFERROR(__xludf.DUMMYFUNCTION("""COMPUTED_VALUE"""),"Heard but confused")</f>
        <v>Heard but confused</v>
      </c>
      <c r="H9" s="71" t="str">
        <f>IFERROR(__xludf.DUMMYFUNCTION("""COMPUTED_VALUE"""),"Fully understand")</f>
        <v>Fully understand</v>
      </c>
      <c r="I9" s="71" t="str">
        <f>IFERROR(__xludf.DUMMYFUNCTION("""COMPUTED_VALUE"""),"Heavier objects always exert more force, When I push a wall, it pushes back, Forces can exist by themselves, Stationary objects don't exert forces")</f>
        <v>Heavier objects always exert more force, When I push a wall, it pushes back, Forces can exist by themselves, Stationary objects don't exert forces</v>
      </c>
      <c r="J9" s="71" t="str">
        <f>IFERROR(__xludf.DUMMYFUNCTION("""COMPUTED_VALUE"""),"Jumped off a skateboard or boat, Pushed off a wall while swimming, Used a trampoline")</f>
        <v>Jumped off a skateboard or boat, Pushed off a wall while swimming, Used a trampoline</v>
      </c>
      <c r="K9" s="71" t="str">
        <f>IFERROR(__xludf.DUMMYFUNCTION("""COMPUTED_VALUE"""),"Both hands felt equal pressure pushing against each other")</f>
        <v>Both hands felt equal pressure pushing against each other</v>
      </c>
      <c r="L9" s="71" t="str">
        <f>IFERROR(__xludf.DUMMYFUNCTION("""COMPUTED_VALUE"""),"50 newtons of force ")</f>
        <v>50 newtons of force </v>
      </c>
      <c r="M9" s="71" t="str">
        <f>IFERROR(__xludf.DUMMYFUNCTION("""COMPUTED_VALUE"""),"A: ← (small arrow)  B: → (large arrow)")</f>
        <v>A: ← (small arrow)  B: → (large arrow)</v>
      </c>
      <c r="N9" s="71" t="str">
        <f>IFERROR(__xludf.DUMMYFUNCTION("""COMPUTED_VALUE"""),"A pushes B backward, B pushes A forward")</f>
        <v>A pushes B backward, B pushes A forward</v>
      </c>
      <c r="O9" s="71" t="str">
        <f>IFERROR(__xludf.DUMMYFUNCTION("""COMPUTED_VALUE"""),"A pushes B down, B pushes A up")</f>
        <v>A pushes B down, B pushes A up</v>
      </c>
      <c r="P9" s="71" t="str">
        <f>IFERROR(__xludf.DUMMYFUNCTION("""COMPUTED_VALUE"""),"A pushes B forward, B pushes A backward")</f>
        <v>A pushes B forward, B pushes A backward</v>
      </c>
      <c r="Q9" s="71" t="str">
        <f>IFERROR(__xludf.DUMMYFUNCTION("""COMPUTED_VALUE"""),"A pushes B down, B pushes A up")</f>
        <v>A pushes B down, B pushes A up</v>
      </c>
      <c r="R9" s="71" t="str">
        <f>IFERROR(__xludf.DUMMYFUNCTION("""COMPUTED_VALUE"""),"The smaller car would be pushed back because the truck is bigger and has more force")</f>
        <v>The smaller car would be pushed back because the truck is bigger and has more force</v>
      </c>
      <c r="S9" s="71" t="str">
        <f>IFERROR(__xludf.DUMMYFUNCTION("""COMPUTED_VALUE"""),"50N for 0.2 seconds in the opposite direction")</f>
        <v>50N for 0.2 seconds in the opposite direction</v>
      </c>
      <c r="T9" s="71" t="str">
        <f>IFERROR(__xludf.DUMMYFUNCTION("""COMPUTED_VALUE"""),"You could throw a heavy item from the toolbox and it would push you the other direction ")</f>
        <v>You could throw a heavy item from the toolbox and it would push you the other direction </v>
      </c>
      <c r="U9" s="71" t="str">
        <f>IFERROR(__xludf.DUMMYFUNCTION("""COMPUTED_VALUE"""),"Bug/Ball/You experience MORE")</f>
        <v>Bug/Ball/You experience MORE</v>
      </c>
      <c r="V9" s="71" t="str">
        <f>IFERROR(__xludf.DUMMYFUNCTION("""COMPUTED_VALUE"""),"EQUAL forces")</f>
        <v>EQUAL forces</v>
      </c>
      <c r="W9" s="71" t="str">
        <f>IFERROR(__xludf.DUMMYFUNCTION("""COMPUTED_VALUE"""),"Windshield/Bat/Earth experience MORE")</f>
        <v>Windshield/Bat/Earth experience MORE</v>
      </c>
      <c r="X9" s="71" t="str">
        <f>IFERROR(__xludf.DUMMYFUNCTION("""COMPUTED_VALUE"""),"A device that's put on areas that a kid would be likely to fall off like a slide or a tall climbing tree it has soft padding and a arm that would push up and it would pad the kids fall ")</f>
        <v>A device that's put on areas that a kid would be likely to fall off like a slide or a tall climbing tree it has soft padding and a arm that would push up and it would pad the kids fall </v>
      </c>
      <c r="Y9" s="71" t="str">
        <f>IFERROR(__xludf.DUMMYFUNCTION("""COMPUTED_VALUE"""),"Dragon boat racing: How paddlers move the boat forward")</f>
        <v>Dragon boat racing: How paddlers move the boat forward</v>
      </c>
      <c r="Z9" s="71" t="str">
        <f>IFERROR(__xludf.DUMMYFUNCTION("""COMPUTED_VALUE"""),"The paddlers pushes against the water and pushed the boat forward ")</f>
        <v>The paddlers pushes against the water and pushed the boat forward </v>
      </c>
    </row>
    <row r="10">
      <c r="A10" s="128">
        <f>IFERROR(__xludf.DUMMYFUNCTION("""COMPUTED_VALUE"""),45916.61958556713)</f>
        <v>45916.61959</v>
      </c>
      <c r="B10" s="71" t="str">
        <f>IFERROR(__xludf.DUMMYFUNCTION("""COMPUTED_VALUE"""),"tyler.harlan@kairosacademies.org")</f>
        <v>tyler.harlan@kairosacademies.org</v>
      </c>
      <c r="C10" s="131">
        <f>IFERROR(__xludf.DUMMYFUNCTION("""COMPUTED_VALUE"""),31.0)</f>
        <v>31</v>
      </c>
      <c r="D10" s="71" t="str">
        <f>IFERROR(__xludf.DUMMYFUNCTION("""COMPUTED_VALUE"""),"Somewhat understand")</f>
        <v>Somewhat understand</v>
      </c>
      <c r="E10" s="71" t="str">
        <f>IFERROR(__xludf.DUMMYFUNCTION("""COMPUTED_VALUE"""),"Fully understand")</f>
        <v>Fully understand</v>
      </c>
      <c r="F10" s="71" t="str">
        <f>IFERROR(__xludf.DUMMYFUNCTION("""COMPUTED_VALUE"""),"Somewhat understand")</f>
        <v>Somewhat understand</v>
      </c>
      <c r="G10" s="71" t="str">
        <f>IFERROR(__xludf.DUMMYFUNCTION("""COMPUTED_VALUE"""),"Fully understand")</f>
        <v>Fully understand</v>
      </c>
      <c r="H10" s="71" t="str">
        <f>IFERROR(__xludf.DUMMYFUNCTION("""COMPUTED_VALUE"""),"Fully understand")</f>
        <v>Fully understand</v>
      </c>
      <c r="I10" s="71" t="str">
        <f>IFERROR(__xludf.DUMMYFUNCTION("""COMPUTED_VALUE"""),"Heavier objects always exert more force, When I push a wall, it pushes back, Forces can exist by themselves")</f>
        <v>Heavier objects always exert more force, When I push a wall, it pushes back, Forces can exist by themselves</v>
      </c>
      <c r="J10" s="71" t="str">
        <f>IFERROR(__xludf.DUMMYFUNCTION("""COMPUTED_VALUE"""),"Jumped off a skateboard or boat, Played collision sports (football, hockey), Pushed off a wall while swimming, Used a trampoline")</f>
        <v>Jumped off a skateboard or boat, Played collision sports (football, hockey), Pushed off a wall while swimming, Used a trampoline</v>
      </c>
      <c r="K10" s="71" t="str">
        <f>IFERROR(__xludf.DUMMYFUNCTION("""COMPUTED_VALUE"""),"Both hands felt equal pressure pushing against each other")</f>
        <v>Both hands felt equal pressure pushing against each other</v>
      </c>
      <c r="L10" s="71" t="str">
        <f>IFERROR(__xludf.DUMMYFUNCTION("""COMPUTED_VALUE"""),"the same amount back")</f>
        <v>the same amount back</v>
      </c>
      <c r="M10" s="71" t="str">
        <f>IFERROR(__xludf.DUMMYFUNCTION("""COMPUTED_VALUE"""),"A: ← (large arrow)  B: → (small arrow)")</f>
        <v>A: ← (large arrow)  B: → (small arrow)</v>
      </c>
      <c r="N10" s="71" t="str">
        <f>IFERROR(__xludf.DUMMYFUNCTION("""COMPUTED_VALUE"""),"A pushes B down, B pushes A up")</f>
        <v>A pushes B down, B pushes A up</v>
      </c>
      <c r="O10" s="71" t="str">
        <f>IFERROR(__xludf.DUMMYFUNCTION("""COMPUTED_VALUE"""),"A pushes B backward, B pushes A forward")</f>
        <v>A pushes B backward, B pushes A forward</v>
      </c>
      <c r="P10" s="71" t="str">
        <f>IFERROR(__xludf.DUMMYFUNCTION("""COMPUTED_VALUE"""),"A pushes B forward, B pushes A backward")</f>
        <v>A pushes B forward, B pushes A backward</v>
      </c>
      <c r="Q10" s="71" t="str">
        <f>IFERROR(__xludf.DUMMYFUNCTION("""COMPUTED_VALUE"""),"A pushes B down, B pushes A up")</f>
        <v>A pushes B down, B pushes A up</v>
      </c>
      <c r="R10" s="71" t="str">
        <f>IFERROR(__xludf.DUMMYFUNCTION("""COMPUTED_VALUE"""),"when the truck hits the car it has more force in it and the car will get destroyed because the truck has more mass so it might seem like its going slow but it has alot of force ")</f>
        <v>when the truck hits the car it has more force in it and the car will get destroyed because the truck has more mass so it might seem like its going slow but it has alot of force </v>
      </c>
      <c r="S10" s="71" t="str">
        <f>IFERROR(__xludf.DUMMYFUNCTION("""COMPUTED_VALUE"""),"It depends on the mass of Object B")</f>
        <v>It depends on the mass of Object B</v>
      </c>
      <c r="T10" s="71" t="str">
        <f>IFERROR(__xludf.DUMMYFUNCTION("""COMPUTED_VALUE"""),"if your jetpack fails you will start to float up unless u did have that big tool box then u will start going back down because of the mass and weight of the tools")</f>
        <v>if your jetpack fails you will start to float up unless u did have that big tool box then u will start going back down because of the mass and weight of the tools</v>
      </c>
      <c r="U10" s="71" t="str">
        <f>IFERROR(__xludf.DUMMYFUNCTION("""COMPUTED_VALUE"""),"Windshield/Bat/Earth experience MORE")</f>
        <v>Windshield/Bat/Earth experience MORE</v>
      </c>
      <c r="V10" s="71" t="str">
        <f>IFERROR(__xludf.DUMMYFUNCTION("""COMPUTED_VALUE"""),"EQUAL forces")</f>
        <v>EQUAL forces</v>
      </c>
      <c r="W10" s="71" t="str">
        <f>IFERROR(__xludf.DUMMYFUNCTION("""COMPUTED_VALUE"""),"Bug/Ball/You experience MORE")</f>
        <v>Bug/Ball/You experience MORE</v>
      </c>
      <c r="X10" s="71" t="str">
        <f>IFERROR(__xludf.DUMMYFUNCTION("""COMPUTED_VALUE"""),"by making something soft that can hold alot of force mass and weight ")</f>
        <v>by making something soft that can hold alot of force mass and weight </v>
      </c>
      <c r="Y10" s="71" t="str">
        <f>IFERROR(__xludf.DUMMYFUNCTION("""COMPUTED_VALUE"""),"Dragon boat racing: How paddlers move the boat forward")</f>
        <v>Dragon boat racing: How paddlers move the boat forward</v>
      </c>
      <c r="Z10" s="71" t="str">
        <f>IFERROR(__xludf.DUMMYFUNCTION("""COMPUTED_VALUE"""),"bike riding you push more force into the pedals on the bike causes more speed ")</f>
        <v>bike riding you push more force into the pedals on the bike causes more speed </v>
      </c>
    </row>
    <row r="11">
      <c r="A11" s="128">
        <f>IFERROR(__xludf.DUMMYFUNCTION("""COMPUTED_VALUE"""),45916.640226469906)</f>
        <v>45916.64023</v>
      </c>
      <c r="B11" s="71" t="str">
        <f>IFERROR(__xludf.DUMMYFUNCTION("""COMPUTED_VALUE"""),"raysean.gordon-williams@kairosacademies.org")</f>
        <v>raysean.gordon-williams@kairosacademies.org</v>
      </c>
      <c r="C11" s="131">
        <f>IFERROR(__xludf.DUMMYFUNCTION("""COMPUTED_VALUE"""),21.0)</f>
        <v>21</v>
      </c>
      <c r="D11" s="71" t="str">
        <f>IFERROR(__xludf.DUMMYFUNCTION("""COMPUTED_VALUE"""),"Heard but confused")</f>
        <v>Heard but confused</v>
      </c>
      <c r="E11" s="71" t="str">
        <f>IFERROR(__xludf.DUMMYFUNCTION("""COMPUTED_VALUE"""),"Somewhat understand")</f>
        <v>Somewhat understand</v>
      </c>
      <c r="F11" s="71" t="str">
        <f>IFERROR(__xludf.DUMMYFUNCTION("""COMPUTED_VALUE"""),"Never heard of it")</f>
        <v>Never heard of it</v>
      </c>
      <c r="G11" s="71" t="str">
        <f>IFERROR(__xludf.DUMMYFUNCTION("""COMPUTED_VALUE"""),"Never heard of it")</f>
        <v>Never heard of it</v>
      </c>
      <c r="H11" s="71" t="str">
        <f>IFERROR(__xludf.DUMMYFUNCTION("""COMPUTED_VALUE"""),"Somewhat understand")</f>
        <v>Somewhat understand</v>
      </c>
      <c r="I11" s="71" t="str">
        <f>IFERROR(__xludf.DUMMYFUNCTION("""COMPUTED_VALUE"""),"Heavier objects always exert more force, When I push a wall, it pushes back, In a collision, one object 'wins', Forces can exist by themselves")</f>
        <v>Heavier objects always exert more force, When I push a wall, it pushes back, In a collision, one object 'wins', Forces can exist by themselves</v>
      </c>
      <c r="J11" s="71" t="str">
        <f>IFERROR(__xludf.DUMMYFUNCTION("""COMPUTED_VALUE"""),"Jumped off a skateboard or boat, Used a trampoline")</f>
        <v>Jumped off a skateboard or boat, Used a trampoline</v>
      </c>
      <c r="K11" s="71" t="str">
        <f>IFERROR(__xludf.DUMMYFUNCTION("""COMPUTED_VALUE"""),"Both hands felt equal pressure pushing against each other")</f>
        <v>Both hands felt equal pressure pushing against each other</v>
      </c>
      <c r="L11" s="71" t="str">
        <f>IFERROR(__xludf.DUMMYFUNCTION("""COMPUTED_VALUE"""),"not a lot ")</f>
        <v>not a lot </v>
      </c>
      <c r="M11" s="71" t="str">
        <f>IFERROR(__xludf.DUMMYFUNCTION("""COMPUTED_VALUE"""),"A: ← (small arrow)  B: → (large arrow)")</f>
        <v>A: ← (small arrow)  B: → (large arrow)</v>
      </c>
      <c r="N11" s="71" t="str">
        <f>IFERROR(__xludf.DUMMYFUNCTION("""COMPUTED_VALUE"""),"A pushes B down, B pushes A up")</f>
        <v>A pushes B down, B pushes A up</v>
      </c>
      <c r="O11" s="71" t="str">
        <f>IFERROR(__xludf.DUMMYFUNCTION("""COMPUTED_VALUE"""),"A pushes B down, B pushes A up")</f>
        <v>A pushes B down, B pushes A up</v>
      </c>
      <c r="P11" s="71" t="str">
        <f>IFERROR(__xludf.DUMMYFUNCTION("""COMPUTED_VALUE"""),"A pushes B forward, B pushes A backward")</f>
        <v>A pushes B forward, B pushes A backward</v>
      </c>
      <c r="Q11" s="71" t="str">
        <f>IFERROR(__xludf.DUMMYFUNCTION("""COMPUTED_VALUE"""),"A pushes B forward, B pushes A backward")</f>
        <v>A pushes B forward, B pushes A backward</v>
      </c>
      <c r="R11" s="71" t="str">
        <f>IFERROR(__xludf.DUMMYFUNCTION("""COMPUTED_VALUE"""),"the big truck had more force")</f>
        <v>the big truck had more force</v>
      </c>
      <c r="S11" s="71" t="str">
        <f>IFERROR(__xludf.DUMMYFUNCTION("""COMPUTED_VALUE"""),"200N for 0.05 seconds in the same direction")</f>
        <v>200N for 0.05 seconds in the same direction</v>
      </c>
      <c r="T11" s="71" t="str">
        <f>IFERROR(__xludf.DUMMYFUNCTION("""COMPUTED_VALUE"""),"it will be heaver the a stack of books")</f>
        <v>it will be heaver the a stack of books</v>
      </c>
      <c r="U11" s="71" t="str">
        <f>IFERROR(__xludf.DUMMYFUNCTION("""COMPUTED_VALUE"""),"Bug/Ball/You experience MORE")</f>
        <v>Bug/Ball/You experience MORE</v>
      </c>
      <c r="V11" s="71" t="str">
        <f>IFERROR(__xludf.DUMMYFUNCTION("""COMPUTED_VALUE"""),"Windshield/Bat/Earth experience MORE")</f>
        <v>Windshield/Bat/Earth experience MORE</v>
      </c>
      <c r="W11" s="71" t="str">
        <f>IFERROR(__xludf.DUMMYFUNCTION("""COMPUTED_VALUE"""),"EQUAL forces")</f>
        <v>EQUAL forces</v>
      </c>
      <c r="X11" s="71" t="str">
        <f>IFERROR(__xludf.DUMMYFUNCTION("""COMPUTED_VALUE"""),"Motion, also known as the Law of Inertia, states that an object will remain in its current state of motion unless an external, unbalanced force acts upon it. ")</f>
        <v>Motion, also known as the Law of Inertia, states that an object will remain in its current state of motion unless an external, unbalanced force acts upon it. </v>
      </c>
      <c r="Y11" s="71" t="str">
        <f>IFERROR(__xludf.DUMMYFUNCTION("""COMPUTED_VALUE"""),"Parkour: How traceurs push off walls to change direction")</f>
        <v>Parkour: How traceurs push off walls to change direction</v>
      </c>
      <c r="Z11" s="71" t="str">
        <f>IFERROR(__xludf.DUMMYFUNCTION("""COMPUTED_VALUE"""),"in parkour the person pushes off the wall or platform pushing force on the wall causing him
to bounce off the opposites direction.")</f>
        <v>in parkour the person pushes off the wall or platform pushing force on the wall causing him
to bounce off the opposites direction.</v>
      </c>
    </row>
    <row r="12">
      <c r="A12" s="128">
        <f>IFERROR(__xludf.DUMMYFUNCTION("""COMPUTED_VALUE"""),45916.64480425926)</f>
        <v>45916.6448</v>
      </c>
      <c r="B12" s="71" t="str">
        <f>IFERROR(__xludf.DUMMYFUNCTION("""COMPUTED_VALUE"""),"sophia.cole@kairosacademies.org")</f>
        <v>sophia.cole@kairosacademies.org</v>
      </c>
      <c r="C12" s="131">
        <f>IFERROR(__xludf.DUMMYFUNCTION("""COMPUTED_VALUE"""),15.0)</f>
        <v>15</v>
      </c>
      <c r="D12" s="71" t="str">
        <f>IFERROR(__xludf.DUMMYFUNCTION("""COMPUTED_VALUE"""),"Heard but confused")</f>
        <v>Heard but confused</v>
      </c>
      <c r="E12" s="71" t="str">
        <f>IFERROR(__xludf.DUMMYFUNCTION("""COMPUTED_VALUE"""),"Somewhat understand")</f>
        <v>Somewhat understand</v>
      </c>
      <c r="F12" s="71" t="str">
        <f>IFERROR(__xludf.DUMMYFUNCTION("""COMPUTED_VALUE"""),"Fully understand")</f>
        <v>Fully understand</v>
      </c>
      <c r="G12" s="71" t="str">
        <f>IFERROR(__xludf.DUMMYFUNCTION("""COMPUTED_VALUE"""),"Somewhat understand")</f>
        <v>Somewhat understand</v>
      </c>
      <c r="H12" s="71" t="str">
        <f>IFERROR(__xludf.DUMMYFUNCTION("""COMPUTED_VALUE"""),"Fully understand")</f>
        <v>Fully understand</v>
      </c>
      <c r="I12" s="71" t="str">
        <f>IFERROR(__xludf.DUMMYFUNCTION("""COMPUTED_VALUE"""),"Heavier objects always exert more force, Rockets need air to push against, Forces can exist by themselves, Stationary objects don't exert forces")</f>
        <v>Heavier objects always exert more force, Rockets need air to push against, Forces can exist by themselves, Stationary objects don't exert forces</v>
      </c>
      <c r="J12" s="71" t="str">
        <f>IFERROR(__xludf.DUMMYFUNCTION("""COMPUTED_VALUE"""),"Used a trampoline")</f>
        <v>Used a trampoline</v>
      </c>
      <c r="K12" s="71" t="str">
        <f>IFERROR(__xludf.DUMMYFUNCTION("""COMPUTED_VALUE"""),"The pressure alternated between hands")</f>
        <v>The pressure alternated between hands</v>
      </c>
      <c r="L12" s="71" t="str">
        <f>IFERROR(__xludf.DUMMYFUNCTION("""COMPUTED_VALUE"""),"it gives you 50 newton of air back to you because the force. you're throwing back")</f>
        <v>it gives you 50 newton of air back to you because the force. you're throwing back</v>
      </c>
      <c r="M12" s="71" t="str">
        <f>IFERROR(__xludf.DUMMYFUNCTION("""COMPUTED_VALUE"""),"A: ← (small arrow)  B: → (large arrow)")</f>
        <v>A: ← (small arrow)  B: → (large arrow)</v>
      </c>
      <c r="N12" s="71" t="str">
        <f>IFERROR(__xludf.DUMMYFUNCTION("""COMPUTED_VALUE"""),"A pushes B down, B pushes A up")</f>
        <v>A pushes B down, B pushes A up</v>
      </c>
      <c r="O12" s="71" t="str">
        <f>IFERROR(__xludf.DUMMYFUNCTION("""COMPUTED_VALUE"""),"A pushes B forward, B pushes A backward")</f>
        <v>A pushes B forward, B pushes A backward</v>
      </c>
      <c r="P12" s="71" t="str">
        <f>IFERROR(__xludf.DUMMYFUNCTION("""COMPUTED_VALUE"""),"A pushes B backward, B pushes A forward")</f>
        <v>A pushes B backward, B pushes A forward</v>
      </c>
      <c r="Q12" s="71" t="str">
        <f>IFERROR(__xludf.DUMMYFUNCTION("""COMPUTED_VALUE"""),"A pushes B down, B pushes A up")</f>
        <v>A pushes B down, B pushes A up</v>
      </c>
      <c r="R12" s="71" t="str">
        <f>IFERROR(__xludf.DUMMYFUNCTION("""COMPUTED_VALUE"""),"if the force is equal then they both will have impact on each other. I think this because it's 50/50 equal force.")</f>
        <v>if the force is equal then they both will have impact on each other. I think this because it's 50/50 equal force.</v>
      </c>
      <c r="S12" s="71" t="str">
        <f>IFERROR(__xludf.DUMMYFUNCTION("""COMPUTED_VALUE"""),"50N for 0.2 seconds in the opposite direction")</f>
        <v>50N for 0.2 seconds in the opposite direction</v>
      </c>
      <c r="T12" s="71" t="str">
        <f>IFERROR(__xludf.DUMMYFUNCTION("""COMPUTED_VALUE"""),"you're in space theres no gravity so your floating your body has mass that equals to force you push on other things so they push force back.")</f>
        <v>you're in space theres no gravity so your floating your body has mass that equals to force you push on other things so they push force back.</v>
      </c>
      <c r="U12" s="71" t="str">
        <f>IFERROR(__xludf.DUMMYFUNCTION("""COMPUTED_VALUE"""),"Bug/Ball/You experience MORE")</f>
        <v>Bug/Ball/You experience MORE</v>
      </c>
      <c r="V12" s="71" t="str">
        <f>IFERROR(__xludf.DUMMYFUNCTION("""COMPUTED_VALUE"""),"EQUAL forces")</f>
        <v>EQUAL forces</v>
      </c>
      <c r="W12" s="71" t="str">
        <f>IFERROR(__xludf.DUMMYFUNCTION("""COMPUTED_VALUE"""),"EQUAL forces")</f>
        <v>EQUAL forces</v>
      </c>
      <c r="X12" s="71" t="str">
        <f>IFERROR(__xludf.DUMMYFUNCTION("""COMPUTED_VALUE"""),"it's equal ")</f>
        <v>it's equal </v>
      </c>
      <c r="Y12" s="71" t="str">
        <f>IFERROR(__xludf.DUMMYFUNCTION("""COMPUTED_VALUE"""),"Capoeira (Brazilian martial art): How fighters generate spinning kicks")</f>
        <v>Capoeira (Brazilian martial art): How fighters generate spinning kicks</v>
      </c>
      <c r="Z12" s="71" t="str">
        <f>IFERROR(__xludf.DUMMYFUNCTION("""COMPUTED_VALUE"""),"having a pillow fight")</f>
        <v>having a pillow fight</v>
      </c>
    </row>
    <row r="13">
      <c r="A13" s="128">
        <f>IFERROR(__xludf.DUMMYFUNCTION("""COMPUTED_VALUE"""),45916.65770137731)</f>
        <v>45916.6577</v>
      </c>
      <c r="B13" s="71" t="str">
        <f>IFERROR(__xludf.DUMMYFUNCTION("""COMPUTED_VALUE"""),"juan.barnes@kairosacademies.org")</f>
        <v>juan.barnes@kairosacademies.org</v>
      </c>
      <c r="C13" s="131">
        <f>IFERROR(__xludf.DUMMYFUNCTION("""COMPUTED_VALUE"""),16.0)</f>
        <v>16</v>
      </c>
      <c r="D13" s="71" t="str">
        <f>IFERROR(__xludf.DUMMYFUNCTION("""COMPUTED_VALUE"""),"Heard but confused")</f>
        <v>Heard but confused</v>
      </c>
      <c r="E13" s="71" t="str">
        <f>IFERROR(__xludf.DUMMYFUNCTION("""COMPUTED_VALUE"""),"Never heard of it")</f>
        <v>Never heard of it</v>
      </c>
      <c r="F13" s="71" t="str">
        <f>IFERROR(__xludf.DUMMYFUNCTION("""COMPUTED_VALUE"""),"Heard but confused")</f>
        <v>Heard but confused</v>
      </c>
      <c r="G13" s="71" t="str">
        <f>IFERROR(__xludf.DUMMYFUNCTION("""COMPUTED_VALUE"""),"Never heard of it")</f>
        <v>Never heard of it</v>
      </c>
      <c r="H13" s="71" t="str">
        <f>IFERROR(__xludf.DUMMYFUNCTION("""COMPUTED_VALUE"""),"Fully understand")</f>
        <v>Fully understand</v>
      </c>
      <c r="I13" s="71" t="str">
        <f>IFERROR(__xludf.DUMMYFUNCTION("""COMPUTED_VALUE"""),"Heavier objects always exert more force, Stationary objects don't exert forces")</f>
        <v>Heavier objects always exert more force, Stationary objects don't exert forces</v>
      </c>
      <c r="J13" s="71" t="str">
        <f>IFERROR(__xludf.DUMMYFUNCTION("""COMPUTED_VALUE"""),"Pushed off a wall while swimming, Used a trampoline")</f>
        <v>Pushed off a wall while swimming, Used a trampoline</v>
      </c>
      <c r="K13" s="71" t="str">
        <f>IFERROR(__xludf.DUMMYFUNCTION("""COMPUTED_VALUE"""),"Both hands felt equal pressure pushing against each other")</f>
        <v>Both hands felt equal pressure pushing against each other</v>
      </c>
      <c r="L13" s="71" t="str">
        <f>IFERROR(__xludf.DUMMYFUNCTION("""COMPUTED_VALUE"""),"25 Newtons")</f>
        <v>25 Newtons</v>
      </c>
      <c r="M13" s="71" t="str">
        <f>IFERROR(__xludf.DUMMYFUNCTION("""COMPUTED_VALUE"""),"A: ← (large arrow)  B: → (small arrow)")</f>
        <v>A: ← (large arrow)  B: → (small arrow)</v>
      </c>
      <c r="N13" s="71" t="str">
        <f>IFERROR(__xludf.DUMMYFUNCTION("""COMPUTED_VALUE"""),"A pushes B forward, B pushes A backward")</f>
        <v>A pushes B forward, B pushes A backward</v>
      </c>
      <c r="O13" s="71" t="str">
        <f>IFERROR(__xludf.DUMMYFUNCTION("""COMPUTED_VALUE"""),"A pushes B forward, B pushes A backward")</f>
        <v>A pushes B forward, B pushes A backward</v>
      </c>
      <c r="P13" s="71" t="str">
        <f>IFERROR(__xludf.DUMMYFUNCTION("""COMPUTED_VALUE"""),"A pushes B down, B pushes A up")</f>
        <v>A pushes B down, B pushes A up</v>
      </c>
      <c r="Q13" s="71" t="str">
        <f>IFERROR(__xludf.DUMMYFUNCTION("""COMPUTED_VALUE"""),"A pushes B forward, B pushes A backward")</f>
        <v>A pushes B forward, B pushes A backward</v>
      </c>
      <c r="R13" s="71" t="str">
        <f>IFERROR(__xludf.DUMMYFUNCTION("""COMPUTED_VALUE"""),"its going  to be difficault to move.")</f>
        <v>its going  to be difficault to move.</v>
      </c>
      <c r="S13" s="71" t="str">
        <f>IFERROR(__xludf.DUMMYFUNCTION("""COMPUTED_VALUE"""),"50N for 0.2 seconds in the opposite direction")</f>
        <v>50N for 0.2 seconds in the opposite direction</v>
      </c>
      <c r="T13" s="71" t="str">
        <f>IFERROR(__xludf.DUMMYFUNCTION("""COMPUTED_VALUE"""),"fix it")</f>
        <v>fix it</v>
      </c>
      <c r="U13" s="71" t="str">
        <f>IFERROR(__xludf.DUMMYFUNCTION("""COMPUTED_VALUE"""),"EQUAL forces")</f>
        <v>EQUAL forces</v>
      </c>
      <c r="V13" s="71" t="str">
        <f>IFERROR(__xludf.DUMMYFUNCTION("""COMPUTED_VALUE"""),"Bug/Ball/You experience MORE")</f>
        <v>Bug/Ball/You experience MORE</v>
      </c>
      <c r="W13" s="71" t="str">
        <f>IFERROR(__xludf.DUMMYFUNCTION("""COMPUTED_VALUE"""),"EQUAL forces")</f>
        <v>EQUAL forces</v>
      </c>
      <c r="X13" s="71" t="str">
        <f>IFERROR(__xludf.DUMMYFUNCTION("""COMPUTED_VALUE"""),"make something that wont break")</f>
        <v>make something that wont break</v>
      </c>
      <c r="Y13" s="71" t="str">
        <f>IFERROR(__xludf.DUMMYFUNCTION("""COMPUTED_VALUE"""),"Dragon boat racing: How paddlers move the boat forward")</f>
        <v>Dragon boat racing: How paddlers move the boat forward</v>
      </c>
      <c r="Z13" s="71" t="str">
        <f>IFERROR(__xludf.DUMMYFUNCTION("""COMPUTED_VALUE"""),"push as hard as u can")</f>
        <v>push as hard as u can</v>
      </c>
    </row>
    <row r="14">
      <c r="A14" s="128">
        <f>IFERROR(__xludf.DUMMYFUNCTION("""COMPUTED_VALUE"""),45916.910113819446)</f>
        <v>45916.91011</v>
      </c>
      <c r="B14" s="71" t="str">
        <f>IFERROR(__xludf.DUMMYFUNCTION("""COMPUTED_VALUE"""),"camia.lindsey@kairosacademies.org")</f>
        <v>camia.lindsey@kairosacademies.org</v>
      </c>
      <c r="C14" s="131">
        <f>IFERROR(__xludf.DUMMYFUNCTION("""COMPUTED_VALUE"""),22.0)</f>
        <v>22</v>
      </c>
      <c r="D14" s="71" t="str">
        <f>IFERROR(__xludf.DUMMYFUNCTION("""COMPUTED_VALUE"""),"Never heard of it")</f>
        <v>Never heard of it</v>
      </c>
      <c r="E14" s="71" t="str">
        <f>IFERROR(__xludf.DUMMYFUNCTION("""COMPUTED_VALUE"""),"Heard but confused")</f>
        <v>Heard but confused</v>
      </c>
      <c r="F14" s="71" t="str">
        <f>IFERROR(__xludf.DUMMYFUNCTION("""COMPUTED_VALUE"""),"Fully understand")</f>
        <v>Fully understand</v>
      </c>
      <c r="G14" s="71" t="str">
        <f>IFERROR(__xludf.DUMMYFUNCTION("""COMPUTED_VALUE"""),"Fully understand")</f>
        <v>Fully understand</v>
      </c>
      <c r="H14" s="71" t="str">
        <f>IFERROR(__xludf.DUMMYFUNCTION("""COMPUTED_VALUE"""),"Fully understand")</f>
        <v>Fully understand</v>
      </c>
      <c r="I14" s="71" t="str">
        <f>IFERROR(__xludf.DUMMYFUNCTION("""COMPUTED_VALUE"""),"Heavier objects always exert more force, In a collision, one object 'wins', Forces can exist by themselves, Stationary objects don't exert forces")</f>
        <v>Heavier objects always exert more force, In a collision, one object 'wins', Forces can exist by themselves, Stationary objects don't exert forces</v>
      </c>
      <c r="J14" s="71" t="str">
        <f>IFERROR(__xludf.DUMMYFUNCTION("""COMPUTED_VALUE"""),"Pushed off a wall while swimming, Used a trampoline")</f>
        <v>Pushed off a wall while swimming, Used a trampoline</v>
      </c>
      <c r="K14" s="71" t="str">
        <f>IFERROR(__xludf.DUMMYFUNCTION("""COMPUTED_VALUE"""),"Both hands felt equal pressure pushing against each other")</f>
        <v>Both hands felt equal pressure pushing against each other</v>
      </c>
      <c r="L14" s="71" t="str">
        <f>IFERROR(__xludf.DUMMYFUNCTION("""COMPUTED_VALUE"""),"The force would back up on me.")</f>
        <v>The force would back up on me.</v>
      </c>
      <c r="M14" s="71" t="str">
        <f>IFERROR(__xludf.DUMMYFUNCTION("""COMPUTED_VALUE"""),"A: ← (same size)   B: → (same size)")</f>
        <v>A: ← (same size)   B: → (same size)</v>
      </c>
      <c r="N14" s="71" t="str">
        <f>IFERROR(__xludf.DUMMYFUNCTION("""COMPUTED_VALUE"""),"A pushes B down, B pushes A up")</f>
        <v>A pushes B down, B pushes A up</v>
      </c>
      <c r="O14" s="71" t="str">
        <f>IFERROR(__xludf.DUMMYFUNCTION("""COMPUTED_VALUE"""),"A pushes B down, B pushes A up")</f>
        <v>A pushes B down, B pushes A up</v>
      </c>
      <c r="P14" s="71" t="str">
        <f>IFERROR(__xludf.DUMMYFUNCTION("""COMPUTED_VALUE"""),"A pushes B forward, B pushes A backward, A pushes B backward, B pushes A forward")</f>
        <v>A pushes B forward, B pushes A backward, A pushes B backward, B pushes A forward</v>
      </c>
      <c r="Q14" s="71" t="str">
        <f>IFERROR(__xludf.DUMMYFUNCTION("""COMPUTED_VALUE"""),"A pushes B down, B pushes A up, A pushes B backward, B pushes A forward")</f>
        <v>A pushes B down, B pushes A up, A pushes B backward, B pushes A forward</v>
      </c>
      <c r="R14" s="71" t="str">
        <f>IFERROR(__xludf.DUMMYFUNCTION("""COMPUTED_VALUE"""),"Both of the moving cars will force back the differences between the two vehicles is the truck might put more force on the car just because its a car.")</f>
        <v>Both of the moving cars will force back the differences between the two vehicles is the truck might put more force on the car just because its a car.</v>
      </c>
      <c r="S14" s="71" t="str">
        <f>IFERROR(__xludf.DUMMYFUNCTION("""COMPUTED_VALUE"""),"It depends on the mass of Object B")</f>
        <v>It depends on the mass of Object B</v>
      </c>
      <c r="T14" s="71" t="str">
        <f>IFERROR(__xludf.DUMMYFUNCTION("""COMPUTED_VALUE"""),"YOu wouldnt fall because there is no gravity in space")</f>
        <v>YOu wouldnt fall because there is no gravity in space</v>
      </c>
      <c r="U14" s="71" t="str">
        <f>IFERROR(__xludf.DUMMYFUNCTION("""COMPUTED_VALUE"""),"EQUAL forces")</f>
        <v>EQUAL forces</v>
      </c>
      <c r="V14" s="71" t="str">
        <f>IFERROR(__xludf.DUMMYFUNCTION("""COMPUTED_VALUE"""),"Windshield/Bat/Earth experience MORE")</f>
        <v>Windshield/Bat/Earth experience MORE</v>
      </c>
      <c r="W14" s="71" t="str">
        <f>IFERROR(__xludf.DUMMYFUNCTION("""COMPUTED_VALUE"""),"Windshield/Bat/Earth experience MORE")</f>
        <v>Windshield/Bat/Earth experience MORE</v>
      </c>
      <c r="X14" s="71" t="str">
        <f>IFERROR(__xludf.DUMMYFUNCTION("""COMPUTED_VALUE"""),"sketch a labeled schematic ")</f>
        <v>sketch a labeled schematic </v>
      </c>
      <c r="Y14" s="71" t="str">
        <f>IFERROR(__xludf.DUMMYFUNCTION("""COMPUTED_VALUE"""),"Capoeira (Brazilian martial art): How fighters generate spinning kicks")</f>
        <v>Capoeira (Brazilian martial art): How fighters generate spinning kicks</v>
      </c>
      <c r="Z14" s="71" t="str">
        <f>IFERROR(__xludf.DUMMYFUNCTION("""COMPUTED_VALUE"""),"	[Earth] pulls [Child] downward (gravity), [Child] pulls [Earth] upward (gravity reaction).")</f>
        <v>	[Earth] pulls [Child] downward (gravity), [Child] pulls [Earth] upward (gravity reaction).</v>
      </c>
    </row>
    <row r="15">
      <c r="A15" s="128">
        <f>IFERROR(__xludf.DUMMYFUNCTION("""COMPUTED_VALUE"""),45917.86713912037)</f>
        <v>45917.86714</v>
      </c>
      <c r="B15" s="71" t="str">
        <f>IFERROR(__xludf.DUMMYFUNCTION("""COMPUTED_VALUE"""),"estrella.hurtado-garcia@kairosacademies.org")</f>
        <v>estrella.hurtado-garcia@kairosacademies.org</v>
      </c>
      <c r="C15" s="131">
        <f>IFERROR(__xludf.DUMMYFUNCTION("""COMPUTED_VALUE"""),20.0)</f>
        <v>20</v>
      </c>
      <c r="D15" s="71" t="str">
        <f>IFERROR(__xludf.DUMMYFUNCTION("""COMPUTED_VALUE"""),"Fully understand")</f>
        <v>Fully understand</v>
      </c>
      <c r="E15" s="71" t="str">
        <f>IFERROR(__xludf.DUMMYFUNCTION("""COMPUTED_VALUE"""),"Somewhat understand")</f>
        <v>Somewhat understand</v>
      </c>
      <c r="F15" s="71" t="str">
        <f>IFERROR(__xludf.DUMMYFUNCTION("""COMPUTED_VALUE"""),"Somewhat understand")</f>
        <v>Somewhat understand</v>
      </c>
      <c r="G15" s="71" t="str">
        <f>IFERROR(__xludf.DUMMYFUNCTION("""COMPUTED_VALUE"""),"Somewhat understand")</f>
        <v>Somewhat understand</v>
      </c>
      <c r="H15" s="71" t="str">
        <f>IFERROR(__xludf.DUMMYFUNCTION("""COMPUTED_VALUE"""),"Somewhat understand")</f>
        <v>Somewhat understand</v>
      </c>
      <c r="I15" s="71" t="str">
        <f>IFERROR(__xludf.DUMMYFUNCTION("""COMPUTED_VALUE"""),"Heavier objects always exert more force, Rockets need air to push against")</f>
        <v>Heavier objects always exert more force, Rockets need air to push against</v>
      </c>
      <c r="J15" s="71" t="str">
        <f>IFERROR(__xludf.DUMMYFUNCTION("""COMPUTED_VALUE"""),"Played collision sports (football, hockey), Used a trampoline")</f>
        <v>Played collision sports (football, hockey), Used a trampoline</v>
      </c>
      <c r="K15" s="71" t="str">
        <f>IFERROR(__xludf.DUMMYFUNCTION("""COMPUTED_VALUE"""),"Both hands felt equal pressure pushing against each other")</f>
        <v>Both hands felt equal pressure pushing against each other</v>
      </c>
      <c r="L15" s="71" t="str">
        <f>IFERROR(__xludf.DUMMYFUNCTION("""COMPUTED_VALUE"""),"equal")</f>
        <v>equal</v>
      </c>
      <c r="M15" s="71" t="str">
        <f>IFERROR(__xludf.DUMMYFUNCTION("""COMPUTED_VALUE"""),"A: ← (small arrow)  B: → (large arrow)")</f>
        <v>A: ← (small arrow)  B: → (large arrow)</v>
      </c>
      <c r="N15" s="71" t="str">
        <f>IFERROR(__xludf.DUMMYFUNCTION("""COMPUTED_VALUE"""),"A pushes B down, B pushes A up")</f>
        <v>A pushes B down, B pushes A up</v>
      </c>
      <c r="O15" s="71" t="str">
        <f>IFERROR(__xludf.DUMMYFUNCTION("""COMPUTED_VALUE"""),"A pushes B backward, B pushes A forward")</f>
        <v>A pushes B backward, B pushes A forward</v>
      </c>
      <c r="P15" s="71" t="str">
        <f>IFERROR(__xludf.DUMMYFUNCTION("""COMPUTED_VALUE"""),"A pushes B forward, B pushes A backward")</f>
        <v>A pushes B forward, B pushes A backward</v>
      </c>
      <c r="Q15" s="71" t="str">
        <f>IFERROR(__xludf.DUMMYFUNCTION("""COMPUTED_VALUE"""),"A pushes B down, B pushes A up")</f>
        <v>A pushes B down, B pushes A up</v>
      </c>
      <c r="R15" s="71" t="str">
        <f>IFERROR(__xludf.DUMMYFUNCTION("""COMPUTED_VALUE"""),"newton's third law is equal reaction is also native reaction ")</f>
        <v>newton's third law is equal reaction is also native reaction </v>
      </c>
      <c r="S15" s="71" t="str">
        <f>IFERROR(__xludf.DUMMYFUNCTION("""COMPUTED_VALUE"""),"It depends on the mass of Object B")</f>
        <v>It depends on the mass of Object B</v>
      </c>
      <c r="T15" s="71" t="str">
        <f>IFERROR(__xludf.DUMMYFUNCTION("""COMPUTED_VALUE"""),"I would throw the toolbox away from the spaceship.
The toolbox pushes back on me with an equal and opposite force, which moves me toward the ship.")</f>
        <v>I would throw the toolbox away from the spaceship.
The toolbox pushes back on me with an equal and opposite force, which moves me toward the ship.</v>
      </c>
      <c r="U15" s="71" t="str">
        <f>IFERROR(__xludf.DUMMYFUNCTION("""COMPUTED_VALUE"""),"EQUAL forces")</f>
        <v>EQUAL forces</v>
      </c>
      <c r="V15" s="71" t="str">
        <f>IFERROR(__xludf.DUMMYFUNCTION("""COMPUTED_VALUE"""),"EQUAL forces")</f>
        <v>EQUAL forces</v>
      </c>
      <c r="W15" s="71" t="str">
        <f>IFERROR(__xludf.DUMMYFUNCTION("""COMPUTED_VALUE"""),"EQUAL forces")</f>
        <v>EQUAL forces</v>
      </c>
      <c r="X15" s="71" t="str">
        <f>IFERROR(__xludf.DUMMYFUNCTION("""COMPUTED_VALUE"""),"I would design a Soft rubber mats that push’s back with equal force when kids fall they won’t get hurt but they spread out the impact so kids don’t get hurt as much.")</f>
        <v>I would design a Soft rubber mats that push’s back with equal force when kids fall they won’t get hurt but they spread out the impact so kids don’t get hurt as much.</v>
      </c>
      <c r="Y15" s="71" t="str">
        <f>IFERROR(__xludf.DUMMYFUNCTION("""COMPUTED_VALUE"""),"Basketball: How players change direction while dribbling")</f>
        <v>Basketball: How players change direction while dribbling</v>
      </c>
      <c r="Z15" s="71" t="str">
        <f>IFERROR(__xludf.DUMMYFUNCTION("""COMPUTED_VALUE"""),"How players change direction while dribbling is when there dribbling the ball goes down and it pushes back up.")</f>
        <v>How players change direction while dribbling is when there dribbling the ball goes down and it pushes back up.</v>
      </c>
    </row>
    <row r="16">
      <c r="A16" s="128">
        <f>IFERROR(__xludf.DUMMYFUNCTION("""COMPUTED_VALUE"""),45918.85741395833)</f>
        <v>45918.85741</v>
      </c>
      <c r="B16" s="71" t="str">
        <f>IFERROR(__xludf.DUMMYFUNCTION("""COMPUTED_VALUE"""),"brandon.reynolds@kairosacademies.org")</f>
        <v>brandon.reynolds@kairosacademies.org</v>
      </c>
      <c r="C16" s="131">
        <f>IFERROR(__xludf.DUMMYFUNCTION("""COMPUTED_VALUE"""),23.0)</f>
        <v>23</v>
      </c>
      <c r="D16" s="71" t="str">
        <f>IFERROR(__xludf.DUMMYFUNCTION("""COMPUTED_VALUE"""),"Heard but confused")</f>
        <v>Heard but confused</v>
      </c>
      <c r="E16" s="71" t="str">
        <f>IFERROR(__xludf.DUMMYFUNCTION("""COMPUTED_VALUE"""),"Somewhat understand")</f>
        <v>Somewhat understand</v>
      </c>
      <c r="F16" s="71" t="str">
        <f>IFERROR(__xludf.DUMMYFUNCTION("""COMPUTED_VALUE"""),"Never heard of it")</f>
        <v>Never heard of it</v>
      </c>
      <c r="G16" s="71" t="str">
        <f>IFERROR(__xludf.DUMMYFUNCTION("""COMPUTED_VALUE"""),"Somewhat understand")</f>
        <v>Somewhat understand</v>
      </c>
      <c r="H16" s="71" t="str">
        <f>IFERROR(__xludf.DUMMYFUNCTION("""COMPUTED_VALUE"""),"Somewhat understand")</f>
        <v>Somewhat understand</v>
      </c>
      <c r="I16" s="71" t="str">
        <f>IFERROR(__xludf.DUMMYFUNCTION("""COMPUTED_VALUE"""),"Heavier objects always exert more force, Rockets need air to push against, When I push a wall, it pushes back, Forces can exist by themselves")</f>
        <v>Heavier objects always exert more force, Rockets need air to push against, When I push a wall, it pushes back, Forces can exist by themselves</v>
      </c>
      <c r="J16" s="71" t="str">
        <f>IFERROR(__xludf.DUMMYFUNCTION("""COMPUTED_VALUE"""),"Played collision sports (football, hockey), Pushed off a wall while swimming, Used a trampoline")</f>
        <v>Played collision sports (football, hockey), Pushed off a wall while swimming, Used a trampoline</v>
      </c>
      <c r="K16" s="71" t="str">
        <f>IFERROR(__xludf.DUMMYFUNCTION("""COMPUTED_VALUE"""),"Both hands felt equal pressure pushing against each other")</f>
        <v>Both hands felt equal pressure pushing against each other</v>
      </c>
      <c r="L16" s="71" t="str">
        <f>IFERROR(__xludf.DUMMYFUNCTION("""COMPUTED_VALUE"""),"The force of the wall will push back at you with the 50 Newtons.")</f>
        <v>The force of the wall will push back at you with the 50 Newtons.</v>
      </c>
      <c r="M16" s="71" t="str">
        <f>IFERROR(__xludf.DUMMYFUNCTION("""COMPUTED_VALUE"""),"A: ← (same size)   B: → (same size)")</f>
        <v>A: ← (same size)   B: → (same size)</v>
      </c>
      <c r="N16" s="71" t="str">
        <f>IFERROR(__xludf.DUMMYFUNCTION("""COMPUTED_VALUE"""),"A pushes B down, B pushes A up")</f>
        <v>A pushes B down, B pushes A up</v>
      </c>
      <c r="O16" s="71" t="str">
        <f>IFERROR(__xludf.DUMMYFUNCTION("""COMPUTED_VALUE"""),"A pushes B backward, B pushes A forward")</f>
        <v>A pushes B backward, B pushes A forward</v>
      </c>
      <c r="P16" s="71" t="str">
        <f>IFERROR(__xludf.DUMMYFUNCTION("""COMPUTED_VALUE"""),"A pushes B forward, B pushes A backward")</f>
        <v>A pushes B forward, B pushes A backward</v>
      </c>
      <c r="Q16" s="71" t="str">
        <f>IFERROR(__xludf.DUMMYFUNCTION("""COMPUTED_VALUE"""),"A pushes B down, B pushes A up")</f>
        <v>A pushes B down, B pushes A up</v>
      </c>
      <c r="R16" s="71" t="str">
        <f>IFERROR(__xludf.DUMMYFUNCTION("""COMPUTED_VALUE"""),"Newtons Third Law mentions ""for every action there is a equal and opposite reaction, This mean the if both of the vehicles collided then the force will come back to the start. In conclusion the force of both vehicles will collides making both A and B bot"&amp;"h take in the force.")</f>
        <v>Newtons Third Law mentions "for every action there is a equal and opposite reaction, This mean the if both of the vehicles collided then the force will come back to the start. In conclusion the force of both vehicles will collides making both A and B both take in the force.</v>
      </c>
      <c r="S16" s="71" t="str">
        <f>IFERROR(__xludf.DUMMYFUNCTION("""COMPUTED_VALUE"""),"100N for 0.1 seconds in the opposite direction")</f>
        <v>100N for 0.1 seconds in the opposite direction</v>
      </c>
      <c r="T16" s="71" t="str">
        <f>IFERROR(__xludf.DUMMYFUNCTION("""COMPUTED_VALUE"""),"By throwing the toolbox away from the spaceship, the equal and opposite reaction will propel me towards the spaceship.")</f>
        <v>By throwing the toolbox away from the spaceship, the equal and opposite reaction will propel me towards the spaceship.</v>
      </c>
      <c r="U16" s="71" t="str">
        <f>IFERROR(__xludf.DUMMYFUNCTION("""COMPUTED_VALUE"""),"Windshield/Bat/Earth experience MORE")</f>
        <v>Windshield/Bat/Earth experience MORE</v>
      </c>
      <c r="V16" s="71" t="str">
        <f>IFERROR(__xludf.DUMMYFUNCTION("""COMPUTED_VALUE"""),"EQUAL forces")</f>
        <v>EQUAL forces</v>
      </c>
      <c r="W16" s="71" t="str">
        <f>IFERROR(__xludf.DUMMYFUNCTION("""COMPUTED_VALUE"""),"Windshield/Bat/Earth experience MORE")</f>
        <v>Windshield/Bat/Earth experience MORE</v>
      </c>
      <c r="X16" s="71" t="str">
        <f>IFERROR(__xludf.DUMMYFUNCTION("""COMPUTED_VALUE"""),"A playground that has a soft interior so if someone falls down the friction will have an opisite action.")</f>
        <v>A playground that has a soft interior so if someone falls down the friction will have an opisite action.</v>
      </c>
      <c r="Y16" s="71" t="str">
        <f>IFERROR(__xludf.DUMMYFUNCTION("""COMPUTED_VALUE"""),"Basketball: How players change direction while dribbling")</f>
        <v>Basketball: How players change direction while dribbling</v>
      </c>
      <c r="Z16" s="71" t="str">
        <f>IFERROR(__xludf.DUMMYFUNCTION("""COMPUTED_VALUE"""),"Well I dribbed a basketball when it hits the ground there is an opposite reaction in the action.")</f>
        <v>Well I dribbed a basketball when it hits the ground there is an opposite reaction in the action.</v>
      </c>
    </row>
    <row r="17">
      <c r="A17" s="128">
        <f>IFERROR(__xludf.DUMMYFUNCTION("""COMPUTED_VALUE"""),45940.42912493055)</f>
        <v>45940.42912</v>
      </c>
      <c r="B17" s="71" t="str">
        <f>IFERROR(__xludf.DUMMYFUNCTION("""COMPUTED_VALUE"""),"terrence.toran@kairosacademies.org")</f>
        <v>terrence.toran@kairosacademies.org</v>
      </c>
      <c r="C17" s="131">
        <f>IFERROR(__xludf.DUMMYFUNCTION("""COMPUTED_VALUE"""),19.0)</f>
        <v>19</v>
      </c>
      <c r="D17" s="71" t="str">
        <f>IFERROR(__xludf.DUMMYFUNCTION("""COMPUTED_VALUE"""),"Never heard of it")</f>
        <v>Never heard of it</v>
      </c>
      <c r="E17" s="71" t="str">
        <f>IFERROR(__xludf.DUMMYFUNCTION("""COMPUTED_VALUE"""),"Somewhat understand")</f>
        <v>Somewhat understand</v>
      </c>
      <c r="F17" s="71" t="str">
        <f>IFERROR(__xludf.DUMMYFUNCTION("""COMPUTED_VALUE"""),"Somewhat understand")</f>
        <v>Somewhat understand</v>
      </c>
      <c r="G17" s="71" t="str">
        <f>IFERROR(__xludf.DUMMYFUNCTION("""COMPUTED_VALUE"""),"Fully understand")</f>
        <v>Fully understand</v>
      </c>
      <c r="H17" s="71" t="str">
        <f>IFERROR(__xludf.DUMMYFUNCTION("""COMPUTED_VALUE"""),"Never heard of it")</f>
        <v>Never heard of it</v>
      </c>
      <c r="I17" s="71" t="str">
        <f>IFERROR(__xludf.DUMMYFUNCTION("""COMPUTED_VALUE"""),"Heavier objects always exert more force, In a collision, one object 'wins', Forces can exist by themselves, Stationary objects don't exert forces")</f>
        <v>Heavier objects always exert more force, In a collision, one object 'wins', Forces can exist by themselves, Stationary objects don't exert forces</v>
      </c>
      <c r="J17" s="71" t="str">
        <f>IFERROR(__xludf.DUMMYFUNCTION("""COMPUTED_VALUE"""),"Jumped off a skateboard or boat, Played collision sports (football, hockey), Pushed off a wall while swimming, Used a trampoline")</f>
        <v>Jumped off a skateboard or boat, Played collision sports (football, hockey), Pushed off a wall while swimming, Used a trampoline</v>
      </c>
      <c r="K17" s="71" t="str">
        <f>IFERROR(__xludf.DUMMYFUNCTION("""COMPUTED_VALUE"""),"The pressure alternated between hands")</f>
        <v>The pressure alternated between hands</v>
      </c>
      <c r="L17" s="71" t="str">
        <f>IFERROR(__xludf.DUMMYFUNCTION("""COMPUTED_VALUE"""),"50 newtons")</f>
        <v>50 newtons</v>
      </c>
      <c r="M17" s="71" t="str">
        <f>IFERROR(__xludf.DUMMYFUNCTION("""COMPUTED_VALUE"""),"A: ← (small arrow)  B: → (large arrow)")</f>
        <v>A: ← (small arrow)  B: → (large arrow)</v>
      </c>
      <c r="N17" s="71" t="str">
        <f>IFERROR(__xludf.DUMMYFUNCTION("""COMPUTED_VALUE"""),"A pushes B down, B pushes A up")</f>
        <v>A pushes B down, B pushes A up</v>
      </c>
      <c r="O17" s="71" t="str">
        <f>IFERROR(__xludf.DUMMYFUNCTION("""COMPUTED_VALUE"""),"A pushes B forward, B pushes A backward, A pushes B backward, B pushes A forward")</f>
        <v>A pushes B forward, B pushes A backward, A pushes B backward, B pushes A forward</v>
      </c>
      <c r="P17" s="71" t="str">
        <f>IFERROR(__xludf.DUMMYFUNCTION("""COMPUTED_VALUE"""),"A pushes B forward, B pushes A backward")</f>
        <v>A pushes B forward, B pushes A backward</v>
      </c>
      <c r="Q17" s="71" t="str">
        <f>IFERROR(__xludf.DUMMYFUNCTION("""COMPUTED_VALUE"""),"A pushes B down, B pushes A up")</f>
        <v>A pushes B down, B pushes A up</v>
      </c>
      <c r="R17" s="71" t="str">
        <f>IFERROR(__xludf.DUMMYFUNCTION("""COMPUTED_VALUE"""),"The student might think this because the trunk is bigger but just because the trunk is bigger, does not mean it exerts more force because it matters how hard it hit the car.")</f>
        <v>The student might think this because the trunk is bigger but just because the trunk is bigger, does not mean it exerts more force because it matters how hard it hit the car.</v>
      </c>
      <c r="S17" s="71" t="str">
        <f>IFERROR(__xludf.DUMMYFUNCTION("""COMPUTED_VALUE"""),"It depends on the mass of Object B")</f>
        <v>It depends on the mass of Object B</v>
      </c>
      <c r="T17" s="71" t="str">
        <f>IFERROR(__xludf.DUMMYFUNCTION("""COMPUTED_VALUE"""),"This would move you toward the ship because of the mass from the tool box.")</f>
        <v>This would move you toward the ship because of the mass from the tool box.</v>
      </c>
      <c r="U17" s="71" t="str">
        <f>IFERROR(__xludf.DUMMYFUNCTION("""COMPUTED_VALUE"""),"Windshield/Bat/Earth experience MORE")</f>
        <v>Windshield/Bat/Earth experience MORE</v>
      </c>
      <c r="V17" s="71" t="str">
        <f>IFERROR(__xludf.DUMMYFUNCTION("""COMPUTED_VALUE"""),"EQUAL forces")</f>
        <v>EQUAL forces</v>
      </c>
      <c r="W17" s="71" t="str">
        <f>IFERROR(__xludf.DUMMYFUNCTION("""COMPUTED_VALUE"""),"Windshield/Bat/Earth experience MORE")</f>
        <v>Windshield/Bat/Earth experience MORE</v>
      </c>
      <c r="X17" s="71" t="str">
        <f>IFERROR(__xludf.DUMMYFUNCTION("""COMPUTED_VALUE"""),"A net beneath the play ground equipment.")</f>
        <v>A net beneath the play ground equipment.</v>
      </c>
      <c r="Y17" s="71" t="str">
        <f>IFERROR(__xludf.DUMMYFUNCTION("""COMPUTED_VALUE"""),"Capoeira (Brazilian martial art): How fighters generate spinning kicks")</f>
        <v>Capoeira (Brazilian martial art): How fighters generate spinning kicks</v>
      </c>
      <c r="Z17" s="71" t="str">
        <f>IFERROR(__xludf.DUMMYFUNCTION("""COMPUTED_VALUE"""),"Brazilian martial artist's foot spin-pushes on the ground, transferring force through friction in a circular direction that pushes the artist the opposite direction.")</f>
        <v>Brazilian martial artist's foot spin-pushes on the ground, transferring force through friction in a circular direction that pushes the artist the opposite direction.</v>
      </c>
    </row>
    <row r="18">
      <c r="A18" s="128">
        <f>IFERROR(__xludf.DUMMYFUNCTION("""COMPUTED_VALUE"""),45940.6136534838)</f>
        <v>45940.61365</v>
      </c>
      <c r="B18" s="71" t="str">
        <f>IFERROR(__xludf.DUMMYFUNCTION("""COMPUTED_VALUE"""),"jackeydon.boykin@kairosacademies.org")</f>
        <v>jackeydon.boykin@kairosacademies.org</v>
      </c>
      <c r="C18" s="131">
        <f>IFERROR(__xludf.DUMMYFUNCTION("""COMPUTED_VALUE"""),16.0)</f>
        <v>16</v>
      </c>
      <c r="D18" s="71" t="str">
        <f>IFERROR(__xludf.DUMMYFUNCTION("""COMPUTED_VALUE"""),"Somewhat understand")</f>
        <v>Somewhat understand</v>
      </c>
      <c r="E18" s="71" t="str">
        <f>IFERROR(__xludf.DUMMYFUNCTION("""COMPUTED_VALUE"""),"Fully understand")</f>
        <v>Fully understand</v>
      </c>
      <c r="F18" s="71" t="str">
        <f>IFERROR(__xludf.DUMMYFUNCTION("""COMPUTED_VALUE"""),"Fully understand")</f>
        <v>Fully understand</v>
      </c>
      <c r="G18" s="71" t="str">
        <f>IFERROR(__xludf.DUMMYFUNCTION("""COMPUTED_VALUE"""),"Fully understand")</f>
        <v>Fully understand</v>
      </c>
      <c r="H18" s="71" t="str">
        <f>IFERROR(__xludf.DUMMYFUNCTION("""COMPUTED_VALUE"""),"Somewhat understand")</f>
        <v>Somewhat understand</v>
      </c>
      <c r="I18" s="71" t="str">
        <f>IFERROR(__xludf.DUMMYFUNCTION("""COMPUTED_VALUE"""),"Rockets need air to push against, When I push a wall, it pushes back, Stationary objects don't exert forces")</f>
        <v>Rockets need air to push against, When I push a wall, it pushes back, Stationary objects don't exert forces</v>
      </c>
      <c r="J18" s="71" t="str">
        <f>IFERROR(__xludf.DUMMYFUNCTION("""COMPUTED_VALUE"""),"Played collision sports (football, hockey)")</f>
        <v>Played collision sports (football, hockey)</v>
      </c>
      <c r="K18" s="71" t="str">
        <f>IFERROR(__xludf.DUMMYFUNCTION("""COMPUTED_VALUE"""),"The pressure alternated between hands")</f>
        <v>The pressure alternated between hands</v>
      </c>
      <c r="L18" s="71" t="str">
        <f>IFERROR(__xludf.DUMMYFUNCTION("""COMPUTED_VALUE"""),"It will exert 50N back")</f>
        <v>It will exert 50N back</v>
      </c>
      <c r="M18" s="71" t="str">
        <f>IFERROR(__xludf.DUMMYFUNCTION("""COMPUTED_VALUE"""),"A: ← (small arrow)  B: → (large arrow)")</f>
        <v>A: ← (small arrow)  B: → (large arrow)</v>
      </c>
      <c r="N18" s="71" t="str">
        <f>IFERROR(__xludf.DUMMYFUNCTION("""COMPUTED_VALUE"""),"A pushes B down, B pushes A up, A pushes B backward, B pushes A forward")</f>
        <v>A pushes B down, B pushes A up, A pushes B backward, B pushes A forward</v>
      </c>
      <c r="O18" s="71" t="str">
        <f>IFERROR(__xludf.DUMMYFUNCTION("""COMPUTED_VALUE"""),"A pushes B down, B pushes A up, A pushes B forward, B pushes A backward, A pushes B backward, B pushes A forward")</f>
        <v>A pushes B down, B pushes A up, A pushes B forward, B pushes A backward, A pushes B backward, B pushes A forward</v>
      </c>
      <c r="P18" s="71" t="str">
        <f>IFERROR(__xludf.DUMMYFUNCTION("""COMPUTED_VALUE"""),"A pushes B forward, B pushes A backward")</f>
        <v>A pushes B forward, B pushes A backward</v>
      </c>
      <c r="Q18" s="71" t="str">
        <f>IFERROR(__xludf.DUMMYFUNCTION("""COMPUTED_VALUE"""),"A pushes B down, B pushes A up, A pushes B forward, B pushes A backward")</f>
        <v>A pushes B down, B pushes A up, A pushes B forward, B pushes A backward</v>
      </c>
      <c r="R18" s="71" t="str">
        <f>IFERROR(__xludf.DUMMYFUNCTION("""COMPUTED_VALUE"""),"Whats wrong with this statement is that is not always true because sometimes they are angled differently and the one with the lower mass could be accelerated by how ever much force it multiplies by and have more impact power or more force exertion.")</f>
        <v>Whats wrong with this statement is that is not always true because sometimes they are angled differently and the one with the lower mass could be accelerated by how ever much force it multiplies by and have more impact power or more force exertion.</v>
      </c>
      <c r="S18" s="71" t="str">
        <f>IFERROR(__xludf.DUMMYFUNCTION("""COMPUTED_VALUE"""),"100N for 0.1 seconds in the opposite direction")</f>
        <v>100N for 0.1 seconds in the opposite direction</v>
      </c>
      <c r="T18" s="71" t="str">
        <f>IFERROR(__xludf.DUMMYFUNCTION("""COMPUTED_VALUE"""),"A action i would take is use gravity in space to open the toolbox and let everything float in the air and get the tool that i need")</f>
        <v>A action i would take is use gravity in space to open the toolbox and let everything float in the air and get the tool that i need</v>
      </c>
      <c r="U18" s="71" t="str">
        <f>IFERROR(__xludf.DUMMYFUNCTION("""COMPUTED_VALUE"""),"Bug/Ball/You experience MORE")</f>
        <v>Bug/Ball/You experience MORE</v>
      </c>
      <c r="V18" s="71" t="str">
        <f>IFERROR(__xludf.DUMMYFUNCTION("""COMPUTED_VALUE"""),"EQUAL forces")</f>
        <v>EQUAL forces</v>
      </c>
      <c r="W18" s="71" t="str">
        <f>IFERROR(__xludf.DUMMYFUNCTION("""COMPUTED_VALUE"""),"EQUAL forces")</f>
        <v>EQUAL forces</v>
      </c>
      <c r="X18" s="71" t="str">
        <f>IFERROR(__xludf.DUMMYFUNCTION("""COMPUTED_VALUE"""),"My safety device would be sort of a force field that when it senses when you are about to fall/falling it activates and shields your landing. Say you fall at 70N it cushions that with almost double that force.")</f>
        <v>My safety device would be sort of a force field that when it senses when you are about to fall/falling it activates and shields your landing. Say you fall at 70N it cushions that with almost double that force.</v>
      </c>
      <c r="Y18" s="71" t="str">
        <f>IFERROR(__xludf.DUMMYFUNCTION("""COMPUTED_VALUE"""),"Basketball: How players change direction while dribbling")</f>
        <v>Basketball: How players change direction while dribbling</v>
      </c>
      <c r="Z18" s="71" t="str">
        <f>IFERROR(__xludf.DUMMYFUNCTION("""COMPUTED_VALUE"""),"The Person: Object A Pushes Object B : The basketball in a forward direction and Object B pushes against Object A while it goes repeatedly against the ground")</f>
        <v>The Person: Object A Pushes Object B : The basketball in a forward direction and Object B pushes against Object A while it goes repeatedly against the ground</v>
      </c>
    </row>
    <row r="19">
      <c r="A19" s="128">
        <f>IFERROR(__xludf.DUMMYFUNCTION("""COMPUTED_VALUE"""),45940.62324225694)</f>
        <v>45940.62324</v>
      </c>
      <c r="B19" s="71" t="str">
        <f>IFERROR(__xludf.DUMMYFUNCTION("""COMPUTED_VALUE"""),"sollal.punch@kairosacademies.org")</f>
        <v>sollal.punch@kairosacademies.org</v>
      </c>
      <c r="C19" s="131">
        <f>IFERROR(__xludf.DUMMYFUNCTION("""COMPUTED_VALUE"""),21.0)</f>
        <v>21</v>
      </c>
      <c r="D19" s="71" t="str">
        <f>IFERROR(__xludf.DUMMYFUNCTION("""COMPUTED_VALUE"""),"Fully understand")</f>
        <v>Fully understand</v>
      </c>
      <c r="E19" s="71" t="str">
        <f>IFERROR(__xludf.DUMMYFUNCTION("""COMPUTED_VALUE"""),"Fully understand")</f>
        <v>Fully understand</v>
      </c>
      <c r="F19" s="71" t="str">
        <f>IFERROR(__xludf.DUMMYFUNCTION("""COMPUTED_VALUE"""),"Fully understand")</f>
        <v>Fully understand</v>
      </c>
      <c r="G19" s="71" t="str">
        <f>IFERROR(__xludf.DUMMYFUNCTION("""COMPUTED_VALUE"""),"Fully understand")</f>
        <v>Fully understand</v>
      </c>
      <c r="H19" s="71" t="str">
        <f>IFERROR(__xludf.DUMMYFUNCTION("""COMPUTED_VALUE"""),"Fully understand")</f>
        <v>Fully understand</v>
      </c>
      <c r="I19" s="71" t="str">
        <f>IFERROR(__xludf.DUMMYFUNCTION("""COMPUTED_VALUE"""),"Heavier objects always exert more force, Stationary objects don't exert forces")</f>
        <v>Heavier objects always exert more force, Stationary objects don't exert forces</v>
      </c>
      <c r="J19" s="71" t="str">
        <f>IFERROR(__xludf.DUMMYFUNCTION("""COMPUTED_VALUE"""),"Used a trampoline")</f>
        <v>Used a trampoline</v>
      </c>
      <c r="K19" s="71" t="str">
        <f>IFERROR(__xludf.DUMMYFUNCTION("""COMPUTED_VALUE"""),"Both hands felt equal pressure pushing against each other")</f>
        <v>Both hands felt equal pressure pushing against each other</v>
      </c>
      <c r="L19" s="71" t="str">
        <f>IFERROR(__xludf.DUMMYFUNCTION("""COMPUTED_VALUE"""),"25 Newtons of force")</f>
        <v>25 Newtons of force</v>
      </c>
      <c r="M19" s="71" t="str">
        <f>IFERROR(__xludf.DUMMYFUNCTION("""COMPUTED_VALUE"""),"A: ← (small arrow)  B: → (large arrow)")</f>
        <v>A: ← (small arrow)  B: → (large arrow)</v>
      </c>
      <c r="N19" s="71" t="str">
        <f>IFERROR(__xludf.DUMMYFUNCTION("""COMPUTED_VALUE"""),"A pushes B down, B pushes A up")</f>
        <v>A pushes B down, B pushes A up</v>
      </c>
      <c r="O19" s="71" t="str">
        <f>IFERROR(__xludf.DUMMYFUNCTION("""COMPUTED_VALUE"""),"A pushes B forward, B pushes A backward")</f>
        <v>A pushes B forward, B pushes A backward</v>
      </c>
      <c r="P19" s="71" t="str">
        <f>IFERROR(__xludf.DUMMYFUNCTION("""COMPUTED_VALUE"""),"A pushes B backward, B pushes A forward")</f>
        <v>A pushes B backward, B pushes A forward</v>
      </c>
      <c r="Q19" s="71" t="str">
        <f>IFERROR(__xludf.DUMMYFUNCTION("""COMPUTED_VALUE"""),"A pushes B backward, B pushes A forward")</f>
        <v>A pushes B backward, B pushes A forward</v>
      </c>
      <c r="R19" s="71" t="str">
        <f>IFERROR(__xludf.DUMMYFUNCTION("""COMPUTED_VALUE"""),"This is not true because trucks cannot exert force.")</f>
        <v>This is not true because trucks cannot exert force.</v>
      </c>
      <c r="S19" s="71" t="str">
        <f>IFERROR(__xludf.DUMMYFUNCTION("""COMPUTED_VALUE"""),"50N for 0.2 seconds in the opposite direction")</f>
        <v>50N for 0.2 seconds in the opposite direction</v>
      </c>
      <c r="T19" s="71" t="str">
        <f>IFERROR(__xludf.DUMMYFUNCTION("""COMPUTED_VALUE"""),"I can lift the toolbox to go left and right.")</f>
        <v>I can lift the toolbox to go left and right.</v>
      </c>
      <c r="U19" s="71" t="str">
        <f>IFERROR(__xludf.DUMMYFUNCTION("""COMPUTED_VALUE"""),"Bug/Ball/You experience MORE")</f>
        <v>Bug/Ball/You experience MORE</v>
      </c>
      <c r="V19" s="71" t="str">
        <f>IFERROR(__xludf.DUMMYFUNCTION("""COMPUTED_VALUE"""),"Windshield/Bat/Earth experience MORE")</f>
        <v>Windshield/Bat/Earth experience MORE</v>
      </c>
      <c r="W19" s="71" t="str">
        <f>IFERROR(__xludf.DUMMYFUNCTION("""COMPUTED_VALUE"""),"EQUAL forces")</f>
        <v>EQUAL forces</v>
      </c>
      <c r="X19" s="71" t="str">
        <f>IFERROR(__xludf.DUMMYFUNCTION("""COMPUTED_VALUE"""),"The playground can have a soft enough landing.")</f>
        <v>The playground can have a soft enough landing.</v>
      </c>
      <c r="Y19" s="71" t="str">
        <f>IFERROR(__xludf.DUMMYFUNCTION("""COMPUTED_VALUE"""),"Basketball: How players change direction while dribbling")</f>
        <v>Basketball: How players change direction while dribbling</v>
      </c>
      <c r="Z19" s="71" t="str">
        <f>IFERROR(__xludf.DUMMYFUNCTION("""COMPUTED_VALUE"""),"Person pushes ball and ball pushes person")</f>
        <v>Person pushes ball and ball pushes person</v>
      </c>
    </row>
    <row r="20">
      <c r="A20" s="128">
        <f>IFERROR(__xludf.DUMMYFUNCTION("""COMPUTED_VALUE"""),45940.62498832175)</f>
        <v>45940.62499</v>
      </c>
      <c r="B20" s="71" t="str">
        <f>IFERROR(__xludf.DUMMYFUNCTION("""COMPUTED_VALUE"""),"marshawn.blair@kairosacademies.org")</f>
        <v>marshawn.blair@kairosacademies.org</v>
      </c>
      <c r="C20" s="131">
        <f>IFERROR(__xludf.DUMMYFUNCTION("""COMPUTED_VALUE"""),21.0)</f>
        <v>21</v>
      </c>
      <c r="D20" s="71" t="str">
        <f>IFERROR(__xludf.DUMMYFUNCTION("""COMPUTED_VALUE"""),"Heard but confused")</f>
        <v>Heard but confused</v>
      </c>
      <c r="E20" s="71" t="str">
        <f>IFERROR(__xludf.DUMMYFUNCTION("""COMPUTED_VALUE"""),"Somewhat understand")</f>
        <v>Somewhat understand</v>
      </c>
      <c r="F20" s="71" t="str">
        <f>IFERROR(__xludf.DUMMYFUNCTION("""COMPUTED_VALUE"""),"Fully understand")</f>
        <v>Fully understand</v>
      </c>
      <c r="G20" s="71" t="str">
        <f>IFERROR(__xludf.DUMMYFUNCTION("""COMPUTED_VALUE"""),"Fully understand")</f>
        <v>Fully understand</v>
      </c>
      <c r="H20" s="71" t="str">
        <f>IFERROR(__xludf.DUMMYFUNCTION("""COMPUTED_VALUE"""),"Fully understand")</f>
        <v>Fully understand</v>
      </c>
      <c r="I20" s="71" t="str">
        <f>IFERROR(__xludf.DUMMYFUNCTION("""COMPUTED_VALUE"""),"When I push a wall, it pushes back")</f>
        <v>When I push a wall, it pushes back</v>
      </c>
      <c r="J20" s="71" t="str">
        <f>IFERROR(__xludf.DUMMYFUNCTION("""COMPUTED_VALUE"""),"Played collision sports (football, hockey), Pushed off a wall while swimming, Used a trampoline")</f>
        <v>Played collision sports (football, hockey), Pushed off a wall while swimming, Used a trampoline</v>
      </c>
      <c r="K20" s="71" t="str">
        <f>IFERROR(__xludf.DUMMYFUNCTION("""COMPUTED_VALUE"""),"Both hands felt equal pressure pushing against each other")</f>
        <v>Both hands felt equal pressure pushing against each other</v>
      </c>
      <c r="L20" s="71" t="str">
        <f>IFERROR(__xludf.DUMMYFUNCTION("""COMPUTED_VALUE"""),"50 Newtons")</f>
        <v>50 Newtons</v>
      </c>
      <c r="M20" s="71" t="str">
        <f>IFERROR(__xludf.DUMMYFUNCTION("""COMPUTED_VALUE"""),"A: ← (large arrow)  B: → (small arrow)")</f>
        <v>A: ← (large arrow)  B: → (small arrow)</v>
      </c>
      <c r="N20" s="71" t="str">
        <f>IFERROR(__xludf.DUMMYFUNCTION("""COMPUTED_VALUE"""),"A pushes B down, B pushes A up")</f>
        <v>A pushes B down, B pushes A up</v>
      </c>
      <c r="O20" s="71" t="str">
        <f>IFERROR(__xludf.DUMMYFUNCTION("""COMPUTED_VALUE"""),"A pushes B forward, B pushes A backward")</f>
        <v>A pushes B forward, B pushes A backward</v>
      </c>
      <c r="P20" s="71" t="str">
        <f>IFERROR(__xludf.DUMMYFUNCTION("""COMPUTED_VALUE"""),"A pushes B forward, B pushes A backward")</f>
        <v>A pushes B forward, B pushes A backward</v>
      </c>
      <c r="Q20" s="71" t="str">
        <f>IFERROR(__xludf.DUMMYFUNCTION("""COMPUTED_VALUE"""),"A pushes B down, B pushes A up")</f>
        <v>A pushes B down, B pushes A up</v>
      </c>
      <c r="R20" s="71" t="str">
        <f>IFERROR(__xludf.DUMMYFUNCTION("""COMPUTED_VALUE"""),"The small car can use the laws of motion to push in truck backwards")</f>
        <v>The small car can use the laws of motion to push in truck backwards</v>
      </c>
      <c r="S20" s="71" t="str">
        <f>IFERROR(__xludf.DUMMYFUNCTION("""COMPUTED_VALUE"""),"It depends on the mass of Object B")</f>
        <v>It depends on the mass of Object B</v>
      </c>
      <c r="T20" s="71" t="str">
        <f>IFERROR(__xludf.DUMMYFUNCTION("""COMPUTED_VALUE"""),"since your in zero gravity you can pull out your heavy toolbox to boost you back to the spaceship")</f>
        <v>since your in zero gravity you can pull out your heavy toolbox to boost you back to the spaceship</v>
      </c>
      <c r="U20" s="71" t="str">
        <f>IFERROR(__xludf.DUMMYFUNCTION("""COMPUTED_VALUE"""),"Windshield/Bat/Earth experience MORE")</f>
        <v>Windshield/Bat/Earth experience MORE</v>
      </c>
      <c r="V20" s="71" t="str">
        <f>IFERROR(__xludf.DUMMYFUNCTION("""COMPUTED_VALUE"""),"Windshield/Bat/Earth experience MORE")</f>
        <v>Windshield/Bat/Earth experience MORE</v>
      </c>
      <c r="W20" s="71" t="str">
        <f>IFERROR(__xludf.DUMMYFUNCTION("""COMPUTED_VALUE"""),"Windshield/Bat/Earth experience MORE")</f>
        <v>Windshield/Bat/Earth experience MORE</v>
      </c>
      <c r="X20" s="71" t="str">
        <f>IFERROR(__xludf.DUMMYFUNCTION("""COMPUTED_VALUE"""),"It is the swings because you start pushing off the ground then you push of the air and using a motion for more airtime.")</f>
        <v>It is the swings because you start pushing off the ground then you push of the air and using a motion for more airtime.</v>
      </c>
      <c r="Y20" s="71" t="str">
        <f>IFERROR(__xludf.DUMMYFUNCTION("""COMPUTED_VALUE"""),"Basketball: How players change direction while dribbling")</f>
        <v>Basketball: How players change direction while dribbling</v>
      </c>
      <c r="Z20" s="71" t="str">
        <f>IFERROR(__xludf.DUMMYFUNCTION("""COMPUTED_VALUE"""),"Person pushes basketball down basketball pushes back to person off the ground.")</f>
        <v>Person pushes basketball down basketball pushes back to person off the ground.</v>
      </c>
    </row>
    <row r="21">
      <c r="A21" s="128">
        <f>IFERROR(__xludf.DUMMYFUNCTION("""COMPUTED_VALUE"""),45940.64031758102)</f>
        <v>45940.64032</v>
      </c>
      <c r="B21" s="71" t="str">
        <f>IFERROR(__xludf.DUMMYFUNCTION("""COMPUTED_VALUE"""),"cameron.brown@kairosacademies.org")</f>
        <v>cameron.brown@kairosacademies.org</v>
      </c>
      <c r="C21" s="131">
        <f>IFERROR(__xludf.DUMMYFUNCTION("""COMPUTED_VALUE"""),21.0)</f>
        <v>21</v>
      </c>
      <c r="D21" s="71" t="str">
        <f>IFERROR(__xludf.DUMMYFUNCTION("""COMPUTED_VALUE"""),"Fully understand")</f>
        <v>Fully understand</v>
      </c>
      <c r="E21" s="71" t="str">
        <f>IFERROR(__xludf.DUMMYFUNCTION("""COMPUTED_VALUE"""),"Fully understand")</f>
        <v>Fully understand</v>
      </c>
      <c r="F21" s="71" t="str">
        <f>IFERROR(__xludf.DUMMYFUNCTION("""COMPUTED_VALUE"""),"Somewhat understand")</f>
        <v>Somewhat understand</v>
      </c>
      <c r="G21" s="71" t="str">
        <f>IFERROR(__xludf.DUMMYFUNCTION("""COMPUTED_VALUE"""),"Fully understand")</f>
        <v>Fully understand</v>
      </c>
      <c r="H21" s="71" t="str">
        <f>IFERROR(__xludf.DUMMYFUNCTION("""COMPUTED_VALUE"""),"Somewhat understand")</f>
        <v>Somewhat understand</v>
      </c>
      <c r="I21" s="71" t="str">
        <f>IFERROR(__xludf.DUMMYFUNCTION("""COMPUTED_VALUE"""),"Heavier objects always exert more force, Rockets need air to push against, When I push a wall, it pushes back, Forces can exist by themselves")</f>
        <v>Heavier objects always exert more force, Rockets need air to push against, When I push a wall, it pushes back, Forces can exist by themselves</v>
      </c>
      <c r="J21" s="71" t="str">
        <f>IFERROR(__xludf.DUMMYFUNCTION("""COMPUTED_VALUE"""),"Played collision sports (football, hockey), Pushed off a wall while swimming, Used a trampoline")</f>
        <v>Played collision sports (football, hockey), Pushed off a wall while swimming, Used a trampoline</v>
      </c>
      <c r="K21" s="71" t="str">
        <f>IFERROR(__xludf.DUMMYFUNCTION("""COMPUTED_VALUE"""),"Both hands felt equal pressure pushing against each other")</f>
        <v>Both hands felt equal pressure pushing against each other</v>
      </c>
      <c r="L21" s="71" t="str">
        <f>IFERROR(__xludf.DUMMYFUNCTION("""COMPUTED_VALUE"""),"50 newtons back")</f>
        <v>50 newtons back</v>
      </c>
      <c r="M21" s="71" t="str">
        <f>IFERROR(__xludf.DUMMYFUNCTION("""COMPUTED_VALUE"""),"A: ← (no arrow)    B: → (large arrow)")</f>
        <v>A: ← (no arrow)    B: → (large arrow)</v>
      </c>
      <c r="N21" s="71" t="str">
        <f>IFERROR(__xludf.DUMMYFUNCTION("""COMPUTED_VALUE"""),"A pushes B down, B pushes A up")</f>
        <v>A pushes B down, B pushes A up</v>
      </c>
      <c r="O21" s="71" t="str">
        <f>IFERROR(__xludf.DUMMYFUNCTION("""COMPUTED_VALUE"""),"A pushes B backward, B pushes A forward")</f>
        <v>A pushes B backward, B pushes A forward</v>
      </c>
      <c r="P21" s="71" t="str">
        <f>IFERROR(__xludf.DUMMYFUNCTION("""COMPUTED_VALUE"""),"A pushes B forward, B pushes A backward")</f>
        <v>A pushes B forward, B pushes A backward</v>
      </c>
      <c r="Q21" s="71" t="str">
        <f>IFERROR(__xludf.DUMMYFUNCTION("""COMPUTED_VALUE"""),"A pushes B down, B pushes A up")</f>
        <v>A pushes B down, B pushes A up</v>
      </c>
      <c r="R21" s="71" t="str">
        <f>IFERROR(__xludf.DUMMYFUNCTION("""COMPUTED_VALUE"""),"What's wrong with this sentence is not saying how the truck affects the smaller car and how the cars reacted to the forces.")</f>
        <v>What's wrong with this sentence is not saying how the truck affects the smaller car and how the cars reacted to the forces.</v>
      </c>
      <c r="S21" s="71" t="str">
        <f>IFERROR(__xludf.DUMMYFUNCTION("""COMPUTED_VALUE"""),"It depends on the mass of Object B")</f>
        <v>It depends on the mass of Object B</v>
      </c>
      <c r="T21" s="71" t="str">
        <f>IFERROR(__xludf.DUMMYFUNCTION("""COMPUTED_VALUE"""),"I could use the heavy toolbox and swing it to the spaceships direction.")</f>
        <v>I could use the heavy toolbox and swing it to the spaceships direction.</v>
      </c>
      <c r="U21" s="71" t="str">
        <f>IFERROR(__xludf.DUMMYFUNCTION("""COMPUTED_VALUE"""),"Bug/Ball/You experience MORE")</f>
        <v>Bug/Ball/You experience MORE</v>
      </c>
      <c r="V21" s="71" t="str">
        <f>IFERROR(__xludf.DUMMYFUNCTION("""COMPUTED_VALUE"""),"Windshield/Bat/Earth experience MORE")</f>
        <v>Windshield/Bat/Earth experience MORE</v>
      </c>
      <c r="W21" s="71" t="str">
        <f>IFERROR(__xludf.DUMMYFUNCTION("""COMPUTED_VALUE"""),"Bug/Ball/You experience MORE")</f>
        <v>Bug/Ball/You experience MORE</v>
      </c>
      <c r="X21" s="71" t="str">
        <f>IFERROR(__xludf.DUMMYFUNCTION("""COMPUTED_VALUE"""),"We can put soft flooring in the playground to reduce falling injury's because it will stop the force of the children hitting the ground. ")</f>
        <v>We can put soft flooring in the playground to reduce falling injury's because it will stop the force of the children hitting the ground. </v>
      </c>
      <c r="Y21" s="71" t="str">
        <f>IFERROR(__xludf.DUMMYFUNCTION("""COMPUTED_VALUE"""),"Parkour: How traceurs push off walls to change direction")</f>
        <v>Parkour: How traceurs push off walls to change direction</v>
      </c>
      <c r="Z21" s="71" t="str">
        <f>IFERROR(__xludf.DUMMYFUNCTION("""COMPUTED_VALUE"""),"In parkour the person pushes off the wall or platform pushing force on the wall causing him to bounce off the opposite direction.")</f>
        <v>In parkour the person pushes off the wall or platform pushing force on the wall causing him to bounce off the opposite direction.</v>
      </c>
    </row>
    <row r="22">
      <c r="A22" s="128">
        <f>IFERROR(__xludf.DUMMYFUNCTION("""COMPUTED_VALUE"""),45957.75647061342)</f>
        <v>45957.75647</v>
      </c>
      <c r="B22" s="71" t="str">
        <f>IFERROR(__xludf.DUMMYFUNCTION("""COMPUTED_VALUE"""),"jermondez.gilcrease@kairosacademies.org")</f>
        <v>jermondez.gilcrease@kairosacademies.org</v>
      </c>
      <c r="C22" s="131">
        <f>IFERROR(__xludf.DUMMYFUNCTION("""COMPUTED_VALUE"""),27.0)</f>
        <v>27</v>
      </c>
      <c r="D22" s="71" t="str">
        <f>IFERROR(__xludf.DUMMYFUNCTION("""COMPUTED_VALUE"""),"Somewhat understand")</f>
        <v>Somewhat understand</v>
      </c>
      <c r="E22" s="71" t="str">
        <f>IFERROR(__xludf.DUMMYFUNCTION("""COMPUTED_VALUE"""),"Heard but confused")</f>
        <v>Heard but confused</v>
      </c>
      <c r="F22" s="71" t="str">
        <f>IFERROR(__xludf.DUMMYFUNCTION("""COMPUTED_VALUE"""),"Heard but confused")</f>
        <v>Heard but confused</v>
      </c>
      <c r="G22" s="71" t="str">
        <f>IFERROR(__xludf.DUMMYFUNCTION("""COMPUTED_VALUE"""),"Somewhat understand")</f>
        <v>Somewhat understand</v>
      </c>
      <c r="H22" s="71" t="str">
        <f>IFERROR(__xludf.DUMMYFUNCTION("""COMPUTED_VALUE"""),"Somewhat understand")</f>
        <v>Somewhat understand</v>
      </c>
      <c r="I22" s="71" t="str">
        <f>IFERROR(__xludf.DUMMYFUNCTION("""COMPUTED_VALUE"""),"Heavier objects always exert more force, Rockets need air to push against, When I push a wall, it pushes back, Stationary objects don't exert forces")</f>
        <v>Heavier objects always exert more force, Rockets need air to push against, When I push a wall, it pushes back, Stationary objects don't exert forces</v>
      </c>
      <c r="J22" s="71" t="str">
        <f>IFERROR(__xludf.DUMMYFUNCTION("""COMPUTED_VALUE"""),"Jumped off a skateboard or boat, Played collision sports (football, hockey), Pushed off a wall while swimming, Used a trampoline")</f>
        <v>Jumped off a skateboard or boat, Played collision sports (football, hockey), Pushed off a wall while swimming, Used a trampoline</v>
      </c>
      <c r="K22" s="71" t="str">
        <f>IFERROR(__xludf.DUMMYFUNCTION("""COMPUTED_VALUE"""),"Both hands felt equal pressure pushing against each other")</f>
        <v>Both hands felt equal pressure pushing against each other</v>
      </c>
      <c r="L22" s="71" t="str">
        <f>IFERROR(__xludf.DUMMYFUNCTION("""COMPUTED_VALUE"""),"It will push back with the same 50 Newtons of force.")</f>
        <v>It will push back with the same 50 Newtons of force.</v>
      </c>
      <c r="M22" s="71" t="str">
        <f>IFERROR(__xludf.DUMMYFUNCTION("""COMPUTED_VALUE"""),"A: ← (small arrow)  B: → (large arrow)")</f>
        <v>A: ← (small arrow)  B: → (large arrow)</v>
      </c>
      <c r="N22" s="71" t="str">
        <f>IFERROR(__xludf.DUMMYFUNCTION("""COMPUTED_VALUE"""),"A pushes B down, B pushes A up")</f>
        <v>A pushes B down, B pushes A up</v>
      </c>
      <c r="O22" s="71" t="str">
        <f>IFERROR(__xludf.DUMMYFUNCTION("""COMPUTED_VALUE"""),"A pushes B backward, B pushes A forward")</f>
        <v>A pushes B backward, B pushes A forward</v>
      </c>
      <c r="P22" s="71" t="str">
        <f>IFERROR(__xludf.DUMMYFUNCTION("""COMPUTED_VALUE"""),"A pushes B forward, B pushes A backward, A pushes B backward, B pushes A forward")</f>
        <v>A pushes B forward, B pushes A backward, A pushes B backward, B pushes A forward</v>
      </c>
      <c r="Q22" s="71" t="str">
        <f>IFERROR(__xludf.DUMMYFUNCTION("""COMPUTED_VALUE"""),"A pushes B down, B pushes A up")</f>
        <v>A pushes B down, B pushes A up</v>
      </c>
      <c r="R22" s="71" t="str">
        <f>IFERROR(__xludf.DUMMYFUNCTION("""COMPUTED_VALUE"""),"The truck can go a different speed then the car so the car exerts more force than the truck, but if they where going the same speeds the truck will exerts more force this is what the student might be thinking.")</f>
        <v>The truck can go a different speed then the car so the car exerts more force than the truck, but if they where going the same speeds the truck will exerts more force this is what the student might be thinking.</v>
      </c>
      <c r="S22" s="71" t="str">
        <f>IFERROR(__xludf.DUMMYFUNCTION("""COMPUTED_VALUE"""),"100N for 0.1 seconds in the opposite direction")</f>
        <v>100N for 0.1 seconds in the opposite direction</v>
      </c>
      <c r="T22" s="71" t="str">
        <f>IFERROR(__xludf.DUMMYFUNCTION("""COMPUTED_VALUE"""),"I would swim to the spaceship because i use my force on the air in space.")</f>
        <v>I would swim to the spaceship because i use my force on the air in space.</v>
      </c>
      <c r="U22" s="71" t="str">
        <f>IFERROR(__xludf.DUMMYFUNCTION("""COMPUTED_VALUE"""),"Windshield/Bat/Earth experience MORE")</f>
        <v>Windshield/Bat/Earth experience MORE</v>
      </c>
      <c r="V22" s="71" t="str">
        <f>IFERROR(__xludf.DUMMYFUNCTION("""COMPUTED_VALUE"""),"Bug/Ball/You experience MORE")</f>
        <v>Bug/Ball/You experience MORE</v>
      </c>
      <c r="W22" s="71" t="str">
        <f>IFERROR(__xludf.DUMMYFUNCTION("""COMPUTED_VALUE"""),"EQUAL forces")</f>
        <v>EQUAL forces</v>
      </c>
      <c r="X22" s="71" t="str">
        <f>IFERROR(__xludf.DUMMYFUNCTION("""COMPUTED_VALUE"""),"Put the soft blocks like from skyzone and put a barrier around the playground so everyone land on a soft surface.")</f>
        <v>Put the soft blocks like from skyzone and put a barrier around the playground so everyone land on a soft surface.</v>
      </c>
      <c r="Y22" s="71" t="str">
        <f>IFERROR(__xludf.DUMMYFUNCTION("""COMPUTED_VALUE"""),"Basketball: How players change direction while dribbling")</f>
        <v>Basketball: How players change direction while dribbling</v>
      </c>
      <c r="Z22" s="71" t="str">
        <f>IFERROR(__xludf.DUMMYFUNCTION("""COMPUTED_VALUE"""),"Object A pushes on object B forwards, object B pushes Object A backwards. ")</f>
        <v>Object A pushes on object B forwards, object B pushes Object A backwards. </v>
      </c>
    </row>
    <row r="23">
      <c r="A23" s="128">
        <f>IFERROR(__xludf.DUMMYFUNCTION("""COMPUTED_VALUE"""),45958.38638537037)</f>
        <v>45958.38639</v>
      </c>
      <c r="B23" s="71" t="str">
        <f>IFERROR(__xludf.DUMMYFUNCTION("""COMPUTED_VALUE"""),"cali.reinhardt@kairosacademies.org")</f>
        <v>cali.reinhardt@kairosacademies.org</v>
      </c>
      <c r="C23" s="131">
        <f>IFERROR(__xludf.DUMMYFUNCTION("""COMPUTED_VALUE"""),2.0)</f>
        <v>2</v>
      </c>
      <c r="D23" s="71" t="str">
        <f>IFERROR(__xludf.DUMMYFUNCTION("""COMPUTED_VALUE"""),"Heard but confused")</f>
        <v>Heard but confused</v>
      </c>
      <c r="E23" s="71" t="str">
        <f>IFERROR(__xludf.DUMMYFUNCTION("""COMPUTED_VALUE"""),"Somewhat understand")</f>
        <v>Somewhat understand</v>
      </c>
      <c r="F23" s="71" t="str">
        <f>IFERROR(__xludf.DUMMYFUNCTION("""COMPUTED_VALUE"""),"Somewhat understand")</f>
        <v>Somewhat understand</v>
      </c>
      <c r="G23" s="71" t="str">
        <f>IFERROR(__xludf.DUMMYFUNCTION("""COMPUTED_VALUE"""),"Heard but confused")</f>
        <v>Heard but confused</v>
      </c>
      <c r="H23" s="71" t="str">
        <f>IFERROR(__xludf.DUMMYFUNCTION("""COMPUTED_VALUE"""),"Heard but confused")</f>
        <v>Heard but confused</v>
      </c>
      <c r="I23" s="71" t="str">
        <f>IFERROR(__xludf.DUMMYFUNCTION("""COMPUTED_VALUE"""),"Heavier objects always exert more force, Rockets need air to push against, When I push a wall, it pushes back")</f>
        <v>Heavier objects always exert more force, Rockets need air to push against, When I push a wall, it pushes back</v>
      </c>
      <c r="J23" s="71" t="str">
        <f>IFERROR(__xludf.DUMMYFUNCTION("""COMPUTED_VALUE"""),"Pushed off a wall while swimming")</f>
        <v>Pushed off a wall while swimming</v>
      </c>
      <c r="K23" s="71" t="str">
        <f>IFERROR(__xludf.DUMMYFUNCTION("""COMPUTED_VALUE"""),"Both hands felt equal pressure pushing against each other")</f>
        <v>Both hands felt equal pressure pushing against each other</v>
      </c>
      <c r="L23" s="71" t="str">
        <f>IFERROR(__xludf.DUMMYFUNCTION("""COMPUTED_VALUE"""),"-50 newtons")</f>
        <v>-50 newtons</v>
      </c>
      <c r="M23" s="71" t="str">
        <f>IFERROR(__xludf.DUMMYFUNCTION("""COMPUTED_VALUE"""),"A: ← (small arrow)  B: → (large arrow)")</f>
        <v>A: ← (small arrow)  B: → (large arrow)</v>
      </c>
      <c r="N23" s="71" t="str">
        <f>IFERROR(__xludf.DUMMYFUNCTION("""COMPUTED_VALUE"""),"A pushes B down, B pushes A up")</f>
        <v>A pushes B down, B pushes A up</v>
      </c>
      <c r="O23" s="71" t="str">
        <f>IFERROR(__xludf.DUMMYFUNCTION("""COMPUTED_VALUE"""),"A pushes B backward, B pushes A forward")</f>
        <v>A pushes B backward, B pushes A forward</v>
      </c>
      <c r="P23" s="71" t="str">
        <f>IFERROR(__xludf.DUMMYFUNCTION("""COMPUTED_VALUE"""),"A pushes B forward, B pushes A backward")</f>
        <v>A pushes B forward, B pushes A backward</v>
      </c>
      <c r="Q23" s="71" t="str">
        <f>IFERROR(__xludf.DUMMYFUNCTION("""COMPUTED_VALUE"""),"A pushes B down, B pushes A up")</f>
        <v>A pushes B down, B pushes A up</v>
      </c>
      <c r="R23" s="71" t="str">
        <f>IFERROR(__xludf.DUMMYFUNCTION("""COMPUTED_VALUE"""),"Newton's third law actually states, both vehicles exert forces.")</f>
        <v>Newton's third law actually states, both vehicles exert forces.</v>
      </c>
      <c r="S23" s="71" t="str">
        <f>IFERROR(__xludf.DUMMYFUNCTION("""COMPUTED_VALUE"""),"100N for 0.1 seconds in the opposite direction")</f>
        <v>100N for 0.1 seconds in the opposite direction</v>
      </c>
      <c r="T23" s="71" t="str">
        <f>IFERROR(__xludf.DUMMYFUNCTION("""COMPUTED_VALUE"""),"i would put the toolbox under my feet and  propel off of the toolbox  ")</f>
        <v>i would put the toolbox under my feet and  propel off of the toolbox  </v>
      </c>
      <c r="U23" s="71" t="str">
        <f>IFERROR(__xludf.DUMMYFUNCTION("""COMPUTED_VALUE"""),"Bug/Ball/You experience MORE")</f>
        <v>Bug/Ball/You experience MORE</v>
      </c>
      <c r="V23" s="71" t="str">
        <f>IFERROR(__xludf.DUMMYFUNCTION("""COMPUTED_VALUE"""),"Bug/Ball/You experience MORE")</f>
        <v>Bug/Ball/You experience MORE</v>
      </c>
      <c r="W23" s="71" t="str">
        <f>IFERROR(__xludf.DUMMYFUNCTION("""COMPUTED_VALUE"""),"EQUAL forces")</f>
        <v>EQUAL forces</v>
      </c>
      <c r="X23" s="71" t="str">
        <f>IFERROR(__xludf.DUMMYFUNCTION("""COMPUTED_VALUE"""),"the description: a see saw with cushioning around it.
why it reduces injury: (since we had the assignment with the cushion and gel) cushion is soft and it will lessen possible damage to the body")</f>
        <v>the description: a see saw with cushioning around it.
why it reduces injury: (since we had the assignment with the cushion and gel) cushion is soft and it will lessen possible damage to the body</v>
      </c>
      <c r="Y23" s="71" t="str">
        <f>IFERROR(__xludf.DUMMYFUNCTION("""COMPUTED_VALUE"""),"Parkour: How traceurs push off walls to change direction")</f>
        <v>Parkour: How traceurs push off walls to change direction</v>
      </c>
      <c r="Z23" s="71" t="str">
        <f>IFERROR(__xludf.DUMMYFUNCTION("""COMPUTED_VALUE"""),"The tracer pushes off the wall into their direction of choice.")</f>
        <v>The tracer pushes off the wall into their direction of choice.</v>
      </c>
    </row>
    <row r="24">
      <c r="A24" s="128">
        <f>IFERROR(__xludf.DUMMYFUNCTION("""COMPUTED_VALUE"""),45965.560902604164)</f>
        <v>45965.5609</v>
      </c>
      <c r="B24" s="71" t="str">
        <f>IFERROR(__xludf.DUMMYFUNCTION("""COMPUTED_VALUE"""),"adrian.king@kairosacademies.org")</f>
        <v>adrian.king@kairosacademies.org</v>
      </c>
      <c r="C24" s="131">
        <f>IFERROR(__xludf.DUMMYFUNCTION("""COMPUTED_VALUE"""),32.0)</f>
        <v>32</v>
      </c>
      <c r="D24" s="71" t="str">
        <f>IFERROR(__xludf.DUMMYFUNCTION("""COMPUTED_VALUE"""),"Somewhat understand")</f>
        <v>Somewhat understand</v>
      </c>
      <c r="E24" s="71" t="str">
        <f>IFERROR(__xludf.DUMMYFUNCTION("""COMPUTED_VALUE"""),"Somewhat understand")</f>
        <v>Somewhat understand</v>
      </c>
      <c r="F24" s="71" t="str">
        <f>IFERROR(__xludf.DUMMYFUNCTION("""COMPUTED_VALUE"""),"Somewhat understand")</f>
        <v>Somewhat understand</v>
      </c>
      <c r="G24" s="71" t="str">
        <f>IFERROR(__xludf.DUMMYFUNCTION("""COMPUTED_VALUE"""),"Heard but confused")</f>
        <v>Heard but confused</v>
      </c>
      <c r="H24" s="71" t="str">
        <f>IFERROR(__xludf.DUMMYFUNCTION("""COMPUTED_VALUE"""),"Somewhat understand")</f>
        <v>Somewhat understand</v>
      </c>
      <c r="I24" s="71" t="str">
        <f>IFERROR(__xludf.DUMMYFUNCTION("""COMPUTED_VALUE"""),"Heavier objects always exert more force, When I push a wall, it pushes back, In a collision, one object 'wins'")</f>
        <v>Heavier objects always exert more force, When I push a wall, it pushes back, In a collision, one object 'wins'</v>
      </c>
      <c r="J24" s="71" t="str">
        <f>IFERROR(__xludf.DUMMYFUNCTION("""COMPUTED_VALUE"""),"Jumped off a skateboard or boat, Played collision sports (football, hockey), Pushed off a wall while swimming, Used a trampoline")</f>
        <v>Jumped off a skateboard or boat, Played collision sports (football, hockey), Pushed off a wall while swimming, Used a trampoline</v>
      </c>
      <c r="K24" s="71" t="str">
        <f>IFERROR(__xludf.DUMMYFUNCTION("""COMPUTED_VALUE"""),"One hand pushed while the other just resisted")</f>
        <v>One hand pushed while the other just resisted</v>
      </c>
      <c r="L24" s="71" t="str">
        <f>IFERROR(__xludf.DUMMYFUNCTION("""COMPUTED_VALUE"""),"50 newtons")</f>
        <v>50 newtons</v>
      </c>
      <c r="M24" s="71" t="str">
        <f>IFERROR(__xludf.DUMMYFUNCTION("""COMPUTED_VALUE"""),"A: ← (small arrow)  B: → (large arrow)")</f>
        <v>A: ← (small arrow)  B: → (large arrow)</v>
      </c>
      <c r="N24" s="71" t="str">
        <f>IFERROR(__xludf.DUMMYFUNCTION("""COMPUTED_VALUE"""),"A pushes B down, B pushes A up")</f>
        <v>A pushes B down, B pushes A up</v>
      </c>
      <c r="O24" s="71" t="str">
        <f>IFERROR(__xludf.DUMMYFUNCTION("""COMPUTED_VALUE"""),"A pushes B forward, B pushes A backward")</f>
        <v>A pushes B forward, B pushes A backward</v>
      </c>
      <c r="P24" s="71" t="str">
        <f>IFERROR(__xludf.DUMMYFUNCTION("""COMPUTED_VALUE"""),"A pushes B forward, B pushes A backward")</f>
        <v>A pushes B forward, B pushes A backward</v>
      </c>
      <c r="Q24" s="71" t="str">
        <f>IFERROR(__xludf.DUMMYFUNCTION("""COMPUTED_VALUE"""),"A pushes B down, B pushes A up")</f>
        <v>A pushes B down, B pushes A up</v>
      </c>
      <c r="R24" s="71" t="str">
        <f>IFERROR(__xludf.DUMMYFUNCTION("""COMPUTED_VALUE"""),"this is not true since in Newtons third law it says that force pairs act with equal force. People might think this because they would think that the bigger object would have more force compared to the smaller object. ")</f>
        <v>this is not true since in Newtons third law it says that force pairs act with equal force. People might think this because they would think that the bigger object would have more force compared to the smaller object. </v>
      </c>
      <c r="S24" s="71" t="str">
        <f>IFERROR(__xludf.DUMMYFUNCTION("""COMPUTED_VALUE"""),"It depends on the mass of Object B")</f>
        <v>It depends on the mass of Object B</v>
      </c>
      <c r="T24" s="71" t="str">
        <f>IFERROR(__xludf.DUMMYFUNCTION("""COMPUTED_VALUE"""),"you can face you back towards the spaceship and push off the toolbox and the toolbox will pushes back at you making you start floating back towards your spaceship.")</f>
        <v>you can face you back towards the spaceship and push off the toolbox and the toolbox will pushes back at you making you start floating back towards your spaceship.</v>
      </c>
      <c r="U24" s="71" t="str">
        <f>IFERROR(__xludf.DUMMYFUNCTION("""COMPUTED_VALUE"""),"EQUAL forces")</f>
        <v>EQUAL forces</v>
      </c>
      <c r="V24" s="71" t="str">
        <f>IFERROR(__xludf.DUMMYFUNCTION("""COMPUTED_VALUE"""),"EQUAL forces")</f>
        <v>EQUAL forces</v>
      </c>
      <c r="W24" s="71" t="str">
        <f>IFERROR(__xludf.DUMMYFUNCTION("""COMPUTED_VALUE"""),"Windshield/Bat/Earth experience MORE")</f>
        <v>Windshield/Bat/Earth experience MORE</v>
      </c>
      <c r="X24" s="71" t="str">
        <f>IFERROR(__xludf.DUMMYFUNCTION("""COMPUTED_VALUE"""),"A mat that goes under the monkey bars that is made out of foam. This would be helpful because most of the falls at parks are from the monkey bars this will help with reducing injury from falls because when a child falls on the foam the foam will absorb mo"&amp;"st of the kinetic energy that the child accumulates from falling. An example of it working is say that silly billy is swinging on the monkey bars and misses a bar and falls on the mat instead of the cold hard ground, billy lands on the mat and doesnt sust"&amp;"ain little to no injurys other than a scrape or two.")</f>
        <v>A mat that goes under the monkey bars that is made out of foam. This would be helpful because most of the falls at parks are from the monkey bars this will help with reducing injury from falls because when a child falls on the foam the foam will absorb most of the kinetic energy that the child accumulates from falling. An example of it working is say that silly billy is swinging on the monkey bars and misses a bar and falls on the mat instead of the cold hard ground, billy lands on the mat and doesnt sustain little to no injurys other than a scrape or two.</v>
      </c>
      <c r="Y24" s="71" t="str">
        <f>IFERROR(__xludf.DUMMYFUNCTION("""COMPUTED_VALUE"""),"Parkour: How traceurs push off walls to change direction")</f>
        <v>Parkour: How traceurs push off walls to change direction</v>
      </c>
      <c r="Z24" s="71" t="str">
        <f>IFERROR(__xludf.DUMMYFUNCTION("""COMPUTED_VALUE"""),"The traceur pushes off the wall to go towards the left, and the wall pushes back with the same amount of force pushing the person to the left.")</f>
        <v>The traceur pushes off the wall to go towards the left, and the wall pushes back with the same amount of force pushing the person to the left.</v>
      </c>
    </row>
    <row r="25">
      <c r="A25" s="128">
        <f>IFERROR(__xludf.DUMMYFUNCTION("""COMPUTED_VALUE"""),45965.77102832175)</f>
        <v>45965.77103</v>
      </c>
      <c r="B25" s="71" t="str">
        <f>IFERROR(__xludf.DUMMYFUNCTION("""COMPUTED_VALUE"""),"chyna.turner@kairosacademies.org")</f>
        <v>chyna.turner@kairosacademies.org</v>
      </c>
      <c r="C25" s="131">
        <f>IFERROR(__xludf.DUMMYFUNCTION("""COMPUTED_VALUE"""),3.0)</f>
        <v>3</v>
      </c>
      <c r="D25" s="71" t="str">
        <f>IFERROR(__xludf.DUMMYFUNCTION("""COMPUTED_VALUE"""),"Somewhat understand")</f>
        <v>Somewhat understand</v>
      </c>
      <c r="E25" s="71" t="str">
        <f>IFERROR(__xludf.DUMMYFUNCTION("""COMPUTED_VALUE"""),"Heard but confused")</f>
        <v>Heard but confused</v>
      </c>
      <c r="F25" s="71" t="str">
        <f>IFERROR(__xludf.DUMMYFUNCTION("""COMPUTED_VALUE"""),"Never heard of it")</f>
        <v>Never heard of it</v>
      </c>
      <c r="G25" s="71" t="str">
        <f>IFERROR(__xludf.DUMMYFUNCTION("""COMPUTED_VALUE"""),"Heard but confused")</f>
        <v>Heard but confused</v>
      </c>
      <c r="H25" s="71" t="str">
        <f>IFERROR(__xludf.DUMMYFUNCTION("""COMPUTED_VALUE"""),"Somewhat understand")</f>
        <v>Somewhat understand</v>
      </c>
      <c r="I25" s="71" t="str">
        <f>IFERROR(__xludf.DUMMYFUNCTION("""COMPUTED_VALUE"""),"Forces can exist by themselves")</f>
        <v>Forces can exist by themselves</v>
      </c>
      <c r="J25" s="71" t="str">
        <f>IFERROR(__xludf.DUMMYFUNCTION("""COMPUTED_VALUE"""),"Jumped off a skateboard or boat, Played collision sports (football, hockey), Pushed off a wall while swimming, Used a trampoline")</f>
        <v>Jumped off a skateboard or boat, Played collision sports (football, hockey), Pushed off a wall while swimming, Used a trampoline</v>
      </c>
      <c r="K25" s="71" t="str">
        <f>IFERROR(__xludf.DUMMYFUNCTION("""COMPUTED_VALUE"""),"Both hands felt equal pressure pushing against each other")</f>
        <v>Both hands felt equal pressure pushing against each other</v>
      </c>
      <c r="L25" s="71" t="str">
        <f>IFERROR(__xludf.DUMMYFUNCTION("""COMPUTED_VALUE"""),"equal in madditud and oppsite in direction")</f>
        <v>equal in madditud and oppsite in direction</v>
      </c>
      <c r="M25" s="71" t="str">
        <f>IFERROR(__xludf.DUMMYFUNCTION("""COMPUTED_VALUE"""),"A: ← (same size)   B: → (same size)")</f>
        <v>A: ← (same size)   B: → (same size)</v>
      </c>
      <c r="N25" s="71" t="str">
        <f>IFERROR(__xludf.DUMMYFUNCTION("""COMPUTED_VALUE"""),"A pushes B down, B pushes A up")</f>
        <v>A pushes B down, B pushes A up</v>
      </c>
      <c r="O25" s="71" t="str">
        <f>IFERROR(__xludf.DUMMYFUNCTION("""COMPUTED_VALUE"""),"A pushes B forward, B pushes A backward")</f>
        <v>A pushes B forward, B pushes A backward</v>
      </c>
      <c r="P25" s="71" t="str">
        <f>IFERROR(__xludf.DUMMYFUNCTION("""COMPUTED_VALUE"""),"A pushes B backward, B pushes A forward")</f>
        <v>A pushes B backward, B pushes A forward</v>
      </c>
      <c r="Q25" s="71" t="str">
        <f>IFERROR(__xludf.DUMMYFUNCTION("""COMPUTED_VALUE"""),"A pushes B forward, B pushes A backward")</f>
        <v>A pushes B forward, B pushes A backward</v>
      </c>
      <c r="R25" s="71" t="str">
        <f>IFERROR(__xludf.DUMMYFUNCTION("""COMPUTED_VALUE"""),"Their statement is incorrect  bc it violates newton's third law of motion .")</f>
        <v>Their statement is incorrect  bc it violates newton's third law of motion .</v>
      </c>
      <c r="S25" s="71" t="str">
        <f>IFERROR(__xludf.DUMMYFUNCTION("""COMPUTED_VALUE"""),"100N for 0.1 seconds in the opposite direction")</f>
        <v>100N for 0.1 seconds in the opposite direction</v>
      </c>
      <c r="T25" s="71" t="str">
        <f>IFERROR(__xludf.DUMMYFUNCTION("""COMPUTED_VALUE"""),"By throwing the toolbox away from the spaceship, the equal and opposite reaction will propelme towards the spaceship")</f>
        <v>By throwing the toolbox away from the spaceship, the equal and opposite reaction will propelme towards the spaceship</v>
      </c>
      <c r="U25" s="71" t="str">
        <f>IFERROR(__xludf.DUMMYFUNCTION("""COMPUTED_VALUE"""),"EQUAL forces")</f>
        <v>EQUAL forces</v>
      </c>
      <c r="V25" s="71" t="str">
        <f>IFERROR(__xludf.DUMMYFUNCTION("""COMPUTED_VALUE"""),"EQUAL forces")</f>
        <v>EQUAL forces</v>
      </c>
      <c r="W25" s="71" t="str">
        <f>IFERROR(__xludf.DUMMYFUNCTION("""COMPUTED_VALUE"""),"EQUAL forces")</f>
        <v>EQUAL forces</v>
      </c>
      <c r="X25" s="71" t="str">
        <f>IFERROR(__xludf.DUMMYFUNCTION("""COMPUTED_VALUE"""),"The safety device is a spring tether where when an child falls the tether pulls up on the child this upward pull reduces the force of impact with the ground making falls less dangerous ")</f>
        <v>The safety device is a spring tether where when an child falls the tether pulls up on the child this upward pull reduces the force of impact with the ground making falls less dangerous </v>
      </c>
      <c r="Y25" s="71" t="str">
        <f>IFERROR(__xludf.DUMMYFUNCTION("""COMPUTED_VALUE"""),"Parkour: How traceurs push off walls to change direction")</f>
        <v>Parkour: How traceurs push off walls to change direction</v>
      </c>
      <c r="Z25" s="71" t="str">
        <f>IFERROR(__xludf.DUMMYFUNCTION("""COMPUTED_VALUE"""),"The force pairs involved depends on the specific action like if someone was jumping from a wall the wall  would push the person forward ")</f>
        <v>The force pairs involved depends on the specific action like if someone was jumping from a wall the wall  would push the person forward </v>
      </c>
    </row>
    <row r="26">
      <c r="A26" s="128">
        <f>IFERROR(__xludf.DUMMYFUNCTION("""COMPUTED_VALUE"""),45982.614590624995)</f>
        <v>45982.61459</v>
      </c>
      <c r="B26" s="71" t="str">
        <f>IFERROR(__xludf.DUMMYFUNCTION("""COMPUTED_VALUE"""),"kaegan.zimbelmann@kairosacademies.org")</f>
        <v>kaegan.zimbelmann@kairosacademies.org</v>
      </c>
      <c r="C26" s="131">
        <f>IFERROR(__xludf.DUMMYFUNCTION("""COMPUTED_VALUE"""),1.0)</f>
        <v>1</v>
      </c>
      <c r="D26" s="71" t="str">
        <f>IFERROR(__xludf.DUMMYFUNCTION("""COMPUTED_VALUE"""),"Somewhat understand")</f>
        <v>Somewhat understand</v>
      </c>
      <c r="E26" s="71" t="str">
        <f>IFERROR(__xludf.DUMMYFUNCTION("""COMPUTED_VALUE"""),"Somewhat understand")</f>
        <v>Somewhat understand</v>
      </c>
      <c r="F26" s="71" t="str">
        <f>IFERROR(__xludf.DUMMYFUNCTION("""COMPUTED_VALUE"""),"Heard but confused")</f>
        <v>Heard but confused</v>
      </c>
      <c r="G26" s="71" t="str">
        <f>IFERROR(__xludf.DUMMYFUNCTION("""COMPUTED_VALUE"""),"Heard but confused")</f>
        <v>Heard but confused</v>
      </c>
      <c r="H26" s="71" t="str">
        <f>IFERROR(__xludf.DUMMYFUNCTION("""COMPUTED_VALUE"""),"Never heard of it")</f>
        <v>Never heard of it</v>
      </c>
      <c r="I26" s="71" t="str">
        <f>IFERROR(__xludf.DUMMYFUNCTION("""COMPUTED_VALUE"""),"Heavier objects always exert more force, Rockets need air to push against, Forces can exist by themselves, Stationary objects don't exert forces")</f>
        <v>Heavier objects always exert more force, Rockets need air to push against, Forces can exist by themselves, Stationary objects don't exert forces</v>
      </c>
      <c r="J26" s="71" t="str">
        <f>IFERROR(__xludf.DUMMYFUNCTION("""COMPUTED_VALUE"""),"Pushed off a wall while swimming, Used a trampoline")</f>
        <v>Pushed off a wall while swimming, Used a trampoline</v>
      </c>
      <c r="K26" s="71" t="str">
        <f>IFERROR(__xludf.DUMMYFUNCTION("""COMPUTED_VALUE"""),"Both hands felt equal pressure pushing against each other")</f>
        <v>Both hands felt equal pressure pushing against each other</v>
      </c>
      <c r="L26" s="71" t="str">
        <f>IFERROR(__xludf.DUMMYFUNCTION("""COMPUTED_VALUE"""),"50 newtons")</f>
        <v>50 newtons</v>
      </c>
      <c r="M26" s="71" t="str">
        <f>IFERROR(__xludf.DUMMYFUNCTION("""COMPUTED_VALUE"""),"A: ← (small arrow)  B: → (large arrow)")</f>
        <v>A: ← (small arrow)  B: → (large arrow)</v>
      </c>
      <c r="N26" s="71" t="str">
        <f>IFERROR(__xludf.DUMMYFUNCTION("""COMPUTED_VALUE"""),"A pushes B backward, B pushes A forward")</f>
        <v>A pushes B backward, B pushes A forward</v>
      </c>
      <c r="O26" s="71" t="str">
        <f>IFERROR(__xludf.DUMMYFUNCTION("""COMPUTED_VALUE"""),"A pushes B forward, B pushes A backward")</f>
        <v>A pushes B forward, B pushes A backward</v>
      </c>
      <c r="P26" s="71" t="str">
        <f>IFERROR(__xludf.DUMMYFUNCTION("""COMPUTED_VALUE"""),"A pushes B forward, B pushes A backward")</f>
        <v>A pushes B forward, B pushes A backward</v>
      </c>
      <c r="Q26" s="71" t="str">
        <f>IFERROR(__xludf.DUMMYFUNCTION("""COMPUTED_VALUE"""),"A pushes B down, B pushes A up")</f>
        <v>A pushes B down, B pushes A up</v>
      </c>
      <c r="R26" s="71" t="str">
        <f>IFERROR(__xludf.DUMMYFUNCTION("""COMPUTED_VALUE"""),"the kid just isn't the smartest cookie in the jar🤔 I guess the car isn't moving so the truck does exert more force going to hit the car ")</f>
        <v>the kid just isn't the smartest cookie in the jar🤔 I guess the car isn't moving so the truck does exert more force going to hit the car </v>
      </c>
      <c r="S26" s="71" t="str">
        <f>IFERROR(__xludf.DUMMYFUNCTION("""COMPUTED_VALUE"""),"It depends on the mass of Object B")</f>
        <v>It depends on the mass of Object B</v>
      </c>
      <c r="T26" s="71" t="str">
        <f>IFERROR(__xludf.DUMMYFUNCTION("""COMPUTED_VALUE"""),"throw the tool in the opposite way of the way u want to go will boost u forward
")</f>
        <v>throw the tool in the opposite way of the way u want to go will boost u forward
</v>
      </c>
      <c r="U26" s="71" t="str">
        <f>IFERROR(__xludf.DUMMYFUNCTION("""COMPUTED_VALUE"""),"Windshield/Bat/Earth experience MORE")</f>
        <v>Windshield/Bat/Earth experience MORE</v>
      </c>
      <c r="V26" s="71" t="str">
        <f>IFERROR(__xludf.DUMMYFUNCTION("""COMPUTED_VALUE"""),"Windshield/Bat/Earth experience MORE")</f>
        <v>Windshield/Bat/Earth experience MORE</v>
      </c>
      <c r="W26" s="71" t="str">
        <f>IFERROR(__xludf.DUMMYFUNCTION("""COMPUTED_VALUE"""),"Bug/Ball/You experience MORE")</f>
        <v>Bug/Ball/You experience MORE</v>
      </c>
      <c r="X26" s="71" t="str">
        <f>IFERROR(__xludf.DUMMYFUNCTION("""COMPUTED_VALUE"""),"a suit of armor that has alot of crumples absorb impact")</f>
        <v>a suit of armor that has alot of crumples absorb impact</v>
      </c>
      <c r="Y26" s="71" t="str">
        <f>IFERROR(__xludf.DUMMYFUNCTION("""COMPUTED_VALUE"""),"Dragon boat racing: How paddlers move the boat forward")</f>
        <v>Dragon boat racing: How paddlers move the boat forward</v>
      </c>
      <c r="Z26" s="71" t="str">
        <f>IFERROR(__xludf.DUMMYFUNCTION("""COMPUTED_VALUE"""),"paddle goes in water pushes backwards pushes boat forward ")</f>
        <v>paddle goes in water pushes backwards pushes boat forward </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tr">
        <f>IFERROR(__xludf.DUMMYFUNCTION("QUERY(IMPORTRANGE(""https://docs.google.com/spreadsheets/d/1BgR2nfQBmq9Os944G-4gPbmOQ6TllJw3xBic0se-uUI/edit?gid=337558671#gid=337558671"", ""Form Responses 1!A:Z""), ""SELECT * WHERE Col1 IS NOT NULL"")"),"Timestamp")</f>
        <v>Timestamp</v>
      </c>
      <c r="B1" s="71" t="str">
        <f>IFERROR(__xludf.DUMMYFUNCTION("""COMPUTED_VALUE"""),"Email Address")</f>
        <v>Email Address</v>
      </c>
      <c r="C1" s="71" t="str">
        <f>IFERROR(__xludf.DUMMYFUNCTION("""COMPUTED_VALUE"""),"What is your name?")</f>
        <v>What is your name?</v>
      </c>
      <c r="D1" s="71" t="str">
        <f>IFERROR(__xludf.DUMMYFUNCTION("""COMPUTED_VALUE"""),"What would you like to be called in class?")</f>
        <v>What would you like to be called in class?</v>
      </c>
      <c r="E1" s="71" t="str">
        <f>IFERROR(__xludf.DUMMYFUNCTION("""COMPUTED_VALUE"""),"Two Truths and a Wish")</f>
        <v>Two Truths and a Wish</v>
      </c>
      <c r="F1" s="71" t="str">
        <f>IFERROR(__xludf.DUMMYFUNCTION("""COMPUTED_VALUE"""),"When learning a new science concept, I understand it best when I...")</f>
        <v>When learning a new science concept, I understand it best when I...</v>
      </c>
      <c r="G1" s="71" t="str">
        <f>IFERROR(__xludf.DUMMYFUNCTION("""COMPUTED_VALUE"""),"To remember something for a test, it's most helpful for me to...")</f>
        <v>To remember something for a test, it's most helpful for me to...</v>
      </c>
      <c r="H1" s="71" t="str">
        <f>IFERROR(__xludf.DUMMYFUNCTION("""COMPUTED_VALUE"""),"Which science topics sound most interesting to you?")</f>
        <v>Which science topics sound most interesting to you?</v>
      </c>
      <c r="I1" s="71" t="str">
        <f>IFERROR(__xludf.DUMMYFUNCTION("""COMPUTED_VALUE"""),"What are your favorite hobbies or activities outside of school?")</f>
        <v>What are your favorite hobbies or activities outside of school?</v>
      </c>
      <c r="J1" s="71" t="str">
        <f>IFERROR(__xludf.DUMMYFUNCTION("""COMPUTED_VALUE"""),"Your Hidden Superpower")</f>
        <v>Your Hidden Superpower</v>
      </c>
      <c r="K1" s="71" t="str">
        <f>IFERROR(__xludf.DUMMYFUNCTION("""COMPUTED_VALUE"""),"Emotional Wellness")</f>
        <v>Emotional Wellness</v>
      </c>
      <c r="L1" s="71" t="str">
        <f>IFERROR(__xludf.DUMMYFUNCTION("""COMPUTED_VALUE"""),"Physical Wellness")</f>
        <v>Physical Wellness</v>
      </c>
      <c r="M1" s="71" t="str">
        <f>IFERROR(__xludf.DUMMYFUNCTION("""COMPUTED_VALUE"""),"Intellectual Wellness")</f>
        <v>Intellectual Wellness</v>
      </c>
      <c r="N1" s="71" t="str">
        <f>IFERROR(__xludf.DUMMYFUNCTION("""COMPUTED_VALUE"""),"Social Wellness")</f>
        <v>Social Wellness</v>
      </c>
      <c r="O1" s="71" t="str">
        <f>IFERROR(__xludf.DUMMYFUNCTION("""COMPUTED_VALUE"""),"Sense of Wonder")</f>
        <v>Sense of Wonder</v>
      </c>
      <c r="P1" s="71" t="str">
        <f>IFERROR(__xludf.DUMMYFUNCTION("""COMPUTED_VALUE"""),"Environmental Awareness")</f>
        <v>Environmental Awareness</v>
      </c>
      <c r="Q1" s="71" t="str">
        <f>IFERROR(__xludf.DUMMYFUNCTION("""COMPUTED_VALUE"""),"Purpose &amp; Contribution")</f>
        <v>Purpose &amp; Contribution</v>
      </c>
      <c r="R1" s="71" t="str">
        <f>IFERROR(__xludf.DUMMYFUNCTION("""COMPUTED_VALUE"""),"Resource Management")</f>
        <v>Resource Management</v>
      </c>
      <c r="S1" s="71" t="str">
        <f>IFERROR(__xludf.DUMMYFUNCTION("""COMPUTED_VALUE"""),"Growth Mindset")</f>
        <v>Growth Mindset</v>
      </c>
      <c r="T1" s="71" t="str">
        <f>IFERROR(__xludf.DUMMYFUNCTION("""COMPUTED_VALUE"""),"Persistence")</f>
        <v>Persistence</v>
      </c>
      <c r="U1" s="71" t="str">
        <f>IFERROR(__xludf.DUMMYFUNCTION("""COMPUTED_VALUE"""),"Self-Confidence")</f>
        <v>Self-Confidence</v>
      </c>
      <c r="V1" s="71" t="str">
        <f>IFERROR(__xludf.DUMMYFUNCTION("""COMPUTED_VALUE"""),"Self-Management")</f>
        <v>Self-Management</v>
      </c>
      <c r="W1" s="71" t="str">
        <f>IFERROR(__xludf.DUMMYFUNCTION("""COMPUTED_VALUE"""),"Social Awareness")</f>
        <v>Social Awareness</v>
      </c>
      <c r="X1" s="71" t="str">
        <f>IFERROR(__xludf.DUMMYFUNCTION("""COMPUTED_VALUE"""),"When working on a group project, I am most comfortable being the person who...")</f>
        <v>When working on a group project, I am most comfortable being the person who...</v>
      </c>
      <c r="Y1" s="71" t="str">
        <f>IFERROR(__xludf.DUMMYFUNCTION("""COMPUTED_VALUE"""),"Imagine your group disagrees on how to build a model. What are you most likely to do FIRST?")</f>
        <v>Imagine your group disagrees on how to build a model. What are you most likely to do FIRST?</v>
      </c>
      <c r="Z1" s="71" t="str">
        <f>IFERROR(__xludf.DUMMYFUNCTION("""COMPUTED_VALUE"""),"What helps you feel heard in a group?")</f>
        <v>What helps you feel heard in a group?</v>
      </c>
    </row>
    <row r="2">
      <c r="A2" s="128">
        <f>IFERROR(__xludf.DUMMYFUNCTION("""COMPUTED_VALUE"""),45887.4629353125)</f>
        <v>45887.46294</v>
      </c>
      <c r="B2" s="71" t="str">
        <f>IFERROR(__xludf.DUMMYFUNCTION("""COMPUTED_VALUE"""),"zu'rell.harris@kairosacademies.org")</f>
        <v>zu'rell.harris@kairosacademies.org</v>
      </c>
      <c r="C2" s="71" t="str">
        <f>IFERROR(__xludf.DUMMYFUNCTION("""COMPUTED_VALUE"""),"zurell")</f>
        <v>zurell</v>
      </c>
      <c r="D2" s="71" t="str">
        <f>IFERROR(__xludf.DUMMYFUNCTION("""COMPUTED_VALUE"""),"zz")</f>
        <v>zz</v>
      </c>
      <c r="E2" s="71" t="str">
        <f>IFERROR(__xludf.DUMMYFUNCTION("""COMPUTED_VALUE"""),"i like 2k and pool")</f>
        <v>i like 2k and pool</v>
      </c>
      <c r="F2" s="71" t="str">
        <f>IFERROR(__xludf.DUMMYFUNCTION("""COMPUTED_VALUE"""),"Doing a hands-on lab or experiment, Drawing a model or diagram")</f>
        <v>Doing a hands-on lab or experiment, Drawing a model or diagram</v>
      </c>
      <c r="G2" s="71" t="str">
        <f>IFERROR(__xludf.DUMMYFUNCTION("""COMPUTED_VALUE"""),"Make and study flashcards")</f>
        <v>Make and study flashcards</v>
      </c>
      <c r="H2" s="71" t="str">
        <f>IFERROR(__xludf.DUMMYFUNCTION("""COMPUTED_VALUE"""),"How can we make new materials? (Chemical Reactions) ⚗️, How do our bodies get energy from food? (Metabolic Reactions) 🍎, How can a magnet move something without touching it? (Forces at a Distance) 🧲, How are we connected to patterns in the sky? (Earth i"&amp;"n Space) 🌍")</f>
        <v>How can we make new materials? (Chemical Reactions) ⚗️, How do our bodies get energy from food? (Metabolic Reactions) 🍎, How can a magnet move something without touching it? (Forces at a Distance) 🧲, How are we connected to patterns in the sky? (Earth in Space) 🌍</v>
      </c>
      <c r="I2" s="71" t="str">
        <f>IFERROR(__xludf.DUMMYFUNCTION("""COMPUTED_VALUE"""),"the game")</f>
        <v>the game</v>
      </c>
      <c r="J2" s="71" t="str">
        <f>IFERROR(__xludf.DUMMYFUNCTION("""COMPUTED_VALUE"""),"idk")</f>
        <v>idk</v>
      </c>
      <c r="K2" s="71">
        <f>IFERROR(__xludf.DUMMYFUNCTION("""COMPUTED_VALUE"""),2.0)</f>
        <v>2</v>
      </c>
      <c r="L2" s="71">
        <f>IFERROR(__xludf.DUMMYFUNCTION("""COMPUTED_VALUE"""),3.0)</f>
        <v>3</v>
      </c>
      <c r="M2" s="71">
        <f>IFERROR(__xludf.DUMMYFUNCTION("""COMPUTED_VALUE"""),4.0)</f>
        <v>4</v>
      </c>
      <c r="N2" s="71">
        <f>IFERROR(__xludf.DUMMYFUNCTION("""COMPUTED_VALUE"""),5.0)</f>
        <v>5</v>
      </c>
      <c r="O2" s="71">
        <f>IFERROR(__xludf.DUMMYFUNCTION("""COMPUTED_VALUE"""),4.0)</f>
        <v>4</v>
      </c>
      <c r="P2" s="71">
        <f>IFERROR(__xludf.DUMMYFUNCTION("""COMPUTED_VALUE"""),4.0)</f>
        <v>4</v>
      </c>
      <c r="Q2" s="71">
        <f>IFERROR(__xludf.DUMMYFUNCTION("""COMPUTED_VALUE"""),4.0)</f>
        <v>4</v>
      </c>
      <c r="R2" s="71">
        <f>IFERROR(__xludf.DUMMYFUNCTION("""COMPUTED_VALUE"""),4.0)</f>
        <v>4</v>
      </c>
      <c r="S2" s="71">
        <f>IFERROR(__xludf.DUMMYFUNCTION("""COMPUTED_VALUE"""),4.0)</f>
        <v>4</v>
      </c>
      <c r="T2" s="71">
        <f>IFERROR(__xludf.DUMMYFUNCTION("""COMPUTED_VALUE"""),4.0)</f>
        <v>4</v>
      </c>
      <c r="U2" s="71">
        <f>IFERROR(__xludf.DUMMYFUNCTION("""COMPUTED_VALUE"""),3.0)</f>
        <v>3</v>
      </c>
      <c r="V2" s="71">
        <f>IFERROR(__xludf.DUMMYFUNCTION("""COMPUTED_VALUE"""),5.0)</f>
        <v>5</v>
      </c>
      <c r="W2" s="71">
        <f>IFERROR(__xludf.DUMMYFUNCTION("""COMPUTED_VALUE"""),5.0)</f>
        <v>5</v>
      </c>
      <c r="X2" s="71" t="str">
        <f>IFERROR(__xludf.DUMMYFUNCTION("""COMPUTED_VALUE"""),"Researches information and finds answers to questions.")</f>
        <v>Researches information and finds answers to questions.</v>
      </c>
      <c r="Y2" s="71" t="str">
        <f>IFERROR(__xludf.DUMMYFUNCTION("""COMPUTED_VALUE"""),"Stay quiet and let the others figure it out")</f>
        <v>Stay quiet and let the others figure it out</v>
      </c>
      <c r="Z2" s="71" t="str">
        <f>IFERROR(__xludf.DUMMYFUNCTION("""COMPUTED_VALUE"""),"idk")</f>
        <v>idk</v>
      </c>
    </row>
    <row r="3">
      <c r="A3" s="128">
        <f>IFERROR(__xludf.DUMMYFUNCTION("""COMPUTED_VALUE"""),45887.46697497686)</f>
        <v>45887.46697</v>
      </c>
      <c r="B3" s="71" t="str">
        <f>IFERROR(__xludf.DUMMYFUNCTION("""COMPUTED_VALUE"""),"dareyel.alexander@kairosacademies.org")</f>
        <v>dareyel.alexander@kairosacademies.org</v>
      </c>
      <c r="C3" s="71" t="str">
        <f>IFERROR(__xludf.DUMMYFUNCTION("""COMPUTED_VALUE"""),"dareyel alexander")</f>
        <v>dareyel alexander</v>
      </c>
      <c r="D3" s="71" t="str">
        <f>IFERROR(__xludf.DUMMYFUNCTION("""COMPUTED_VALUE"""),"the queen")</f>
        <v>the queen</v>
      </c>
      <c r="E3" s="71" t="str">
        <f>IFERROR(__xludf.DUMMYFUNCTION("""COMPUTED_VALUE"""),"im smart &amp; im kind i wish i could be  a doctor")</f>
        <v>im smart &amp; im kind i wish i could be  a doctor</v>
      </c>
      <c r="F3" s="71" t="str">
        <f>IFERROR(__xludf.DUMMYFUNCTION("""COMPUTED_VALUE"""),"Watching a video or live demonstration, Reading and taking notes")</f>
        <v>Watching a video or live demonstration, Reading and taking notes</v>
      </c>
      <c r="G3" s="71" t="str">
        <f>IFERROR(__xludf.DUMMYFUNCTION("""COMPUTED_VALUE"""),"Make and study flashcards, Create my own study guide or diagram")</f>
        <v>Make and study flashcards, Create my own study guide or diagram</v>
      </c>
      <c r="H3" s="71" t="str">
        <f>IFERROR(__xludf.DUMMYFUNCTION("""COMPUTED_VALUE"""),"How can we make new materials? (Chemical Reactions) ⚗️, How can a magnet move something without touching it? (Forces at a Distance) 🧲, Why are living things different from one another? (Genetics) 🧬")</f>
        <v>How can we make new materials? (Chemical Reactions) ⚗️, How can a magnet move something without touching it? (Forces at a Distance) 🧲, Why are living things different from one another? (Genetics) 🧬</v>
      </c>
      <c r="I3" s="71" t="str">
        <f>IFERROR(__xludf.DUMMYFUNCTION("""COMPUTED_VALUE"""),"i like cooking n playing football")</f>
        <v>i like cooking n playing football</v>
      </c>
      <c r="J3" s="71" t="str">
        <f>IFERROR(__xludf.DUMMYFUNCTION("""COMPUTED_VALUE"""),"cooking")</f>
        <v>cooking</v>
      </c>
      <c r="K3" s="71">
        <f>IFERROR(__xludf.DUMMYFUNCTION("""COMPUTED_VALUE"""),4.0)</f>
        <v>4</v>
      </c>
      <c r="L3" s="71">
        <f>IFERROR(__xludf.DUMMYFUNCTION("""COMPUTED_VALUE"""),5.0)</f>
        <v>5</v>
      </c>
      <c r="M3" s="71">
        <f>IFERROR(__xludf.DUMMYFUNCTION("""COMPUTED_VALUE"""),3.0)</f>
        <v>3</v>
      </c>
      <c r="N3" s="71">
        <f>IFERROR(__xludf.DUMMYFUNCTION("""COMPUTED_VALUE"""),2.0)</f>
        <v>2</v>
      </c>
      <c r="O3" s="71">
        <f>IFERROR(__xludf.DUMMYFUNCTION("""COMPUTED_VALUE"""),3.0)</f>
        <v>3</v>
      </c>
      <c r="P3" s="71">
        <f>IFERROR(__xludf.DUMMYFUNCTION("""COMPUTED_VALUE"""),4.0)</f>
        <v>4</v>
      </c>
      <c r="Q3" s="71">
        <f>IFERROR(__xludf.DUMMYFUNCTION("""COMPUTED_VALUE"""),3.0)</f>
        <v>3</v>
      </c>
      <c r="R3" s="71">
        <f>IFERROR(__xludf.DUMMYFUNCTION("""COMPUTED_VALUE"""),2.0)</f>
        <v>2</v>
      </c>
      <c r="S3" s="71">
        <f>IFERROR(__xludf.DUMMYFUNCTION("""COMPUTED_VALUE"""),5.0)</f>
        <v>5</v>
      </c>
      <c r="T3" s="71">
        <f>IFERROR(__xludf.DUMMYFUNCTION("""COMPUTED_VALUE"""),4.0)</f>
        <v>4</v>
      </c>
      <c r="U3" s="71">
        <f>IFERROR(__xludf.DUMMYFUNCTION("""COMPUTED_VALUE"""),3.0)</f>
        <v>3</v>
      </c>
      <c r="V3" s="71">
        <f>IFERROR(__xludf.DUMMYFUNCTION("""COMPUTED_VALUE"""),2.0)</f>
        <v>2</v>
      </c>
      <c r="W3" s="71">
        <f>IFERROR(__xludf.DUMMYFUNCTION("""COMPUTED_VALUE"""),3.0)</f>
        <v>3</v>
      </c>
      <c r="X3" s="71" t="str">
        <f>IFERROR(__xludf.DUMMYFUNCTION("""COMPUTED_VALUE"""),"Organizes the plan and keeps the team on task.")</f>
        <v>Organizes the plan and keeps the team on task.</v>
      </c>
      <c r="Y3" s="71" t="str">
        <f>IFERROR(__xludf.DUMMYFUNCTION("""COMPUTED_VALUE"""),"Listen to everyone's ideas and try to find a compromise that includes parts of each")</f>
        <v>Listen to everyone's ideas and try to find a compromise that includes parts of each</v>
      </c>
      <c r="Z3" s="71" t="str">
        <f>IFERROR(__xludf.DUMMYFUNCTION("""COMPUTED_VALUE"""),"because some of my classmates already smoke so im gonna be comfortable talking cause they already did")</f>
        <v>because some of my classmates already smoke so im gonna be comfortable talking cause they already did</v>
      </c>
    </row>
    <row r="4">
      <c r="A4" s="128">
        <f>IFERROR(__xludf.DUMMYFUNCTION("""COMPUTED_VALUE"""),45887.472887916665)</f>
        <v>45887.47289</v>
      </c>
      <c r="B4" s="71" t="str">
        <f>IFERROR(__xludf.DUMMYFUNCTION("""COMPUTED_VALUE"""),"justice.worthy@kairosacademies.org")</f>
        <v>justice.worthy@kairosacademies.org</v>
      </c>
      <c r="C4" s="71" t="str">
        <f>IFERROR(__xludf.DUMMYFUNCTION("""COMPUTED_VALUE"""),"Justice Worthy")</f>
        <v>Justice Worthy</v>
      </c>
      <c r="D4" s="71" t="str">
        <f>IFERROR(__xludf.DUMMYFUNCTION("""COMPUTED_VALUE"""),"Juju")</f>
        <v>Juju</v>
      </c>
      <c r="E4" s="71" t="str">
        <f>IFERROR(__xludf.DUMMYFUNCTION("""COMPUTED_VALUE"""),"i have 2 cats i knnow how to swim in 10 feet and i wish to pass every grade   ")</f>
        <v>i have 2 cats i knnow how to swim in 10 feet and i wish to pass every grade   </v>
      </c>
      <c r="F4" s="71" t="str">
        <f>IFERROR(__xludf.DUMMYFUNCTION("""COMPUTED_VALUE"""),"Doing a hands-on lab or experiment, Reading and taking notes, Listening to the teacher explain it")</f>
        <v>Doing a hands-on lab or experiment, Reading and taking notes, Listening to the teacher explain it</v>
      </c>
      <c r="G4" s="71" t="str">
        <f>IFERROR(__xludf.DUMMYFUNCTION("""COMPUTED_VALUE"""),"Review my notes and materials, Do practice problems or worksheets, Explain the concept out loud to someone else")</f>
        <v>Review my notes and materials, Do practice problems or worksheets, Explain the concept out loud to someone else</v>
      </c>
      <c r="H4" s="71" t="str">
        <f>IFERROR(__xludf.DUMMYFUNCTION("""COMPUTED_VALUE"""),"How can we make new materials? (Chemical Reactions) ⚗️, Why are living things different from one another? (Genetics) 🧬")</f>
        <v>How can we make new materials? (Chemical Reactions) ⚗️, Why are living things different from one another? (Genetics) 🧬</v>
      </c>
      <c r="I4" s="71" t="str">
        <f>IFERROR(__xludf.DUMMYFUNCTION("""COMPUTED_VALUE"""),"I like to swim i like to cook and like to dance .")</f>
        <v>I like to swim i like to cook and like to dance .</v>
      </c>
      <c r="J4" s="71" t="str">
        <f>IFERROR(__xludf.DUMMYFUNCTION("""COMPUTED_VALUE"""),"I'm a volly ball player .")</f>
        <v>I'm a volly ball player .</v>
      </c>
      <c r="K4" s="71">
        <f>IFERROR(__xludf.DUMMYFUNCTION("""COMPUTED_VALUE"""),3.0)</f>
        <v>3</v>
      </c>
      <c r="L4" s="71">
        <f>IFERROR(__xludf.DUMMYFUNCTION("""COMPUTED_VALUE"""),4.0)</f>
        <v>4</v>
      </c>
      <c r="M4" s="71">
        <f>IFERROR(__xludf.DUMMYFUNCTION("""COMPUTED_VALUE"""),4.0)</f>
        <v>4</v>
      </c>
      <c r="N4" s="71">
        <f>IFERROR(__xludf.DUMMYFUNCTION("""COMPUTED_VALUE"""),3.0)</f>
        <v>3</v>
      </c>
      <c r="O4" s="71">
        <f>IFERROR(__xludf.DUMMYFUNCTION("""COMPUTED_VALUE"""),3.0)</f>
        <v>3</v>
      </c>
      <c r="P4" s="71">
        <f>IFERROR(__xludf.DUMMYFUNCTION("""COMPUTED_VALUE"""),5.0)</f>
        <v>5</v>
      </c>
      <c r="Q4" s="71">
        <f>IFERROR(__xludf.DUMMYFUNCTION("""COMPUTED_VALUE"""),4.0)</f>
        <v>4</v>
      </c>
      <c r="R4" s="71">
        <f>IFERROR(__xludf.DUMMYFUNCTION("""COMPUTED_VALUE"""),5.0)</f>
        <v>5</v>
      </c>
      <c r="S4" s="71">
        <f>IFERROR(__xludf.DUMMYFUNCTION("""COMPUTED_VALUE"""),5.0)</f>
        <v>5</v>
      </c>
      <c r="T4" s="71">
        <f>IFERROR(__xludf.DUMMYFUNCTION("""COMPUTED_VALUE"""),2.0)</f>
        <v>2</v>
      </c>
      <c r="U4" s="71">
        <f>IFERROR(__xludf.DUMMYFUNCTION("""COMPUTED_VALUE"""),3.0)</f>
        <v>3</v>
      </c>
      <c r="V4" s="71">
        <f>IFERROR(__xludf.DUMMYFUNCTION("""COMPUTED_VALUE"""),1.0)</f>
        <v>1</v>
      </c>
      <c r="W4" s="71">
        <f>IFERROR(__xludf.DUMMYFUNCTION("""COMPUTED_VALUE"""),5.0)</f>
        <v>5</v>
      </c>
      <c r="X4" s="71" t="str">
        <f>IFERROR(__xludf.DUMMYFUNCTION("""COMPUTED_VALUE"""),"Organizes the plan and keeps the team on task., Researches information and finds answers to questions., Builds the project or does the hands-on work., Takes notes, writes, and prepares the final presentation., Makes sure everyone feels included and helps "&amp;"solve disagreements.")</f>
        <v>Organizes the plan and keeps the team on task., Researches information and finds answers to questions., Builds the project or does the hands-on work., Takes notes, writes, and prepares the final presentation., Makes sure everyone feels included and helps solve disagreements.</v>
      </c>
      <c r="Y4" s="71" t="str">
        <f>IFERROR(__xludf.DUMMYFUNCTION("""COMPUTED_VALUE"""),"Listen to everyone's ideas and try to find a compromise that includes parts of each")</f>
        <v>Listen to everyone's ideas and try to find a compromise that includes parts of each</v>
      </c>
      <c r="Z4" s="71" t="str">
        <f>IFERROR(__xludf.DUMMYFUNCTION("""COMPUTED_VALUE"""),"When i know someone not listening i get mad and start to raise my voice because i have to get my point across . ")</f>
        <v>When i know someone not listening i get mad and start to raise my voice because i have to get my point across . </v>
      </c>
    </row>
    <row r="5">
      <c r="A5" s="128">
        <f>IFERROR(__xludf.DUMMYFUNCTION("""COMPUTED_VALUE"""),45887.47487402778)</f>
        <v>45887.47487</v>
      </c>
      <c r="B5" s="71" t="str">
        <f>IFERROR(__xludf.DUMMYFUNCTION("""COMPUTED_VALUE"""),"jacob.hardy@kairosacademies.org")</f>
        <v>jacob.hardy@kairosacademies.org</v>
      </c>
      <c r="C5" s="71" t="str">
        <f>IFERROR(__xludf.DUMMYFUNCTION("""COMPUTED_VALUE"""),"Jacob Hardy")</f>
        <v>Jacob Hardy</v>
      </c>
      <c r="D5" s="71" t="str">
        <f>IFERROR(__xludf.DUMMYFUNCTION("""COMPUTED_VALUE"""),"Jacob")</f>
        <v>Jacob</v>
      </c>
      <c r="E5" s="71" t="str">
        <f>IFERROR(__xludf.DUMMYFUNCTION("""COMPUTED_VALUE"""),"I want to be an engineer or astronaut. I like trying to fix things on my own. I like play and building with Lego")</f>
        <v>I want to be an engineer or astronaut. I like trying to fix things on my own. I like play and building with Lego</v>
      </c>
      <c r="F5" s="71" t="str">
        <f>IFERROR(__xludf.DUMMYFUNCTION("""COMPUTED_VALUE"""),"Doing a hands-on lab or experiment, Watching a video or live demonstration, Reading and taking notes, Listening to the teacher explain it")</f>
        <v>Doing a hands-on lab or experiment, Watching a video or live demonstration, Reading and taking notes, Listening to the teacher explain it</v>
      </c>
      <c r="G5" s="71" t="str">
        <f>IFERROR(__xludf.DUMMYFUNCTION("""COMPUTED_VALUE"""),"Review my notes and materials, Do practice problems or worksheets, ask someone to test me intill i get 100% and practice more")</f>
        <v>Review my notes and materials, Do practice problems or worksheets, ask someone to test me intill i get 100% and practice more</v>
      </c>
      <c r="H5" s="71" t="str">
        <f>IFERROR(__xludf.DUMMYFUNCTION("""COMPUTED_VALUE"""),"How can we make new materials? (Chemical Reactions) ⚗️, Why do things get damaged when they hit each other? (Contact Forces) 💥, How can a magnet move something without touching it? (Forces at a Distance) 🧲, How are we connected to patterns in the sky? ("&amp;"Earth in Space) 🌍")</f>
        <v>How can we make new materials? (Chemical Reactions) ⚗️, Why do things get damaged when they hit each other? (Contact Forces) 💥, How can a magnet move something without touching it? (Forces at a Distance) 🧲, How are we connected to patterns in the sky? (Earth in Space) 🌍</v>
      </c>
      <c r="I5" s="71" t="str">
        <f>IFERROR(__xludf.DUMMYFUNCTION("""COMPUTED_VALUE"""),"baking, building Lego, survival games, knockout games. ")</f>
        <v>baking, building Lego, survival games, knockout games. </v>
      </c>
      <c r="J5" s="71" t="str">
        <f>IFERROR(__xludf.DUMMYFUNCTION("""COMPUTED_VALUE"""),"baking and building lego")</f>
        <v>baking and building lego</v>
      </c>
      <c r="K5" s="71">
        <f>IFERROR(__xludf.DUMMYFUNCTION("""COMPUTED_VALUE"""),3.0)</f>
        <v>3</v>
      </c>
      <c r="L5" s="71">
        <f>IFERROR(__xludf.DUMMYFUNCTION("""COMPUTED_VALUE"""),5.0)</f>
        <v>5</v>
      </c>
      <c r="M5" s="71">
        <f>IFERROR(__xludf.DUMMYFUNCTION("""COMPUTED_VALUE"""),5.0)</f>
        <v>5</v>
      </c>
      <c r="N5" s="71">
        <f>IFERROR(__xludf.DUMMYFUNCTION("""COMPUTED_VALUE"""),3.0)</f>
        <v>3</v>
      </c>
      <c r="O5" s="71">
        <f>IFERROR(__xludf.DUMMYFUNCTION("""COMPUTED_VALUE"""),5.0)</f>
        <v>5</v>
      </c>
      <c r="P5" s="71">
        <f>IFERROR(__xludf.DUMMYFUNCTION("""COMPUTED_VALUE"""),5.0)</f>
        <v>5</v>
      </c>
      <c r="Q5" s="71">
        <f>IFERROR(__xludf.DUMMYFUNCTION("""COMPUTED_VALUE"""),5.0)</f>
        <v>5</v>
      </c>
      <c r="R5" s="71">
        <f>IFERROR(__xludf.DUMMYFUNCTION("""COMPUTED_VALUE"""),4.0)</f>
        <v>4</v>
      </c>
      <c r="S5" s="71">
        <f>IFERROR(__xludf.DUMMYFUNCTION("""COMPUTED_VALUE"""),5.0)</f>
        <v>5</v>
      </c>
      <c r="T5" s="71">
        <f>IFERROR(__xludf.DUMMYFUNCTION("""COMPUTED_VALUE"""),5.0)</f>
        <v>5</v>
      </c>
      <c r="U5" s="71">
        <f>IFERROR(__xludf.DUMMYFUNCTION("""COMPUTED_VALUE"""),5.0)</f>
        <v>5</v>
      </c>
      <c r="V5" s="71">
        <f>IFERROR(__xludf.DUMMYFUNCTION("""COMPUTED_VALUE"""),3.0)</f>
        <v>3</v>
      </c>
      <c r="W5" s="71">
        <f>IFERROR(__xludf.DUMMYFUNCTION("""COMPUTED_VALUE"""),3.0)</f>
        <v>3</v>
      </c>
      <c r="X5" s="71" t="str">
        <f>IFERROR(__xludf.DUMMYFUNCTION("""COMPUTED_VALUE"""),"Organizes the plan and keeps the team on task., Researches information and finds answers to questions.")</f>
        <v>Organizes the plan and keeps the team on task., Researches information and finds answers to questions.</v>
      </c>
      <c r="Y5" s="71" t="str">
        <f>IFERROR(__xludf.DUMMYFUNCTION("""COMPUTED_VALUE"""),"Listen to everyone's ideas and try to find a compromise that includes parts of each")</f>
        <v>Listen to everyone's ideas and try to find a compromise that includes parts of each</v>
      </c>
      <c r="Z5" s="71" t="str">
        <f>IFERROR(__xludf.DUMMYFUNCTION("""COMPUTED_VALUE"""),"being the main one answering questions")</f>
        <v>being the main one answering questions</v>
      </c>
    </row>
    <row r="6">
      <c r="A6" s="128">
        <f>IFERROR(__xludf.DUMMYFUNCTION("""COMPUTED_VALUE"""),45887.47503449074)</f>
        <v>45887.47503</v>
      </c>
      <c r="B6" s="71" t="str">
        <f>IFERROR(__xludf.DUMMYFUNCTION("""COMPUTED_VALUE"""),"maya.monroy@kairosacademies.org")</f>
        <v>maya.monroy@kairosacademies.org</v>
      </c>
      <c r="C6" s="71" t="str">
        <f>IFERROR(__xludf.DUMMYFUNCTION("""COMPUTED_VALUE"""),"Maya monroy")</f>
        <v>Maya monroy</v>
      </c>
      <c r="D6" s="71" t="str">
        <f>IFERROR(__xludf.DUMMYFUNCTION("""COMPUTED_VALUE"""),"maya")</f>
        <v>maya</v>
      </c>
      <c r="E6" s="71" t="str">
        <f>IFERROR(__xludf.DUMMYFUNCTION("""COMPUTED_VALUE"""),"i have two cats, my favorite color is blue, and i wish i was rich")</f>
        <v>i have two cats, my favorite color is blue, and i wish i was rich</v>
      </c>
      <c r="F6" s="71" t="str">
        <f>IFERROR(__xludf.DUMMYFUNCTION("""COMPUTED_VALUE"""),"Doing a hands-on lab or experiment, Drawing a model or diagram")</f>
        <v>Doing a hands-on lab or experiment, Drawing a model or diagram</v>
      </c>
      <c r="G6" s="71" t="str">
        <f>IFERROR(__xludf.DUMMYFUNCTION("""COMPUTED_VALUE"""),"Review my notes and materials, Do practice problems or worksheets")</f>
        <v>Review my notes and materials, Do practice problems or worksheets</v>
      </c>
      <c r="H6" s="71" t="str">
        <f>IFERROR(__xludf.DUMMYFUNCTION("""COMPUTED_VALUE"""),"How do our bodies get energy from food? (Metabolic Reactions) 🍎, How can a magnet move something without touching it? (Forces at a Distance) 🧲")</f>
        <v>How do our bodies get energy from food? (Metabolic Reactions) 🍎, How can a magnet move something without touching it? (Forces at a Distance) 🧲</v>
      </c>
      <c r="I6" s="71" t="str">
        <f>IFERROR(__xludf.DUMMYFUNCTION("""COMPUTED_VALUE"""),"my favorite hobby outside of school is play soccer")</f>
        <v>my favorite hobby outside of school is play soccer</v>
      </c>
      <c r="J6" s="71" t="str">
        <f>IFERROR(__xludf.DUMMYFUNCTION("""COMPUTED_VALUE"""),"im great at dancing which includes increases levels of the feel-good hormone serotonin, and helps develop new neural connections.")</f>
        <v>im great at dancing which includes increases levels of the feel-good hormone serotonin, and helps develop new neural connections.</v>
      </c>
      <c r="K6" s="71">
        <f>IFERROR(__xludf.DUMMYFUNCTION("""COMPUTED_VALUE"""),3.0)</f>
        <v>3</v>
      </c>
      <c r="L6" s="71">
        <f>IFERROR(__xludf.DUMMYFUNCTION("""COMPUTED_VALUE"""),5.0)</f>
        <v>5</v>
      </c>
      <c r="M6" s="71">
        <f>IFERROR(__xludf.DUMMYFUNCTION("""COMPUTED_VALUE"""),3.0)</f>
        <v>3</v>
      </c>
      <c r="N6" s="71">
        <f>IFERROR(__xludf.DUMMYFUNCTION("""COMPUTED_VALUE"""),4.0)</f>
        <v>4</v>
      </c>
      <c r="O6" s="71">
        <f>IFERROR(__xludf.DUMMYFUNCTION("""COMPUTED_VALUE"""),4.0)</f>
        <v>4</v>
      </c>
      <c r="P6" s="71">
        <f>IFERROR(__xludf.DUMMYFUNCTION("""COMPUTED_VALUE"""),3.0)</f>
        <v>3</v>
      </c>
      <c r="Q6" s="71">
        <f>IFERROR(__xludf.DUMMYFUNCTION("""COMPUTED_VALUE"""),4.0)</f>
        <v>4</v>
      </c>
      <c r="R6" s="71">
        <f>IFERROR(__xludf.DUMMYFUNCTION("""COMPUTED_VALUE"""),4.0)</f>
        <v>4</v>
      </c>
      <c r="S6" s="71">
        <f>IFERROR(__xludf.DUMMYFUNCTION("""COMPUTED_VALUE"""),5.0)</f>
        <v>5</v>
      </c>
      <c r="T6" s="71">
        <f>IFERROR(__xludf.DUMMYFUNCTION("""COMPUTED_VALUE"""),3.0)</f>
        <v>3</v>
      </c>
      <c r="U6" s="71">
        <f>IFERROR(__xludf.DUMMYFUNCTION("""COMPUTED_VALUE"""),2.0)</f>
        <v>2</v>
      </c>
      <c r="V6" s="71">
        <f>IFERROR(__xludf.DUMMYFUNCTION("""COMPUTED_VALUE"""),5.0)</f>
        <v>5</v>
      </c>
      <c r="W6" s="71">
        <f>IFERROR(__xludf.DUMMYFUNCTION("""COMPUTED_VALUE"""),4.0)</f>
        <v>4</v>
      </c>
      <c r="X6" s="71" t="str">
        <f>IFERROR(__xludf.DUMMYFUNCTION("""COMPUTED_VALUE"""),"Researches information and finds answers to questions.")</f>
        <v>Researches information and finds answers to questions.</v>
      </c>
      <c r="Y6" s="71" t="str">
        <f>IFERROR(__xludf.DUMMYFUNCTION("""COMPUTED_VALUE"""),"Try to convince everyone that my idea is the best one")</f>
        <v>Try to convince everyone that my idea is the best one</v>
      </c>
      <c r="Z6" s="71" t="str">
        <f>IFERROR(__xludf.DUMMYFUNCTION("""COMPUTED_VALUE"""),"maybe be in a group with my friends cause they hear me.
")</f>
        <v>maybe be in a group with my friends cause they hear me.
</v>
      </c>
    </row>
    <row r="7">
      <c r="A7" s="128">
        <f>IFERROR(__xludf.DUMMYFUNCTION("""COMPUTED_VALUE"""),45887.48163340278)</f>
        <v>45887.48163</v>
      </c>
      <c r="B7" s="71" t="str">
        <f>IFERROR(__xludf.DUMMYFUNCTION("""COMPUTED_VALUE"""),"maxx.blassingame@kairosacademies.org")</f>
        <v>maxx.blassingame@kairosacademies.org</v>
      </c>
      <c r="C7" s="71" t="str">
        <f>IFERROR(__xludf.DUMMYFUNCTION("""COMPUTED_VALUE"""),"Maxx Blassingame")</f>
        <v>Maxx Blassingame</v>
      </c>
      <c r="D7" s="71" t="str">
        <f>IFERROR(__xludf.DUMMYFUNCTION("""COMPUTED_VALUE"""),"Maxx")</f>
        <v>Maxx</v>
      </c>
      <c r="E7" s="71" t="str">
        <f>IFERROR(__xludf.DUMMYFUNCTION("""COMPUTED_VALUE"""),"I am twelve years old. I love animals, and i know all the planes.")</f>
        <v>I am twelve years old. I love animals, and i know all the planes.</v>
      </c>
      <c r="F7" s="71" t="str">
        <f>IFERROR(__xludf.DUMMYFUNCTION("""COMPUTED_VALUE"""),"Discussing ideas with a small group, Reading and taking notes")</f>
        <v>Discussing ideas with a small group, Reading and taking notes</v>
      </c>
      <c r="G7" s="71" t="str">
        <f>IFERROR(__xludf.DUMMYFUNCTION("""COMPUTED_VALUE"""),"Review my notes and materials, Do practice problems or worksheets")</f>
        <v>Review my notes and materials, Do practice problems or worksheets</v>
      </c>
      <c r="H7" s="71" t="str">
        <f>IFERROR(__xludf.DUMMYFUNCTION("""COMPUTED_VALUE"""),"How can we make new materials? (Chemical Reactions) ⚗️, Why do things get damaged when they hit each other? (Contact Forces) 💥, How are we connected to patterns in the sky? (Earth in Space) 🌍")</f>
        <v>How can we make new materials? (Chemical Reactions) ⚗️, Why do things get damaged when they hit each other? (Contact Forces) 💥, How are we connected to patterns in the sky? (Earth in Space) 🌍</v>
      </c>
      <c r="I7" s="71" t="str">
        <f>IFERROR(__xludf.DUMMYFUNCTION("""COMPUTED_VALUE"""),"cooking gameing  ")</f>
        <v>cooking gameing  </v>
      </c>
      <c r="J7" s="71" t="str">
        <f>IFERROR(__xludf.DUMMYFUNCTION("""COMPUTED_VALUE"""),"cooking good at maserin the pot and the food heat")</f>
        <v>cooking good at maserin the pot and the food heat</v>
      </c>
      <c r="K7" s="71">
        <f>IFERROR(__xludf.DUMMYFUNCTION("""COMPUTED_VALUE"""),3.0)</f>
        <v>3</v>
      </c>
      <c r="L7" s="71">
        <f>IFERROR(__xludf.DUMMYFUNCTION("""COMPUTED_VALUE"""),5.0)</f>
        <v>5</v>
      </c>
      <c r="M7" s="71">
        <f>IFERROR(__xludf.DUMMYFUNCTION("""COMPUTED_VALUE"""),1.0)</f>
        <v>1</v>
      </c>
      <c r="N7" s="71">
        <f>IFERROR(__xludf.DUMMYFUNCTION("""COMPUTED_VALUE"""),2.0)</f>
        <v>2</v>
      </c>
      <c r="O7" s="71">
        <f>IFERROR(__xludf.DUMMYFUNCTION("""COMPUTED_VALUE"""),3.0)</f>
        <v>3</v>
      </c>
      <c r="P7" s="71">
        <f>IFERROR(__xludf.DUMMYFUNCTION("""COMPUTED_VALUE"""),5.0)</f>
        <v>5</v>
      </c>
      <c r="Q7" s="71">
        <f>IFERROR(__xludf.DUMMYFUNCTION("""COMPUTED_VALUE"""),3.0)</f>
        <v>3</v>
      </c>
      <c r="R7" s="71">
        <f>IFERROR(__xludf.DUMMYFUNCTION("""COMPUTED_VALUE"""),4.0)</f>
        <v>4</v>
      </c>
      <c r="S7" s="71">
        <f>IFERROR(__xludf.DUMMYFUNCTION("""COMPUTED_VALUE"""),5.0)</f>
        <v>5</v>
      </c>
      <c r="T7" s="71">
        <f>IFERROR(__xludf.DUMMYFUNCTION("""COMPUTED_VALUE"""),4.0)</f>
        <v>4</v>
      </c>
      <c r="U7" s="71">
        <f>IFERROR(__xludf.DUMMYFUNCTION("""COMPUTED_VALUE"""),3.0)</f>
        <v>3</v>
      </c>
      <c r="V7" s="71">
        <f>IFERROR(__xludf.DUMMYFUNCTION("""COMPUTED_VALUE"""),4.0)</f>
        <v>4</v>
      </c>
      <c r="W7" s="71">
        <f>IFERROR(__xludf.DUMMYFUNCTION("""COMPUTED_VALUE"""),2.0)</f>
        <v>2</v>
      </c>
      <c r="X7" s="71" t="str">
        <f>IFERROR(__xludf.DUMMYFUNCTION("""COMPUTED_VALUE"""),"To help the grope how the grop needs it.")</f>
        <v>To help the grope how the grop needs it.</v>
      </c>
      <c r="Y7" s="71" t="str">
        <f>IFERROR(__xludf.DUMMYFUNCTION("""COMPUTED_VALUE"""),"Listen to everyone's ideas and try to find a compromise that includes parts of each")</f>
        <v>Listen to everyone's ideas and try to find a compromise that includes parts of each</v>
      </c>
      <c r="Z7" s="71" t="str">
        <f>IFERROR(__xludf.DUMMYFUNCTION("""COMPUTED_VALUE"""),"to sometime thime to aske me for some help
")</f>
        <v>to sometime thime to aske me for some help
</v>
      </c>
    </row>
    <row r="8">
      <c r="A8" s="128">
        <f>IFERROR(__xludf.DUMMYFUNCTION("""COMPUTED_VALUE"""),45887.48778528935)</f>
        <v>45887.48779</v>
      </c>
      <c r="B8" s="71" t="str">
        <f>IFERROR(__xludf.DUMMYFUNCTION("""COMPUTED_VALUE"""),"damorrion.alexander@kairosacademies.org")</f>
        <v>damorrion.alexander@kairosacademies.org</v>
      </c>
      <c r="C8" s="71" t="str">
        <f>IFERROR(__xludf.DUMMYFUNCTION("""COMPUTED_VALUE"""),"Damorrion Alexander")</f>
        <v>Damorrion Alexander</v>
      </c>
      <c r="D8" s="71" t="str">
        <f>IFERROR(__xludf.DUMMYFUNCTION("""COMPUTED_VALUE"""),"the goat or damorrion ")</f>
        <v>the goat or damorrion </v>
      </c>
      <c r="E8" s="71" t="str">
        <f>IFERROR(__xludf.DUMMYFUNCTION("""COMPUTED_VALUE"""),"i have 13 siblings, i am 5'7 feet tall, i wish people whould understand me more. ")</f>
        <v>i have 13 siblings, i am 5'7 feet tall, i wish people whould understand me more. </v>
      </c>
      <c r="F8" s="71" t="str">
        <f>IFERROR(__xludf.DUMMYFUNCTION("""COMPUTED_VALUE"""),"Doing a hands-on lab or experiment, Reading and taking notes, Listening to the teacher explain it")</f>
        <v>Doing a hands-on lab or experiment, Reading and taking notes, Listening to the teacher explain it</v>
      </c>
      <c r="G8" s="71" t="str">
        <f>IFERROR(__xludf.DUMMYFUNCTION("""COMPUTED_VALUE"""),"Review my notes and materials, Make and study flashcards, Do practice problems or worksheets, Explain the concept out loud to someone else")</f>
        <v>Review my notes and materials, Make and study flashcards, Do practice problems or worksheets, Explain the concept out loud to someone else</v>
      </c>
      <c r="H8" s="71" t="str">
        <f>IFERROR(__xludf.DUMMYFUNCTION("""COMPUTED_VALUE"""),"How can we make new materials? (Chemical Reactions) ⚗️, How do our bodies get energy from food? (Metabolic Reactions) 🍎, Why do things get damaged when they hit each other? (Contact Forces) 💥, Why are living things different from one another? (Genetics)"&amp;" 🧬")</f>
        <v>How can we make new materials? (Chemical Reactions) ⚗️, How do our bodies get energy from food? (Metabolic Reactions) 🍎, Why do things get damaged when they hit each other? (Contact Forces) 💥, Why are living things different from one another? (Genetics) 🧬</v>
      </c>
      <c r="I8" s="71" t="str">
        <f>IFERROR(__xludf.DUMMYFUNCTION("""COMPUTED_VALUE"""),"sleepin, watching tiktok ")</f>
        <v>sleepin, watching tiktok </v>
      </c>
      <c r="J8" s="71" t="str">
        <f>IFERROR(__xludf.DUMMYFUNCTION("""COMPUTED_VALUE"""),"im good at helping other people with there probloms. ")</f>
        <v>im good at helping other people with there probloms. </v>
      </c>
      <c r="K8" s="71">
        <f>IFERROR(__xludf.DUMMYFUNCTION("""COMPUTED_VALUE"""),3.0)</f>
        <v>3</v>
      </c>
      <c r="L8" s="71">
        <f>IFERROR(__xludf.DUMMYFUNCTION("""COMPUTED_VALUE"""),4.0)</f>
        <v>4</v>
      </c>
      <c r="M8" s="71">
        <f>IFERROR(__xludf.DUMMYFUNCTION("""COMPUTED_VALUE"""),4.0)</f>
        <v>4</v>
      </c>
      <c r="N8" s="71">
        <f>IFERROR(__xludf.DUMMYFUNCTION("""COMPUTED_VALUE"""),4.0)</f>
        <v>4</v>
      </c>
      <c r="O8" s="71">
        <f>IFERROR(__xludf.DUMMYFUNCTION("""COMPUTED_VALUE"""),3.0)</f>
        <v>3</v>
      </c>
      <c r="P8" s="71">
        <f>IFERROR(__xludf.DUMMYFUNCTION("""COMPUTED_VALUE"""),4.0)</f>
        <v>4</v>
      </c>
      <c r="Q8" s="71">
        <f>IFERROR(__xludf.DUMMYFUNCTION("""COMPUTED_VALUE"""),4.0)</f>
        <v>4</v>
      </c>
      <c r="R8" s="71">
        <f>IFERROR(__xludf.DUMMYFUNCTION("""COMPUTED_VALUE"""),3.0)</f>
        <v>3</v>
      </c>
      <c r="S8" s="71">
        <f>IFERROR(__xludf.DUMMYFUNCTION("""COMPUTED_VALUE"""),4.0)</f>
        <v>4</v>
      </c>
      <c r="T8" s="71">
        <f>IFERROR(__xludf.DUMMYFUNCTION("""COMPUTED_VALUE"""),4.0)</f>
        <v>4</v>
      </c>
      <c r="U8" s="71">
        <f>IFERROR(__xludf.DUMMYFUNCTION("""COMPUTED_VALUE"""),4.0)</f>
        <v>4</v>
      </c>
      <c r="V8" s="71">
        <f>IFERROR(__xludf.DUMMYFUNCTION("""COMPUTED_VALUE"""),3.0)</f>
        <v>3</v>
      </c>
      <c r="W8" s="71">
        <f>IFERROR(__xludf.DUMMYFUNCTION("""COMPUTED_VALUE"""),3.0)</f>
        <v>3</v>
      </c>
      <c r="X8" s="71" t="str">
        <f>IFERROR(__xludf.DUMMYFUNCTION("""COMPUTED_VALUE"""),"Organizes the plan and keeps the team on task., Builds the project or does the hands-on work., Takes notes, writes, and prepares the final presentation., Makes sure everyone feels included and helps solve disagreements.")</f>
        <v>Organizes the plan and keeps the team on task., Builds the project or does the hands-on work., Takes notes, writes, and prepares the final presentation., Makes sure everyone feels included and helps solve disagreements.</v>
      </c>
      <c r="Y8" s="71" t="str">
        <f>IFERROR(__xludf.DUMMYFUNCTION("""COMPUTED_VALUE"""),"Listen to everyone's ideas and try to find a compromise that includes parts of each")</f>
        <v>Listen to everyone's ideas and try to find a compromise that includes parts of each</v>
      </c>
      <c r="Z8" s="71" t="str">
        <f>IFERROR(__xludf.DUMMYFUNCTION("""COMPUTED_VALUE"""),"i will feel heard if i know EVERYONE is lisening.")</f>
        <v>i will feel heard if i know EVERYONE is lisening.</v>
      </c>
    </row>
    <row r="9">
      <c r="A9" s="128">
        <f>IFERROR(__xludf.DUMMYFUNCTION("""COMPUTED_VALUE"""),45887.48783346065)</f>
        <v>45887.48783</v>
      </c>
      <c r="B9" s="71" t="str">
        <f>IFERROR(__xludf.DUMMYFUNCTION("""COMPUTED_VALUE"""),"louis.rosche@kairosacademies.org")</f>
        <v>louis.rosche@kairosacademies.org</v>
      </c>
      <c r="C9" s="71" t="str">
        <f>IFERROR(__xludf.DUMMYFUNCTION("""COMPUTED_VALUE"""),"Louis Rosche")</f>
        <v>Louis Rosche</v>
      </c>
      <c r="D9" s="71" t="str">
        <f>IFERROR(__xludf.DUMMYFUNCTION("""COMPUTED_VALUE"""),"""Louie"" Rosche")</f>
        <v>"Louie" Rosche</v>
      </c>
      <c r="E9" s="71" t="str">
        <f>IFERROR(__xludf.DUMMYFUNCTION("""COMPUTED_VALUE"""),"I am 6 foot 2 inches tall. I have 11 siblings. I wish that people cared more about preventing pollution.")</f>
        <v>I am 6 foot 2 inches tall. I have 11 siblings. I wish that people cared more about preventing pollution.</v>
      </c>
      <c r="F9" s="71" t="str">
        <f>IFERROR(__xludf.DUMMYFUNCTION("""COMPUTED_VALUE"""),"Drawing a model or diagram, Listening to the teacher explain it")</f>
        <v>Drawing a model or diagram, Listening to the teacher explain it</v>
      </c>
      <c r="G9" s="71" t="str">
        <f>IFERROR(__xludf.DUMMYFUNCTION("""COMPUTED_VALUE"""),"Explain the concept out loud to someone else, Create my own study guide or diagram")</f>
        <v>Explain the concept out loud to someone else, Create my own study guide or diagram</v>
      </c>
      <c r="H9" s="71" t="str">
        <f>IFERROR(__xludf.DUMMYFUNCTION("""COMPUTED_VALUE"""),"How can we make new materials? (Chemical Reactions) ⚗️, How do our bodies get energy from food? (Metabolic Reactions) 🍎, How does changing an ecosystem affect what lives there? (Ecosystem Dynamics) 🌿")</f>
        <v>How can we make new materials? (Chemical Reactions) ⚗️, How do our bodies get energy from food? (Metabolic Reactions) 🍎, How does changing an ecosystem affect what lives there? (Ecosystem Dynamics) 🌿</v>
      </c>
      <c r="I9" s="71" t="str">
        <f>IFERROR(__xludf.DUMMYFUNCTION("""COMPUTED_VALUE"""),"asdfasdfas")</f>
        <v>asdfasdfas</v>
      </c>
      <c r="J9" s="71" t="str">
        <f>IFERROR(__xludf.DUMMYFUNCTION("""COMPUTED_VALUE"""),"asdfasfd")</f>
        <v>asdfasfd</v>
      </c>
      <c r="K9" s="71">
        <f>IFERROR(__xludf.DUMMYFUNCTION("""COMPUTED_VALUE"""),3.0)</f>
        <v>3</v>
      </c>
      <c r="L9" s="71">
        <f>IFERROR(__xludf.DUMMYFUNCTION("""COMPUTED_VALUE"""),3.0)</f>
        <v>3</v>
      </c>
      <c r="M9" s="71">
        <f>IFERROR(__xludf.DUMMYFUNCTION("""COMPUTED_VALUE"""),3.0)</f>
        <v>3</v>
      </c>
      <c r="N9" s="71">
        <f>IFERROR(__xludf.DUMMYFUNCTION("""COMPUTED_VALUE"""),3.0)</f>
        <v>3</v>
      </c>
      <c r="O9" s="71">
        <f>IFERROR(__xludf.DUMMYFUNCTION("""COMPUTED_VALUE"""),3.0)</f>
        <v>3</v>
      </c>
      <c r="P9" s="71">
        <f>IFERROR(__xludf.DUMMYFUNCTION("""COMPUTED_VALUE"""),3.0)</f>
        <v>3</v>
      </c>
      <c r="Q9" s="71">
        <f>IFERROR(__xludf.DUMMYFUNCTION("""COMPUTED_VALUE"""),3.0)</f>
        <v>3</v>
      </c>
      <c r="R9" s="71">
        <f>IFERROR(__xludf.DUMMYFUNCTION("""COMPUTED_VALUE"""),3.0)</f>
        <v>3</v>
      </c>
      <c r="S9" s="71">
        <f>IFERROR(__xludf.DUMMYFUNCTION("""COMPUTED_VALUE"""),3.0)</f>
        <v>3</v>
      </c>
      <c r="T9" s="71">
        <f>IFERROR(__xludf.DUMMYFUNCTION("""COMPUTED_VALUE"""),3.0)</f>
        <v>3</v>
      </c>
      <c r="U9" s="71">
        <f>IFERROR(__xludf.DUMMYFUNCTION("""COMPUTED_VALUE"""),3.0)</f>
        <v>3</v>
      </c>
      <c r="V9" s="71">
        <f>IFERROR(__xludf.DUMMYFUNCTION("""COMPUTED_VALUE"""),3.0)</f>
        <v>3</v>
      </c>
      <c r="W9" s="71">
        <f>IFERROR(__xludf.DUMMYFUNCTION("""COMPUTED_VALUE"""),3.0)</f>
        <v>3</v>
      </c>
      <c r="X9" s="71" t="str">
        <f>IFERROR(__xludf.DUMMYFUNCTION("""COMPUTED_VALUE"""),"Organizes the plan and keeps the team on task., Researches information and finds answers to questions.")</f>
        <v>Organizes the plan and keeps the team on task., Researches information and finds answers to questions.</v>
      </c>
      <c r="Y9" s="71" t="str">
        <f>IFERROR(__xludf.DUMMYFUNCTION("""COMPUTED_VALUE"""),"Try to convince everyone that my idea is the best one")</f>
        <v>Try to convince everyone that my idea is the best one</v>
      </c>
      <c r="Z9" s="71" t="str">
        <f>IFERROR(__xludf.DUMMYFUNCTION("""COMPUTED_VALUE"""),"asdfasdfasdf")</f>
        <v>asdfasdfasdf</v>
      </c>
    </row>
    <row r="10">
      <c r="A10" s="128">
        <f>IFERROR(__xludf.DUMMYFUNCTION("""COMPUTED_VALUE"""),45887.56372413194)</f>
        <v>45887.56372</v>
      </c>
      <c r="B10" s="71" t="str">
        <f>IFERROR(__xludf.DUMMYFUNCTION("""COMPUTED_VALUE"""),"enu.mensah-fisher@kairosacademies.org")</f>
        <v>enu.mensah-fisher@kairosacademies.org</v>
      </c>
      <c r="C10" s="71" t="str">
        <f>IFERROR(__xludf.DUMMYFUNCTION("""COMPUTED_VALUE"""),"enu mensah-fisher")</f>
        <v>enu mensah-fisher</v>
      </c>
      <c r="D10" s="71" t="str">
        <f>IFERROR(__xludf.DUMMYFUNCTION("""COMPUTED_VALUE"""),"e3")</f>
        <v>e3</v>
      </c>
      <c r="E10" s="71" t="str">
        <f>IFERROR(__xludf.DUMMYFUNCTION("""COMPUTED_VALUE"""),"my name is enu  i have a dog i am african")</f>
        <v>my name is enu  i have a dog i am african</v>
      </c>
      <c r="F10" s="71" t="str">
        <f>IFERROR(__xludf.DUMMYFUNCTION("""COMPUTED_VALUE"""),"Doing a hands-on lab or experiment, Discussing ideas with a small group, Drawing a model or diagram")</f>
        <v>Doing a hands-on lab or experiment, Discussing ideas with a small group, Drawing a model or diagram</v>
      </c>
      <c r="G10" s="71" t="str">
        <f>IFERROR(__xludf.DUMMYFUNCTION("""COMPUTED_VALUE"""),"Review my notes and materials, Do practice problems or worksheets, Create my own study guide or diagram")</f>
        <v>Review my notes and materials, Do practice problems or worksheets, Create my own study guide or diagram</v>
      </c>
      <c r="H10" s="71" t="str">
        <f>IFERROR(__xludf.DUMMYFUNCTION("""COMPUTED_VALUE"""),"How do our bodies get energy from food? (Metabolic Reactions) 🍎, How can a magnet move something without touching it? (Forces at a Distance) 🧲")</f>
        <v>How do our bodies get energy from food? (Metabolic Reactions) 🍎, How can a magnet move something without touching it? (Forces at a Distance) 🧲</v>
      </c>
      <c r="I10" s="71" t="str">
        <f>IFERROR(__xludf.DUMMYFUNCTION("""COMPUTED_VALUE""")," football and GTA")</f>
        <v> football and GTA</v>
      </c>
      <c r="J10" s="71" t="str">
        <f>IFERROR(__xludf.DUMMYFUNCTION("""COMPUTED_VALUE"""),"i am good at math")</f>
        <v>i am good at math</v>
      </c>
      <c r="K10" s="71">
        <f>IFERROR(__xludf.DUMMYFUNCTION("""COMPUTED_VALUE"""),4.0)</f>
        <v>4</v>
      </c>
      <c r="L10" s="71">
        <f>IFERROR(__xludf.DUMMYFUNCTION("""COMPUTED_VALUE"""),3.0)</f>
        <v>3</v>
      </c>
      <c r="M10" s="71">
        <f>IFERROR(__xludf.DUMMYFUNCTION("""COMPUTED_VALUE"""),4.0)</f>
        <v>4</v>
      </c>
      <c r="N10" s="71">
        <f>IFERROR(__xludf.DUMMYFUNCTION("""COMPUTED_VALUE"""),4.0)</f>
        <v>4</v>
      </c>
      <c r="O10" s="71">
        <f>IFERROR(__xludf.DUMMYFUNCTION("""COMPUTED_VALUE"""),5.0)</f>
        <v>5</v>
      </c>
      <c r="P10" s="71">
        <f>IFERROR(__xludf.DUMMYFUNCTION("""COMPUTED_VALUE"""),2.0)</f>
        <v>2</v>
      </c>
      <c r="Q10" s="71">
        <f>IFERROR(__xludf.DUMMYFUNCTION("""COMPUTED_VALUE"""),2.0)</f>
        <v>2</v>
      </c>
      <c r="R10" s="71">
        <f>IFERROR(__xludf.DUMMYFUNCTION("""COMPUTED_VALUE"""),3.0)</f>
        <v>3</v>
      </c>
      <c r="S10" s="71">
        <f>IFERROR(__xludf.DUMMYFUNCTION("""COMPUTED_VALUE"""),3.0)</f>
        <v>3</v>
      </c>
      <c r="T10" s="71">
        <f>IFERROR(__xludf.DUMMYFUNCTION("""COMPUTED_VALUE"""),3.0)</f>
        <v>3</v>
      </c>
      <c r="U10" s="71">
        <f>IFERROR(__xludf.DUMMYFUNCTION("""COMPUTED_VALUE"""),2.0)</f>
        <v>2</v>
      </c>
      <c r="V10" s="71">
        <f>IFERROR(__xludf.DUMMYFUNCTION("""COMPUTED_VALUE"""),5.0)</f>
        <v>5</v>
      </c>
      <c r="W10" s="71">
        <f>IFERROR(__xludf.DUMMYFUNCTION("""COMPUTED_VALUE"""),4.0)</f>
        <v>4</v>
      </c>
      <c r="X10" s="71" t="str">
        <f>IFERROR(__xludf.DUMMYFUNCTION("""COMPUTED_VALUE"""),"Researches information and finds answers to questions., Makes sure everyone feels included and helps solve disagreements.")</f>
        <v>Researches information and finds answers to questions., Makes sure everyone feels included and helps solve disagreements.</v>
      </c>
      <c r="Y10" s="71" t="str">
        <f>IFERROR(__xludf.DUMMYFUNCTION("""COMPUTED_VALUE"""),"Try to convince everyone that my idea is the best one")</f>
        <v>Try to convince everyone that my idea is the best one</v>
      </c>
      <c r="Z10" s="71" t="str">
        <f>IFERROR(__xludf.DUMMYFUNCTION("""COMPUTED_VALUE"""),"people being not loud")</f>
        <v>people being not loud</v>
      </c>
    </row>
    <row r="11">
      <c r="A11" s="128">
        <f>IFERROR(__xludf.DUMMYFUNCTION("""COMPUTED_VALUE"""),45887.5657546412)</f>
        <v>45887.56575</v>
      </c>
      <c r="B11" s="71" t="str">
        <f>IFERROR(__xludf.DUMMYFUNCTION("""COMPUTED_VALUE"""),"chloe.mcalpin@kairosacademies.org")</f>
        <v>chloe.mcalpin@kairosacademies.org</v>
      </c>
      <c r="C11" s="71" t="str">
        <f>IFERROR(__xludf.DUMMYFUNCTION("""COMPUTED_VALUE"""),"chloe mcalpin")</f>
        <v>chloe mcalpin</v>
      </c>
      <c r="D11" s="71" t="str">
        <f>IFERROR(__xludf.DUMMYFUNCTION("""COMPUTED_VALUE"""),"cc")</f>
        <v>cc</v>
      </c>
      <c r="E11" s="71" t="str">
        <f>IFERROR(__xludf.DUMMYFUNCTION("""COMPUTED_VALUE"""),"i just got a new pet i have  a pet snake i wish i can become a artist that paints ")</f>
        <v>i just got a new pet i have  a pet snake i wish i can become a artist that paints </v>
      </c>
      <c r="F11" s="71" t="str">
        <f>IFERROR(__xludf.DUMMYFUNCTION("""COMPUTED_VALUE"""),"Discussing ideas with a small group")</f>
        <v>Discussing ideas with a small group</v>
      </c>
      <c r="G11" s="71" t="str">
        <f>IFERROR(__xludf.DUMMYFUNCTION("""COMPUTED_VALUE"""),"Review my notes and materials")</f>
        <v>Review my notes and materials</v>
      </c>
      <c r="H11" s="71" t="str">
        <f>IFERROR(__xludf.DUMMYFUNCTION("""COMPUTED_VALUE"""),"Why are living things different from one another? (Genetics) 🧬")</f>
        <v>Why are living things different from one another? (Genetics) 🧬</v>
      </c>
      <c r="I11" s="71" t="str">
        <f>IFERROR(__xludf.DUMMYFUNCTION("""COMPUTED_VALUE"""),"my fav hobbies is painting ")</f>
        <v>my fav hobbies is painting </v>
      </c>
      <c r="J11" s="71" t="str">
        <f>IFERROR(__xludf.DUMMYFUNCTION("""COMPUTED_VALUE"""),"painting")</f>
        <v>painting</v>
      </c>
      <c r="K11" s="71">
        <f>IFERROR(__xludf.DUMMYFUNCTION("""COMPUTED_VALUE"""),3.0)</f>
        <v>3</v>
      </c>
      <c r="L11" s="71">
        <f>IFERROR(__xludf.DUMMYFUNCTION("""COMPUTED_VALUE"""),3.0)</f>
        <v>3</v>
      </c>
      <c r="M11" s="71">
        <f>IFERROR(__xludf.DUMMYFUNCTION("""COMPUTED_VALUE"""),2.0)</f>
        <v>2</v>
      </c>
      <c r="N11" s="71">
        <f>IFERROR(__xludf.DUMMYFUNCTION("""COMPUTED_VALUE"""),2.0)</f>
        <v>2</v>
      </c>
      <c r="O11" s="71">
        <f>IFERROR(__xludf.DUMMYFUNCTION("""COMPUTED_VALUE"""),3.0)</f>
        <v>3</v>
      </c>
      <c r="P11" s="71">
        <f>IFERROR(__xludf.DUMMYFUNCTION("""COMPUTED_VALUE"""),3.0)</f>
        <v>3</v>
      </c>
      <c r="Q11" s="71">
        <f>IFERROR(__xludf.DUMMYFUNCTION("""COMPUTED_VALUE"""),2.0)</f>
        <v>2</v>
      </c>
      <c r="R11" s="71">
        <f>IFERROR(__xludf.DUMMYFUNCTION("""COMPUTED_VALUE"""),3.0)</f>
        <v>3</v>
      </c>
      <c r="S11" s="71">
        <f>IFERROR(__xludf.DUMMYFUNCTION("""COMPUTED_VALUE"""),4.0)</f>
        <v>4</v>
      </c>
      <c r="T11" s="71">
        <f>IFERROR(__xludf.DUMMYFUNCTION("""COMPUTED_VALUE"""),4.0)</f>
        <v>4</v>
      </c>
      <c r="U11" s="71">
        <f>IFERROR(__xludf.DUMMYFUNCTION("""COMPUTED_VALUE"""),4.0)</f>
        <v>4</v>
      </c>
      <c r="V11" s="71">
        <f>IFERROR(__xludf.DUMMYFUNCTION("""COMPUTED_VALUE"""),3.0)</f>
        <v>3</v>
      </c>
      <c r="W11" s="71">
        <f>IFERROR(__xludf.DUMMYFUNCTION("""COMPUTED_VALUE"""),4.0)</f>
        <v>4</v>
      </c>
      <c r="X11" s="71" t="str">
        <f>IFERROR(__xludf.DUMMYFUNCTION("""COMPUTED_VALUE"""),"Makes sure everyone feels included and helps solve disagreements.")</f>
        <v>Makes sure everyone feels included and helps solve disagreements.</v>
      </c>
      <c r="Y11" s="71" t="str">
        <f>IFERROR(__xludf.DUMMYFUNCTION("""COMPUTED_VALUE"""),"Listen to everyone's ideas and try to find a compromise that includes parts of each")</f>
        <v>Listen to everyone's ideas and try to find a compromise that includes parts of each</v>
      </c>
      <c r="Z11" s="71" t="str">
        <f>IFERROR(__xludf.DUMMYFUNCTION("""COMPUTED_VALUE"""),"i need time to think before i share")</f>
        <v>i need time to think before i share</v>
      </c>
    </row>
    <row r="12">
      <c r="A12" s="128">
        <f>IFERROR(__xludf.DUMMYFUNCTION("""COMPUTED_VALUE"""),45887.58697645833)</f>
        <v>45887.58698</v>
      </c>
      <c r="B12" s="71" t="str">
        <f>IFERROR(__xludf.DUMMYFUNCTION("""COMPUTED_VALUE"""),"peyton.luster@kairosacademies.org")</f>
        <v>peyton.luster@kairosacademies.org</v>
      </c>
      <c r="C12" s="71" t="str">
        <f>IFERROR(__xludf.DUMMYFUNCTION("""COMPUTED_VALUE"""),"Peyton Luster")</f>
        <v>Peyton Luster</v>
      </c>
      <c r="D12" s="71" t="str">
        <f>IFERROR(__xludf.DUMMYFUNCTION("""COMPUTED_VALUE"""),"Peyden")</f>
        <v>Peyden</v>
      </c>
      <c r="E12" s="71" t="str">
        <f>IFERROR(__xludf.DUMMYFUNCTION("""COMPUTED_VALUE"""),"i had 2 Fs last year, i wanna go to trade school, i dont have a phone ")</f>
        <v>i had 2 Fs last year, i wanna go to trade school, i dont have a phone </v>
      </c>
      <c r="F12" s="71" t="str">
        <f>IFERROR(__xludf.DUMMYFUNCTION("""COMPUTED_VALUE"""),"Doing a hands-on lab or experiment, Watching a video or live demonstration, Discussing ideas with a small group, Reading and taking notes, Listening to the teacher explain it")</f>
        <v>Doing a hands-on lab or experiment, Watching a video or live demonstration, Discussing ideas with a small group, Reading and taking notes, Listening to the teacher explain it</v>
      </c>
      <c r="G12" s="71" t="str">
        <f>IFERROR(__xludf.DUMMYFUNCTION("""COMPUTED_VALUE"""),"Review my notes and materials, Do practice problems or worksheets, Explain the concept out loud to someone else")</f>
        <v>Review my notes and materials, Do practice problems or worksheets, Explain the concept out loud to someone else</v>
      </c>
      <c r="H12" s="71" t="str">
        <f>IFERROR(__xludf.DUMMYFUNCTION("""COMPUTED_VALUE"""),"How can we make new materials? (Chemical Reactions) ⚗️, How do our bodies get energy from food? (Metabolic Reactions) 🍎, Why are living things different from one another? (Genetics) 🧬")</f>
        <v>How can we make new materials? (Chemical Reactions) ⚗️, How do our bodies get energy from food? (Metabolic Reactions) 🍎, Why are living things different from one another? (Genetics) 🧬</v>
      </c>
      <c r="I12" s="71" t="str">
        <f>IFERROR(__xludf.DUMMYFUNCTION("""COMPUTED_VALUE"""),"cooking ")</f>
        <v>cooking </v>
      </c>
      <c r="J12" s="71" t="str">
        <f>IFERROR(__xludf.DUMMYFUNCTION("""COMPUTED_VALUE"""),"sports ")</f>
        <v>sports </v>
      </c>
      <c r="K12" s="71">
        <f>IFERROR(__xludf.DUMMYFUNCTION("""COMPUTED_VALUE"""),2.0)</f>
        <v>2</v>
      </c>
      <c r="L12" s="71">
        <f>IFERROR(__xludf.DUMMYFUNCTION("""COMPUTED_VALUE"""),3.0)</f>
        <v>3</v>
      </c>
      <c r="M12" s="71">
        <f>IFERROR(__xludf.DUMMYFUNCTION("""COMPUTED_VALUE"""),5.0)</f>
        <v>5</v>
      </c>
      <c r="N12" s="71">
        <f>IFERROR(__xludf.DUMMYFUNCTION("""COMPUTED_VALUE"""),4.0)</f>
        <v>4</v>
      </c>
      <c r="O12" s="71">
        <f>IFERROR(__xludf.DUMMYFUNCTION("""COMPUTED_VALUE"""),4.0)</f>
        <v>4</v>
      </c>
      <c r="P12" s="71">
        <f>IFERROR(__xludf.DUMMYFUNCTION("""COMPUTED_VALUE"""),4.0)</f>
        <v>4</v>
      </c>
      <c r="Q12" s="71">
        <f>IFERROR(__xludf.DUMMYFUNCTION("""COMPUTED_VALUE"""),5.0)</f>
        <v>5</v>
      </c>
      <c r="R12" s="71">
        <f>IFERROR(__xludf.DUMMYFUNCTION("""COMPUTED_VALUE"""),2.0)</f>
        <v>2</v>
      </c>
      <c r="S12" s="71">
        <f>IFERROR(__xludf.DUMMYFUNCTION("""COMPUTED_VALUE"""),4.0)</f>
        <v>4</v>
      </c>
      <c r="T12" s="71">
        <f>IFERROR(__xludf.DUMMYFUNCTION("""COMPUTED_VALUE"""),2.0)</f>
        <v>2</v>
      </c>
      <c r="U12" s="71">
        <f>IFERROR(__xludf.DUMMYFUNCTION("""COMPUTED_VALUE"""),5.0)</f>
        <v>5</v>
      </c>
      <c r="V12" s="71">
        <f>IFERROR(__xludf.DUMMYFUNCTION("""COMPUTED_VALUE"""),2.0)</f>
        <v>2</v>
      </c>
      <c r="W12" s="71">
        <f>IFERROR(__xludf.DUMMYFUNCTION("""COMPUTED_VALUE"""),4.0)</f>
        <v>4</v>
      </c>
      <c r="X12" s="71" t="str">
        <f>IFERROR(__xludf.DUMMYFUNCTION("""COMPUTED_VALUE"""),"Researches information and finds answers to questions., Builds the project or does the hands-on work., Takes notes, writes, and prepares the final presentation.")</f>
        <v>Researches information and finds answers to questions., Builds the project or does the hands-on work., Takes notes, writes, and prepares the final presentation.</v>
      </c>
      <c r="Y12" s="71" t="str">
        <f>IFERROR(__xludf.DUMMYFUNCTION("""COMPUTED_VALUE"""),"Listen to everyone's ideas and try to find a compromise that includes parts of each")</f>
        <v>Listen to everyone's ideas and try to find a compromise that includes parts of each</v>
      </c>
      <c r="Z12" s="71" t="str">
        <f>IFERROR(__xludf.DUMMYFUNCTION("""COMPUTED_VALUE"""),"letting me take the lead ")</f>
        <v>letting me take the lead </v>
      </c>
    </row>
    <row r="13">
      <c r="A13" s="128">
        <f>IFERROR(__xludf.DUMMYFUNCTION("""COMPUTED_VALUE"""),45887.61164886574)</f>
        <v>45887.61165</v>
      </c>
      <c r="B13" s="71" t="str">
        <f>IFERROR(__xludf.DUMMYFUNCTION("""COMPUTED_VALUE"""),"traci'ana.lewis@kairosacademies.org")</f>
        <v>traci'ana.lewis@kairosacademies.org</v>
      </c>
      <c r="C13" s="71" t="str">
        <f>IFERROR(__xludf.DUMMYFUNCTION("""COMPUTED_VALUE"""),"Traci'Ana Lewis")</f>
        <v>Traci'Ana Lewis</v>
      </c>
      <c r="D13" s="71" t="str">
        <f>IFERROR(__xludf.DUMMYFUNCTION("""COMPUTED_VALUE"""),"Traci")</f>
        <v>Traci</v>
      </c>
      <c r="E13" s="71" t="str">
        <f>IFERROR(__xludf.DUMMYFUNCTION("""COMPUTED_VALUE"""),"1) i have a dog. 2)i love sleeping . i wish my birthday would come faster")</f>
        <v>1) i have a dog. 2)i love sleeping . i wish my birthday would come faster</v>
      </c>
      <c r="F13" s="71" t="str">
        <f>IFERROR(__xludf.DUMMYFUNCTION("""COMPUTED_VALUE"""),"Doing a hands-on lab or experiment, Watching a video or live demonstration, Reading and taking notes")</f>
        <v>Doing a hands-on lab or experiment, Watching a video or live demonstration, Reading and taking notes</v>
      </c>
      <c r="G13" s="71" t="str">
        <f>IFERROR(__xludf.DUMMYFUNCTION("""COMPUTED_VALUE"""),"Explain the concept out loud to someone else, Create my own study guide or diagram")</f>
        <v>Explain the concept out loud to someone else, Create my own study guide or diagram</v>
      </c>
      <c r="H13" s="71" t="str">
        <f>IFERROR(__xludf.DUMMYFUNCTION("""COMPUTED_VALUE"""),"How can we make new materials? (Chemical Reactions) ⚗️, Why do things get damaged when they hit each other? (Contact Forces) 💥, Why are living things different from one another? (Genetics) 🧬")</f>
        <v>How can we make new materials? (Chemical Reactions) ⚗️, Why do things get damaged when they hit each other? (Contact Forces) 💥, Why are living things different from one another? (Genetics) 🧬</v>
      </c>
      <c r="I13" s="71" t="str">
        <f>IFERROR(__xludf.DUMMYFUNCTION("""COMPUTED_VALUE"""),"sleeping")</f>
        <v>sleeping</v>
      </c>
      <c r="J13" s="71" t="str">
        <f>IFERROR(__xludf.DUMMYFUNCTION("""COMPUTED_VALUE"""),"i can make my tounge into a 3 leaf clover")</f>
        <v>i can make my tounge into a 3 leaf clover</v>
      </c>
      <c r="K13" s="71">
        <f>IFERROR(__xludf.DUMMYFUNCTION("""COMPUTED_VALUE"""),3.0)</f>
        <v>3</v>
      </c>
      <c r="L13" s="71">
        <f>IFERROR(__xludf.DUMMYFUNCTION("""COMPUTED_VALUE"""),4.0)</f>
        <v>4</v>
      </c>
      <c r="M13" s="71">
        <f>IFERROR(__xludf.DUMMYFUNCTION("""COMPUTED_VALUE"""),5.0)</f>
        <v>5</v>
      </c>
      <c r="N13" s="71">
        <f>IFERROR(__xludf.DUMMYFUNCTION("""COMPUTED_VALUE"""),2.0)</f>
        <v>2</v>
      </c>
      <c r="O13" s="71">
        <f>IFERROR(__xludf.DUMMYFUNCTION("""COMPUTED_VALUE"""),2.0)</f>
        <v>2</v>
      </c>
      <c r="P13" s="71">
        <f>IFERROR(__xludf.DUMMYFUNCTION("""COMPUTED_VALUE"""),5.0)</f>
        <v>5</v>
      </c>
      <c r="Q13" s="71">
        <f>IFERROR(__xludf.DUMMYFUNCTION("""COMPUTED_VALUE"""),5.0)</f>
        <v>5</v>
      </c>
      <c r="R13" s="71">
        <f>IFERROR(__xludf.DUMMYFUNCTION("""COMPUTED_VALUE"""),5.0)</f>
        <v>5</v>
      </c>
      <c r="S13" s="71">
        <f>IFERROR(__xludf.DUMMYFUNCTION("""COMPUTED_VALUE"""),5.0)</f>
        <v>5</v>
      </c>
      <c r="T13" s="71">
        <f>IFERROR(__xludf.DUMMYFUNCTION("""COMPUTED_VALUE"""),4.0)</f>
        <v>4</v>
      </c>
      <c r="U13" s="71">
        <f>IFERROR(__xludf.DUMMYFUNCTION("""COMPUTED_VALUE"""),3.0)</f>
        <v>3</v>
      </c>
      <c r="V13" s="71">
        <f>IFERROR(__xludf.DUMMYFUNCTION("""COMPUTED_VALUE"""),1.0)</f>
        <v>1</v>
      </c>
      <c r="W13" s="71">
        <f>IFERROR(__xludf.DUMMYFUNCTION("""COMPUTED_VALUE"""),1.0)</f>
        <v>1</v>
      </c>
      <c r="X13" s="71" t="str">
        <f>IFERROR(__xludf.DUMMYFUNCTION("""COMPUTED_VALUE"""),"Builds the project or does the hands-on work., Takes notes, writes, and prepares the final presentation., Makes sure everyone feels included and helps solve disagreements.")</f>
        <v>Builds the project or does the hands-on work., Takes notes, writes, and prepares the final presentation., Makes sure everyone feels included and helps solve disagreements.</v>
      </c>
      <c r="Y13" s="71" t="str">
        <f>IFERROR(__xludf.DUMMYFUNCTION("""COMPUTED_VALUE"""),"Stay quiet and let the others figure it out")</f>
        <v>Stay quiet and let the others figure it out</v>
      </c>
      <c r="Z13" s="71" t="str">
        <f>IFERROR(__xludf.DUMMYFUNCTION("""COMPUTED_VALUE"""),"i like when people ask me questions")</f>
        <v>i like when people ask me questions</v>
      </c>
    </row>
    <row r="14">
      <c r="A14" s="128">
        <f>IFERROR(__xludf.DUMMYFUNCTION("""COMPUTED_VALUE"""),45887.61474262732)</f>
        <v>45887.61474</v>
      </c>
      <c r="B14" s="71" t="str">
        <f>IFERROR(__xludf.DUMMYFUNCTION("""COMPUTED_VALUE"""),"iyhanna.henderson@kairosacademies.org")</f>
        <v>iyhanna.henderson@kairosacademies.org</v>
      </c>
      <c r="C14" s="71" t="str">
        <f>IFERROR(__xludf.DUMMYFUNCTION("""COMPUTED_VALUE"""),"iyhanna henderson")</f>
        <v>iyhanna henderson</v>
      </c>
      <c r="D14" s="71" t="str">
        <f>IFERROR(__xludf.DUMMYFUNCTION("""COMPUTED_VALUE"""),"yanni")</f>
        <v>yanni</v>
      </c>
      <c r="E14" s="71" t="str">
        <f>IFERROR(__xludf.DUMMYFUNCTION("""COMPUTED_VALUE"""),"i like food and i like to run and i wish for a happy future")</f>
        <v>i like food and i like to run and i wish for a happy future</v>
      </c>
      <c r="F14" s="71" t="str">
        <f>IFERROR(__xludf.DUMMYFUNCTION("""COMPUTED_VALUE"""),"Doing a hands-on lab or experiment")</f>
        <v>Doing a hands-on lab or experiment</v>
      </c>
      <c r="G14" s="71" t="str">
        <f>IFERROR(__xludf.DUMMYFUNCTION("""COMPUTED_VALUE"""),"Review my notes and materials, Make and study flashcards")</f>
        <v>Review my notes and materials, Make and study flashcards</v>
      </c>
      <c r="H14" s="71" t="str">
        <f>IFERROR(__xludf.DUMMYFUNCTION("""COMPUTED_VALUE"""),"How can we make new materials? (Chemical Reactions) ⚗️, How do our bodies get energy from food? (Metabolic Reactions) 🍎, How does changing an ecosystem affect what lives there? (Ecosystem Dynamics) 🌿")</f>
        <v>How can we make new materials? (Chemical Reactions) ⚗️, How do our bodies get energy from food? (Metabolic Reactions) 🍎, How does changing an ecosystem affect what lives there? (Ecosystem Dynamics) 🌿</v>
      </c>
      <c r="I14" s="71" t="str">
        <f>IFERROR(__xludf.DUMMYFUNCTION("""COMPUTED_VALUE"""),"to eat seafood , playing roblox , running track , and sleeping")</f>
        <v>to eat seafood , playing roblox , running track , and sleeping</v>
      </c>
      <c r="J14" s="71" t="str">
        <f>IFERROR(__xludf.DUMMYFUNCTION("""COMPUTED_VALUE"""),"im good at eating the food on  my plate ")</f>
        <v>im good at eating the food on  my plate </v>
      </c>
      <c r="K14" s="71">
        <f>IFERROR(__xludf.DUMMYFUNCTION("""COMPUTED_VALUE"""),3.0)</f>
        <v>3</v>
      </c>
      <c r="L14" s="71">
        <f>IFERROR(__xludf.DUMMYFUNCTION("""COMPUTED_VALUE"""),3.0)</f>
        <v>3</v>
      </c>
      <c r="M14" s="71">
        <f>IFERROR(__xludf.DUMMYFUNCTION("""COMPUTED_VALUE"""),4.0)</f>
        <v>4</v>
      </c>
      <c r="N14" s="71">
        <f>IFERROR(__xludf.DUMMYFUNCTION("""COMPUTED_VALUE"""),2.0)</f>
        <v>2</v>
      </c>
      <c r="O14" s="71">
        <f>IFERROR(__xludf.DUMMYFUNCTION("""COMPUTED_VALUE"""),3.0)</f>
        <v>3</v>
      </c>
      <c r="P14" s="71">
        <f>IFERROR(__xludf.DUMMYFUNCTION("""COMPUTED_VALUE"""),1.0)</f>
        <v>1</v>
      </c>
      <c r="Q14" s="71">
        <f>IFERROR(__xludf.DUMMYFUNCTION("""COMPUTED_VALUE"""),5.0)</f>
        <v>5</v>
      </c>
      <c r="R14" s="71">
        <f>IFERROR(__xludf.DUMMYFUNCTION("""COMPUTED_VALUE"""),3.0)</f>
        <v>3</v>
      </c>
      <c r="S14" s="71">
        <f>IFERROR(__xludf.DUMMYFUNCTION("""COMPUTED_VALUE"""),5.0)</f>
        <v>5</v>
      </c>
      <c r="T14" s="71">
        <f>IFERROR(__xludf.DUMMYFUNCTION("""COMPUTED_VALUE"""),3.0)</f>
        <v>3</v>
      </c>
      <c r="U14" s="71">
        <f>IFERROR(__xludf.DUMMYFUNCTION("""COMPUTED_VALUE"""),5.0)</f>
        <v>5</v>
      </c>
      <c r="V14" s="71">
        <f>IFERROR(__xludf.DUMMYFUNCTION("""COMPUTED_VALUE"""),3.0)</f>
        <v>3</v>
      </c>
      <c r="W14" s="71">
        <f>IFERROR(__xludf.DUMMYFUNCTION("""COMPUTED_VALUE"""),4.0)</f>
        <v>4</v>
      </c>
      <c r="X14" s="71" t="str">
        <f>IFERROR(__xludf.DUMMYFUNCTION("""COMPUTED_VALUE"""),"Researches information and finds answers to questions., Takes notes, writes, and prepares the final presentation.")</f>
        <v>Researches information and finds answers to questions., Takes notes, writes, and prepares the final presentation.</v>
      </c>
      <c r="Y14" s="71" t="str">
        <f>IFERROR(__xludf.DUMMYFUNCTION("""COMPUTED_VALUE"""),"Listen to everyone's ideas and try to find a compromise that includes parts of each")</f>
        <v>Listen to everyone's ideas and try to find a compromise that includes parts of each</v>
      </c>
      <c r="Z14" s="71" t="str">
        <f>IFERROR(__xludf.DUMMYFUNCTION("""COMPUTED_VALUE"""),"by yelling")</f>
        <v>by yelling</v>
      </c>
    </row>
    <row r="15">
      <c r="A15" s="128">
        <f>IFERROR(__xludf.DUMMYFUNCTION("""COMPUTED_VALUE"""),45887.626220798615)</f>
        <v>45887.62622</v>
      </c>
      <c r="B15" s="71" t="str">
        <f>IFERROR(__xludf.DUMMYFUNCTION("""COMPUTED_VALUE"""),"david.heartfield@kairosacademies.org")</f>
        <v>david.heartfield@kairosacademies.org</v>
      </c>
      <c r="C15" s="71" t="str">
        <f>IFERROR(__xludf.DUMMYFUNCTION("""COMPUTED_VALUE"""),"david.lee.hartfield")</f>
        <v>david.lee.hartfield</v>
      </c>
      <c r="D15" s="71" t="str">
        <f>IFERROR(__xludf.DUMMYFUNCTION("""COMPUTED_VALUE"""),"david")</f>
        <v>david</v>
      </c>
      <c r="E15" s="71" t="str">
        <f>IFERROR(__xludf.DUMMYFUNCTION("""COMPUTED_VALUE"""),"i hope to be well known in the world and (1im athletic (2 i am actually smart.")</f>
        <v>i hope to be well known in the world and (1im athletic (2 i am actually smart.</v>
      </c>
      <c r="F15" s="71" t="str">
        <f>IFERROR(__xludf.DUMMYFUNCTION("""COMPUTED_VALUE"""),"Doing a hands-on lab or experiment")</f>
        <v>Doing a hands-on lab or experiment</v>
      </c>
      <c r="G15" s="71" t="str">
        <f>IFERROR(__xludf.DUMMYFUNCTION("""COMPUTED_VALUE"""),"Create my own study guide or diagram")</f>
        <v>Create my own study guide or diagram</v>
      </c>
      <c r="H15" s="71" t="str">
        <f>IFERROR(__xludf.DUMMYFUNCTION("""COMPUTED_VALUE"""),"How can we make new materials? (Chemical Reactions) ⚗️, How does changing an ecosystem affect what lives there? (Ecosystem Dynamics) 🌿, Why are living things different from one another? (Genetics) 🧬")</f>
        <v>How can we make new materials? (Chemical Reactions) ⚗️, How does changing an ecosystem affect what lives there? (Ecosystem Dynamics) 🌿, Why are living things different from one another? (Genetics) 🧬</v>
      </c>
      <c r="I15" s="71" t="str">
        <f>IFERROR(__xludf.DUMMYFUNCTION("""COMPUTED_VALUE"""),"i like gaming sports and i actually like reading ")</f>
        <v>i like gaming sports and i actually like reading </v>
      </c>
      <c r="J15" s="71" t="str">
        <f>IFERROR(__xludf.DUMMYFUNCTION("""COMPUTED_VALUE"""),"i have a fast reaction time and i can jump high ")</f>
        <v>i have a fast reaction time and i can jump high </v>
      </c>
      <c r="K15" s="71">
        <f>IFERROR(__xludf.DUMMYFUNCTION("""COMPUTED_VALUE"""),5.0)</f>
        <v>5</v>
      </c>
      <c r="L15" s="71">
        <f>IFERROR(__xludf.DUMMYFUNCTION("""COMPUTED_VALUE"""),5.0)</f>
        <v>5</v>
      </c>
      <c r="M15" s="71">
        <f>IFERROR(__xludf.DUMMYFUNCTION("""COMPUTED_VALUE"""),2.0)</f>
        <v>2</v>
      </c>
      <c r="N15" s="71">
        <f>IFERROR(__xludf.DUMMYFUNCTION("""COMPUTED_VALUE"""),3.0)</f>
        <v>3</v>
      </c>
      <c r="O15" s="71">
        <f>IFERROR(__xludf.DUMMYFUNCTION("""COMPUTED_VALUE"""),3.0)</f>
        <v>3</v>
      </c>
      <c r="P15" s="71">
        <f>IFERROR(__xludf.DUMMYFUNCTION("""COMPUTED_VALUE"""),3.0)</f>
        <v>3</v>
      </c>
      <c r="Q15" s="71">
        <f>IFERROR(__xludf.DUMMYFUNCTION("""COMPUTED_VALUE"""),4.0)</f>
        <v>4</v>
      </c>
      <c r="R15" s="71">
        <f>IFERROR(__xludf.DUMMYFUNCTION("""COMPUTED_VALUE"""),2.0)</f>
        <v>2</v>
      </c>
      <c r="S15" s="71">
        <f>IFERROR(__xludf.DUMMYFUNCTION("""COMPUTED_VALUE"""),5.0)</f>
        <v>5</v>
      </c>
      <c r="T15" s="71">
        <f>IFERROR(__xludf.DUMMYFUNCTION("""COMPUTED_VALUE"""),3.0)</f>
        <v>3</v>
      </c>
      <c r="U15" s="71">
        <f>IFERROR(__xludf.DUMMYFUNCTION("""COMPUTED_VALUE"""),5.0)</f>
        <v>5</v>
      </c>
      <c r="V15" s="71">
        <f>IFERROR(__xludf.DUMMYFUNCTION("""COMPUTED_VALUE"""),2.0)</f>
        <v>2</v>
      </c>
      <c r="W15" s="71">
        <f>IFERROR(__xludf.DUMMYFUNCTION("""COMPUTED_VALUE"""),2.0)</f>
        <v>2</v>
      </c>
      <c r="X15" s="71" t="str">
        <f>IFERROR(__xludf.DUMMYFUNCTION("""COMPUTED_VALUE"""),"Organizes the plan and keeps the team on task., Researches information and finds answers to questions., Makes sure everyone feels included and helps solve disagreements.")</f>
        <v>Organizes the plan and keeps the team on task., Researches information and finds answers to questions., Makes sure everyone feels included and helps solve disagreements.</v>
      </c>
      <c r="Y15" s="71" t="str">
        <f>IFERROR(__xludf.DUMMYFUNCTION("""COMPUTED_VALUE"""),"Listen to everyone's ideas and try to find a compromise that includes parts of each")</f>
        <v>Listen to everyone's ideas and try to find a compromise that includes parts of each</v>
      </c>
      <c r="Z15" s="71" t="str">
        <f>IFERROR(__xludf.DUMMYFUNCTION("""COMPUTED_VALUE"""),"asking me questions ")</f>
        <v>asking me questions </v>
      </c>
    </row>
    <row r="16">
      <c r="A16" s="128">
        <f>IFERROR(__xludf.DUMMYFUNCTION("""COMPUTED_VALUE"""),45887.61560282407)</f>
        <v>45887.6156</v>
      </c>
      <c r="B16" s="71" t="str">
        <f>IFERROR(__xludf.DUMMYFUNCTION("""COMPUTED_VALUE"""),"jayceon.lakes@kairosacademies.org")</f>
        <v>jayceon.lakes@kairosacademies.org</v>
      </c>
      <c r="C16" s="71" t="str">
        <f>IFERROR(__xludf.DUMMYFUNCTION("""COMPUTED_VALUE"""),"Jayceon lakes")</f>
        <v>Jayceon lakes</v>
      </c>
      <c r="D16" s="71" t="str">
        <f>IFERROR(__xludf.DUMMYFUNCTION("""COMPUTED_VALUE"""),"Jay")</f>
        <v>Jay</v>
      </c>
      <c r="E16" s="71" t="str">
        <f>IFERROR(__xludf.DUMMYFUNCTION("""COMPUTED_VALUE"""),"1 true thing is that I like my game 2 sleeping I wish I had a pc")</f>
        <v>1 true thing is that I like my game 2 sleeping I wish I had a pc</v>
      </c>
      <c r="F16" s="71" t="str">
        <f>IFERROR(__xludf.DUMMYFUNCTION("""COMPUTED_VALUE"""),"Watching a video or live demonstration, Discussing ideas with a small group, Listening to the teacher explain it")</f>
        <v>Watching a video or live demonstration, Discussing ideas with a small group, Listening to the teacher explain it</v>
      </c>
      <c r="G16" s="71" t="str">
        <f>IFERROR(__xludf.DUMMYFUNCTION("""COMPUTED_VALUE"""),"Review my notes and materials")</f>
        <v>Review my notes and materials</v>
      </c>
      <c r="H16" s="71" t="str">
        <f>IFERROR(__xludf.DUMMYFUNCTION("""COMPUTED_VALUE"""),"How can we make new materials? (Chemical Reactions) ⚗️, How do our bodies get energy from food? (Metabolic Reactions) 🍎, How does changing an ecosystem affect what lives there? (Ecosystem Dynamics) 🌿, Why do things get damaged when they hit each other? "&amp;"(Contact Forces) 💥, How can a magnet move something without touching it? (Forces at a Distance) 🧲, How are we connected to patterns in the sky? (Earth in Space) 🌍, Why are living things different from one another? (Genetics) 🧬")</f>
        <v>How can we make new materials? (Chemical Reactions) ⚗️, How do our bodies get energy from food? (Metabolic Reactions) 🍎, How does changing an ecosystem affect what lives there? (Ecosystem Dynamics) 🌿, Why do things get damaged when they hit each other? (Contact Forces) 💥, How can a magnet move something without touching it? (Forces at a Distance) 🧲, How are we connected to patterns in the sky? (Earth in Space) 🌍, Why are living things different from one another? (Genetics) 🧬</v>
      </c>
      <c r="I16" s="71" t="str">
        <f>IFERROR(__xludf.DUMMYFUNCTION("""COMPUTED_VALUE"""),"gaming sports and cooking")</f>
        <v>gaming sports and cooking</v>
      </c>
      <c r="J16" s="71" t="str">
        <f>IFERROR(__xludf.DUMMYFUNCTION("""COMPUTED_VALUE"""),"cooking")</f>
        <v>cooking</v>
      </c>
      <c r="K16" s="71">
        <f>IFERROR(__xludf.DUMMYFUNCTION("""COMPUTED_VALUE"""),4.0)</f>
        <v>4</v>
      </c>
      <c r="L16" s="71">
        <f>IFERROR(__xludf.DUMMYFUNCTION("""COMPUTED_VALUE"""),5.0)</f>
        <v>5</v>
      </c>
      <c r="M16" s="71">
        <f>IFERROR(__xludf.DUMMYFUNCTION("""COMPUTED_VALUE"""),1.0)</f>
        <v>1</v>
      </c>
      <c r="N16" s="71">
        <f>IFERROR(__xludf.DUMMYFUNCTION("""COMPUTED_VALUE"""),1.0)</f>
        <v>1</v>
      </c>
      <c r="O16" s="71">
        <f>IFERROR(__xludf.DUMMYFUNCTION("""COMPUTED_VALUE"""),5.0)</f>
        <v>5</v>
      </c>
      <c r="P16" s="71">
        <f>IFERROR(__xludf.DUMMYFUNCTION("""COMPUTED_VALUE"""),5.0)</f>
        <v>5</v>
      </c>
      <c r="Q16" s="71">
        <f>IFERROR(__xludf.DUMMYFUNCTION("""COMPUTED_VALUE"""),5.0)</f>
        <v>5</v>
      </c>
      <c r="R16" s="71">
        <f>IFERROR(__xludf.DUMMYFUNCTION("""COMPUTED_VALUE"""),4.0)</f>
        <v>4</v>
      </c>
      <c r="S16" s="71">
        <f>IFERROR(__xludf.DUMMYFUNCTION("""COMPUTED_VALUE"""),5.0)</f>
        <v>5</v>
      </c>
      <c r="T16" s="71">
        <f>IFERROR(__xludf.DUMMYFUNCTION("""COMPUTED_VALUE"""),5.0)</f>
        <v>5</v>
      </c>
      <c r="U16" s="71">
        <f>IFERROR(__xludf.DUMMYFUNCTION("""COMPUTED_VALUE"""),5.0)</f>
        <v>5</v>
      </c>
      <c r="V16" s="71">
        <f>IFERROR(__xludf.DUMMYFUNCTION("""COMPUTED_VALUE"""),5.0)</f>
        <v>5</v>
      </c>
      <c r="W16" s="71">
        <f>IFERROR(__xludf.DUMMYFUNCTION("""COMPUTED_VALUE"""),1.0)</f>
        <v>1</v>
      </c>
      <c r="X16" s="71" t="str">
        <f>IFERROR(__xludf.DUMMYFUNCTION("""COMPUTED_VALUE"""),"Organizes the plan and keeps the team on task.")</f>
        <v>Organizes the plan and keeps the team on task.</v>
      </c>
      <c r="Y16" s="71" t="str">
        <f>IFERROR(__xludf.DUMMYFUNCTION("""COMPUTED_VALUE"""),"Listen to everyone's ideas and try to find a compromise that includes parts of each")</f>
        <v>Listen to everyone's ideas and try to find a compromise that includes parts of each</v>
      </c>
      <c r="Z16" s="71" t="str">
        <f>IFERROR(__xludf.DUMMYFUNCTION("""COMPUTED_VALUE"""),"nothing")</f>
        <v>nothing</v>
      </c>
    </row>
    <row r="17">
      <c r="A17" s="128">
        <f>IFERROR(__xludf.DUMMYFUNCTION("""COMPUTED_VALUE"""),45887.61603319444)</f>
        <v>45887.61603</v>
      </c>
      <c r="B17" s="71" t="str">
        <f>IFERROR(__xludf.DUMMYFUNCTION("""COMPUTED_VALUE"""),"haylee.wadley@kairosacademies.org")</f>
        <v>haylee.wadley@kairosacademies.org</v>
      </c>
      <c r="C17" s="71" t="str">
        <f>IFERROR(__xludf.DUMMYFUNCTION("""COMPUTED_VALUE"""),"leon wadley")</f>
        <v>leon wadley</v>
      </c>
      <c r="D17" s="71" t="str">
        <f>IFERROR(__xludf.DUMMYFUNCTION("""COMPUTED_VALUE"""),"leon ")</f>
        <v>leon </v>
      </c>
      <c r="E17" s="71" t="str">
        <f>IFERROR(__xludf.DUMMYFUNCTION("""COMPUTED_VALUE""")," i'm  family friends with a famous drifter , my middle  name is a car (elanore) other how ever u spell it, and I want to learn human anatomy and yeah:)")</f>
        <v> i'm  family friends with a famous drifter , my middle  name is a car (elanore) other how ever u spell it, and I want to learn human anatomy and yeah:)</v>
      </c>
      <c r="F17" s="71" t="str">
        <f>IFERROR(__xludf.DUMMYFUNCTION("""COMPUTED_VALUE"""),"Doing a hands-on lab or experiment, Reading and taking notes, Drawing a model or diagram")</f>
        <v>Doing a hands-on lab or experiment, Reading and taking notes, Drawing a model or diagram</v>
      </c>
      <c r="G17" s="71" t="str">
        <f>IFERROR(__xludf.DUMMYFUNCTION("""COMPUTED_VALUE"""),"Review my notes and materials, Do practice problems or worksheets")</f>
        <v>Review my notes and materials, Do practice problems or worksheets</v>
      </c>
      <c r="H17" s="71" t="str">
        <f>IFERROR(__xludf.DUMMYFUNCTION("""COMPUTED_VALUE"""),"Why do things get damaged when they hit each other? (Contact Forces) 💥, How are we connected to patterns in the sky? (Earth in Space) 🌍")</f>
        <v>Why do things get damaged when they hit each other? (Contact Forces) 💥, How are we connected to patterns in the sky? (Earth in Space) 🌍</v>
      </c>
      <c r="I17" s="71" t="str">
        <f>IFERROR(__xludf.DUMMYFUNCTION("""COMPUTED_VALUE"""),"drawing, calling friends, being alone, going out to events")</f>
        <v>drawing, calling friends, being alone, going out to events</v>
      </c>
      <c r="J17" s="71" t="str">
        <f>IFERROR(__xludf.DUMMYFUNCTION("""COMPUTED_VALUE"""),"taking care of dogs, ")</f>
        <v>taking care of dogs, </v>
      </c>
      <c r="K17" s="71">
        <f>IFERROR(__xludf.DUMMYFUNCTION("""COMPUTED_VALUE"""),3.0)</f>
        <v>3</v>
      </c>
      <c r="L17" s="71">
        <f>IFERROR(__xludf.DUMMYFUNCTION("""COMPUTED_VALUE"""),1.0)</f>
        <v>1</v>
      </c>
      <c r="M17" s="71">
        <f>IFERROR(__xludf.DUMMYFUNCTION("""COMPUTED_VALUE"""),2.0)</f>
        <v>2</v>
      </c>
      <c r="N17" s="71">
        <f>IFERROR(__xludf.DUMMYFUNCTION("""COMPUTED_VALUE"""),2.0)</f>
        <v>2</v>
      </c>
      <c r="O17" s="71">
        <f>IFERROR(__xludf.DUMMYFUNCTION("""COMPUTED_VALUE"""),2.0)</f>
        <v>2</v>
      </c>
      <c r="P17" s="71">
        <f>IFERROR(__xludf.DUMMYFUNCTION("""COMPUTED_VALUE"""),4.0)</f>
        <v>4</v>
      </c>
      <c r="Q17" s="71">
        <f>IFERROR(__xludf.DUMMYFUNCTION("""COMPUTED_VALUE"""),3.0)</f>
        <v>3</v>
      </c>
      <c r="R17" s="71">
        <f>IFERROR(__xludf.DUMMYFUNCTION("""COMPUTED_VALUE"""),3.0)</f>
        <v>3</v>
      </c>
      <c r="S17" s="71">
        <f>IFERROR(__xludf.DUMMYFUNCTION("""COMPUTED_VALUE"""),3.0)</f>
        <v>3</v>
      </c>
      <c r="T17" s="71">
        <f>IFERROR(__xludf.DUMMYFUNCTION("""COMPUTED_VALUE"""),2.0)</f>
        <v>2</v>
      </c>
      <c r="U17" s="71">
        <f>IFERROR(__xludf.DUMMYFUNCTION("""COMPUTED_VALUE"""),3.0)</f>
        <v>3</v>
      </c>
      <c r="V17" s="71">
        <f>IFERROR(__xludf.DUMMYFUNCTION("""COMPUTED_VALUE"""),2.0)</f>
        <v>2</v>
      </c>
      <c r="W17" s="71">
        <f>IFERROR(__xludf.DUMMYFUNCTION("""COMPUTED_VALUE"""),3.0)</f>
        <v>3</v>
      </c>
      <c r="X17" s="71" t="str">
        <f>IFERROR(__xludf.DUMMYFUNCTION("""COMPUTED_VALUE"""),"Builds the project or does the hands-on work.")</f>
        <v>Builds the project or does the hands-on work.</v>
      </c>
      <c r="Y17" s="71" t="str">
        <f>IFERROR(__xludf.DUMMYFUNCTION("""COMPUTED_VALUE"""),"Stay quiet and let the others figure it out")</f>
        <v>Stay quiet and let the others figure it out</v>
      </c>
      <c r="Z17" s="71" t="str">
        <f>IFERROR(__xludf.DUMMYFUNCTION("""COMPUTED_VALUE"""),"being gave tasks and fairly spilting how much work we do seprertly")</f>
        <v>being gave tasks and fairly spilting how much work we do seprertly</v>
      </c>
    </row>
    <row r="18">
      <c r="A18" s="128">
        <f>IFERROR(__xludf.DUMMYFUNCTION("""COMPUTED_VALUE"""),45887.6175122338)</f>
        <v>45887.61751</v>
      </c>
      <c r="B18" s="71" t="str">
        <f>IFERROR(__xludf.DUMMYFUNCTION("""COMPUTED_VALUE"""),"myka.blassingame@kairosacademies.org")</f>
        <v>myka.blassingame@kairosacademies.org</v>
      </c>
      <c r="C18" s="71" t="str">
        <f>IFERROR(__xludf.DUMMYFUNCTION("""COMPUTED_VALUE"""),"Myka")</f>
        <v>Myka</v>
      </c>
      <c r="D18" s="71"/>
      <c r="E18" s="71" t="str">
        <f>IFERROR(__xludf.DUMMYFUNCTION("""COMPUTED_VALUE"""),"i was the smartest in science last year i learn fast i wish i would be able to beat my teacher in a game with science in it like a seventh grade science game!")</f>
        <v>i was the smartest in science last year i learn fast i wish i would be able to beat my teacher in a game with science in it like a seventh grade science game!</v>
      </c>
      <c r="F18" s="71" t="str">
        <f>IFERROR(__xludf.DUMMYFUNCTION("""COMPUTED_VALUE"""),"Doing a hands-on lab or experiment, Reading and taking notes, Drawing a model or diagram, Listening to the teacher explain it")</f>
        <v>Doing a hands-on lab or experiment, Reading and taking notes, Drawing a model or diagram, Listening to the teacher explain it</v>
      </c>
      <c r="G18" s="71" t="str">
        <f>IFERROR(__xludf.DUMMYFUNCTION("""COMPUTED_VALUE"""),"Review my notes and materials, Do practice problems or worksheets")</f>
        <v>Review my notes and materials, Do practice problems or worksheets</v>
      </c>
      <c r="H18" s="71" t="str">
        <f>IFERROR(__xludf.DUMMYFUNCTION("""COMPUTED_VALUE"""),"How can we make new materials? (Chemical Reactions) ⚗️, How are we connected to patterns in the sky? (Earth in Space) 🌍, Why are living things different from one another? (Genetics) 🧬")</f>
        <v>How can we make new materials? (Chemical Reactions) ⚗️, How are we connected to patterns in the sky? (Earth in Space) 🌍, Why are living things different from one another? (Genetics) 🧬</v>
      </c>
      <c r="I18" s="71" t="str">
        <f>IFERROR(__xludf.DUMMYFUNCTION("""COMPUTED_VALUE"""),"gaming sleeping ")</f>
        <v>gaming sleeping </v>
      </c>
      <c r="J18" s="71" t="str">
        <f>IFERROR(__xludf.DUMMYFUNCTION("""COMPUTED_VALUE"""),"gaming because it would help me make decisive plans and solve problems to win in the game and in science")</f>
        <v>gaming because it would help me make decisive plans and solve problems to win in the game and in science</v>
      </c>
      <c r="K18" s="71">
        <f>IFERROR(__xludf.DUMMYFUNCTION("""COMPUTED_VALUE"""),4.0)</f>
        <v>4</v>
      </c>
      <c r="L18" s="71">
        <f>IFERROR(__xludf.DUMMYFUNCTION("""COMPUTED_VALUE"""),5.0)</f>
        <v>5</v>
      </c>
      <c r="M18" s="71">
        <f>IFERROR(__xludf.DUMMYFUNCTION("""COMPUTED_VALUE"""),4.0)</f>
        <v>4</v>
      </c>
      <c r="N18" s="71">
        <f>IFERROR(__xludf.DUMMYFUNCTION("""COMPUTED_VALUE"""),4.0)</f>
        <v>4</v>
      </c>
      <c r="O18" s="71">
        <f>IFERROR(__xludf.DUMMYFUNCTION("""COMPUTED_VALUE"""),5.0)</f>
        <v>5</v>
      </c>
      <c r="P18" s="71">
        <f>IFERROR(__xludf.DUMMYFUNCTION("""COMPUTED_VALUE"""),5.0)</f>
        <v>5</v>
      </c>
      <c r="Q18" s="71">
        <f>IFERROR(__xludf.DUMMYFUNCTION("""COMPUTED_VALUE"""),5.0)</f>
        <v>5</v>
      </c>
      <c r="R18" s="71">
        <f>IFERROR(__xludf.DUMMYFUNCTION("""COMPUTED_VALUE"""),5.0)</f>
        <v>5</v>
      </c>
      <c r="S18" s="71">
        <f>IFERROR(__xludf.DUMMYFUNCTION("""COMPUTED_VALUE"""),5.0)</f>
        <v>5</v>
      </c>
      <c r="T18" s="71">
        <f>IFERROR(__xludf.DUMMYFUNCTION("""COMPUTED_VALUE"""),5.0)</f>
        <v>5</v>
      </c>
      <c r="U18" s="71">
        <f>IFERROR(__xludf.DUMMYFUNCTION("""COMPUTED_VALUE"""),4.0)</f>
        <v>4</v>
      </c>
      <c r="V18" s="71">
        <f>IFERROR(__xludf.DUMMYFUNCTION("""COMPUTED_VALUE"""),5.0)</f>
        <v>5</v>
      </c>
      <c r="W18" s="71">
        <f>IFERROR(__xludf.DUMMYFUNCTION("""COMPUTED_VALUE"""),4.0)</f>
        <v>4</v>
      </c>
      <c r="X18" s="71" t="str">
        <f>IFERROR(__xludf.DUMMYFUNCTION("""COMPUTED_VALUE"""),"Researches information and finds answers to questions., Builds the project or does the hands-on work., Takes notes, writes, and prepares the final presentation., Makes sure everyone feels included and helps solve disagreements.")</f>
        <v>Researches information and finds answers to questions., Builds the project or does the hands-on work., Takes notes, writes, and prepares the final presentation., Makes sure everyone feels included and helps solve disagreements.</v>
      </c>
      <c r="Y18" s="71" t="str">
        <f>IFERROR(__xludf.DUMMYFUNCTION("""COMPUTED_VALUE"""),"Listen to everyone's ideas and try to find a compromise that includes parts of each")</f>
        <v>Listen to everyone's ideas and try to find a compromise that includes parts of each</v>
      </c>
      <c r="Z18" s="71" t="str">
        <f>IFERROR(__xludf.DUMMYFUNCTION("""COMPUTED_VALUE"""),"i would help people on what there stuck on in my group so i can then share")</f>
        <v>i would help people on what there stuck on in my group so i can then share</v>
      </c>
    </row>
    <row r="19">
      <c r="A19" s="128">
        <f>IFERROR(__xludf.DUMMYFUNCTION("""COMPUTED_VALUE"""),45890.61558708333)</f>
        <v>45890.61559</v>
      </c>
      <c r="B19" s="71" t="str">
        <f>IFERROR(__xludf.DUMMYFUNCTION("""COMPUTED_VALUE"""),"maleek.newland@kairosacademies.org")</f>
        <v>maleek.newland@kairosacademies.org</v>
      </c>
      <c r="C19" s="71" t="str">
        <f>IFERROR(__xludf.DUMMYFUNCTION("""COMPUTED_VALUE"""),"maleek newland ")</f>
        <v>maleek newland </v>
      </c>
      <c r="D19" s="71" t="str">
        <f>IFERROR(__xludf.DUMMYFUNCTION("""COMPUTED_VALUE"""),"maleek")</f>
        <v>maleek</v>
      </c>
      <c r="E19" s="71" t="str">
        <f>IFERROR(__xludf.DUMMYFUNCTION("""COMPUTED_VALUE"""),"i have i ps 5 i play football learn about the person body ")</f>
        <v>i have i ps 5 i play football learn about the person body </v>
      </c>
      <c r="F19" s="71" t="str">
        <f>IFERROR(__xludf.DUMMYFUNCTION("""COMPUTED_VALUE"""),"Doing a hands-on lab or experiment")</f>
        <v>Doing a hands-on lab or experiment</v>
      </c>
      <c r="G19" s="71" t="str">
        <f>IFERROR(__xludf.DUMMYFUNCTION("""COMPUTED_VALUE"""),"Review my notes and materials")</f>
        <v>Review my notes and materials</v>
      </c>
      <c r="H19" s="71" t="str">
        <f>IFERROR(__xludf.DUMMYFUNCTION("""COMPUTED_VALUE"""),"How can we make new materials? (Chemical Reactions) ⚗️, How do our bodies get energy from food? (Metabolic Reactions) 🍎")</f>
        <v>How can we make new materials? (Chemical Reactions) ⚗️, How do our bodies get energy from food? (Metabolic Reactions) 🍎</v>
      </c>
      <c r="I19" s="71" t="str">
        <f>IFERROR(__xludf.DUMMYFUNCTION("""COMPUTED_VALUE"""),"cooking ")</f>
        <v>cooking </v>
      </c>
      <c r="J19" s="71" t="str">
        <f>IFERROR(__xludf.DUMMYFUNCTION("""COMPUTED_VALUE"""),"cutting grass ")</f>
        <v>cutting grass </v>
      </c>
      <c r="K19" s="71">
        <f>IFERROR(__xludf.DUMMYFUNCTION("""COMPUTED_VALUE"""),3.0)</f>
        <v>3</v>
      </c>
      <c r="L19" s="71">
        <f>IFERROR(__xludf.DUMMYFUNCTION("""COMPUTED_VALUE"""),3.0)</f>
        <v>3</v>
      </c>
      <c r="M19" s="71">
        <f>IFERROR(__xludf.DUMMYFUNCTION("""COMPUTED_VALUE"""),3.0)</f>
        <v>3</v>
      </c>
      <c r="N19" s="71">
        <f>IFERROR(__xludf.DUMMYFUNCTION("""COMPUTED_VALUE"""),3.0)</f>
        <v>3</v>
      </c>
      <c r="O19" s="71">
        <f>IFERROR(__xludf.DUMMYFUNCTION("""COMPUTED_VALUE"""),5.0)</f>
        <v>5</v>
      </c>
      <c r="P19" s="71">
        <f>IFERROR(__xludf.DUMMYFUNCTION("""COMPUTED_VALUE"""),4.0)</f>
        <v>4</v>
      </c>
      <c r="Q19" s="71">
        <f>IFERROR(__xludf.DUMMYFUNCTION("""COMPUTED_VALUE"""),3.0)</f>
        <v>3</v>
      </c>
      <c r="R19" s="71">
        <f>IFERROR(__xludf.DUMMYFUNCTION("""COMPUTED_VALUE"""),3.0)</f>
        <v>3</v>
      </c>
      <c r="S19" s="71">
        <f>IFERROR(__xludf.DUMMYFUNCTION("""COMPUTED_VALUE"""),5.0)</f>
        <v>5</v>
      </c>
      <c r="T19" s="71">
        <f>IFERROR(__xludf.DUMMYFUNCTION("""COMPUTED_VALUE"""),3.0)</f>
        <v>3</v>
      </c>
      <c r="U19" s="71">
        <f>IFERROR(__xludf.DUMMYFUNCTION("""COMPUTED_VALUE"""),2.0)</f>
        <v>2</v>
      </c>
      <c r="V19" s="71">
        <f>IFERROR(__xludf.DUMMYFUNCTION("""COMPUTED_VALUE"""),3.0)</f>
        <v>3</v>
      </c>
      <c r="W19" s="71">
        <f>IFERROR(__xludf.DUMMYFUNCTION("""COMPUTED_VALUE"""),3.0)</f>
        <v>3</v>
      </c>
      <c r="X19" s="71" t="str">
        <f>IFERROR(__xludf.DUMMYFUNCTION("""COMPUTED_VALUE"""),"Researches information and finds answers to questions.")</f>
        <v>Researches information and finds answers to questions.</v>
      </c>
      <c r="Y19" s="71" t="str">
        <f>IFERROR(__xludf.DUMMYFUNCTION("""COMPUTED_VALUE"""),"Listen to everyone's ideas and try to find a compromise that includes parts of each")</f>
        <v>Listen to everyone's ideas and try to find a compromise that includes parts of each</v>
      </c>
      <c r="Z19" s="71" t="str">
        <f>IFERROR(__xludf.DUMMYFUNCTION("""COMPUTED_VALUE"""),"talking to all the people")</f>
        <v>talking to all the people</v>
      </c>
    </row>
    <row r="20">
      <c r="A20" s="128">
        <f>IFERROR(__xludf.DUMMYFUNCTION("""COMPUTED_VALUE"""),45887.62154939814)</f>
        <v>45887.62155</v>
      </c>
      <c r="B20" s="71" t="str">
        <f>IFERROR(__xludf.DUMMYFUNCTION("""COMPUTED_VALUE"""),"mckenzie.holt@kairosacademies.org")</f>
        <v>mckenzie.holt@kairosacademies.org</v>
      </c>
      <c r="C20" s="71" t="str">
        <f>IFERROR(__xludf.DUMMYFUNCTION("""COMPUTED_VALUE"""),"Mckenzie Elizabeth holt")</f>
        <v>Mckenzie Elizabeth holt</v>
      </c>
      <c r="D20" s="71" t="str">
        <f>IFERROR(__xludf.DUMMYFUNCTION("""COMPUTED_VALUE"""),"Kenzie")</f>
        <v>Kenzie</v>
      </c>
      <c r="E20" s="71" t="str">
        <f>IFERROR(__xludf.DUMMYFUNCTION("""COMPUTED_VALUE"""),"1: I love drawing 2: I am a gamer 3[wish]: i wish I could find out how black holes are made")</f>
        <v>1: I love drawing 2: I am a gamer 3[wish]: i wish I could find out how black holes are made</v>
      </c>
      <c r="F20" s="71" t="str">
        <f>IFERROR(__xludf.DUMMYFUNCTION("""COMPUTED_VALUE"""),"Doing a hands-on lab or experiment, Watching a video or live demonstration, Reading and taking notes, Drawing a model or diagram, Listening to the teacher explain it")</f>
        <v>Doing a hands-on lab or experiment, Watching a video or live demonstration, Reading and taking notes, Drawing a model or diagram, Listening to the teacher explain it</v>
      </c>
      <c r="G20" s="71" t="str">
        <f>IFERROR(__xludf.DUMMYFUNCTION("""COMPUTED_VALUE"""),"Review my notes and materials, Make and study flashcards, Create my own study guide or diagram")</f>
        <v>Review my notes and materials, Make and study flashcards, Create my own study guide or diagram</v>
      </c>
      <c r="H20" s="71" t="str">
        <f>IFERROR(__xludf.DUMMYFUNCTION("""COMPUTED_VALUE"""),"How can we make new materials? (Chemical Reactions) ⚗️, How does changing an ecosystem affect what lives there? (Ecosystem Dynamics) 🌿, How are we connected to patterns in the sky? (Earth in Space) 🌍, Why are living things different from one another? (G"&amp;"enetics) 🧬")</f>
        <v>How can we make new materials? (Chemical Reactions) ⚗️, How does changing an ecosystem affect what lives there? (Ecosystem Dynamics) 🌿, How are we connected to patterns in the sky? (Earth in Space) 🌍, Why are living things different from one another? (Genetics) 🧬</v>
      </c>
      <c r="I20" s="71" t="str">
        <f>IFERROR(__xludf.DUMMYFUNCTION("""COMPUTED_VALUE"""),"I like drawing, gaming, coffee, hanging with friends and family etc.")</f>
        <v>I like drawing, gaming, coffee, hanging with friends and family etc.</v>
      </c>
      <c r="J20" s="71" t="str">
        <f>IFERROR(__xludf.DUMMYFUNCTION("""COMPUTED_VALUE"""),"I'm great at animals species, which connects to the food chain the the ecosystems of earth.")</f>
        <v>I'm great at animals species, which connects to the food chain the the ecosystems of earth.</v>
      </c>
      <c r="K20" s="71">
        <f>IFERROR(__xludf.DUMMYFUNCTION("""COMPUTED_VALUE"""),3.0)</f>
        <v>3</v>
      </c>
      <c r="L20" s="71">
        <f>IFERROR(__xludf.DUMMYFUNCTION("""COMPUTED_VALUE"""),5.0)</f>
        <v>5</v>
      </c>
      <c r="M20" s="71">
        <f>IFERROR(__xludf.DUMMYFUNCTION("""COMPUTED_VALUE"""),2.0)</f>
        <v>2</v>
      </c>
      <c r="N20" s="71">
        <f>IFERROR(__xludf.DUMMYFUNCTION("""COMPUTED_VALUE"""),3.0)</f>
        <v>3</v>
      </c>
      <c r="O20" s="71">
        <f>IFERROR(__xludf.DUMMYFUNCTION("""COMPUTED_VALUE"""),5.0)</f>
        <v>5</v>
      </c>
      <c r="P20" s="71">
        <f>IFERROR(__xludf.DUMMYFUNCTION("""COMPUTED_VALUE"""),4.0)</f>
        <v>4</v>
      </c>
      <c r="Q20" s="71">
        <f>IFERROR(__xludf.DUMMYFUNCTION("""COMPUTED_VALUE"""),5.0)</f>
        <v>5</v>
      </c>
      <c r="R20" s="71">
        <f>IFERROR(__xludf.DUMMYFUNCTION("""COMPUTED_VALUE"""),5.0)</f>
        <v>5</v>
      </c>
      <c r="S20" s="71">
        <f>IFERROR(__xludf.DUMMYFUNCTION("""COMPUTED_VALUE"""),4.0)</f>
        <v>4</v>
      </c>
      <c r="T20" s="71">
        <f>IFERROR(__xludf.DUMMYFUNCTION("""COMPUTED_VALUE"""),4.0)</f>
        <v>4</v>
      </c>
      <c r="U20" s="71">
        <f>IFERROR(__xludf.DUMMYFUNCTION("""COMPUTED_VALUE"""),3.0)</f>
        <v>3</v>
      </c>
      <c r="V20" s="71">
        <f>IFERROR(__xludf.DUMMYFUNCTION("""COMPUTED_VALUE"""),3.0)</f>
        <v>3</v>
      </c>
      <c r="W20" s="71">
        <f>IFERROR(__xludf.DUMMYFUNCTION("""COMPUTED_VALUE"""),4.0)</f>
        <v>4</v>
      </c>
      <c r="X20" s="71" t="str">
        <f>IFERROR(__xludf.DUMMYFUNCTION("""COMPUTED_VALUE"""),"Organizes the plan and keeps the team on task., Researches information and finds answers to questions., Takes notes, writes, and prepares the final presentation., Makes sure everyone feels included and helps solve disagreements.")</f>
        <v>Organizes the plan and keeps the team on task., Researches information and finds answers to questions., Takes notes, writes, and prepares the final presentation., Makes sure everyone feels included and helps solve disagreements.</v>
      </c>
      <c r="Y20" s="71" t="str">
        <f>IFERROR(__xludf.DUMMYFUNCTION("""COMPUTED_VALUE"""),"Listen to everyone's ideas and try to find a compromise that includes parts of each")</f>
        <v>Listen to everyone's ideas and try to find a compromise that includes parts of each</v>
      </c>
      <c r="Z20" s="71" t="str">
        <f>IFERROR(__xludf.DUMMYFUNCTION("""COMPUTED_VALUE"""),"i prefer to ask the questions but listen to others ideas and answer the ones that have questions.")</f>
        <v>i prefer to ask the questions but listen to others ideas and answer the ones that have questions.</v>
      </c>
    </row>
    <row r="21">
      <c r="A21" s="128">
        <f>IFERROR(__xludf.DUMMYFUNCTION("""COMPUTED_VALUE"""),45887.61955502315)</f>
        <v>45887.61956</v>
      </c>
      <c r="B21" s="71" t="str">
        <f>IFERROR(__xludf.DUMMYFUNCTION("""COMPUTED_VALUE"""),"austin.cosey@kairosacademies.org")</f>
        <v>austin.cosey@kairosacademies.org</v>
      </c>
      <c r="C21" s="71" t="str">
        <f>IFERROR(__xludf.DUMMYFUNCTION("""COMPUTED_VALUE"""),"Austin cosey")</f>
        <v>Austin cosey</v>
      </c>
      <c r="D21" s="71" t="str">
        <f>IFERROR(__xludf.DUMMYFUNCTION("""COMPUTED_VALUE"""),"AJ")</f>
        <v>AJ</v>
      </c>
      <c r="E21" s="71" t="str">
        <f>IFERROR(__xludf.DUMMYFUNCTION("""COMPUTED_VALUE"""),"i love my game and i love my sleep i wish for a suron. ")</f>
        <v>i love my game and i love my sleep i wish for a suron. </v>
      </c>
      <c r="F21" s="71" t="str">
        <f>IFERROR(__xludf.DUMMYFUNCTION("""COMPUTED_VALUE"""),"Doing a hands-on lab or experiment, Discussing ideas with a small group")</f>
        <v>Doing a hands-on lab or experiment, Discussing ideas with a small group</v>
      </c>
      <c r="G21" s="71" t="str">
        <f>IFERROR(__xludf.DUMMYFUNCTION("""COMPUTED_VALUE"""),"Review my notes and materials")</f>
        <v>Review my notes and materials</v>
      </c>
      <c r="H21" s="71" t="str">
        <f>IFERROR(__xludf.DUMMYFUNCTION("""COMPUTED_VALUE"""),"How can we make new materials? (Chemical Reactions) ⚗️, How do our bodies get energy from food? (Metabolic Reactions) 🍎, Why are living things different from one another? (Genetics) 🧬")</f>
        <v>How can we make new materials? (Chemical Reactions) ⚗️, How do our bodies get energy from food? (Metabolic Reactions) 🍎, Why are living things different from one another? (Genetics) 🧬</v>
      </c>
      <c r="I21" s="71" t="str">
        <f>IFERROR(__xludf.DUMMYFUNCTION("""COMPUTED_VALUE"""),"rideing ebike ")</f>
        <v>rideing ebike </v>
      </c>
      <c r="J21" s="71" t="str">
        <f>IFERROR(__xludf.DUMMYFUNCTION("""COMPUTED_VALUE"""),"being a good a cook er
and bieng good with babies")</f>
        <v>being a good a cook er
and bieng good with babies</v>
      </c>
      <c r="K21" s="71">
        <f>IFERROR(__xludf.DUMMYFUNCTION("""COMPUTED_VALUE"""),4.0)</f>
        <v>4</v>
      </c>
      <c r="L21" s="71">
        <f>IFERROR(__xludf.DUMMYFUNCTION("""COMPUTED_VALUE"""),5.0)</f>
        <v>5</v>
      </c>
      <c r="M21" s="71">
        <f>IFERROR(__xludf.DUMMYFUNCTION("""COMPUTED_VALUE"""),4.0)</f>
        <v>4</v>
      </c>
      <c r="N21" s="71">
        <f>IFERROR(__xludf.DUMMYFUNCTION("""COMPUTED_VALUE"""),3.0)</f>
        <v>3</v>
      </c>
      <c r="O21" s="71">
        <f>IFERROR(__xludf.DUMMYFUNCTION("""COMPUTED_VALUE"""),2.0)</f>
        <v>2</v>
      </c>
      <c r="P21" s="71">
        <f>IFERROR(__xludf.DUMMYFUNCTION("""COMPUTED_VALUE"""),3.0)</f>
        <v>3</v>
      </c>
      <c r="Q21" s="71">
        <f>IFERROR(__xludf.DUMMYFUNCTION("""COMPUTED_VALUE"""),2.0)</f>
        <v>2</v>
      </c>
      <c r="R21" s="71">
        <f>IFERROR(__xludf.DUMMYFUNCTION("""COMPUTED_VALUE"""),4.0)</f>
        <v>4</v>
      </c>
      <c r="S21" s="71">
        <f>IFERROR(__xludf.DUMMYFUNCTION("""COMPUTED_VALUE"""),5.0)</f>
        <v>5</v>
      </c>
      <c r="T21" s="71">
        <f>IFERROR(__xludf.DUMMYFUNCTION("""COMPUTED_VALUE"""),3.0)</f>
        <v>3</v>
      </c>
      <c r="U21" s="71">
        <f>IFERROR(__xludf.DUMMYFUNCTION("""COMPUTED_VALUE"""),1.0)</f>
        <v>1</v>
      </c>
      <c r="V21" s="71">
        <f>IFERROR(__xludf.DUMMYFUNCTION("""COMPUTED_VALUE"""),1.0)</f>
        <v>1</v>
      </c>
      <c r="W21" s="71">
        <f>IFERROR(__xludf.DUMMYFUNCTION("""COMPUTED_VALUE"""),1.0)</f>
        <v>1</v>
      </c>
      <c r="X21" s="71" t="str">
        <f>IFERROR(__xludf.DUMMYFUNCTION("""COMPUTED_VALUE"""),"Researches information and finds answers to questions., Makes sure everyone feels included and helps solve disagreements.")</f>
        <v>Researches information and finds answers to questions., Makes sure everyone feels included and helps solve disagreements.</v>
      </c>
      <c r="Y21" s="71" t="str">
        <f>IFERROR(__xludf.DUMMYFUNCTION("""COMPUTED_VALUE"""),"Stay quiet and let the others figure it out")</f>
        <v>Stay quiet and let the others figure it out</v>
      </c>
      <c r="Z21" s="71" t="str">
        <f>IFERROR(__xludf.DUMMYFUNCTION("""COMPUTED_VALUE"""),"say excues me to t alk")</f>
        <v>say excues me to t alk</v>
      </c>
    </row>
    <row r="22">
      <c r="A22" s="128">
        <f>IFERROR(__xludf.DUMMYFUNCTION("""COMPUTED_VALUE"""),45887.62258224536)</f>
        <v>45887.62258</v>
      </c>
      <c r="B22" s="71" t="str">
        <f>IFERROR(__xludf.DUMMYFUNCTION("""COMPUTED_VALUE"""),"soren.poe@kairosacademies.org")</f>
        <v>soren.poe@kairosacademies.org</v>
      </c>
      <c r="C22" s="71" t="str">
        <f>IFERROR(__xludf.DUMMYFUNCTION("""COMPUTED_VALUE"""),"Soren Poe")</f>
        <v>Soren Poe</v>
      </c>
      <c r="D22" s="71" t="str">
        <f>IFERROR(__xludf.DUMMYFUNCTION("""COMPUTED_VALUE"""),"Soren")</f>
        <v>Soren</v>
      </c>
      <c r="E22" s="71" t="str">
        <f>IFERROR(__xludf.DUMMYFUNCTION("""COMPUTED_VALUE"""),"I have a dog, I like football, and I want to learn more about the earth.")</f>
        <v>I have a dog, I like football, and I want to learn more about the earth.</v>
      </c>
      <c r="F22" s="71" t="str">
        <f>IFERROR(__xludf.DUMMYFUNCTION("""COMPUTED_VALUE"""),"Doing a hands-on lab or experiment, Watching a video or live demonstration, Reading and taking notes, Listening to the teacher explain it")</f>
        <v>Doing a hands-on lab or experiment, Watching a video or live demonstration, Reading and taking notes, Listening to the teacher explain it</v>
      </c>
      <c r="G22" s="71" t="str">
        <f>IFERROR(__xludf.DUMMYFUNCTION("""COMPUTED_VALUE"""),"Review my notes and materials, Do practice problems or worksheets")</f>
        <v>Review my notes and materials, Do practice problems or worksheets</v>
      </c>
      <c r="H22" s="71" t="str">
        <f>IFERROR(__xludf.DUMMYFUNCTION("""COMPUTED_VALUE"""),"How can we make new materials? (Chemical Reactions) ⚗️, How do our bodies get energy from food? (Metabolic Reactions) 🍎, How does changing an ecosystem affect what lives there? (Ecosystem Dynamics) 🌿, How can a magnet move something without touching it?"&amp;" (Forces at a Distance) 🧲, Why are living things different from one another? (Genetics) 🧬")</f>
        <v>How can we make new materials? (Chemical Reactions) ⚗️, How do our bodies get energy from food? (Metabolic Reactions) 🍎, How does changing an ecosystem affect what lives there? (Ecosystem Dynamics) 🌿, How can a magnet move something without touching it? (Forces at a Distance) 🧲, Why are living things different from one another? (Genetics) 🧬</v>
      </c>
      <c r="I22" s="71" t="str">
        <f>IFERROR(__xludf.DUMMYFUNCTION("""COMPUTED_VALUE"""),"Sports, gaming, working out.")</f>
        <v>Sports, gaming, working out.</v>
      </c>
      <c r="J22" s="71" t="str">
        <f>IFERROR(__xludf.DUMMYFUNCTION("""COMPUTED_VALUE"""),"Im good at gaming which could connect to science because humans and how they think.")</f>
        <v>Im good at gaming which could connect to science because humans and how they think.</v>
      </c>
      <c r="K22" s="71">
        <f>IFERROR(__xludf.DUMMYFUNCTION("""COMPUTED_VALUE"""),4.0)</f>
        <v>4</v>
      </c>
      <c r="L22" s="71">
        <f>IFERROR(__xludf.DUMMYFUNCTION("""COMPUTED_VALUE"""),5.0)</f>
        <v>5</v>
      </c>
      <c r="M22" s="71">
        <f>IFERROR(__xludf.DUMMYFUNCTION("""COMPUTED_VALUE"""),3.0)</f>
        <v>3</v>
      </c>
      <c r="N22" s="71">
        <f>IFERROR(__xludf.DUMMYFUNCTION("""COMPUTED_VALUE"""),4.0)</f>
        <v>4</v>
      </c>
      <c r="O22" s="71">
        <f>IFERROR(__xludf.DUMMYFUNCTION("""COMPUTED_VALUE"""),5.0)</f>
        <v>5</v>
      </c>
      <c r="P22" s="71">
        <f>IFERROR(__xludf.DUMMYFUNCTION("""COMPUTED_VALUE"""),4.0)</f>
        <v>4</v>
      </c>
      <c r="Q22" s="71">
        <f>IFERROR(__xludf.DUMMYFUNCTION("""COMPUTED_VALUE"""),5.0)</f>
        <v>5</v>
      </c>
      <c r="R22" s="71">
        <f>IFERROR(__xludf.DUMMYFUNCTION("""COMPUTED_VALUE"""),5.0)</f>
        <v>5</v>
      </c>
      <c r="S22" s="71">
        <f>IFERROR(__xludf.DUMMYFUNCTION("""COMPUTED_VALUE"""),5.0)</f>
        <v>5</v>
      </c>
      <c r="T22" s="71">
        <f>IFERROR(__xludf.DUMMYFUNCTION("""COMPUTED_VALUE"""),4.0)</f>
        <v>4</v>
      </c>
      <c r="U22" s="71">
        <f>IFERROR(__xludf.DUMMYFUNCTION("""COMPUTED_VALUE"""),4.0)</f>
        <v>4</v>
      </c>
      <c r="V22" s="71">
        <f>IFERROR(__xludf.DUMMYFUNCTION("""COMPUTED_VALUE"""),4.0)</f>
        <v>4</v>
      </c>
      <c r="W22" s="71">
        <f>IFERROR(__xludf.DUMMYFUNCTION("""COMPUTED_VALUE"""),4.0)</f>
        <v>4</v>
      </c>
      <c r="X22" s="71" t="str">
        <f>IFERROR(__xludf.DUMMYFUNCTION("""COMPUTED_VALUE"""),"Researches information and finds answers to questions., Takes notes, writes, and prepares the final presentation., Makes sure everyone feels included and helps solve disagreements.")</f>
        <v>Researches information and finds answers to questions., Takes notes, writes, and prepares the final presentation., Makes sure everyone feels included and helps solve disagreements.</v>
      </c>
      <c r="Y22" s="71" t="str">
        <f>IFERROR(__xludf.DUMMYFUNCTION("""COMPUTED_VALUE"""),"Listen to everyone's ideas and try to find a compromise that includes parts of each")</f>
        <v>Listen to everyone's ideas and try to find a compromise that includes parts of each</v>
      </c>
      <c r="Z22" s="71" t="str">
        <f>IFERROR(__xludf.DUMMYFUNCTION("""COMPUTED_VALUE"""),"I like writing stuff down and thinking about it.")</f>
        <v>I like writing stuff down and thinking about it.</v>
      </c>
    </row>
    <row r="23">
      <c r="A23" s="128">
        <f>IFERROR(__xludf.DUMMYFUNCTION("""COMPUTED_VALUE"""),45887.63656190972)</f>
        <v>45887.63656</v>
      </c>
      <c r="B23" s="71" t="str">
        <f>IFERROR(__xludf.DUMMYFUNCTION("""COMPUTED_VALUE"""),"kaiden.strong-noble@kairosacademies.org")</f>
        <v>kaiden.strong-noble@kairosacademies.org</v>
      </c>
      <c r="C23" s="71" t="str">
        <f>IFERROR(__xludf.DUMMYFUNCTION("""COMPUTED_VALUE"""),"Kaiden Strong-Nobles")</f>
        <v>Kaiden Strong-Nobles</v>
      </c>
      <c r="D23" s="71" t="str">
        <f>IFERROR(__xludf.DUMMYFUNCTION("""COMPUTED_VALUE"""),"KD")</f>
        <v>KD</v>
      </c>
      <c r="E23" s="71" t="str">
        <f>IFERROR(__xludf.DUMMYFUNCTION("""COMPUTED_VALUE"""),"1) I have a Nintendo Switch, 2) I don't really wish, but i'd like to make a ""green fire"" (the green fire is from a youtube video), 3) I'm talkative at home")</f>
        <v>1) I have a Nintendo Switch, 2) I don't really wish, but i'd like to make a "green fire" (the green fire is from a youtube video), 3) I'm talkative at home</v>
      </c>
      <c r="F23" s="71" t="str">
        <f>IFERROR(__xludf.DUMMYFUNCTION("""COMPUTED_VALUE"""),"Doing a hands-on lab or experiment, Reading and taking notes")</f>
        <v>Doing a hands-on lab or experiment, Reading and taking notes</v>
      </c>
      <c r="G23" s="71" t="str">
        <f>IFERROR(__xludf.DUMMYFUNCTION("""COMPUTED_VALUE"""),"Review my notes and materials, Do practice problems or worksheets")</f>
        <v>Review my notes and materials, Do practice problems or worksheets</v>
      </c>
      <c r="H23" s="71" t="str">
        <f>IFERROR(__xludf.DUMMYFUNCTION("""COMPUTED_VALUE"""),"How can we make new materials? (Chemical Reactions) ⚗️, How does changing an ecosystem affect what lives there? (Ecosystem Dynamics) 🌿, How can a magnet move something without touching it? (Forces at a Distance) 🧲")</f>
        <v>How can we make new materials? (Chemical Reactions) ⚗️, How does changing an ecosystem affect what lives there? (Ecosystem Dynamics) 🌿, How can a magnet move something without touching it? (Forces at a Distance) 🧲</v>
      </c>
      <c r="I23" s="71" t="str">
        <f>IFERROR(__xludf.DUMMYFUNCTION("""COMPUTED_VALUE"""),"Recipes, art, and gaming")</f>
        <v>Recipes, art, and gaming</v>
      </c>
      <c r="J23" s="71" t="str">
        <f>IFERROR(__xludf.DUMMYFUNCTION("""COMPUTED_VALUE"""),"I'm good at games like Mario, Sonic, or any platformer video game. I also like to draw 3D stuff.")</f>
        <v>I'm good at games like Mario, Sonic, or any platformer video game. I also like to draw 3D stuff.</v>
      </c>
      <c r="K23" s="71">
        <f>IFERROR(__xludf.DUMMYFUNCTION("""COMPUTED_VALUE"""),3.0)</f>
        <v>3</v>
      </c>
      <c r="L23" s="71">
        <f>IFERROR(__xludf.DUMMYFUNCTION("""COMPUTED_VALUE"""),4.0)</f>
        <v>4</v>
      </c>
      <c r="M23" s="71">
        <f>IFERROR(__xludf.DUMMYFUNCTION("""COMPUTED_VALUE"""),5.0)</f>
        <v>5</v>
      </c>
      <c r="N23" s="71">
        <f>IFERROR(__xludf.DUMMYFUNCTION("""COMPUTED_VALUE"""),2.0)</f>
        <v>2</v>
      </c>
      <c r="O23" s="71">
        <f>IFERROR(__xludf.DUMMYFUNCTION("""COMPUTED_VALUE"""),3.0)</f>
        <v>3</v>
      </c>
      <c r="P23" s="71">
        <f>IFERROR(__xludf.DUMMYFUNCTION("""COMPUTED_VALUE"""),3.0)</f>
        <v>3</v>
      </c>
      <c r="Q23" s="71">
        <f>IFERROR(__xludf.DUMMYFUNCTION("""COMPUTED_VALUE"""),3.0)</f>
        <v>3</v>
      </c>
      <c r="R23" s="71">
        <f>IFERROR(__xludf.DUMMYFUNCTION("""COMPUTED_VALUE"""),3.0)</f>
        <v>3</v>
      </c>
      <c r="S23" s="71">
        <f>IFERROR(__xludf.DUMMYFUNCTION("""COMPUTED_VALUE"""),4.0)</f>
        <v>4</v>
      </c>
      <c r="T23" s="71">
        <f>IFERROR(__xludf.DUMMYFUNCTION("""COMPUTED_VALUE"""),3.0)</f>
        <v>3</v>
      </c>
      <c r="U23" s="71">
        <f>IFERROR(__xludf.DUMMYFUNCTION("""COMPUTED_VALUE"""),3.0)</f>
        <v>3</v>
      </c>
      <c r="V23" s="71">
        <f>IFERROR(__xludf.DUMMYFUNCTION("""COMPUTED_VALUE"""),3.0)</f>
        <v>3</v>
      </c>
      <c r="W23" s="71">
        <f>IFERROR(__xludf.DUMMYFUNCTION("""COMPUTED_VALUE"""),3.0)</f>
        <v>3</v>
      </c>
      <c r="X23" s="71" t="str">
        <f>IFERROR(__xludf.DUMMYFUNCTION("""COMPUTED_VALUE"""),"Builds the project or does the hands-on work., Takes notes, writes, and prepares the final presentation.")</f>
        <v>Builds the project or does the hands-on work., Takes notes, writes, and prepares the final presentation.</v>
      </c>
      <c r="Y23" s="71" t="str">
        <f>IFERROR(__xludf.DUMMYFUNCTION("""COMPUTED_VALUE"""),"Listen to everyone's ideas and try to find a compromise that includes parts of each")</f>
        <v>Listen to everyone's ideas and try to find a compromise that includes parts of each</v>
      </c>
      <c r="Z23" s="71" t="str">
        <f>IFERROR(__xludf.DUMMYFUNCTION("""COMPUTED_VALUE"""),"When people listen to my ideas or they ask me questions.")</f>
        <v>When people listen to my ideas or they ask me questions.</v>
      </c>
    </row>
    <row r="24">
      <c r="A24" s="128">
        <f>IFERROR(__xludf.DUMMYFUNCTION("""COMPUTED_VALUE"""),45887.62340732639)</f>
        <v>45887.62341</v>
      </c>
      <c r="B24" s="71" t="str">
        <f>IFERROR(__xludf.DUMMYFUNCTION("""COMPUTED_VALUE"""),"kimirah.crump@kairosacademies.org")</f>
        <v>kimirah.crump@kairosacademies.org</v>
      </c>
      <c r="C24" s="71" t="str">
        <f>IFERROR(__xludf.DUMMYFUNCTION("""COMPUTED_VALUE"""),"kimirahcrump")</f>
        <v>kimirahcrump</v>
      </c>
      <c r="D24" s="71" t="str">
        <f>IFERROR(__xludf.DUMMYFUNCTION("""COMPUTED_VALUE"""),"the queen ")</f>
        <v>the queen </v>
      </c>
      <c r="E24" s="71" t="str">
        <f>IFERROR(__xludf.DUMMYFUNCTION("""COMPUTED_VALUE"""),"i got a dog . and i like cats , i love to sleep")</f>
        <v>i got a dog . and i like cats , i love to sleep</v>
      </c>
      <c r="F24" s="71" t="str">
        <f>IFERROR(__xludf.DUMMYFUNCTION("""COMPUTED_VALUE"""),"Doing a hands-on lab or experiment, Drawing a model or diagram")</f>
        <v>Doing a hands-on lab or experiment, Drawing a model or diagram</v>
      </c>
      <c r="G24" s="71" t="str">
        <f>IFERROR(__xludf.DUMMYFUNCTION("""COMPUTED_VALUE"""),"Review my notes and materials")</f>
        <v>Review my notes and materials</v>
      </c>
      <c r="H24" s="71" t="str">
        <f>IFERROR(__xludf.DUMMYFUNCTION("""COMPUTED_VALUE"""),"How do our bodies get energy from food? (Metabolic Reactions) 🍎")</f>
        <v>How do our bodies get energy from food? (Metabolic Reactions) 🍎</v>
      </c>
      <c r="I24" s="71" t="str">
        <f>IFERROR(__xludf.DUMMYFUNCTION("""COMPUTED_VALUE"""),"sleep")</f>
        <v>sleep</v>
      </c>
      <c r="J24" s="71" t="str">
        <f>IFERROR(__xludf.DUMMYFUNCTION("""COMPUTED_VALUE"""),"sleep")</f>
        <v>sleep</v>
      </c>
      <c r="K24" s="71">
        <f>IFERROR(__xludf.DUMMYFUNCTION("""COMPUTED_VALUE"""),3.0)</f>
        <v>3</v>
      </c>
      <c r="L24" s="71">
        <f>IFERROR(__xludf.DUMMYFUNCTION("""COMPUTED_VALUE"""),3.0)</f>
        <v>3</v>
      </c>
      <c r="M24" s="71">
        <f>IFERROR(__xludf.DUMMYFUNCTION("""COMPUTED_VALUE"""),2.0)</f>
        <v>2</v>
      </c>
      <c r="N24" s="71">
        <f>IFERROR(__xludf.DUMMYFUNCTION("""COMPUTED_VALUE"""),3.0)</f>
        <v>3</v>
      </c>
      <c r="O24" s="71">
        <f>IFERROR(__xludf.DUMMYFUNCTION("""COMPUTED_VALUE"""),3.0)</f>
        <v>3</v>
      </c>
      <c r="P24" s="71">
        <f>IFERROR(__xludf.DUMMYFUNCTION("""COMPUTED_VALUE"""),3.0)</f>
        <v>3</v>
      </c>
      <c r="Q24" s="71">
        <f>IFERROR(__xludf.DUMMYFUNCTION("""COMPUTED_VALUE"""),4.0)</f>
        <v>4</v>
      </c>
      <c r="R24" s="71">
        <f>IFERROR(__xludf.DUMMYFUNCTION("""COMPUTED_VALUE"""),4.0)</f>
        <v>4</v>
      </c>
      <c r="S24" s="71">
        <f>IFERROR(__xludf.DUMMYFUNCTION("""COMPUTED_VALUE"""),4.0)</f>
        <v>4</v>
      </c>
      <c r="T24" s="71">
        <f>IFERROR(__xludf.DUMMYFUNCTION("""COMPUTED_VALUE"""),3.0)</f>
        <v>3</v>
      </c>
      <c r="U24" s="71">
        <f>IFERROR(__xludf.DUMMYFUNCTION("""COMPUTED_VALUE"""),3.0)</f>
        <v>3</v>
      </c>
      <c r="V24" s="71">
        <f>IFERROR(__xludf.DUMMYFUNCTION("""COMPUTED_VALUE"""),3.0)</f>
        <v>3</v>
      </c>
      <c r="W24" s="71">
        <f>IFERROR(__xludf.DUMMYFUNCTION("""COMPUTED_VALUE"""),3.0)</f>
        <v>3</v>
      </c>
      <c r="X24" s="71" t="str">
        <f>IFERROR(__xludf.DUMMYFUNCTION("""COMPUTED_VALUE"""),"Organizes the plan and keeps the team on task., Researches information and finds answers to questions.")</f>
        <v>Organizes the plan and keeps the team on task., Researches information and finds answers to questions.</v>
      </c>
      <c r="Y24" s="71" t="str">
        <f>IFERROR(__xludf.DUMMYFUNCTION("""COMPUTED_VALUE"""),"Listen to everyone's ideas and try to find a compromise that includes parts of each")</f>
        <v>Listen to everyone's ideas and try to find a compromise that includes parts of each</v>
      </c>
      <c r="Z24" s="71" t="str">
        <f>IFERROR(__xludf.DUMMYFUNCTION("""COMPUTED_VALUE"""),"i like to hear what people questions then i say what i got to say .")</f>
        <v>i like to hear what people questions then i say what i got to say .</v>
      </c>
    </row>
    <row r="25">
      <c r="A25" s="128">
        <f>IFERROR(__xludf.DUMMYFUNCTION("""COMPUTED_VALUE"""),45887.625457268514)</f>
        <v>45887.62546</v>
      </c>
      <c r="B25" s="71" t="str">
        <f>IFERROR(__xludf.DUMMYFUNCTION("""COMPUTED_VALUE"""),"brielle.bryant@kairosacademies.org")</f>
        <v>brielle.bryant@kairosacademies.org</v>
      </c>
      <c r="C25" s="71" t="str">
        <f>IFERROR(__xludf.DUMMYFUNCTION("""COMPUTED_VALUE"""),"brielle bryant")</f>
        <v>brielle bryant</v>
      </c>
      <c r="D25" s="71" t="str">
        <f>IFERROR(__xludf.DUMMYFUNCTION("""COMPUTED_VALUE"""),"briii")</f>
        <v>briii</v>
      </c>
      <c r="E25" s="71" t="str">
        <f>IFERROR(__xludf.DUMMYFUNCTION("""COMPUTED_VALUE"""),"i wish i had 100 dollars ' i have 2 dogs 2 cats 5 siblings i wanna do pianting things")</f>
        <v>i wish i had 100 dollars ' i have 2 dogs 2 cats 5 siblings i wanna do pianting things</v>
      </c>
      <c r="F25" s="71" t="str">
        <f>IFERROR(__xludf.DUMMYFUNCTION("""COMPUTED_VALUE"""),"Doing a hands-on lab or experiment, Reading and taking notes")</f>
        <v>Doing a hands-on lab or experiment, Reading and taking notes</v>
      </c>
      <c r="G25" s="71" t="str">
        <f>IFERROR(__xludf.DUMMYFUNCTION("""COMPUTED_VALUE"""),"Review my notes and materials, Make and study flashcards")</f>
        <v>Review my notes and materials, Make and study flashcards</v>
      </c>
      <c r="H25" s="71" t="str">
        <f>IFERROR(__xludf.DUMMYFUNCTION("""COMPUTED_VALUE"""),"How can we make new materials? (Chemical Reactions) ⚗️, How does changing an ecosystem affect what lives there? (Ecosystem Dynamics) 🌿, Why are living things different from one another? (Genetics) 🧬")</f>
        <v>How can we make new materials? (Chemical Reactions) ⚗️, How does changing an ecosystem affect what lives there? (Ecosystem Dynamics) 🌿, Why are living things different from one another? (Genetics) 🧬</v>
      </c>
      <c r="I25" s="71" t="str">
        <f>IFERROR(__xludf.DUMMYFUNCTION("""COMPUTED_VALUE"""),"i bake cookies i want also wanna  run track this year also and i love playing roblox ")</f>
        <v>i bake cookies i want also wanna  run track this year also and i love playing roblox </v>
      </c>
      <c r="J25" s="71" t="str">
        <f>IFERROR(__xludf.DUMMYFUNCTION("""COMPUTED_VALUE"""),"baking and cooking food ")</f>
        <v>baking and cooking food </v>
      </c>
      <c r="K25" s="71">
        <f>IFERROR(__xludf.DUMMYFUNCTION("""COMPUTED_VALUE"""),2.0)</f>
        <v>2</v>
      </c>
      <c r="L25" s="71">
        <f>IFERROR(__xludf.DUMMYFUNCTION("""COMPUTED_VALUE"""),3.0)</f>
        <v>3</v>
      </c>
      <c r="M25" s="71">
        <f>IFERROR(__xludf.DUMMYFUNCTION("""COMPUTED_VALUE"""),5.0)</f>
        <v>5</v>
      </c>
      <c r="N25" s="71">
        <f>IFERROR(__xludf.DUMMYFUNCTION("""COMPUTED_VALUE"""),3.0)</f>
        <v>3</v>
      </c>
      <c r="O25" s="71">
        <f>IFERROR(__xludf.DUMMYFUNCTION("""COMPUTED_VALUE"""),2.0)</f>
        <v>2</v>
      </c>
      <c r="P25" s="71">
        <f>IFERROR(__xludf.DUMMYFUNCTION("""COMPUTED_VALUE"""),1.0)</f>
        <v>1</v>
      </c>
      <c r="Q25" s="71">
        <f>IFERROR(__xludf.DUMMYFUNCTION("""COMPUTED_VALUE"""),4.0)</f>
        <v>4</v>
      </c>
      <c r="R25" s="71">
        <f>IFERROR(__xludf.DUMMYFUNCTION("""COMPUTED_VALUE"""),5.0)</f>
        <v>5</v>
      </c>
      <c r="S25" s="71">
        <f>IFERROR(__xludf.DUMMYFUNCTION("""COMPUTED_VALUE"""),5.0)</f>
        <v>5</v>
      </c>
      <c r="T25" s="71">
        <f>IFERROR(__xludf.DUMMYFUNCTION("""COMPUTED_VALUE"""),1.0)</f>
        <v>1</v>
      </c>
      <c r="U25" s="71">
        <f>IFERROR(__xludf.DUMMYFUNCTION("""COMPUTED_VALUE"""),3.0)</f>
        <v>3</v>
      </c>
      <c r="V25" s="71">
        <f>IFERROR(__xludf.DUMMYFUNCTION("""COMPUTED_VALUE"""),1.0)</f>
        <v>1</v>
      </c>
      <c r="W25" s="71">
        <f>IFERROR(__xludf.DUMMYFUNCTION("""COMPUTED_VALUE"""),5.0)</f>
        <v>5</v>
      </c>
      <c r="X25" s="71" t="str">
        <f>IFERROR(__xludf.DUMMYFUNCTION("""COMPUTED_VALUE"""),"Organizes the plan and keeps the team on task., Builds the project or does the hands-on work., working with my friends they understand me ")</f>
        <v>Organizes the plan and keeps the team on task., Builds the project or does the hands-on work., working with my friends they understand me </v>
      </c>
      <c r="Y25" s="71" t="str">
        <f>IFERROR(__xludf.DUMMYFUNCTION("""COMPUTED_VALUE"""),"Listen to everyone's ideas and try to find a compromise that includes parts of each")</f>
        <v>Listen to everyone's ideas and try to find a compromise that includes parts of each</v>
      </c>
      <c r="Z25" s="71" t="str">
        <f>IFERROR(__xludf.DUMMYFUNCTION("""COMPUTED_VALUE"""),"that we take turns talking instead of talking over each other")</f>
        <v>that we take turns talking instead of talking over each other</v>
      </c>
    </row>
    <row r="26">
      <c r="A26" s="128">
        <f>IFERROR(__xludf.DUMMYFUNCTION("""COMPUTED_VALUE"""),45887.62628173611)</f>
        <v>45887.62628</v>
      </c>
      <c r="B26" s="71" t="str">
        <f>IFERROR(__xludf.DUMMYFUNCTION("""COMPUTED_VALUE"""),"charles.anderson@kairosacademies.org")</f>
        <v>charles.anderson@kairosacademies.org</v>
      </c>
      <c r="C26" s="71" t="str">
        <f>IFERROR(__xludf.DUMMYFUNCTION("""COMPUTED_VALUE"""),"charles anderson jr")</f>
        <v>charles anderson jr</v>
      </c>
      <c r="D26" s="71" t="str">
        <f>IFERROR(__xludf.DUMMYFUNCTION("""COMPUTED_VALUE"""),"nickname J R")</f>
        <v>nickname J R</v>
      </c>
      <c r="E26" s="71" t="str">
        <f>IFERROR(__xludf.DUMMYFUNCTION("""COMPUTED_VALUE"""),"i have a dog i play basketball i wish to make a robot")</f>
        <v>i have a dog i play basketball i wish to make a robot</v>
      </c>
      <c r="F26" s="71" t="str">
        <f>IFERROR(__xludf.DUMMYFUNCTION("""COMPUTED_VALUE"""),"Doing a hands-on lab or experiment, Watching a video or live demonstration, Discussing ideas with a small group")</f>
        <v>Doing a hands-on lab or experiment, Watching a video or live demonstration, Discussing ideas with a small group</v>
      </c>
      <c r="G26" s="71" t="str">
        <f>IFERROR(__xludf.DUMMYFUNCTION("""COMPUTED_VALUE"""),"Review my notes and materials")</f>
        <v>Review my notes and materials</v>
      </c>
      <c r="H26" s="71" t="str">
        <f>IFERROR(__xludf.DUMMYFUNCTION("""COMPUTED_VALUE"""),"How can we make new materials? (Chemical Reactions) ⚗️, How are we connected to patterns in the sky? (Earth in Space) 🌍, Why are living things different from one another? (Genetics) 🧬")</f>
        <v>How can we make new materials? (Chemical Reactions) ⚗️, How are we connected to patterns in the sky? (Earth in Space) 🌍, Why are living things different from one another? (Genetics) 🧬</v>
      </c>
      <c r="I26" s="71" t="str">
        <f>IFERROR(__xludf.DUMMYFUNCTION("""COMPUTED_VALUE"""),"basketball")</f>
        <v>basketball</v>
      </c>
      <c r="J26" s="71" t="str">
        <f>IFERROR(__xludf.DUMMYFUNCTION("""COMPUTED_VALUE"""),"basketball how i run the plays")</f>
        <v>basketball how i run the plays</v>
      </c>
      <c r="K26" s="71">
        <f>IFERROR(__xludf.DUMMYFUNCTION("""COMPUTED_VALUE"""),3.0)</f>
        <v>3</v>
      </c>
      <c r="L26" s="71">
        <f>IFERROR(__xludf.DUMMYFUNCTION("""COMPUTED_VALUE"""),3.0)</f>
        <v>3</v>
      </c>
      <c r="M26" s="71">
        <f>IFERROR(__xludf.DUMMYFUNCTION("""COMPUTED_VALUE"""),5.0)</f>
        <v>5</v>
      </c>
      <c r="N26" s="71">
        <f>IFERROR(__xludf.DUMMYFUNCTION("""COMPUTED_VALUE"""),4.0)</f>
        <v>4</v>
      </c>
      <c r="O26" s="71">
        <f>IFERROR(__xludf.DUMMYFUNCTION("""COMPUTED_VALUE"""),2.0)</f>
        <v>2</v>
      </c>
      <c r="P26" s="71">
        <f>IFERROR(__xludf.DUMMYFUNCTION("""COMPUTED_VALUE"""),2.0)</f>
        <v>2</v>
      </c>
      <c r="Q26" s="71">
        <f>IFERROR(__xludf.DUMMYFUNCTION("""COMPUTED_VALUE"""),4.0)</f>
        <v>4</v>
      </c>
      <c r="R26" s="71">
        <f>IFERROR(__xludf.DUMMYFUNCTION("""COMPUTED_VALUE"""),4.0)</f>
        <v>4</v>
      </c>
      <c r="S26" s="71">
        <f>IFERROR(__xludf.DUMMYFUNCTION("""COMPUTED_VALUE"""),5.0)</f>
        <v>5</v>
      </c>
      <c r="T26" s="71">
        <f>IFERROR(__xludf.DUMMYFUNCTION("""COMPUTED_VALUE"""),1.0)</f>
        <v>1</v>
      </c>
      <c r="U26" s="71">
        <f>IFERROR(__xludf.DUMMYFUNCTION("""COMPUTED_VALUE"""),4.0)</f>
        <v>4</v>
      </c>
      <c r="V26" s="71">
        <f>IFERROR(__xludf.DUMMYFUNCTION("""COMPUTED_VALUE"""),4.0)</f>
        <v>4</v>
      </c>
      <c r="W26" s="71">
        <f>IFERROR(__xludf.DUMMYFUNCTION("""COMPUTED_VALUE"""),3.0)</f>
        <v>3</v>
      </c>
      <c r="X26" s="71" t="str">
        <f>IFERROR(__xludf.DUMMYFUNCTION("""COMPUTED_VALUE"""),"Researches information and finds answers to questions., Takes notes, writes, and prepares the final presentation., Makes sure everyone feels included and helps solve disagreements.")</f>
        <v>Researches information and finds answers to questions., Takes notes, writes, and prepares the final presentation., Makes sure everyone feels included and helps solve disagreements.</v>
      </c>
      <c r="Y26" s="71" t="str">
        <f>IFERROR(__xludf.DUMMYFUNCTION("""COMPUTED_VALUE"""),"Stay quiet and let the others figure it out")</f>
        <v>Stay quiet and let the others figure it out</v>
      </c>
      <c r="Z26" s="71" t="str">
        <f>IFERROR(__xludf.DUMMYFUNCTION("""COMPUTED_VALUE"""),"i feel comforable")</f>
        <v>i feel comforable</v>
      </c>
    </row>
    <row r="27">
      <c r="A27" s="128">
        <f>IFERROR(__xludf.DUMMYFUNCTION("""COMPUTED_VALUE"""),45888.40921243055)</f>
        <v>45888.40921</v>
      </c>
      <c r="B27" s="71" t="str">
        <f>IFERROR(__xludf.DUMMYFUNCTION("""COMPUTED_VALUE"""),"conrad.guebert@kairosacademies.org")</f>
        <v>conrad.guebert@kairosacademies.org</v>
      </c>
      <c r="C27" s="71" t="str">
        <f>IFERROR(__xludf.DUMMYFUNCTION("""COMPUTED_VALUE"""),"conrad guebert")</f>
        <v>conrad guebert</v>
      </c>
      <c r="D27" s="71" t="str">
        <f>IFERROR(__xludf.DUMMYFUNCTION("""COMPUTED_VALUE"""),"conrad")</f>
        <v>conrad</v>
      </c>
      <c r="E27" s="71" t="str">
        <f>IFERROR(__xludf.DUMMYFUNCTION("""COMPUTED_VALUE"""),"i know how to drive, i have 5 cats and i wish i could teleport anywhere in the world")</f>
        <v>i know how to drive, i have 5 cats and i wish i could teleport anywhere in the world</v>
      </c>
      <c r="F27" s="71" t="str">
        <f>IFERROR(__xludf.DUMMYFUNCTION("""COMPUTED_VALUE"""),"Discussing ideas with a small group")</f>
        <v>Discussing ideas with a small group</v>
      </c>
      <c r="G27" s="71" t="str">
        <f>IFERROR(__xludf.DUMMYFUNCTION("""COMPUTED_VALUE"""),"i dont know")</f>
        <v>i dont know</v>
      </c>
      <c r="H27" s="71" t="str">
        <f>IFERROR(__xludf.DUMMYFUNCTION("""COMPUTED_VALUE"""),"How can we make new materials? (Chemical Reactions) ⚗️, Why do things get damaged when they hit each other? (Contact Forces) 💥, How are we connected to patterns in the sky? (Earth in Space) 🌍")</f>
        <v>How can we make new materials? (Chemical Reactions) ⚗️, Why do things get damaged when they hit each other? (Contact Forces) 💥, How are we connected to patterns in the sky? (Earth in Space) 🌍</v>
      </c>
      <c r="I27" s="71" t="str">
        <f>IFERROR(__xludf.DUMMYFUNCTION("""COMPUTED_VALUE"""),"gaming and i play soccer")</f>
        <v>gaming and i play soccer</v>
      </c>
      <c r="J27" s="71" t="str">
        <f>IFERROR(__xludf.DUMMYFUNCTION("""COMPUTED_VALUE"""),"im really good at fighting and gaming")</f>
        <v>im really good at fighting and gaming</v>
      </c>
      <c r="K27" s="71">
        <f>IFERROR(__xludf.DUMMYFUNCTION("""COMPUTED_VALUE"""),5.0)</f>
        <v>5</v>
      </c>
      <c r="L27" s="71">
        <f>IFERROR(__xludf.DUMMYFUNCTION("""COMPUTED_VALUE"""),2.0)</f>
        <v>2</v>
      </c>
      <c r="M27" s="71">
        <f>IFERROR(__xludf.DUMMYFUNCTION("""COMPUTED_VALUE"""),4.0)</f>
        <v>4</v>
      </c>
      <c r="N27" s="71">
        <f>IFERROR(__xludf.DUMMYFUNCTION("""COMPUTED_VALUE"""),3.0)</f>
        <v>3</v>
      </c>
      <c r="O27" s="71">
        <f>IFERROR(__xludf.DUMMYFUNCTION("""COMPUTED_VALUE"""),2.0)</f>
        <v>2</v>
      </c>
      <c r="P27" s="71">
        <f>IFERROR(__xludf.DUMMYFUNCTION("""COMPUTED_VALUE"""),5.0)</f>
        <v>5</v>
      </c>
      <c r="Q27" s="71">
        <f>IFERROR(__xludf.DUMMYFUNCTION("""COMPUTED_VALUE"""),3.0)</f>
        <v>3</v>
      </c>
      <c r="R27" s="71">
        <f>IFERROR(__xludf.DUMMYFUNCTION("""COMPUTED_VALUE"""),3.0)</f>
        <v>3</v>
      </c>
      <c r="S27" s="71">
        <f>IFERROR(__xludf.DUMMYFUNCTION("""COMPUTED_VALUE"""),4.0)</f>
        <v>4</v>
      </c>
      <c r="T27" s="71">
        <f>IFERROR(__xludf.DUMMYFUNCTION("""COMPUTED_VALUE"""),3.0)</f>
        <v>3</v>
      </c>
      <c r="U27" s="71">
        <f>IFERROR(__xludf.DUMMYFUNCTION("""COMPUTED_VALUE"""),3.0)</f>
        <v>3</v>
      </c>
      <c r="V27" s="71">
        <f>IFERROR(__xludf.DUMMYFUNCTION("""COMPUTED_VALUE"""),4.0)</f>
        <v>4</v>
      </c>
      <c r="W27" s="71">
        <f>IFERROR(__xludf.DUMMYFUNCTION("""COMPUTED_VALUE"""),4.0)</f>
        <v>4</v>
      </c>
      <c r="X27" s="71" t="str">
        <f>IFERROR(__xludf.DUMMYFUNCTION("""COMPUTED_VALUE"""),"Makes sure everyone feels included and helps solve disagreements.")</f>
        <v>Makes sure everyone feels included and helps solve disagreements.</v>
      </c>
      <c r="Y27" s="71" t="str">
        <f>IFERROR(__xludf.DUMMYFUNCTION("""COMPUTED_VALUE"""),"Listen to everyone's ideas and try to find a compromise that includes parts of each")</f>
        <v>Listen to everyone's ideas and try to find a compromise that includes parts of each</v>
      </c>
      <c r="Z27" s="71" t="str">
        <f>IFERROR(__xludf.DUMMYFUNCTION("""COMPUTED_VALUE"""),"when people listen to me ")</f>
        <v>when people listen to me </v>
      </c>
    </row>
    <row r="28">
      <c r="A28" s="128">
        <f>IFERROR(__xludf.DUMMYFUNCTION("""COMPUTED_VALUE"""),45888.411135381946)</f>
        <v>45888.41114</v>
      </c>
      <c r="B28" s="71" t="str">
        <f>IFERROR(__xludf.DUMMYFUNCTION("""COMPUTED_VALUE"""),"jacobi.parker@kairosacademies.org")</f>
        <v>jacobi.parker@kairosacademies.org</v>
      </c>
      <c r="C28" s="71" t="str">
        <f>IFERROR(__xludf.DUMMYFUNCTION("""COMPUTED_VALUE"""),"jp")</f>
        <v>jp</v>
      </c>
      <c r="D28" s="71" t="str">
        <f>IFERROR(__xludf.DUMMYFUNCTION("""COMPUTED_VALUE"""),"jp")</f>
        <v>jp</v>
      </c>
      <c r="E28" s="71" t="str">
        <f>IFERROR(__xludf.DUMMYFUNCTION("""COMPUTED_VALUE"""),"i like dogs i like cars")</f>
        <v>i like dogs i like cars</v>
      </c>
      <c r="F28" s="71" t="str">
        <f>IFERROR(__xludf.DUMMYFUNCTION("""COMPUTED_VALUE"""),"Doing a hands-on lab or experiment, Watching a video or live demonstration, Discussing ideas with a small group, Reading and taking notes, Drawing a model or diagram, Listening to the teacher explain it")</f>
        <v>Doing a hands-on lab or experiment, Watching a video or live demonstration, Discussing ideas with a small group, Reading and taking notes, Drawing a model or diagram, Listening to the teacher explain it</v>
      </c>
      <c r="G28" s="71" t="str">
        <f>IFERROR(__xludf.DUMMYFUNCTION("""COMPUTED_VALUE"""),"Review my notes and materials, Make and study flashcards, Do practice problems or worksheets, Explain the concept out loud to someone else, Create my own study guide or diagram")</f>
        <v>Review my notes and materials, Make and study flashcards, Do practice problems or worksheets, Explain the concept out loud to someone else, Create my own study guide or diagram</v>
      </c>
      <c r="H28" s="71" t="str">
        <f>IFERROR(__xludf.DUMMYFUNCTION("""COMPUTED_VALUE"""),"Why do things get damaged when they hit each other? (Contact Forces) 💥, How can a magnet move something without touching it? (Forces at a Distance) 🧲, How are we connected to patterns in the sky? (Earth in Space) 🌍, Why are living things different from"&amp;" one another? (Genetics) 🧬")</f>
        <v>Why do things get damaged when they hit each other? (Contact Forces) 💥, How can a magnet move something without touching it? (Forces at a Distance) 🧲, How are we connected to patterns in the sky? (Earth in Space) 🌍, Why are living things different from one another? (Genetics) 🧬</v>
      </c>
      <c r="I28" s="71" t="str">
        <f>IFERROR(__xludf.DUMMYFUNCTION("""COMPUTED_VALUE"""),"football")</f>
        <v>football</v>
      </c>
      <c r="J28" s="71" t="str">
        <f>IFERROR(__xludf.DUMMYFUNCTION("""COMPUTED_VALUE"""),"fixing cars")</f>
        <v>fixing cars</v>
      </c>
      <c r="K28" s="71">
        <f>IFERROR(__xludf.DUMMYFUNCTION("""COMPUTED_VALUE"""),5.0)</f>
        <v>5</v>
      </c>
      <c r="L28" s="71">
        <f>IFERROR(__xludf.DUMMYFUNCTION("""COMPUTED_VALUE"""),5.0)</f>
        <v>5</v>
      </c>
      <c r="M28" s="71">
        <f>IFERROR(__xludf.DUMMYFUNCTION("""COMPUTED_VALUE"""),5.0)</f>
        <v>5</v>
      </c>
      <c r="N28" s="71">
        <f>IFERROR(__xludf.DUMMYFUNCTION("""COMPUTED_VALUE"""),5.0)</f>
        <v>5</v>
      </c>
      <c r="O28" s="71">
        <f>IFERROR(__xludf.DUMMYFUNCTION("""COMPUTED_VALUE"""),5.0)</f>
        <v>5</v>
      </c>
      <c r="P28" s="71">
        <f>IFERROR(__xludf.DUMMYFUNCTION("""COMPUTED_VALUE"""),5.0)</f>
        <v>5</v>
      </c>
      <c r="Q28" s="71">
        <f>IFERROR(__xludf.DUMMYFUNCTION("""COMPUTED_VALUE"""),5.0)</f>
        <v>5</v>
      </c>
      <c r="R28" s="71">
        <f>IFERROR(__xludf.DUMMYFUNCTION("""COMPUTED_VALUE"""),5.0)</f>
        <v>5</v>
      </c>
      <c r="S28" s="71">
        <f>IFERROR(__xludf.DUMMYFUNCTION("""COMPUTED_VALUE"""),5.0)</f>
        <v>5</v>
      </c>
      <c r="T28" s="71">
        <f>IFERROR(__xludf.DUMMYFUNCTION("""COMPUTED_VALUE"""),5.0)</f>
        <v>5</v>
      </c>
      <c r="U28" s="71">
        <f>IFERROR(__xludf.DUMMYFUNCTION("""COMPUTED_VALUE"""),5.0)</f>
        <v>5</v>
      </c>
      <c r="V28" s="71">
        <f>IFERROR(__xludf.DUMMYFUNCTION("""COMPUTED_VALUE"""),5.0)</f>
        <v>5</v>
      </c>
      <c r="W28" s="71">
        <f>IFERROR(__xludf.DUMMYFUNCTION("""COMPUTED_VALUE"""),5.0)</f>
        <v>5</v>
      </c>
      <c r="X28" s="71" t="str">
        <f>IFERROR(__xludf.DUMMYFUNCTION("""COMPUTED_VALUE"""),"Organizes the plan and keeps the team on task., Researches information and finds answers to questions., Builds the project or does the hands-on work.")</f>
        <v>Organizes the plan and keeps the team on task., Researches information and finds answers to questions., Builds the project or does the hands-on work.</v>
      </c>
      <c r="Y28" s="71" t="str">
        <f>IFERROR(__xludf.DUMMYFUNCTION("""COMPUTED_VALUE"""),"Listen to everyone's ideas and try to find a compromise that includes parts of each")</f>
        <v>Listen to everyone's ideas and try to find a compromise that includes parts of each</v>
      </c>
      <c r="Z28" s="71" t="str">
        <f>IFERROR(__xludf.DUMMYFUNCTION("""COMPUTED_VALUE"""),"i like when they listen ")</f>
        <v>i like when they listen </v>
      </c>
    </row>
    <row r="29">
      <c r="A29" s="128">
        <f>IFERROR(__xludf.DUMMYFUNCTION("""COMPUTED_VALUE"""),45888.41191597222)</f>
        <v>45888.41192</v>
      </c>
      <c r="B29" s="71" t="str">
        <f>IFERROR(__xludf.DUMMYFUNCTION("""COMPUTED_VALUE"""),"kaegan.zimbelmann@kairosacademies.org")</f>
        <v>kaegan.zimbelmann@kairosacademies.org</v>
      </c>
      <c r="C29" s="71" t="str">
        <f>IFERROR(__xludf.DUMMYFUNCTION("""COMPUTED_VALUE"""),"kaegan zimbelmann")</f>
        <v>kaegan zimbelmann</v>
      </c>
      <c r="D29" s="71" t="str">
        <f>IFERROR(__xludf.DUMMYFUNCTION("""COMPUTED_VALUE"""),"kaegan")</f>
        <v>kaegan</v>
      </c>
      <c r="E29" s="71" t="str">
        <f>IFERROR(__xludf.DUMMYFUNCTION("""COMPUTED_VALUE"""),"i have pets) i go to school) i wish school will end")</f>
        <v>i have pets) i go to school) i wish school will end</v>
      </c>
      <c r="F29" s="71" t="str">
        <f>IFERROR(__xludf.DUMMYFUNCTION("""COMPUTED_VALUE"""),"Watching a video or live demonstration, Discussing ideas with a small group")</f>
        <v>Watching a video or live demonstration, Discussing ideas with a small group</v>
      </c>
      <c r="G29" s="71" t="str">
        <f>IFERROR(__xludf.DUMMYFUNCTION("""COMPUTED_VALUE"""),"Create my own study guide or diagram, ")</f>
        <v>Create my own study guide or diagram, </v>
      </c>
      <c r="H29" s="71" t="str">
        <f>IFERROR(__xludf.DUMMYFUNCTION("""COMPUTED_VALUE"""),"How can we make new materials? (Chemical Reactions) ⚗️, How does changing an ecosystem affect what lives there? (Ecosystem Dynamics) 🌿, How can a magnet move something without touching it? (Forces at a Distance) 🧲")</f>
        <v>How can we make new materials? (Chemical Reactions) ⚗️, How does changing an ecosystem affect what lives there? (Ecosystem Dynamics) 🌿, How can a magnet move something without touching it? (Forces at a Distance) 🧲</v>
      </c>
      <c r="I29" s="71" t="str">
        <f>IFERROR(__xludf.DUMMYFUNCTION("""COMPUTED_VALUE"""),"gaming.")</f>
        <v>gaming.</v>
      </c>
      <c r="J29" s="71" t="str">
        <f>IFERROR(__xludf.DUMMYFUNCTION("""COMPUTED_VALUE"""),"i dont know")</f>
        <v>i dont know</v>
      </c>
      <c r="K29" s="71">
        <f>IFERROR(__xludf.DUMMYFUNCTION("""COMPUTED_VALUE"""),2.0)</f>
        <v>2</v>
      </c>
      <c r="L29" s="71">
        <f>IFERROR(__xludf.DUMMYFUNCTION("""COMPUTED_VALUE"""),5.0)</f>
        <v>5</v>
      </c>
      <c r="M29" s="71">
        <f>IFERROR(__xludf.DUMMYFUNCTION("""COMPUTED_VALUE"""),5.0)</f>
        <v>5</v>
      </c>
      <c r="N29" s="71">
        <f>IFERROR(__xludf.DUMMYFUNCTION("""COMPUTED_VALUE"""),4.0)</f>
        <v>4</v>
      </c>
      <c r="O29" s="71">
        <f>IFERROR(__xludf.DUMMYFUNCTION("""COMPUTED_VALUE"""),5.0)</f>
        <v>5</v>
      </c>
      <c r="P29" s="71">
        <f>IFERROR(__xludf.DUMMYFUNCTION("""COMPUTED_VALUE"""),5.0)</f>
        <v>5</v>
      </c>
      <c r="Q29" s="71">
        <f>IFERROR(__xludf.DUMMYFUNCTION("""COMPUTED_VALUE"""),1.0)</f>
        <v>1</v>
      </c>
      <c r="R29" s="71">
        <f>IFERROR(__xludf.DUMMYFUNCTION("""COMPUTED_VALUE"""),4.0)</f>
        <v>4</v>
      </c>
      <c r="S29" s="71">
        <f>IFERROR(__xludf.DUMMYFUNCTION("""COMPUTED_VALUE"""),5.0)</f>
        <v>5</v>
      </c>
      <c r="T29" s="71">
        <f>IFERROR(__xludf.DUMMYFUNCTION("""COMPUTED_VALUE"""),3.0)</f>
        <v>3</v>
      </c>
      <c r="U29" s="71">
        <f>IFERROR(__xludf.DUMMYFUNCTION("""COMPUTED_VALUE"""),5.0)</f>
        <v>5</v>
      </c>
      <c r="V29" s="71">
        <f>IFERROR(__xludf.DUMMYFUNCTION("""COMPUTED_VALUE"""),2.0)</f>
        <v>2</v>
      </c>
      <c r="W29" s="71">
        <f>IFERROR(__xludf.DUMMYFUNCTION("""COMPUTED_VALUE"""),1.0)</f>
        <v>1</v>
      </c>
      <c r="X29" s="71" t="str">
        <f>IFERROR(__xludf.DUMMYFUNCTION("""COMPUTED_VALUE"""),"Organizes the plan and keeps the team on task., Researches information and finds answers to questions., Makes sure everyone feels included and helps solve disagreements.")</f>
        <v>Organizes the plan and keeps the team on task., Researches information and finds answers to questions., Makes sure everyone feels included and helps solve disagreements.</v>
      </c>
      <c r="Y29" s="71" t="str">
        <f>IFERROR(__xludf.DUMMYFUNCTION("""COMPUTED_VALUE"""),"Listen to everyone's ideas and try to find a compromise that includes parts of each")</f>
        <v>Listen to everyone's ideas and try to find a compromise that includes parts of each</v>
      </c>
      <c r="Z29" s="71" t="str">
        <f>IFERROR(__xludf.DUMMYFUNCTION("""COMPUTED_VALUE"""),"i dont know")</f>
        <v>i dont know</v>
      </c>
    </row>
    <row r="30">
      <c r="A30" s="128">
        <f>IFERROR(__xludf.DUMMYFUNCTION("""COMPUTED_VALUE"""),45888.41195216435)</f>
        <v>45888.41195</v>
      </c>
      <c r="B30" s="71" t="str">
        <f>IFERROR(__xludf.DUMMYFUNCTION("""COMPUTED_VALUE"""),"tayveona.frost@kairosacademies.org")</f>
        <v>tayveona.frost@kairosacademies.org</v>
      </c>
      <c r="C30" s="71" t="str">
        <f>IFERROR(__xludf.DUMMYFUNCTION("""COMPUTED_VALUE"""),"tayveona frost")</f>
        <v>tayveona frost</v>
      </c>
      <c r="D30" s="71" t="str">
        <f>IFERROR(__xludf.DUMMYFUNCTION("""COMPUTED_VALUE"""),"taytay")</f>
        <v>taytay</v>
      </c>
      <c r="E30" s="71" t="str">
        <f>IFERROR(__xludf.DUMMYFUNCTION("""COMPUTED_VALUE"""),"im 14 my bday i got a dog ")</f>
        <v>im 14 my bday i got a dog </v>
      </c>
      <c r="F30" s="71" t="str">
        <f>IFERROR(__xludf.DUMMYFUNCTION("""COMPUTED_VALUE"""),"Doing a hands-on lab or experiment, Watching a video or live demonstration, Drawing a model or diagram")</f>
        <v>Doing a hands-on lab or experiment, Watching a video or live demonstration, Drawing a model or diagram</v>
      </c>
      <c r="G30" s="71" t="str">
        <f>IFERROR(__xludf.DUMMYFUNCTION("""COMPUTED_VALUE"""),"Review my notes and materials, Do practice problems or worksheets")</f>
        <v>Review my notes and materials, Do practice problems or worksheets</v>
      </c>
      <c r="H30" s="71" t="str">
        <f>IFERROR(__xludf.DUMMYFUNCTION("""COMPUTED_VALUE"""),"How can we make new materials? (Chemical Reactions) ⚗️, Why do things get damaged when they hit each other? (Contact Forces) 💥, Why are living things different from one another? (Genetics) 🧬")</f>
        <v>How can we make new materials? (Chemical Reactions) ⚗️, Why do things get damaged when they hit each other? (Contact Forces) 💥, Why are living things different from one another? (Genetics) 🧬</v>
      </c>
      <c r="I30" s="71" t="str">
        <f>IFERROR(__xludf.DUMMYFUNCTION("""COMPUTED_VALUE"""),"football")</f>
        <v>football</v>
      </c>
      <c r="J30" s="71" t="str">
        <f>IFERROR(__xludf.DUMMYFUNCTION("""COMPUTED_VALUE"""),"drawing")</f>
        <v>drawing</v>
      </c>
      <c r="K30" s="71">
        <f>IFERROR(__xludf.DUMMYFUNCTION("""COMPUTED_VALUE"""),3.0)</f>
        <v>3</v>
      </c>
      <c r="L30" s="71">
        <f>IFERROR(__xludf.DUMMYFUNCTION("""COMPUTED_VALUE"""),3.0)</f>
        <v>3</v>
      </c>
      <c r="M30" s="71">
        <f>IFERROR(__xludf.DUMMYFUNCTION("""COMPUTED_VALUE"""),2.0)</f>
        <v>2</v>
      </c>
      <c r="N30" s="71">
        <f>IFERROR(__xludf.DUMMYFUNCTION("""COMPUTED_VALUE"""),1.0)</f>
        <v>1</v>
      </c>
      <c r="O30" s="71">
        <f>IFERROR(__xludf.DUMMYFUNCTION("""COMPUTED_VALUE"""),2.0)</f>
        <v>2</v>
      </c>
      <c r="P30" s="71">
        <f>IFERROR(__xludf.DUMMYFUNCTION("""COMPUTED_VALUE"""),4.0)</f>
        <v>4</v>
      </c>
      <c r="Q30" s="71">
        <f>IFERROR(__xludf.DUMMYFUNCTION("""COMPUTED_VALUE"""),3.0)</f>
        <v>3</v>
      </c>
      <c r="R30" s="71">
        <f>IFERROR(__xludf.DUMMYFUNCTION("""COMPUTED_VALUE"""),4.0)</f>
        <v>4</v>
      </c>
      <c r="S30" s="71">
        <f>IFERROR(__xludf.DUMMYFUNCTION("""COMPUTED_VALUE"""),4.0)</f>
        <v>4</v>
      </c>
      <c r="T30" s="71">
        <f>IFERROR(__xludf.DUMMYFUNCTION("""COMPUTED_VALUE"""),3.0)</f>
        <v>3</v>
      </c>
      <c r="U30" s="71">
        <f>IFERROR(__xludf.DUMMYFUNCTION("""COMPUTED_VALUE"""),3.0)</f>
        <v>3</v>
      </c>
      <c r="V30" s="71">
        <f>IFERROR(__xludf.DUMMYFUNCTION("""COMPUTED_VALUE"""),3.0)</f>
        <v>3</v>
      </c>
      <c r="W30" s="71">
        <f>IFERROR(__xludf.DUMMYFUNCTION("""COMPUTED_VALUE"""),4.0)</f>
        <v>4</v>
      </c>
      <c r="X30" s="71" t="str">
        <f>IFERROR(__xludf.DUMMYFUNCTION("""COMPUTED_VALUE"""),"Organizes the plan and keeps the team on task., Researches information and finds answers to questions., Builds the project or does the hands-on work.")</f>
        <v>Organizes the plan and keeps the team on task., Researches information and finds answers to questions., Builds the project or does the hands-on work.</v>
      </c>
      <c r="Y30" s="71" t="str">
        <f>IFERROR(__xludf.DUMMYFUNCTION("""COMPUTED_VALUE"""),"Listen to everyone's ideas and try to find a compromise that includes parts of each")</f>
        <v>Listen to everyone's ideas and try to find a compromise that includes parts of each</v>
      </c>
      <c r="Z30" s="71" t="str">
        <f>IFERROR(__xludf.DUMMYFUNCTION("""COMPUTED_VALUE"""),"i need time to think ")</f>
        <v>i need time to think </v>
      </c>
    </row>
    <row r="31">
      <c r="A31" s="128">
        <f>IFERROR(__xludf.DUMMYFUNCTION("""COMPUTED_VALUE"""),45888.415127141205)</f>
        <v>45888.41513</v>
      </c>
      <c r="B31" s="71" t="str">
        <f>IFERROR(__xludf.DUMMYFUNCTION("""COMPUTED_VALUE"""),"juan.barnes@kairosacademies.org")</f>
        <v>juan.barnes@kairosacademies.org</v>
      </c>
      <c r="C31" s="71" t="str">
        <f>IFERROR(__xludf.DUMMYFUNCTION("""COMPUTED_VALUE"""),"juan barnes")</f>
        <v>juan barnes</v>
      </c>
      <c r="D31" s="71" t="str">
        <f>IFERROR(__xludf.DUMMYFUNCTION("""COMPUTED_VALUE"""),"jb")</f>
        <v>jb</v>
      </c>
      <c r="E31" s="71" t="str">
        <f>IFERROR(__xludf.DUMMYFUNCTION("""COMPUTED_VALUE"""),"1. i have a dog 2. i love video games 3. i with that ths school year would be easy.")</f>
        <v>1. i have a dog 2. i love video games 3. i with that ths school year would be easy.</v>
      </c>
      <c r="F31" s="71" t="str">
        <f>IFERROR(__xludf.DUMMYFUNCTION("""COMPUTED_VALUE"""),"Reading and taking notes")</f>
        <v>Reading and taking notes</v>
      </c>
      <c r="G31" s="71" t="str">
        <f>IFERROR(__xludf.DUMMYFUNCTION("""COMPUTED_VALUE"""),"Make and study flashcards")</f>
        <v>Make and study flashcards</v>
      </c>
      <c r="H31" s="71" t="str">
        <f>IFERROR(__xludf.DUMMYFUNCTION("""COMPUTED_VALUE"""),"How can we make new materials? (Chemical Reactions) ⚗️, How are we connected to patterns in the sky? (Earth in Space) 🌍")</f>
        <v>How can we make new materials? (Chemical Reactions) ⚗️, How are we connected to patterns in the sky? (Earth in Space) 🌍</v>
      </c>
      <c r="I31" s="71" t="str">
        <f>IFERROR(__xludf.DUMMYFUNCTION("""COMPUTED_VALUE"""),"playing basketball and football")</f>
        <v>playing basketball and football</v>
      </c>
      <c r="J31" s="71" t="str">
        <f>IFERROR(__xludf.DUMMYFUNCTION("""COMPUTED_VALUE"""),"hitting flips.")</f>
        <v>hitting flips.</v>
      </c>
      <c r="K31" s="71">
        <f>IFERROR(__xludf.DUMMYFUNCTION("""COMPUTED_VALUE"""),5.0)</f>
        <v>5</v>
      </c>
      <c r="L31" s="71">
        <f>IFERROR(__xludf.DUMMYFUNCTION("""COMPUTED_VALUE"""),3.0)</f>
        <v>3</v>
      </c>
      <c r="M31" s="71">
        <f>IFERROR(__xludf.DUMMYFUNCTION("""COMPUTED_VALUE"""),2.0)</f>
        <v>2</v>
      </c>
      <c r="N31" s="71">
        <f>IFERROR(__xludf.DUMMYFUNCTION("""COMPUTED_VALUE"""),1.0)</f>
        <v>1</v>
      </c>
      <c r="O31" s="71">
        <f>IFERROR(__xludf.DUMMYFUNCTION("""COMPUTED_VALUE"""),4.0)</f>
        <v>4</v>
      </c>
      <c r="P31" s="71">
        <f>IFERROR(__xludf.DUMMYFUNCTION("""COMPUTED_VALUE"""),4.0)</f>
        <v>4</v>
      </c>
      <c r="Q31" s="71">
        <f>IFERROR(__xludf.DUMMYFUNCTION("""COMPUTED_VALUE"""),3.0)</f>
        <v>3</v>
      </c>
      <c r="R31" s="71">
        <f>IFERROR(__xludf.DUMMYFUNCTION("""COMPUTED_VALUE"""),2.0)</f>
        <v>2</v>
      </c>
      <c r="S31" s="71">
        <f>IFERROR(__xludf.DUMMYFUNCTION("""COMPUTED_VALUE"""),5.0)</f>
        <v>5</v>
      </c>
      <c r="T31" s="71">
        <f>IFERROR(__xludf.DUMMYFUNCTION("""COMPUTED_VALUE"""),3.0)</f>
        <v>3</v>
      </c>
      <c r="U31" s="71">
        <f>IFERROR(__xludf.DUMMYFUNCTION("""COMPUTED_VALUE"""),4.0)</f>
        <v>4</v>
      </c>
      <c r="V31" s="71">
        <f>IFERROR(__xludf.DUMMYFUNCTION("""COMPUTED_VALUE"""),1.0)</f>
        <v>1</v>
      </c>
      <c r="W31" s="71">
        <f>IFERROR(__xludf.DUMMYFUNCTION("""COMPUTED_VALUE"""),2.0)</f>
        <v>2</v>
      </c>
      <c r="X31" s="71" t="str">
        <f>IFERROR(__xludf.DUMMYFUNCTION("""COMPUTED_VALUE"""),"Builds the project or does the hands-on work.")</f>
        <v>Builds the project or does the hands-on work.</v>
      </c>
      <c r="Y31" s="71" t="str">
        <f>IFERROR(__xludf.DUMMYFUNCTION("""COMPUTED_VALUE"""),"Stay quiet and let the others figure it out")</f>
        <v>Stay quiet and let the others figure it out</v>
      </c>
      <c r="Z31" s="71" t="str">
        <f>IFERROR(__xludf.DUMMYFUNCTION("""COMPUTED_VALUE"""),"i like when i get help and they understand when im stuck")</f>
        <v>i like when i get help and they understand when im stuck</v>
      </c>
    </row>
    <row r="32">
      <c r="A32" s="128">
        <f>IFERROR(__xludf.DUMMYFUNCTION("""COMPUTED_VALUE"""),45888.41578605324)</f>
        <v>45888.41579</v>
      </c>
      <c r="B32" s="71" t="str">
        <f>IFERROR(__xludf.DUMMYFUNCTION("""COMPUTED_VALUE"""),"deshaun.andrews@kairosacademies.org")</f>
        <v>deshaun.andrews@kairosacademies.org</v>
      </c>
      <c r="C32" s="71" t="str">
        <f>IFERROR(__xludf.DUMMYFUNCTION("""COMPUTED_VALUE"""),"DeShaun""DeJay"" Andrews")</f>
        <v>DeShaun"DeJay" Andrews</v>
      </c>
      <c r="D32" s="71" t="str">
        <f>IFERROR(__xludf.DUMMYFUNCTION("""COMPUTED_VALUE"""),"DeJay")</f>
        <v>DeJay</v>
      </c>
      <c r="E32" s="71" t="str">
        <f>IFERROR(__xludf.DUMMYFUNCTION("""COMPUTED_VALUE"""),"I have 3 scholorships, i have 2 dogs, i want to make it to the nba.")</f>
        <v>I have 3 scholorships, i have 2 dogs, i want to make it to the nba.</v>
      </c>
      <c r="F32" s="71" t="str">
        <f>IFERROR(__xludf.DUMMYFUNCTION("""COMPUTED_VALUE"""),"Doing a hands-on lab or experiment, Watching a video or live demonstration, Reading and taking notes, Drawing a model or diagram")</f>
        <v>Doing a hands-on lab or experiment, Watching a video or live demonstration, Reading and taking notes, Drawing a model or diagram</v>
      </c>
      <c r="G32" s="71" t="str">
        <f>IFERROR(__xludf.DUMMYFUNCTION("""COMPUTED_VALUE"""),"Do practice problems or worksheets, Explain the concept out loud to someone else")</f>
        <v>Do practice problems or worksheets, Explain the concept out loud to someone else</v>
      </c>
      <c r="H32" s="71" t="str">
        <f>IFERROR(__xludf.DUMMYFUNCTION("""COMPUTED_VALUE"""),"How can we make new materials? (Chemical Reactions) ⚗️, How can a magnet move something without touching it? (Forces at a Distance) 🧲, How are we connected to patterns in the sky? (Earth in Space) 🌍")</f>
        <v>How can we make new materials? (Chemical Reactions) ⚗️, How can a magnet move something without touching it? (Forces at a Distance) 🧲, How are we connected to patterns in the sky? (Earth in Space) 🌍</v>
      </c>
      <c r="I32" s="71" t="str">
        <f>IFERROR(__xludf.DUMMYFUNCTION("""COMPUTED_VALUE"""),"hooping, and playing 2k")</f>
        <v>hooping, and playing 2k</v>
      </c>
      <c r="J32" s="71" t="str">
        <f>IFERROR(__xludf.DUMMYFUNCTION("""COMPUTED_VALUE"""),"i can sing")</f>
        <v>i can sing</v>
      </c>
      <c r="K32" s="71">
        <f>IFERROR(__xludf.DUMMYFUNCTION("""COMPUTED_VALUE"""),5.0)</f>
        <v>5</v>
      </c>
      <c r="L32" s="71">
        <f>IFERROR(__xludf.DUMMYFUNCTION("""COMPUTED_VALUE"""),4.0)</f>
        <v>4</v>
      </c>
      <c r="M32" s="71">
        <f>IFERROR(__xludf.DUMMYFUNCTION("""COMPUTED_VALUE"""),4.0)</f>
        <v>4</v>
      </c>
      <c r="N32" s="71">
        <f>IFERROR(__xludf.DUMMYFUNCTION("""COMPUTED_VALUE"""),5.0)</f>
        <v>5</v>
      </c>
      <c r="O32" s="71">
        <f>IFERROR(__xludf.DUMMYFUNCTION("""COMPUTED_VALUE"""),4.0)</f>
        <v>4</v>
      </c>
      <c r="P32" s="71">
        <f>IFERROR(__xludf.DUMMYFUNCTION("""COMPUTED_VALUE"""),5.0)</f>
        <v>5</v>
      </c>
      <c r="Q32" s="71">
        <f>IFERROR(__xludf.DUMMYFUNCTION("""COMPUTED_VALUE"""),5.0)</f>
        <v>5</v>
      </c>
      <c r="R32" s="71">
        <f>IFERROR(__xludf.DUMMYFUNCTION("""COMPUTED_VALUE"""),5.0)</f>
        <v>5</v>
      </c>
      <c r="S32" s="71">
        <f>IFERROR(__xludf.DUMMYFUNCTION("""COMPUTED_VALUE"""),5.0)</f>
        <v>5</v>
      </c>
      <c r="T32" s="71">
        <f>IFERROR(__xludf.DUMMYFUNCTION("""COMPUTED_VALUE"""),5.0)</f>
        <v>5</v>
      </c>
      <c r="U32" s="71">
        <f>IFERROR(__xludf.DUMMYFUNCTION("""COMPUTED_VALUE"""),5.0)</f>
        <v>5</v>
      </c>
      <c r="V32" s="71">
        <f>IFERROR(__xludf.DUMMYFUNCTION("""COMPUTED_VALUE"""),5.0)</f>
        <v>5</v>
      </c>
      <c r="W32" s="71">
        <f>IFERROR(__xludf.DUMMYFUNCTION("""COMPUTED_VALUE"""),5.0)</f>
        <v>5</v>
      </c>
      <c r="X32" s="71" t="str">
        <f>IFERROR(__xludf.DUMMYFUNCTION("""COMPUTED_VALUE"""),"Organizes the plan and keeps the team on task., Takes notes, writes, and prepares the final presentation., Makes sure everyone feels included and helps solve disagreements.")</f>
        <v>Organizes the plan and keeps the team on task., Takes notes, writes, and prepares the final presentation., Makes sure everyone feels included and helps solve disagreements.</v>
      </c>
      <c r="Y32" s="71" t="str">
        <f>IFERROR(__xludf.DUMMYFUNCTION("""COMPUTED_VALUE"""),"Listen to everyone's ideas and try to find a compromise that includes parts of each")</f>
        <v>Listen to everyone's ideas and try to find a compromise that includes parts of each</v>
      </c>
      <c r="Z32" s="71" t="str">
        <f>IFERROR(__xludf.DUMMYFUNCTION("""COMPUTED_VALUE"""),"sharing what i bring to the team and ask for better idea")</f>
        <v>sharing what i bring to the team and ask for better idea</v>
      </c>
    </row>
    <row r="33">
      <c r="A33" s="128">
        <f>IFERROR(__xludf.DUMMYFUNCTION("""COMPUTED_VALUE"""),45888.4159145949)</f>
        <v>45888.41591</v>
      </c>
      <c r="B33" s="71" t="str">
        <f>IFERROR(__xludf.DUMMYFUNCTION("""COMPUTED_VALUE"""),"kelis.nelson@kairosacademies.org")</f>
        <v>kelis.nelson@kairosacademies.org</v>
      </c>
      <c r="C33" s="71" t="str">
        <f>IFERROR(__xludf.DUMMYFUNCTION("""COMPUTED_VALUE"""),"Kelis Nelson ")</f>
        <v>Kelis Nelson </v>
      </c>
      <c r="D33" s="71" t="str">
        <f>IFERROR(__xludf.DUMMYFUNCTION("""COMPUTED_VALUE"""),"femalechickenp")</f>
        <v>femalechickenp</v>
      </c>
      <c r="E33" s="71" t="str">
        <f>IFERROR(__xludf.DUMMYFUNCTION("""COMPUTED_VALUE"""),"i  got dog and birds and i wish for my hellcat dodge durango.")</f>
        <v>i  got dog and birds and i wish for my hellcat dodge durango.</v>
      </c>
      <c r="F33" s="71" t="str">
        <f>IFERROR(__xludf.DUMMYFUNCTION("""COMPUTED_VALUE"""),"Listening to the teacher explain it")</f>
        <v>Listening to the teacher explain it</v>
      </c>
      <c r="G33" s="71" t="str">
        <f>IFERROR(__xludf.DUMMYFUNCTION("""COMPUTED_VALUE"""),"Review my notes and materials")</f>
        <v>Review my notes and materials</v>
      </c>
      <c r="H33" s="71" t="str">
        <f>IFERROR(__xludf.DUMMYFUNCTION("""COMPUTED_VALUE"""),"How can we make new materials? (Chemical Reactions) ⚗️, Why do things get damaged when they hit each other? (Contact Forces) 💥, Why are living things different from one another? (Genetics) 🧬")</f>
        <v>How can we make new materials? (Chemical Reactions) ⚗️, Why do things get damaged when they hit each other? (Contact Forces) 💥, Why are living things different from one another? (Genetics) 🧬</v>
      </c>
      <c r="I33" s="71" t="str">
        <f>IFERROR(__xludf.DUMMYFUNCTION("""COMPUTED_VALUE"""),"Doing hair.")</f>
        <v>Doing hair.</v>
      </c>
      <c r="J33" s="71" t="str">
        <f>IFERROR(__xludf.DUMMYFUNCTION("""COMPUTED_VALUE"""),"something  im really good at is hair. ")</f>
        <v>something  im really good at is hair. </v>
      </c>
      <c r="K33" s="71">
        <f>IFERROR(__xludf.DUMMYFUNCTION("""COMPUTED_VALUE"""),2.0)</f>
        <v>2</v>
      </c>
      <c r="L33" s="71">
        <f>IFERROR(__xludf.DUMMYFUNCTION("""COMPUTED_VALUE"""),3.0)</f>
        <v>3</v>
      </c>
      <c r="M33" s="71">
        <f>IFERROR(__xludf.DUMMYFUNCTION("""COMPUTED_VALUE"""),2.0)</f>
        <v>2</v>
      </c>
      <c r="N33" s="71">
        <f>IFERROR(__xludf.DUMMYFUNCTION("""COMPUTED_VALUE"""),1.0)</f>
        <v>1</v>
      </c>
      <c r="O33" s="71">
        <f>IFERROR(__xludf.DUMMYFUNCTION("""COMPUTED_VALUE"""),2.0)</f>
        <v>2</v>
      </c>
      <c r="P33" s="71">
        <f>IFERROR(__xludf.DUMMYFUNCTION("""COMPUTED_VALUE"""),3.0)</f>
        <v>3</v>
      </c>
      <c r="Q33" s="71">
        <f>IFERROR(__xludf.DUMMYFUNCTION("""COMPUTED_VALUE"""),5.0)</f>
        <v>5</v>
      </c>
      <c r="R33" s="71">
        <f>IFERROR(__xludf.DUMMYFUNCTION("""COMPUTED_VALUE"""),3.0)</f>
        <v>3</v>
      </c>
      <c r="S33" s="71">
        <f>IFERROR(__xludf.DUMMYFUNCTION("""COMPUTED_VALUE"""),3.0)</f>
        <v>3</v>
      </c>
      <c r="T33" s="71">
        <f>IFERROR(__xludf.DUMMYFUNCTION("""COMPUTED_VALUE"""),3.0)</f>
        <v>3</v>
      </c>
      <c r="U33" s="71">
        <f>IFERROR(__xludf.DUMMYFUNCTION("""COMPUTED_VALUE"""),4.0)</f>
        <v>4</v>
      </c>
      <c r="V33" s="71">
        <f>IFERROR(__xludf.DUMMYFUNCTION("""COMPUTED_VALUE"""),2.0)</f>
        <v>2</v>
      </c>
      <c r="W33" s="71">
        <f>IFERROR(__xludf.DUMMYFUNCTION("""COMPUTED_VALUE"""),3.0)</f>
        <v>3</v>
      </c>
      <c r="X33" s="71" t="str">
        <f>IFERROR(__xludf.DUMMYFUNCTION("""COMPUTED_VALUE"""),"Takes notes, writes, and prepares the final presentation.")</f>
        <v>Takes notes, writes, and prepares the final presentation.</v>
      </c>
      <c r="Y33" s="71" t="str">
        <f>IFERROR(__xludf.DUMMYFUNCTION("""COMPUTED_VALUE"""),"Listen to everyone's ideas and try to find a compromise that includes parts of each")</f>
        <v>Listen to everyone's ideas and try to find a compromise that includes parts of each</v>
      </c>
      <c r="Z33" s="71" t="str">
        <f>IFERROR(__xludf.DUMMYFUNCTION("""COMPUTED_VALUE"""),"i need to think before i share.")</f>
        <v>i need to think before i share.</v>
      </c>
    </row>
    <row r="34">
      <c r="A34" s="128">
        <f>IFERROR(__xludf.DUMMYFUNCTION("""COMPUTED_VALUE"""),45888.4159487963)</f>
        <v>45888.41595</v>
      </c>
      <c r="B34" s="71" t="str">
        <f>IFERROR(__xludf.DUMMYFUNCTION("""COMPUTED_VALUE"""),"kyle.goodman@kairosacademies.org")</f>
        <v>kyle.goodman@kairosacademies.org</v>
      </c>
      <c r="C34" s="71" t="str">
        <f>IFERROR(__xludf.DUMMYFUNCTION("""COMPUTED_VALUE"""),"kyle goodman")</f>
        <v>kyle goodman</v>
      </c>
      <c r="D34" s="71" t="str">
        <f>IFERROR(__xludf.DUMMYFUNCTION("""COMPUTED_VALUE"""),"kyle goodman")</f>
        <v>kyle goodman</v>
      </c>
      <c r="E34" s="71" t="str">
        <f>IFERROR(__xludf.DUMMYFUNCTION("""COMPUTED_VALUE"""),"1) my name is kyle 2) my last name is goodman 3) i wish school wasnt here")</f>
        <v>1) my name is kyle 2) my last name is goodman 3) i wish school wasnt here</v>
      </c>
      <c r="F34" s="71" t="str">
        <f>IFERROR(__xludf.DUMMYFUNCTION("""COMPUTED_VALUE"""),"Drawing a model or diagram")</f>
        <v>Drawing a model or diagram</v>
      </c>
      <c r="G34" s="71" t="str">
        <f>IFERROR(__xludf.DUMMYFUNCTION("""COMPUTED_VALUE"""),"Review my notes and materials")</f>
        <v>Review my notes and materials</v>
      </c>
      <c r="H34" s="71" t="str">
        <f>IFERROR(__xludf.DUMMYFUNCTION("""COMPUTED_VALUE"""),"How can we make new materials? (Chemical Reactions) ⚗️, How can a magnet move something without touching it? (Forces at a Distance) 🧲, How are we connected to patterns in the sky? (Earth in Space) 🌍")</f>
        <v>How can we make new materials? (Chemical Reactions) ⚗️, How can a magnet move something without touching it? (Forces at a Distance) 🧲, How are we connected to patterns in the sky? (Earth in Space) 🌍</v>
      </c>
      <c r="I34" s="71" t="str">
        <f>IFERROR(__xludf.DUMMYFUNCTION("""COMPUTED_VALUE"""),"gaming, basketball, cooking ")</f>
        <v>gaming, basketball, cooking </v>
      </c>
      <c r="J34" s="71" t="str">
        <f>IFERROR(__xludf.DUMMYFUNCTION("""COMPUTED_VALUE"""),"gaming")</f>
        <v>gaming</v>
      </c>
      <c r="K34" s="71">
        <f>IFERROR(__xludf.DUMMYFUNCTION("""COMPUTED_VALUE"""),4.0)</f>
        <v>4</v>
      </c>
      <c r="L34" s="71">
        <f>IFERROR(__xludf.DUMMYFUNCTION("""COMPUTED_VALUE"""),5.0)</f>
        <v>5</v>
      </c>
      <c r="M34" s="71">
        <f>IFERROR(__xludf.DUMMYFUNCTION("""COMPUTED_VALUE"""),3.0)</f>
        <v>3</v>
      </c>
      <c r="N34" s="71">
        <f>IFERROR(__xludf.DUMMYFUNCTION("""COMPUTED_VALUE"""),2.0)</f>
        <v>2</v>
      </c>
      <c r="O34" s="71">
        <f>IFERROR(__xludf.DUMMYFUNCTION("""COMPUTED_VALUE"""),3.0)</f>
        <v>3</v>
      </c>
      <c r="P34" s="71">
        <f>IFERROR(__xludf.DUMMYFUNCTION("""COMPUTED_VALUE"""),4.0)</f>
        <v>4</v>
      </c>
      <c r="Q34" s="71">
        <f>IFERROR(__xludf.DUMMYFUNCTION("""COMPUTED_VALUE"""),4.0)</f>
        <v>4</v>
      </c>
      <c r="R34" s="71">
        <f>IFERROR(__xludf.DUMMYFUNCTION("""COMPUTED_VALUE"""),3.0)</f>
        <v>3</v>
      </c>
      <c r="S34" s="71">
        <f>IFERROR(__xludf.DUMMYFUNCTION("""COMPUTED_VALUE"""),4.0)</f>
        <v>4</v>
      </c>
      <c r="T34" s="71">
        <f>IFERROR(__xludf.DUMMYFUNCTION("""COMPUTED_VALUE"""),3.0)</f>
        <v>3</v>
      </c>
      <c r="U34" s="71">
        <f>IFERROR(__xludf.DUMMYFUNCTION("""COMPUTED_VALUE"""),4.0)</f>
        <v>4</v>
      </c>
      <c r="V34" s="71">
        <f>IFERROR(__xludf.DUMMYFUNCTION("""COMPUTED_VALUE"""),2.0)</f>
        <v>2</v>
      </c>
      <c r="W34" s="71">
        <f>IFERROR(__xludf.DUMMYFUNCTION("""COMPUTED_VALUE"""),3.0)</f>
        <v>3</v>
      </c>
      <c r="X34" s="71" t="str">
        <f>IFERROR(__xludf.DUMMYFUNCTION("""COMPUTED_VALUE"""),"Researches information and finds answers to questions., Takes notes, writes, and prepares the final presentation.")</f>
        <v>Researches information and finds answers to questions., Takes notes, writes, and prepares the final presentation.</v>
      </c>
      <c r="Y34" s="71" t="str">
        <f>IFERROR(__xludf.DUMMYFUNCTION("""COMPUTED_VALUE"""),"Listen to everyone's ideas and try to find a compromise that includes parts of each")</f>
        <v>Listen to everyone's ideas and try to find a compromise that includes parts of each</v>
      </c>
      <c r="Z34" s="71" t="str">
        <f>IFERROR(__xludf.DUMMYFUNCTION("""COMPUTED_VALUE"""),"when evveryone is listening to me without talking")</f>
        <v>when evveryone is listening to me without talking</v>
      </c>
    </row>
    <row r="35">
      <c r="A35" s="128">
        <f>IFERROR(__xludf.DUMMYFUNCTION("""COMPUTED_VALUE"""),45888.418234467594)</f>
        <v>45888.41823</v>
      </c>
      <c r="B35" s="71" t="str">
        <f>IFERROR(__xludf.DUMMYFUNCTION("""COMPUTED_VALUE"""),"sariah.sanders@kairosacademies.org")</f>
        <v>sariah.sanders@kairosacademies.org</v>
      </c>
      <c r="C35" s="71" t="str">
        <f>IFERROR(__xludf.DUMMYFUNCTION("""COMPUTED_VALUE"""),"Sariah sanders")</f>
        <v>Sariah sanders</v>
      </c>
      <c r="D35" s="71" t="str">
        <f>IFERROR(__xludf.DUMMYFUNCTION("""COMPUTED_VALUE"""),"Riah ")</f>
        <v>Riah </v>
      </c>
      <c r="E35" s="71" t="str">
        <f>IFERROR(__xludf.DUMMYFUNCTION("""COMPUTED_VALUE"""),"1 i have a baby brother .2 favorite color is pink.")</f>
        <v>1 i have a baby brother .2 favorite color is pink.</v>
      </c>
      <c r="F35" s="71" t="str">
        <f>IFERROR(__xludf.DUMMYFUNCTION("""COMPUTED_VALUE"""),"Doing a hands-on lab or experiment, Watching a video or live demonstration, Listening to the teacher explain it")</f>
        <v>Doing a hands-on lab or experiment, Watching a video or live demonstration, Listening to the teacher explain it</v>
      </c>
      <c r="G35" s="71" t="str">
        <f>IFERROR(__xludf.DUMMYFUNCTION("""COMPUTED_VALUE"""),"Review my notes and materials, Do practice problems or worksheets")</f>
        <v>Review my notes and materials, Do practice problems or worksheets</v>
      </c>
      <c r="H35" s="71" t="str">
        <f>IFERROR(__xludf.DUMMYFUNCTION("""COMPUTED_VALUE"""),"How can we make new materials? (Chemical Reactions) ⚗️, Why do things get damaged when they hit each other? (Contact Forces) 💥, How can a magnet move something without touching it? (Forces at a Distance) 🧲")</f>
        <v>How can we make new materials? (Chemical Reactions) ⚗️, Why do things get damaged when they hit each other? (Contact Forces) 💥, How can a magnet move something without touching it? (Forces at a Distance) 🧲</v>
      </c>
      <c r="I35" s="71" t="str">
        <f>IFERROR(__xludf.DUMMYFUNCTION("""COMPUTED_VALUE"""),"My favorite hobbies or activities outside of school is dancing")</f>
        <v>My favorite hobbies or activities outside of school is dancing</v>
      </c>
      <c r="J35" s="71" t="str">
        <f>IFERROR(__xludf.DUMMYFUNCTION("""COMPUTED_VALUE"""),"i'm great at taking care for my siblings, ")</f>
        <v>i'm great at taking care for my siblings, </v>
      </c>
      <c r="K35" s="71">
        <f>IFERROR(__xludf.DUMMYFUNCTION("""COMPUTED_VALUE"""),4.0)</f>
        <v>4</v>
      </c>
      <c r="L35" s="71">
        <f>IFERROR(__xludf.DUMMYFUNCTION("""COMPUTED_VALUE"""),5.0)</f>
        <v>5</v>
      </c>
      <c r="M35" s="71">
        <f>IFERROR(__xludf.DUMMYFUNCTION("""COMPUTED_VALUE"""),3.0)</f>
        <v>3</v>
      </c>
      <c r="N35" s="71">
        <f>IFERROR(__xludf.DUMMYFUNCTION("""COMPUTED_VALUE"""),2.0)</f>
        <v>2</v>
      </c>
      <c r="O35" s="71">
        <f>IFERROR(__xludf.DUMMYFUNCTION("""COMPUTED_VALUE"""),5.0)</f>
        <v>5</v>
      </c>
      <c r="P35" s="71">
        <f>IFERROR(__xludf.DUMMYFUNCTION("""COMPUTED_VALUE"""),5.0)</f>
        <v>5</v>
      </c>
      <c r="Q35" s="71">
        <f>IFERROR(__xludf.DUMMYFUNCTION("""COMPUTED_VALUE"""),5.0)</f>
        <v>5</v>
      </c>
      <c r="R35" s="71">
        <f>IFERROR(__xludf.DUMMYFUNCTION("""COMPUTED_VALUE"""),5.0)</f>
        <v>5</v>
      </c>
      <c r="S35" s="71">
        <f>IFERROR(__xludf.DUMMYFUNCTION("""COMPUTED_VALUE"""),5.0)</f>
        <v>5</v>
      </c>
      <c r="T35" s="71">
        <f>IFERROR(__xludf.DUMMYFUNCTION("""COMPUTED_VALUE"""),5.0)</f>
        <v>5</v>
      </c>
      <c r="U35" s="71">
        <f>IFERROR(__xludf.DUMMYFUNCTION("""COMPUTED_VALUE"""),5.0)</f>
        <v>5</v>
      </c>
      <c r="V35" s="71">
        <f>IFERROR(__xludf.DUMMYFUNCTION("""COMPUTED_VALUE"""),3.0)</f>
        <v>3</v>
      </c>
      <c r="W35" s="71">
        <f>IFERROR(__xludf.DUMMYFUNCTION("""COMPUTED_VALUE"""),3.0)</f>
        <v>3</v>
      </c>
      <c r="X35" s="71" t="str">
        <f>IFERROR(__xludf.DUMMYFUNCTION("""COMPUTED_VALUE"""),"Organizes the plan and keeps the team on task., Makes sure everyone feels included and helps solve disagreements.")</f>
        <v>Organizes the plan and keeps the team on task., Makes sure everyone feels included and helps solve disagreements.</v>
      </c>
      <c r="Y35" s="71" t="str">
        <f>IFERROR(__xludf.DUMMYFUNCTION("""COMPUTED_VALUE"""),"Listen to everyone's ideas and try to find a compromise that includes parts of each")</f>
        <v>Listen to everyone's ideas and try to find a compromise that includes parts of each</v>
      </c>
      <c r="Z35" s="71" t="str">
        <f>IFERROR(__xludf.DUMMYFUNCTION("""COMPUTED_VALUE"""),"i like to hear what people ideas is first then I would talk but if that don't work i would let them ask me questions. ")</f>
        <v>i like to hear what people ideas is first then I would talk but if that don't work i would let them ask me questions. </v>
      </c>
    </row>
    <row r="36">
      <c r="A36" s="128">
        <f>IFERROR(__xludf.DUMMYFUNCTION("""COMPUTED_VALUE"""),45888.42769917824)</f>
        <v>45888.4277</v>
      </c>
      <c r="B36" s="71" t="str">
        <f>IFERROR(__xludf.DUMMYFUNCTION("""COMPUTED_VALUE"""),"marnice.jefferson@kairosacademies.org")</f>
        <v>marnice.jefferson@kairosacademies.org</v>
      </c>
      <c r="C36" s="71" t="str">
        <f>IFERROR(__xludf.DUMMYFUNCTION("""COMPUTED_VALUE"""),"marnice jefferson")</f>
        <v>marnice jefferson</v>
      </c>
      <c r="D36" s="71"/>
      <c r="E36" s="71" t="str">
        <f>IFERROR(__xludf.DUMMYFUNCTION("""COMPUTED_VALUE"""),"i have 5 siblings, i have 5 dogs, i wish i can travle the world")</f>
        <v>i have 5 siblings, i have 5 dogs, i wish i can travle the world</v>
      </c>
      <c r="F36" s="71" t="str">
        <f>IFERROR(__xludf.DUMMYFUNCTION("""COMPUTED_VALUE"""),"Doing a hands-on lab or experiment, Watching a video or live demonstration, Discussing ideas with a small group")</f>
        <v>Doing a hands-on lab or experiment, Watching a video or live demonstration, Discussing ideas with a small group</v>
      </c>
      <c r="G36" s="71" t="str">
        <f>IFERROR(__xludf.DUMMYFUNCTION("""COMPUTED_VALUE"""),"Review my notes and materials, Make and study flashcards, Do practice problems or worksheets, Create my own study guide or diagram")</f>
        <v>Review my notes and materials, Make and study flashcards, Do practice problems or worksheets, Create my own study guide or diagram</v>
      </c>
      <c r="H36" s="71" t="str">
        <f>IFERROR(__xludf.DUMMYFUNCTION("""COMPUTED_VALUE"""),"Why do things get damaged when they hit each other? (Contact Forces) 💥, Why are living things different from one another? (Genetics) 🧬")</f>
        <v>Why do things get damaged when they hit each other? (Contact Forces) 💥, Why are living things different from one another? (Genetics) 🧬</v>
      </c>
      <c r="I36" s="71" t="str">
        <f>IFERROR(__xludf.DUMMYFUNCTION("""COMPUTED_VALUE"""),"cooking,dance")</f>
        <v>cooking,dance</v>
      </c>
      <c r="J36" s="71" t="str">
        <f>IFERROR(__xludf.DUMMYFUNCTION("""COMPUTED_VALUE"""),"cooking,babysiting,hair")</f>
        <v>cooking,babysiting,hair</v>
      </c>
      <c r="K36" s="71">
        <f>IFERROR(__xludf.DUMMYFUNCTION("""COMPUTED_VALUE"""),3.0)</f>
        <v>3</v>
      </c>
      <c r="L36" s="71">
        <f>IFERROR(__xludf.DUMMYFUNCTION("""COMPUTED_VALUE"""),4.0)</f>
        <v>4</v>
      </c>
      <c r="M36" s="71">
        <f>IFERROR(__xludf.DUMMYFUNCTION("""COMPUTED_VALUE"""),2.0)</f>
        <v>2</v>
      </c>
      <c r="N36" s="71">
        <f>IFERROR(__xludf.DUMMYFUNCTION("""COMPUTED_VALUE"""),1.0)</f>
        <v>1</v>
      </c>
      <c r="O36" s="71">
        <f>IFERROR(__xludf.DUMMYFUNCTION("""COMPUTED_VALUE"""),2.0)</f>
        <v>2</v>
      </c>
      <c r="P36" s="71">
        <f>IFERROR(__xludf.DUMMYFUNCTION("""COMPUTED_VALUE"""),3.0)</f>
        <v>3</v>
      </c>
      <c r="Q36" s="71">
        <f>IFERROR(__xludf.DUMMYFUNCTION("""COMPUTED_VALUE"""),3.0)</f>
        <v>3</v>
      </c>
      <c r="R36" s="71">
        <f>IFERROR(__xludf.DUMMYFUNCTION("""COMPUTED_VALUE"""),4.0)</f>
        <v>4</v>
      </c>
      <c r="S36" s="71">
        <f>IFERROR(__xludf.DUMMYFUNCTION("""COMPUTED_VALUE"""),4.0)</f>
        <v>4</v>
      </c>
      <c r="T36" s="71">
        <f>IFERROR(__xludf.DUMMYFUNCTION("""COMPUTED_VALUE"""),3.0)</f>
        <v>3</v>
      </c>
      <c r="U36" s="71">
        <f>IFERROR(__xludf.DUMMYFUNCTION("""COMPUTED_VALUE"""),3.0)</f>
        <v>3</v>
      </c>
      <c r="V36" s="71">
        <f>IFERROR(__xludf.DUMMYFUNCTION("""COMPUTED_VALUE"""),2.0)</f>
        <v>2</v>
      </c>
      <c r="W36" s="71">
        <f>IFERROR(__xludf.DUMMYFUNCTION("""COMPUTED_VALUE"""),3.0)</f>
        <v>3</v>
      </c>
      <c r="X36" s="71" t="str">
        <f>IFERROR(__xludf.DUMMYFUNCTION("""COMPUTED_VALUE"""),"Organizes the plan and keeps the team on task., Builds the project or does the hands-on work.")</f>
        <v>Organizes the plan and keeps the team on task., Builds the project or does the hands-on work.</v>
      </c>
      <c r="Y36" s="71" t="str">
        <f>IFERROR(__xludf.DUMMYFUNCTION("""COMPUTED_VALUE"""),"Listen to everyone's ideas and try to find a compromise that includes parts of each")</f>
        <v>Listen to everyone's ideas and try to find a compromise that includes parts of each</v>
      </c>
      <c r="Z36" s="71" t="str">
        <f>IFERROR(__xludf.DUMMYFUNCTION("""COMPUTED_VALUE"""),"i nee time to think before i share ")</f>
        <v>i nee time to think before i share </v>
      </c>
    </row>
    <row r="37">
      <c r="A37" s="128">
        <f>IFERROR(__xludf.DUMMYFUNCTION("""COMPUTED_VALUE"""),45888.419265717595)</f>
        <v>45888.41927</v>
      </c>
      <c r="B37" s="71" t="str">
        <f>IFERROR(__xludf.DUMMYFUNCTION("""COMPUTED_VALUE"""),"jordynn.banks@kairosacademies.org")</f>
        <v>jordynn.banks@kairosacademies.org</v>
      </c>
      <c r="C37" s="71" t="str">
        <f>IFERROR(__xludf.DUMMYFUNCTION("""COMPUTED_VALUE"""),"Jordynn Banks")</f>
        <v>Jordynn Banks</v>
      </c>
      <c r="D37" s="71" t="str">
        <f>IFERROR(__xludf.DUMMYFUNCTION("""COMPUTED_VALUE"""),"Jordynn")</f>
        <v>Jordynn</v>
      </c>
      <c r="E37" s="71" t="str">
        <f>IFERROR(__xludf.DUMMYFUNCTION("""COMPUTED_VALUE"""),"my name is jordynn , i am 13 and i wanna be legendary")</f>
        <v>my name is jordynn , i am 13 and i wanna be legendary</v>
      </c>
      <c r="F37" s="71" t="str">
        <f>IFERROR(__xludf.DUMMYFUNCTION("""COMPUTED_VALUE"""),"Doing a hands-on lab or experiment, Watching a video or live demonstration, Drawing a model or diagram")</f>
        <v>Doing a hands-on lab or experiment, Watching a video or live demonstration, Drawing a model or diagram</v>
      </c>
      <c r="G37" s="71" t="str">
        <f>IFERROR(__xludf.DUMMYFUNCTION("""COMPUTED_VALUE"""),"Review my notes and materials, Make and study flashcards, Do practice problems or worksheets")</f>
        <v>Review my notes and materials, Make and study flashcards, Do practice problems or worksheets</v>
      </c>
      <c r="H37" s="71" t="str">
        <f>IFERROR(__xludf.DUMMYFUNCTION("""COMPUTED_VALUE"""),"How can we make new materials? (Chemical Reactions) ⚗️, Why do things get damaged when they hit each other? (Contact Forces) 💥, Why are living things different from one another? (Genetics) 🧬")</f>
        <v>How can we make new materials? (Chemical Reactions) ⚗️, Why do things get damaged when they hit each other? (Contact Forces) 💥, Why are living things different from one another? (Genetics) 🧬</v>
      </c>
      <c r="I37" s="71" t="str">
        <f>IFERROR(__xludf.DUMMYFUNCTION("""COMPUTED_VALUE"""),"art , and dance")</f>
        <v>art , and dance</v>
      </c>
      <c r="J37" s="71" t="str">
        <f>IFERROR(__xludf.DUMMYFUNCTION("""COMPUTED_VALUE"""),"hair and lashes")</f>
        <v>hair and lashes</v>
      </c>
      <c r="K37" s="71">
        <f>IFERROR(__xludf.DUMMYFUNCTION("""COMPUTED_VALUE"""),4.0)</f>
        <v>4</v>
      </c>
      <c r="L37" s="71">
        <f>IFERROR(__xludf.DUMMYFUNCTION("""COMPUTED_VALUE"""),5.0)</f>
        <v>5</v>
      </c>
      <c r="M37" s="71">
        <f>IFERROR(__xludf.DUMMYFUNCTION("""COMPUTED_VALUE"""),4.0)</f>
        <v>4</v>
      </c>
      <c r="N37" s="71">
        <f>IFERROR(__xludf.DUMMYFUNCTION("""COMPUTED_VALUE"""),3.0)</f>
        <v>3</v>
      </c>
      <c r="O37" s="71">
        <f>IFERROR(__xludf.DUMMYFUNCTION("""COMPUTED_VALUE"""),4.0)</f>
        <v>4</v>
      </c>
      <c r="P37" s="71">
        <f>IFERROR(__xludf.DUMMYFUNCTION("""COMPUTED_VALUE"""),5.0)</f>
        <v>5</v>
      </c>
      <c r="Q37" s="71">
        <f>IFERROR(__xludf.DUMMYFUNCTION("""COMPUTED_VALUE"""),4.0)</f>
        <v>4</v>
      </c>
      <c r="R37" s="71">
        <f>IFERROR(__xludf.DUMMYFUNCTION("""COMPUTED_VALUE"""),5.0)</f>
        <v>5</v>
      </c>
      <c r="S37" s="71">
        <f>IFERROR(__xludf.DUMMYFUNCTION("""COMPUTED_VALUE"""),5.0)</f>
        <v>5</v>
      </c>
      <c r="T37" s="71">
        <f>IFERROR(__xludf.DUMMYFUNCTION("""COMPUTED_VALUE"""),4.0)</f>
        <v>4</v>
      </c>
      <c r="U37" s="71">
        <f>IFERROR(__xludf.DUMMYFUNCTION("""COMPUTED_VALUE"""),5.0)</f>
        <v>5</v>
      </c>
      <c r="V37" s="71">
        <f>IFERROR(__xludf.DUMMYFUNCTION("""COMPUTED_VALUE"""),3.0)</f>
        <v>3</v>
      </c>
      <c r="W37" s="71">
        <f>IFERROR(__xludf.DUMMYFUNCTION("""COMPUTED_VALUE"""),4.0)</f>
        <v>4</v>
      </c>
      <c r="X37" s="71" t="str">
        <f>IFERROR(__xludf.DUMMYFUNCTION("""COMPUTED_VALUE"""),"Builds the project or does the hands-on work.")</f>
        <v>Builds the project or does the hands-on work.</v>
      </c>
      <c r="Y37" s="71" t="str">
        <f>IFERROR(__xludf.DUMMYFUNCTION("""COMPUTED_VALUE"""),"Listen to everyone's ideas and try to find a compromise that includes parts of each")</f>
        <v>Listen to everyone's ideas and try to find a compromise that includes parts of each</v>
      </c>
      <c r="Z37" s="71" t="str">
        <f>IFERROR(__xludf.DUMMYFUNCTION("""COMPUTED_VALUE"""),"when people understands
")</f>
        <v>when people understands
</v>
      </c>
    </row>
    <row r="38">
      <c r="A38" s="128">
        <f>IFERROR(__xludf.DUMMYFUNCTION("""COMPUTED_VALUE"""),45888.41973956019)</f>
        <v>45888.41974</v>
      </c>
      <c r="B38" s="71" t="str">
        <f>IFERROR(__xludf.DUMMYFUNCTION("""COMPUTED_VALUE"""),"terrence.toran@kairosacademies.org")</f>
        <v>terrence.toran@kairosacademies.org</v>
      </c>
      <c r="C38" s="71" t="str">
        <f>IFERROR(__xludf.DUMMYFUNCTION("""COMPUTED_VALUE"""),"Terrence Toran Jr")</f>
        <v>Terrence Toran Jr</v>
      </c>
      <c r="D38" s="71" t="str">
        <f>IFERROR(__xludf.DUMMYFUNCTION("""COMPUTED_VALUE"""),"Baby d ")</f>
        <v>Baby d </v>
      </c>
      <c r="E38" s="71" t="str">
        <f>IFERROR(__xludf.DUMMYFUNCTION("""COMPUTED_VALUE"""),"dog got shot, never had all a's , and hope to get a a+ in science all year.")</f>
        <v>dog got shot, never had all a's , and hope to get a a+ in science all year.</v>
      </c>
      <c r="F38" s="71" t="str">
        <f>IFERROR(__xludf.DUMMYFUNCTION("""COMPUTED_VALUE"""),"Doing a hands-on lab or experiment, Watching a video or live demonstration, Discussing ideas with a small group, Reading and taking notes, Drawing a model or diagram, Listening to the teacher explain it")</f>
        <v>Doing a hands-on lab or experiment, Watching a video or live demonstration, Discussing ideas with a small group, Reading and taking notes, Drawing a model or diagram, Listening to the teacher explain it</v>
      </c>
      <c r="G38" s="71" t="str">
        <f>IFERROR(__xludf.DUMMYFUNCTION("""COMPUTED_VALUE"""),"Review my notes and materials, Make and study flashcards, Do practice problems or worksheets, Explain the concept out loud to someone else")</f>
        <v>Review my notes and materials, Make and study flashcards, Do practice problems or worksheets, Explain the concept out loud to someone else</v>
      </c>
      <c r="H38" s="71" t="str">
        <f>IFERROR(__xludf.DUMMYFUNCTION("""COMPUTED_VALUE"""),"How can we make new materials? (Chemical Reactions) ⚗️, Why do things get damaged when they hit each other? (Contact Forces) 💥, How can a magnet move something without touching it? (Forces at a Distance) 🧲, Why are living things different from one anoth"&amp;"er? (Genetics) 🧬")</f>
        <v>How can we make new materials? (Chemical Reactions) ⚗️, Why do things get damaged when they hit each other? (Contact Forces) 💥, How can a magnet move something without touching it? (Forces at a Distance) 🧲, Why are living things different from one another? (Genetics) 🧬</v>
      </c>
      <c r="I38" s="71" t="str">
        <f>IFERROR(__xludf.DUMMYFUNCTION("""COMPUTED_VALUE"""),"gaming , boxing , and football")</f>
        <v>gaming , boxing , and football</v>
      </c>
      <c r="J38" s="71" t="str">
        <f>IFERROR(__xludf.DUMMYFUNCTION("""COMPUTED_VALUE"""),"i have a really fast jab and strong liver shot.")</f>
        <v>i have a really fast jab and strong liver shot.</v>
      </c>
      <c r="K38" s="71">
        <f>IFERROR(__xludf.DUMMYFUNCTION("""COMPUTED_VALUE"""),5.0)</f>
        <v>5</v>
      </c>
      <c r="L38" s="71">
        <f>IFERROR(__xludf.DUMMYFUNCTION("""COMPUTED_VALUE"""),5.0)</f>
        <v>5</v>
      </c>
      <c r="M38" s="71">
        <f>IFERROR(__xludf.DUMMYFUNCTION("""COMPUTED_VALUE"""),3.0)</f>
        <v>3</v>
      </c>
      <c r="N38" s="71">
        <f>IFERROR(__xludf.DUMMYFUNCTION("""COMPUTED_VALUE"""),4.0)</f>
        <v>4</v>
      </c>
      <c r="O38" s="71">
        <f>IFERROR(__xludf.DUMMYFUNCTION("""COMPUTED_VALUE"""),3.0)</f>
        <v>3</v>
      </c>
      <c r="P38" s="71">
        <f>IFERROR(__xludf.DUMMYFUNCTION("""COMPUTED_VALUE"""),5.0)</f>
        <v>5</v>
      </c>
      <c r="Q38" s="71">
        <f>IFERROR(__xludf.DUMMYFUNCTION("""COMPUTED_VALUE"""),4.0)</f>
        <v>4</v>
      </c>
      <c r="R38" s="71">
        <f>IFERROR(__xludf.DUMMYFUNCTION("""COMPUTED_VALUE"""),4.0)</f>
        <v>4</v>
      </c>
      <c r="S38" s="71">
        <f>IFERROR(__xludf.DUMMYFUNCTION("""COMPUTED_VALUE"""),5.0)</f>
        <v>5</v>
      </c>
      <c r="T38" s="71">
        <f>IFERROR(__xludf.DUMMYFUNCTION("""COMPUTED_VALUE"""),4.0)</f>
        <v>4</v>
      </c>
      <c r="U38" s="71">
        <f>IFERROR(__xludf.DUMMYFUNCTION("""COMPUTED_VALUE"""),4.0)</f>
        <v>4</v>
      </c>
      <c r="V38" s="71">
        <f>IFERROR(__xludf.DUMMYFUNCTION("""COMPUTED_VALUE"""),4.0)</f>
        <v>4</v>
      </c>
      <c r="W38" s="71">
        <f>IFERROR(__xludf.DUMMYFUNCTION("""COMPUTED_VALUE"""),4.0)</f>
        <v>4</v>
      </c>
      <c r="X38" s="71" t="str">
        <f>IFERROR(__xludf.DUMMYFUNCTION("""COMPUTED_VALUE"""),"Researches information and finds answers to questions., Builds the project or does the hands-on work., Takes notes, writes, and prepares the final presentation.")</f>
        <v>Researches information and finds answers to questions., Builds the project or does the hands-on work., Takes notes, writes, and prepares the final presentation.</v>
      </c>
      <c r="Y38" s="71" t="str">
        <f>IFERROR(__xludf.DUMMYFUNCTION("""COMPUTED_VALUE"""),"Listen to everyone's ideas and try to find a compromise that includes parts of each")</f>
        <v>Listen to everyone's ideas and try to find a compromise that includes parts of each</v>
      </c>
      <c r="Z38" s="71" t="str">
        <f>IFERROR(__xludf.DUMMYFUNCTION("""COMPUTED_VALUE"""),"when people include my idea in the project.")</f>
        <v>when people include my idea in the project.</v>
      </c>
    </row>
    <row r="39">
      <c r="A39" s="128">
        <f>IFERROR(__xludf.DUMMYFUNCTION("""COMPUTED_VALUE"""),45888.43367157407)</f>
        <v>45888.43367</v>
      </c>
      <c r="B39" s="71" t="str">
        <f>IFERROR(__xludf.DUMMYFUNCTION("""COMPUTED_VALUE"""),"mya.frazier@kairosacademies.org")</f>
        <v>mya.frazier@kairosacademies.org</v>
      </c>
      <c r="C39" s="71" t="str">
        <f>IFERROR(__xludf.DUMMYFUNCTION("""COMPUTED_VALUE"""),"Mya Frazier")</f>
        <v>Mya Frazier</v>
      </c>
      <c r="D39" s="71"/>
      <c r="E39" s="71" t="str">
        <f>IFERROR(__xludf.DUMMYFUNCTION("""COMPUTED_VALUE"""),"1) i have 9 siblings, and one on the way 2) i like the movie coraline 3) i wish that when im learning, i can understand more easily.")</f>
        <v>1) i have 9 siblings, and one on the way 2) i like the movie coraline 3) i wish that when im learning, i can understand more easily.</v>
      </c>
      <c r="F39" s="71" t="str">
        <f>IFERROR(__xludf.DUMMYFUNCTION("""COMPUTED_VALUE"""),"Doing a hands-on lab or experiment, Watching a video or live demonstration, Reading and taking notes")</f>
        <v>Doing a hands-on lab or experiment, Watching a video or live demonstration, Reading and taking notes</v>
      </c>
      <c r="G39" s="71" t="str">
        <f>IFERROR(__xludf.DUMMYFUNCTION("""COMPUTED_VALUE"""),"Review my notes and materials, Do practice problems or worksheets")</f>
        <v>Review my notes and materials, Do practice problems or worksheets</v>
      </c>
      <c r="H39" s="71" t="str">
        <f>IFERROR(__xludf.DUMMYFUNCTION("""COMPUTED_VALUE"""),"Why do things get damaged when they hit each other? (Contact Forces) 💥, How are we connected to patterns in the sky? (Earth in Space) 🌍, Why are living things different from one another? (Genetics) 🧬")</f>
        <v>Why do things get damaged when they hit each other? (Contact Forces) 💥, How are we connected to patterns in the sky? (Earth in Space) 🌍, Why are living things different from one another? (Genetics) 🧬</v>
      </c>
      <c r="I39" s="71" t="str">
        <f>IFERROR(__xludf.DUMMYFUNCTION("""COMPUTED_VALUE"""),"my favorite thing to do is, draw. i like drawig in any typ of way. i also like reading, and playing around with my siblings")</f>
        <v>my favorite thing to do is, draw. i like drawig in any typ of way. i also like reading, and playing around with my siblings</v>
      </c>
      <c r="J39" s="71" t="str">
        <f>IFERROR(__xludf.DUMMYFUNCTION("""COMPUTED_VALUE"""),"something im really good at is, messing up things, or forgetting to do something. this connects to science in a way of, chemical recations. i think this because when you accidentaly mix 2 things, or forget to add something into the project it caan mess up"&amp;" what project youre doing.")</f>
        <v>something im really good at is, messing up things, or forgetting to do something. this connects to science in a way of, chemical recations. i think this because when you accidentaly mix 2 things, or forget to add something into the project it caan mess up what project youre doing.</v>
      </c>
      <c r="K39" s="71">
        <f>IFERROR(__xludf.DUMMYFUNCTION("""COMPUTED_VALUE"""),2.0)</f>
        <v>2</v>
      </c>
      <c r="L39" s="71">
        <f>IFERROR(__xludf.DUMMYFUNCTION("""COMPUTED_VALUE"""),3.0)</f>
        <v>3</v>
      </c>
      <c r="M39" s="71">
        <f>IFERROR(__xludf.DUMMYFUNCTION("""COMPUTED_VALUE"""),1.0)</f>
        <v>1</v>
      </c>
      <c r="N39" s="71">
        <f>IFERROR(__xludf.DUMMYFUNCTION("""COMPUTED_VALUE"""),1.0)</f>
        <v>1</v>
      </c>
      <c r="O39" s="71">
        <f>IFERROR(__xludf.DUMMYFUNCTION("""COMPUTED_VALUE"""),2.0)</f>
        <v>2</v>
      </c>
      <c r="P39" s="71">
        <f>IFERROR(__xludf.DUMMYFUNCTION("""COMPUTED_VALUE"""),4.0)</f>
        <v>4</v>
      </c>
      <c r="Q39" s="71">
        <f>IFERROR(__xludf.DUMMYFUNCTION("""COMPUTED_VALUE"""),3.0)</f>
        <v>3</v>
      </c>
      <c r="R39" s="71">
        <f>IFERROR(__xludf.DUMMYFUNCTION("""COMPUTED_VALUE"""),4.0)</f>
        <v>4</v>
      </c>
      <c r="S39" s="71">
        <f>IFERROR(__xludf.DUMMYFUNCTION("""COMPUTED_VALUE"""),4.0)</f>
        <v>4</v>
      </c>
      <c r="T39" s="71">
        <f>IFERROR(__xludf.DUMMYFUNCTION("""COMPUTED_VALUE"""),2.0)</f>
        <v>2</v>
      </c>
      <c r="U39" s="71">
        <f>IFERROR(__xludf.DUMMYFUNCTION("""COMPUTED_VALUE"""),4.0)</f>
        <v>4</v>
      </c>
      <c r="V39" s="71">
        <f>IFERROR(__xludf.DUMMYFUNCTION("""COMPUTED_VALUE"""),3.0)</f>
        <v>3</v>
      </c>
      <c r="W39" s="71">
        <f>IFERROR(__xludf.DUMMYFUNCTION("""COMPUTED_VALUE"""),4.0)</f>
        <v>4</v>
      </c>
      <c r="X39" s="71" t="str">
        <f>IFERROR(__xludf.DUMMYFUNCTION("""COMPUTED_VALUE"""),"Researches information and finds answers to questions., Takes notes, writes, and prepares the final presentation., Makes sure everyone feels included and helps solve disagreements.")</f>
        <v>Researches information and finds answers to questions., Takes notes, writes, and prepares the final presentation., Makes sure everyone feels included and helps solve disagreements.</v>
      </c>
      <c r="Y39" s="71" t="str">
        <f>IFERROR(__xludf.DUMMYFUNCTION("""COMPUTED_VALUE"""),"Listen to everyone's ideas and try to find a compromise that includes parts of each")</f>
        <v>Listen to everyone's ideas and try to find a compromise that includes parts of each</v>
      </c>
      <c r="Z39" s="71" t="str">
        <f>IFERROR(__xludf.DUMMYFUNCTION("""COMPUTED_VALUE"""),"I like when people in my group are a bit goofy, but also hardworking. i like this because, i, yself cannot do anything w/o a litte joke inbetween here and there, but i also like to get my work done on time, or early. Playig is fun and games, but my grades"&amp;", OUR grades have to be good to make it it 9th grade..")</f>
        <v>I like when people in my group are a bit goofy, but also hardworking. i like this because, i, yself cannot do anything w/o a litte joke inbetween here and there, but i also like to get my work done on time, or early. Playig is fun and games, but my grades, OUR grades have to be good to make it it 9th grade..</v>
      </c>
    </row>
    <row r="40">
      <c r="A40" s="128">
        <f>IFERROR(__xludf.DUMMYFUNCTION("""COMPUTED_VALUE"""),45888.420607037035)</f>
        <v>45888.42061</v>
      </c>
      <c r="B40" s="71" t="str">
        <f>IFERROR(__xludf.DUMMYFUNCTION("""COMPUTED_VALUE"""),"sariah.petty@kairosacademies.org")</f>
        <v>sariah.petty@kairosacademies.org</v>
      </c>
      <c r="C40" s="71" t="str">
        <f>IFERROR(__xludf.DUMMYFUNCTION("""COMPUTED_VALUE"""),"sariah petty")</f>
        <v>sariah petty</v>
      </c>
      <c r="D40" s="71" t="str">
        <f>IFERROR(__xludf.DUMMYFUNCTION("""COMPUTED_VALUE"""),"riyah")</f>
        <v>riyah</v>
      </c>
      <c r="E40" s="71" t="str">
        <f>IFERROR(__xludf.DUMMYFUNCTION("""COMPUTED_VALUE"""),"i have 3 dogs , i love food , and i wish i was a dancer.
")</f>
        <v>i have 3 dogs , i love food , and i wish i was a dancer.
</v>
      </c>
      <c r="F40" s="71" t="str">
        <f>IFERROR(__xludf.DUMMYFUNCTION("""COMPUTED_VALUE"""),"Doing a hands-on lab or experiment, Listening to the teacher explain it")</f>
        <v>Doing a hands-on lab or experiment, Listening to the teacher explain it</v>
      </c>
      <c r="G40" s="71" t="str">
        <f>IFERROR(__xludf.DUMMYFUNCTION("""COMPUTED_VALUE"""),"Review my notes and materials")</f>
        <v>Review my notes and materials</v>
      </c>
      <c r="H40" s="71" t="str">
        <f>IFERROR(__xludf.DUMMYFUNCTION("""COMPUTED_VALUE"""),"How do our bodies get energy from food? (Metabolic Reactions) 🍎, How does changing an ecosystem affect what lives there? (Ecosystem Dynamics) 🌿, Why are living things different from one another? (Genetics) 🧬")</f>
        <v>How do our bodies get energy from food? (Metabolic Reactions) 🍎, How does changing an ecosystem affect what lives there? (Ecosystem Dynamics) 🌿, Why are living things different from one another? (Genetics) 🧬</v>
      </c>
      <c r="I40" s="71" t="str">
        <f>IFERROR(__xludf.DUMMYFUNCTION("""COMPUTED_VALUE"""),"cooking,doing tiktoks,sleeping,playing outside and getting my hair done ")</f>
        <v>cooking,doing tiktoks,sleeping,playing outside and getting my hair done </v>
      </c>
      <c r="J40" s="71" t="str">
        <f>IFERROR(__xludf.DUMMYFUNCTION("""COMPUTED_VALUE"""),"dancing")</f>
        <v>dancing</v>
      </c>
      <c r="K40" s="71">
        <f>IFERROR(__xludf.DUMMYFUNCTION("""COMPUTED_VALUE"""),3.0)</f>
        <v>3</v>
      </c>
      <c r="L40" s="71">
        <f>IFERROR(__xludf.DUMMYFUNCTION("""COMPUTED_VALUE"""),2.0)</f>
        <v>2</v>
      </c>
      <c r="M40" s="71">
        <f>IFERROR(__xludf.DUMMYFUNCTION("""COMPUTED_VALUE"""),4.0)</f>
        <v>4</v>
      </c>
      <c r="N40" s="71">
        <f>IFERROR(__xludf.DUMMYFUNCTION("""COMPUTED_VALUE"""),3.0)</f>
        <v>3</v>
      </c>
      <c r="O40" s="71">
        <f>IFERROR(__xludf.DUMMYFUNCTION("""COMPUTED_VALUE"""),4.0)</f>
        <v>4</v>
      </c>
      <c r="P40" s="71">
        <f>IFERROR(__xludf.DUMMYFUNCTION("""COMPUTED_VALUE"""),5.0)</f>
        <v>5</v>
      </c>
      <c r="Q40" s="71">
        <f>IFERROR(__xludf.DUMMYFUNCTION("""COMPUTED_VALUE"""),4.0)</f>
        <v>4</v>
      </c>
      <c r="R40" s="71">
        <f>IFERROR(__xludf.DUMMYFUNCTION("""COMPUTED_VALUE"""),4.0)</f>
        <v>4</v>
      </c>
      <c r="S40" s="71">
        <f>IFERROR(__xludf.DUMMYFUNCTION("""COMPUTED_VALUE"""),5.0)</f>
        <v>5</v>
      </c>
      <c r="T40" s="71">
        <f>IFERROR(__xludf.DUMMYFUNCTION("""COMPUTED_VALUE"""),3.0)</f>
        <v>3</v>
      </c>
      <c r="U40" s="71">
        <f>IFERROR(__xludf.DUMMYFUNCTION("""COMPUTED_VALUE"""),3.0)</f>
        <v>3</v>
      </c>
      <c r="V40" s="71">
        <f>IFERROR(__xludf.DUMMYFUNCTION("""COMPUTED_VALUE"""),3.0)</f>
        <v>3</v>
      </c>
      <c r="W40" s="71">
        <f>IFERROR(__xludf.DUMMYFUNCTION("""COMPUTED_VALUE"""),2.0)</f>
        <v>2</v>
      </c>
      <c r="X40" s="71" t="str">
        <f>IFERROR(__xludf.DUMMYFUNCTION("""COMPUTED_VALUE"""),"Builds the project or does the hands-on work., Takes notes, writes, and prepares the final presentation.")</f>
        <v>Builds the project or does the hands-on work., Takes notes, writes, and prepares the final presentation.</v>
      </c>
      <c r="Y40" s="71" t="str">
        <f>IFERROR(__xludf.DUMMYFUNCTION("""COMPUTED_VALUE"""),"Listen to everyone's ideas and try to find a compromise that includes parts of each")</f>
        <v>Listen to everyone's ideas and try to find a compromise that includes parts of each</v>
      </c>
      <c r="Z40" s="71" t="str">
        <f>IFERROR(__xludf.DUMMYFUNCTION("""COMPUTED_VALUE"""),"when ppl ask me somthing i dont know in i try to give my best answer")</f>
        <v>when ppl ask me somthing i dont know in i try to give my best answer</v>
      </c>
    </row>
    <row r="41">
      <c r="A41" s="128">
        <f>IFERROR(__xludf.DUMMYFUNCTION("""COMPUTED_VALUE"""),45888.42236949074)</f>
        <v>45888.42237</v>
      </c>
      <c r="B41" s="71" t="str">
        <f>IFERROR(__xludf.DUMMYFUNCTION("""COMPUTED_VALUE"""),"jhariya.ward@kairosacademies.org")</f>
        <v>jhariya.ward@kairosacademies.org</v>
      </c>
      <c r="C41" s="71" t="str">
        <f>IFERROR(__xludf.DUMMYFUNCTION("""COMPUTED_VALUE"""),"Jhariya Ward")</f>
        <v>Jhariya Ward</v>
      </c>
      <c r="D41" s="71" t="str">
        <f>IFERROR(__xludf.DUMMYFUNCTION("""COMPUTED_VALUE"""),"Riah")</f>
        <v>Riah</v>
      </c>
      <c r="E41" s="71" t="str">
        <f>IFERROR(__xludf.DUMMYFUNCTION("""COMPUTED_VALUE"""),"i have 2 little sisters i have a cat and i wish to be a real estate agent")</f>
        <v>i have 2 little sisters i have a cat and i wish to be a real estate agent</v>
      </c>
      <c r="F41" s="71" t="str">
        <f>IFERROR(__xludf.DUMMYFUNCTION("""COMPUTED_VALUE"""),"Watching a video or live demonstration, Discussing ideas with a small group, Reading and taking notes")</f>
        <v>Watching a video or live demonstration, Discussing ideas with a small group, Reading and taking notes</v>
      </c>
      <c r="G41" s="71" t="str">
        <f>IFERROR(__xludf.DUMMYFUNCTION("""COMPUTED_VALUE"""),"Review my notes and materials, Make and study flashcards, Do practice problems or worksheets")</f>
        <v>Review my notes and materials, Make and study flashcards, Do practice problems or worksheets</v>
      </c>
      <c r="H41" s="71" t="str">
        <f>IFERROR(__xludf.DUMMYFUNCTION("""COMPUTED_VALUE"""),"How can we make new materials? (Chemical Reactions) ⚗️, How does changing an ecosystem affect what lives there? (Ecosystem Dynamics) 🌿, How are we connected to patterns in the sky? (Earth in Space) 🌍")</f>
        <v>How can we make new materials? (Chemical Reactions) ⚗️, How does changing an ecosystem affect what lives there? (Ecosystem Dynamics) 🌿, How are we connected to patterns in the sky? (Earth in Space) 🌍</v>
      </c>
      <c r="I41" s="71" t="str">
        <f>IFERROR(__xludf.DUMMYFUNCTION("""COMPUTED_VALUE"""),"singing")</f>
        <v>singing</v>
      </c>
      <c r="J41" s="71" t="str">
        <f>IFERROR(__xludf.DUMMYFUNCTION("""COMPUTED_VALUE"""),"uhmmmm i can make my vision go blurry")</f>
        <v>uhmmmm i can make my vision go blurry</v>
      </c>
      <c r="K41" s="71">
        <f>IFERROR(__xludf.DUMMYFUNCTION("""COMPUTED_VALUE"""),5.0)</f>
        <v>5</v>
      </c>
      <c r="L41" s="71">
        <f>IFERROR(__xludf.DUMMYFUNCTION("""COMPUTED_VALUE"""),5.0)</f>
        <v>5</v>
      </c>
      <c r="M41" s="71">
        <f>IFERROR(__xludf.DUMMYFUNCTION("""COMPUTED_VALUE"""),3.0)</f>
        <v>3</v>
      </c>
      <c r="N41" s="71">
        <f>IFERROR(__xludf.DUMMYFUNCTION("""COMPUTED_VALUE"""),1.0)</f>
        <v>1</v>
      </c>
      <c r="O41" s="71">
        <f>IFERROR(__xludf.DUMMYFUNCTION("""COMPUTED_VALUE"""),4.0)</f>
        <v>4</v>
      </c>
      <c r="P41" s="71">
        <f>IFERROR(__xludf.DUMMYFUNCTION("""COMPUTED_VALUE"""),5.0)</f>
        <v>5</v>
      </c>
      <c r="Q41" s="71">
        <f>IFERROR(__xludf.DUMMYFUNCTION("""COMPUTED_VALUE"""),5.0)</f>
        <v>5</v>
      </c>
      <c r="R41" s="71">
        <f>IFERROR(__xludf.DUMMYFUNCTION("""COMPUTED_VALUE"""),3.0)</f>
        <v>3</v>
      </c>
      <c r="S41" s="71">
        <f>IFERROR(__xludf.DUMMYFUNCTION("""COMPUTED_VALUE"""),5.0)</f>
        <v>5</v>
      </c>
      <c r="T41" s="71">
        <f>IFERROR(__xludf.DUMMYFUNCTION("""COMPUTED_VALUE"""),3.0)</f>
        <v>3</v>
      </c>
      <c r="U41" s="71">
        <f>IFERROR(__xludf.DUMMYFUNCTION("""COMPUTED_VALUE"""),4.0)</f>
        <v>4</v>
      </c>
      <c r="V41" s="71">
        <f>IFERROR(__xludf.DUMMYFUNCTION("""COMPUTED_VALUE"""),3.0)</f>
        <v>3</v>
      </c>
      <c r="W41" s="71">
        <f>IFERROR(__xludf.DUMMYFUNCTION("""COMPUTED_VALUE"""),5.0)</f>
        <v>5</v>
      </c>
      <c r="X41" s="71" t="str">
        <f>IFERROR(__xludf.DUMMYFUNCTION("""COMPUTED_VALUE"""),"Organizes the plan and keeps the team on task., Takes notes, writes, and prepares the final presentation., Makes sure everyone feels included and helps solve disagreements.")</f>
        <v>Organizes the plan and keeps the team on task., Takes notes, writes, and prepares the final presentation., Makes sure everyone feels included and helps solve disagreements.</v>
      </c>
      <c r="Y41" s="71" t="str">
        <f>IFERROR(__xludf.DUMMYFUNCTION("""COMPUTED_VALUE"""),"Listen to everyone's ideas and try to find a compromise that includes parts of each")</f>
        <v>Listen to everyone's ideas and try to find a compromise that includes parts of each</v>
      </c>
      <c r="Z41" s="71" t="str">
        <f>IFERROR(__xludf.DUMMYFUNCTION("""COMPUTED_VALUE"""),"asking for everyones attention")</f>
        <v>asking for everyones attention</v>
      </c>
    </row>
    <row r="42">
      <c r="A42" s="128">
        <f>IFERROR(__xludf.DUMMYFUNCTION("""COMPUTED_VALUE"""),45888.42260609954)</f>
        <v>45888.42261</v>
      </c>
      <c r="B42" s="71" t="str">
        <f>IFERROR(__xludf.DUMMYFUNCTION("""COMPUTED_VALUE"""),"khaleel.muhammad@kairosacademies.org")</f>
        <v>khaleel.muhammad@kairosacademies.org</v>
      </c>
      <c r="C42" s="71" t="str">
        <f>IFERROR(__xludf.DUMMYFUNCTION("""COMPUTED_VALUE"""),"Khaleel Muhammad")</f>
        <v>Khaleel Muhammad</v>
      </c>
      <c r="D42" s="71" t="str">
        <f>IFERROR(__xludf.DUMMYFUNCTION("""COMPUTED_VALUE"""),"khaleel")</f>
        <v>khaleel</v>
      </c>
      <c r="E42" s="71" t="str">
        <f>IFERROR(__xludf.DUMMYFUNCTION("""COMPUTED_VALUE"""),"im lightskin, I play the piano, I wish to get all A's")</f>
        <v>im lightskin, I play the piano, I wish to get all A's</v>
      </c>
      <c r="F42" s="71" t="str">
        <f>IFERROR(__xludf.DUMMYFUNCTION("""COMPUTED_VALUE"""),"Watching a video or live demonstration, Drawing a model or diagram, Listening to the teacher explain it")</f>
        <v>Watching a video or live demonstration, Drawing a model or diagram, Listening to the teacher explain it</v>
      </c>
      <c r="G42" s="71" t="str">
        <f>IFERROR(__xludf.DUMMYFUNCTION("""COMPUTED_VALUE"""),"Review my notes and materials, Create my own study guide or diagram")</f>
        <v>Review my notes and materials, Create my own study guide or diagram</v>
      </c>
      <c r="H42" s="71" t="str">
        <f>IFERROR(__xludf.DUMMYFUNCTION("""COMPUTED_VALUE"""),"How can we make new materials? (Chemical Reactions) ⚗️, How do our bodies get energy from food? (Metabolic Reactions) 🍎, Why do things get damaged when they hit each other? (Contact Forces) 💥, Why are living things different from one another? (Genetics)"&amp;" 🧬")</f>
        <v>How can we make new materials? (Chemical Reactions) ⚗️, How do our bodies get energy from food? (Metabolic Reactions) 🍎, Why do things get damaged when they hit each other? (Contact Forces) 💥, Why are living things different from one another? (Genetics) 🧬</v>
      </c>
      <c r="I42" s="71" t="str">
        <f>IFERROR(__xludf.DUMMYFUNCTION("""COMPUTED_VALUE"""),"playing the piano")</f>
        <v>playing the piano</v>
      </c>
      <c r="J42" s="71" t="str">
        <f>IFERROR(__xludf.DUMMYFUNCTION("""COMPUTED_VALUE"""),"playing the piano which connects to hand and eye movement.")</f>
        <v>playing the piano which connects to hand and eye movement.</v>
      </c>
      <c r="K42" s="71">
        <f>IFERROR(__xludf.DUMMYFUNCTION("""COMPUTED_VALUE"""),3.0)</f>
        <v>3</v>
      </c>
      <c r="L42" s="71">
        <f>IFERROR(__xludf.DUMMYFUNCTION("""COMPUTED_VALUE"""),4.0)</f>
        <v>4</v>
      </c>
      <c r="M42" s="71">
        <f>IFERROR(__xludf.DUMMYFUNCTION("""COMPUTED_VALUE"""),3.0)</f>
        <v>3</v>
      </c>
      <c r="N42" s="71">
        <f>IFERROR(__xludf.DUMMYFUNCTION("""COMPUTED_VALUE"""),1.0)</f>
        <v>1</v>
      </c>
      <c r="O42" s="71">
        <f>IFERROR(__xludf.DUMMYFUNCTION("""COMPUTED_VALUE"""),3.0)</f>
        <v>3</v>
      </c>
      <c r="P42" s="71">
        <f>IFERROR(__xludf.DUMMYFUNCTION("""COMPUTED_VALUE"""),4.0)</f>
        <v>4</v>
      </c>
      <c r="Q42" s="71">
        <f>IFERROR(__xludf.DUMMYFUNCTION("""COMPUTED_VALUE"""),1.0)</f>
        <v>1</v>
      </c>
      <c r="R42" s="71">
        <f>IFERROR(__xludf.DUMMYFUNCTION("""COMPUTED_VALUE"""),3.0)</f>
        <v>3</v>
      </c>
      <c r="S42" s="71">
        <f>IFERROR(__xludf.DUMMYFUNCTION("""COMPUTED_VALUE"""),3.0)</f>
        <v>3</v>
      </c>
      <c r="T42" s="71">
        <f>IFERROR(__xludf.DUMMYFUNCTION("""COMPUTED_VALUE"""),3.0)</f>
        <v>3</v>
      </c>
      <c r="U42" s="71">
        <f>IFERROR(__xludf.DUMMYFUNCTION("""COMPUTED_VALUE"""),5.0)</f>
        <v>5</v>
      </c>
      <c r="V42" s="71">
        <f>IFERROR(__xludf.DUMMYFUNCTION("""COMPUTED_VALUE"""),3.0)</f>
        <v>3</v>
      </c>
      <c r="W42" s="71">
        <f>IFERROR(__xludf.DUMMYFUNCTION("""COMPUTED_VALUE"""),4.0)</f>
        <v>4</v>
      </c>
      <c r="X42" s="71" t="str">
        <f>IFERROR(__xludf.DUMMYFUNCTION("""COMPUTED_VALUE"""),"Organizes the plan and keeps the team on task., Researches information and finds answers to questions., Takes notes, writes, and prepares the final presentation.")</f>
        <v>Organizes the plan and keeps the team on task., Researches information and finds answers to questions., Takes notes, writes, and prepares the final presentation.</v>
      </c>
      <c r="Y42" s="71" t="str">
        <f>IFERROR(__xludf.DUMMYFUNCTION("""COMPUTED_VALUE"""),"Ask the teacher for the ""right"" answer")</f>
        <v>Ask the teacher for the "right" answer</v>
      </c>
      <c r="Z42" s="71" t="str">
        <f>IFERROR(__xludf.DUMMYFUNCTION("""COMPUTED_VALUE"""),"when people goes to me for answers")</f>
        <v>when people goes to me for answers</v>
      </c>
    </row>
    <row r="43">
      <c r="A43" s="128">
        <f>IFERROR(__xludf.DUMMYFUNCTION("""COMPUTED_VALUE"""),45888.43231362269)</f>
        <v>45888.43231</v>
      </c>
      <c r="B43" s="71" t="str">
        <f>IFERROR(__xludf.DUMMYFUNCTION("""COMPUTED_VALUE"""),"michael.frazier@kairosacademies.org")</f>
        <v>michael.frazier@kairosacademies.org</v>
      </c>
      <c r="C43" s="71" t="str">
        <f>IFERROR(__xludf.DUMMYFUNCTION("""COMPUTED_VALUE"""),"michael frazier")</f>
        <v>michael frazier</v>
      </c>
      <c r="D43" s="71"/>
      <c r="E43" s="71" t="str">
        <f>IFERROR(__xludf.DUMMYFUNCTION("""COMPUTED_VALUE"""),"i go to school in stl and my friends are slow and i have a dog ")</f>
        <v>i go to school in stl and my friends are slow and i have a dog </v>
      </c>
      <c r="F43" s="71" t="str">
        <f>IFERROR(__xludf.DUMMYFUNCTION("""COMPUTED_VALUE"""),"Doing a hands-on lab or experiment, Discussing ideas with a small group, Reading and taking notes, Listening to the teacher explain it")</f>
        <v>Doing a hands-on lab or experiment, Discussing ideas with a small group, Reading and taking notes, Listening to the teacher explain it</v>
      </c>
      <c r="G43" s="71" t="str">
        <f>IFERROR(__xludf.DUMMYFUNCTION("""COMPUTED_VALUE"""),"Review my notes and materials, Make and study flashcards, Create my own study guide or diagram")</f>
        <v>Review my notes and materials, Make and study flashcards, Create my own study guide or diagram</v>
      </c>
      <c r="H43" s="71" t="str">
        <f>IFERROR(__xludf.DUMMYFUNCTION("""COMPUTED_VALUE"""),"How can we make new materials? (Chemical Reactions) ⚗️, How do our bodies get energy from food? (Metabolic Reactions) 🍎, How does changing an ecosystem affect what lives there? (Ecosystem Dynamics) 🌿, Why do things get damaged when they hit each other? "&amp;"(Contact Forces) 💥, How can a magnet move something without touching it? (Forces at a Distance) 🧲, How are we connected to patterns in the sky? (Earth in Space) 🌍, Why are living things different from one another? (Genetics) 🧬")</f>
        <v>How can we make new materials? (Chemical Reactions) ⚗️, How do our bodies get energy from food? (Metabolic Reactions) 🍎, How does changing an ecosystem affect what lives there? (Ecosystem Dynamics) 🌿, Why do things get damaged when they hit each other? (Contact Forces) 💥, How can a magnet move something without touching it? (Forces at a Distance) 🧲, How are we connected to patterns in the sky? (Earth in Space) 🌍, Why are living things different from one another? (Genetics) 🧬</v>
      </c>
      <c r="I43" s="71" t="str">
        <f>IFERROR(__xludf.DUMMYFUNCTION("""COMPUTED_VALUE"""),"gaming and sports  and reading ")</f>
        <v>gaming and sports  and reading </v>
      </c>
      <c r="J43" s="71" t="str">
        <f>IFERROR(__xludf.DUMMYFUNCTION("""COMPUTED_VALUE"""),"football")</f>
        <v>football</v>
      </c>
      <c r="K43" s="71">
        <f>IFERROR(__xludf.DUMMYFUNCTION("""COMPUTED_VALUE"""),4.0)</f>
        <v>4</v>
      </c>
      <c r="L43" s="71">
        <f>IFERROR(__xludf.DUMMYFUNCTION("""COMPUTED_VALUE"""),4.0)</f>
        <v>4</v>
      </c>
      <c r="M43" s="71">
        <f>IFERROR(__xludf.DUMMYFUNCTION("""COMPUTED_VALUE"""),3.0)</f>
        <v>3</v>
      </c>
      <c r="N43" s="71">
        <f>IFERROR(__xludf.DUMMYFUNCTION("""COMPUTED_VALUE"""),4.0)</f>
        <v>4</v>
      </c>
      <c r="O43" s="71">
        <f>IFERROR(__xludf.DUMMYFUNCTION("""COMPUTED_VALUE"""),5.0)</f>
        <v>5</v>
      </c>
      <c r="P43" s="71">
        <f>IFERROR(__xludf.DUMMYFUNCTION("""COMPUTED_VALUE"""),3.0)</f>
        <v>3</v>
      </c>
      <c r="Q43" s="71">
        <f>IFERROR(__xludf.DUMMYFUNCTION("""COMPUTED_VALUE"""),4.0)</f>
        <v>4</v>
      </c>
      <c r="R43" s="71">
        <f>IFERROR(__xludf.DUMMYFUNCTION("""COMPUTED_VALUE"""),4.0)</f>
        <v>4</v>
      </c>
      <c r="S43" s="71">
        <f>IFERROR(__xludf.DUMMYFUNCTION("""COMPUTED_VALUE"""),4.0)</f>
        <v>4</v>
      </c>
      <c r="T43" s="71">
        <f>IFERROR(__xludf.DUMMYFUNCTION("""COMPUTED_VALUE"""),3.0)</f>
        <v>3</v>
      </c>
      <c r="U43" s="71">
        <f>IFERROR(__xludf.DUMMYFUNCTION("""COMPUTED_VALUE"""),4.0)</f>
        <v>4</v>
      </c>
      <c r="V43" s="71">
        <f>IFERROR(__xludf.DUMMYFUNCTION("""COMPUTED_VALUE"""),3.0)</f>
        <v>3</v>
      </c>
      <c r="W43" s="71">
        <f>IFERROR(__xludf.DUMMYFUNCTION("""COMPUTED_VALUE"""),3.0)</f>
        <v>3</v>
      </c>
      <c r="X43" s="71" t="str">
        <f>IFERROR(__xludf.DUMMYFUNCTION("""COMPUTED_VALUE"""),"Researches information and finds answers to questions.")</f>
        <v>Researches information and finds answers to questions.</v>
      </c>
      <c r="Y43" s="71" t="str">
        <f>IFERROR(__xludf.DUMMYFUNCTION("""COMPUTED_VALUE"""),"Listen to everyone's ideas and try to find a compromise that includes parts of each")</f>
        <v>Listen to everyone's ideas and try to find a compromise that includes parts of each</v>
      </c>
      <c r="Z43" s="71" t="str">
        <f>IFERROR(__xludf.DUMMYFUNCTION("""COMPUTED_VALUE"""),"we all listen to everyone and find the disagreement or problem and solves it ")</f>
        <v>we all listen to everyone and find the disagreement or problem and solves it </v>
      </c>
    </row>
    <row r="44">
      <c r="A44" s="128">
        <f>IFERROR(__xludf.DUMMYFUNCTION("""COMPUTED_VALUE"""),45888.434318854175)</f>
        <v>45888.43432</v>
      </c>
      <c r="B44" s="71" t="str">
        <f>IFERROR(__xludf.DUMMYFUNCTION("""COMPUTED_VALUE"""),"cali.reinhardt@kairosacademies.org")</f>
        <v>cali.reinhardt@kairosacademies.org</v>
      </c>
      <c r="C44" s="71" t="str">
        <f>IFERROR(__xludf.DUMMYFUNCTION("""COMPUTED_VALUE"""),"Cali ""Lin"" Reinhardt")</f>
        <v>Cali "Lin" Reinhardt</v>
      </c>
      <c r="D44" s="71" t="str">
        <f>IFERROR(__xludf.DUMMYFUNCTION("""COMPUTED_VALUE"""),"Lyn/Lin (it doesn't matter how you spell it it's just how you say it. I appreciate you asking and respecting this name)")</f>
        <v>Lyn/Lin (it doesn't matter how you spell it it's just how you say it. I appreciate you asking and respecting this name)</v>
      </c>
      <c r="E44" s="71" t="str">
        <f>IFERROR(__xludf.DUMMYFUNCTION("""COMPUTED_VALUE"""),"1) I am learning German 2) I want to be a florist or a biologist when I get older. 3) I wish to learn more about biology and plants.")</f>
        <v>1) I am learning German 2) I want to be a florist or a biologist when I get older. 3) I wish to learn more about biology and plants.</v>
      </c>
      <c r="F44" s="71" t="str">
        <f>IFERROR(__xludf.DUMMYFUNCTION("""COMPUTED_VALUE"""),"Doing a hands-on lab or experiment, Drawing a model or diagram")</f>
        <v>Doing a hands-on lab or experiment, Drawing a model or diagram</v>
      </c>
      <c r="G44" s="71" t="str">
        <f>IFERROR(__xludf.DUMMYFUNCTION("""COMPUTED_VALUE"""),"Make and study flashcards, I'm not very sure...")</f>
        <v>Make and study flashcards, I'm not very sure...</v>
      </c>
      <c r="H44" s="71" t="str">
        <f>IFERROR(__xludf.DUMMYFUNCTION("""COMPUTED_VALUE"""),"How does changing an ecosystem affect what lives there? (Ecosystem Dynamics) 🌿, Why do things get damaged when they hit each other? (Contact Forces) 💥, How are we connected to patterns in the sky? (Earth in Space) 🌍")</f>
        <v>How does changing an ecosystem affect what lives there? (Ecosystem Dynamics) 🌿, Why do things get damaged when they hit each other? (Contact Forces) 💥, How are we connected to patterns in the sky? (Earth in Space) 🌍</v>
      </c>
      <c r="I44" s="71" t="str">
        <f>IFERROR(__xludf.DUMMYFUNCTION("""COMPUTED_VALUE"""),"Gaming, cooking, baking, watching shows/anime, reading manga, drawing, talking about my interests, writing, socializing.")</f>
        <v>Gaming, cooking, baking, watching shows/anime, reading manga, drawing, talking about my interests, writing, socializing.</v>
      </c>
      <c r="J44" s="71" t="str">
        <f>IFERROR(__xludf.DUMMYFUNCTION("""COMPUTED_VALUE"""),"I'm not sure  ")</f>
        <v>I'm not sure  </v>
      </c>
      <c r="K44" s="71">
        <f>IFERROR(__xludf.DUMMYFUNCTION("""COMPUTED_VALUE"""),2.0)</f>
        <v>2</v>
      </c>
      <c r="L44" s="71">
        <f>IFERROR(__xludf.DUMMYFUNCTION("""COMPUTED_VALUE"""),5.0)</f>
        <v>5</v>
      </c>
      <c r="M44" s="71">
        <f>IFERROR(__xludf.DUMMYFUNCTION("""COMPUTED_VALUE"""),3.0)</f>
        <v>3</v>
      </c>
      <c r="N44" s="71">
        <f>IFERROR(__xludf.DUMMYFUNCTION("""COMPUTED_VALUE"""),2.0)</f>
        <v>2</v>
      </c>
      <c r="O44" s="71">
        <f>IFERROR(__xludf.DUMMYFUNCTION("""COMPUTED_VALUE"""),4.0)</f>
        <v>4</v>
      </c>
      <c r="P44" s="71">
        <f>IFERROR(__xludf.DUMMYFUNCTION("""COMPUTED_VALUE"""),5.0)</f>
        <v>5</v>
      </c>
      <c r="Q44" s="71">
        <f>IFERROR(__xludf.DUMMYFUNCTION("""COMPUTED_VALUE"""),3.0)</f>
        <v>3</v>
      </c>
      <c r="R44" s="71">
        <f>IFERROR(__xludf.DUMMYFUNCTION("""COMPUTED_VALUE"""),4.0)</f>
        <v>4</v>
      </c>
      <c r="S44" s="71">
        <f>IFERROR(__xludf.DUMMYFUNCTION("""COMPUTED_VALUE"""),4.0)</f>
        <v>4</v>
      </c>
      <c r="T44" s="71">
        <f>IFERROR(__xludf.DUMMYFUNCTION("""COMPUTED_VALUE"""),3.0)</f>
        <v>3</v>
      </c>
      <c r="U44" s="71">
        <f>IFERROR(__xludf.DUMMYFUNCTION("""COMPUTED_VALUE"""),2.0)</f>
        <v>2</v>
      </c>
      <c r="V44" s="71">
        <f>IFERROR(__xludf.DUMMYFUNCTION("""COMPUTED_VALUE"""),2.0)</f>
        <v>2</v>
      </c>
      <c r="W44" s="71">
        <f>IFERROR(__xludf.DUMMYFUNCTION("""COMPUTED_VALUE"""),3.0)</f>
        <v>3</v>
      </c>
      <c r="X44" s="71" t="str">
        <f>IFERROR(__xludf.DUMMYFUNCTION("""COMPUTED_VALUE"""),"Researches information and finds answers to questions., Builds the project or does the hands-on work., Takes notes, writes, and prepares the final presentation.")</f>
        <v>Researches information and finds answers to questions., Builds the project or does the hands-on work., Takes notes, writes, and prepares the final presentation.</v>
      </c>
      <c r="Y44" s="71" t="str">
        <f>IFERROR(__xludf.DUMMYFUNCTION("""COMPUTED_VALUE"""),"Stay quiet and let the others figure it out")</f>
        <v>Stay quiet and let the others figure it out</v>
      </c>
      <c r="Z44" s="71" t="str">
        <f>IFERROR(__xludf.DUMMYFUNCTION("""COMPUTED_VALUE"""),"I like not working in a team but if I had to choose I'd say I let people give feedback and correct it instead of talking it out.")</f>
        <v>I like not working in a team but if I had to choose I'd say I let people give feedback and correct it instead of talking it out.</v>
      </c>
    </row>
    <row r="45">
      <c r="A45" s="128">
        <f>IFERROR(__xludf.DUMMYFUNCTION("""COMPUTED_VALUE"""),45888.558392349536)</f>
        <v>45888.55839</v>
      </c>
      <c r="B45" s="71" t="str">
        <f>IFERROR(__xludf.DUMMYFUNCTION("""COMPUTED_VALUE"""),"anya'noel.erhart@kairosacademies.org")</f>
        <v>anya'noel.erhart@kairosacademies.org</v>
      </c>
      <c r="C45" s="71" t="str">
        <f>IFERROR(__xludf.DUMMYFUNCTION("""COMPUTED_VALUE"""),"anya erhart ")</f>
        <v>anya erhart </v>
      </c>
      <c r="D45" s="71" t="str">
        <f>IFERROR(__xludf.DUMMYFUNCTION("""COMPUTED_VALUE"""),"anyaa ")</f>
        <v>anyaa </v>
      </c>
      <c r="E45" s="71" t="str">
        <f>IFERROR(__xludf.DUMMYFUNCTION("""COMPUTED_VALUE"""),"i like  pink . i hate Mariah the scientist. i love fall ")</f>
        <v>i like  pink . i hate Mariah the scientist. i love fall </v>
      </c>
      <c r="F45" s="71" t="str">
        <f>IFERROR(__xludf.DUMMYFUNCTION("""COMPUTED_VALUE"""),"Discussing ideas with a small group, Listening to the teacher explain it")</f>
        <v>Discussing ideas with a small group, Listening to the teacher explain it</v>
      </c>
      <c r="G45" s="71" t="str">
        <f>IFERROR(__xludf.DUMMYFUNCTION("""COMPUTED_VALUE"""),"Review my notes and materials, Do practice problems or worksheets")</f>
        <v>Review my notes and materials, Do practice problems or worksheets</v>
      </c>
      <c r="H45" s="71" t="str">
        <f>IFERROR(__xludf.DUMMYFUNCTION("""COMPUTED_VALUE"""),"How can we make new materials? (Chemical Reactions) ⚗️, How does changing an ecosystem affect what lives there? (Ecosystem Dynamics) 🌿, Why do things get damaged when they hit each other? (Contact Forces) 💥")</f>
        <v>How can we make new materials? (Chemical Reactions) ⚗️, How does changing an ecosystem affect what lives there? (Ecosystem Dynamics) 🌿, Why do things get damaged when they hit each other? (Contact Forces) 💥</v>
      </c>
      <c r="I45" s="71" t="str">
        <f>IFERROR(__xludf.DUMMYFUNCTION("""COMPUTED_VALUE"""),"i like to clean my room and organize my stuff . and do my self care and stuff. ")</f>
        <v>i like to clean my room and organize my stuff . and do my self care and stuff. </v>
      </c>
      <c r="J45" s="71" t="str">
        <f>IFERROR(__xludf.DUMMYFUNCTION("""COMPUTED_VALUE"""),"doing track / runing ")</f>
        <v>doing track / runing </v>
      </c>
      <c r="K45" s="71">
        <f>IFERROR(__xludf.DUMMYFUNCTION("""COMPUTED_VALUE"""),3.0)</f>
        <v>3</v>
      </c>
      <c r="L45" s="71">
        <f>IFERROR(__xludf.DUMMYFUNCTION("""COMPUTED_VALUE"""),5.0)</f>
        <v>5</v>
      </c>
      <c r="M45" s="71">
        <f>IFERROR(__xludf.DUMMYFUNCTION("""COMPUTED_VALUE"""),5.0)</f>
        <v>5</v>
      </c>
      <c r="N45" s="71">
        <f>IFERROR(__xludf.DUMMYFUNCTION("""COMPUTED_VALUE"""),2.0)</f>
        <v>2</v>
      </c>
      <c r="O45" s="71">
        <f>IFERROR(__xludf.DUMMYFUNCTION("""COMPUTED_VALUE"""),5.0)</f>
        <v>5</v>
      </c>
      <c r="P45" s="71">
        <f>IFERROR(__xludf.DUMMYFUNCTION("""COMPUTED_VALUE"""),4.0)</f>
        <v>4</v>
      </c>
      <c r="Q45" s="71">
        <f>IFERROR(__xludf.DUMMYFUNCTION("""COMPUTED_VALUE"""),5.0)</f>
        <v>5</v>
      </c>
      <c r="R45" s="71">
        <f>IFERROR(__xludf.DUMMYFUNCTION("""COMPUTED_VALUE"""),5.0)</f>
        <v>5</v>
      </c>
      <c r="S45" s="71">
        <f>IFERROR(__xludf.DUMMYFUNCTION("""COMPUTED_VALUE"""),5.0)</f>
        <v>5</v>
      </c>
      <c r="T45" s="71">
        <f>IFERROR(__xludf.DUMMYFUNCTION("""COMPUTED_VALUE"""),5.0)</f>
        <v>5</v>
      </c>
      <c r="U45" s="71">
        <f>IFERROR(__xludf.DUMMYFUNCTION("""COMPUTED_VALUE"""),4.0)</f>
        <v>4</v>
      </c>
      <c r="V45" s="71">
        <f>IFERROR(__xludf.DUMMYFUNCTION("""COMPUTED_VALUE"""),2.0)</f>
        <v>2</v>
      </c>
      <c r="W45" s="71">
        <f>IFERROR(__xludf.DUMMYFUNCTION("""COMPUTED_VALUE"""),2.0)</f>
        <v>2</v>
      </c>
      <c r="X45" s="71" t="str">
        <f>IFERROR(__xludf.DUMMYFUNCTION("""COMPUTED_VALUE"""),"Organizes the plan and keeps the team on task.")</f>
        <v>Organizes the plan and keeps the team on task.</v>
      </c>
      <c r="Y45" s="71" t="str">
        <f>IFERROR(__xludf.DUMMYFUNCTION("""COMPUTED_VALUE"""),"Listen to everyone's ideas and try to find a compromise that includes parts of each")</f>
        <v>Listen to everyone's ideas and try to find a compromise that includes parts of each</v>
      </c>
      <c r="Z45" s="71" t="str">
        <f>IFERROR(__xludf.DUMMYFUNCTION("""COMPUTED_VALUE"""),"when we all share all our thoughts ")</f>
        <v>when we all share all our thoughts </v>
      </c>
    </row>
    <row r="46">
      <c r="A46" s="128">
        <f>IFERROR(__xludf.DUMMYFUNCTION("""COMPUTED_VALUE"""),45888.55845512731)</f>
        <v>45888.55846</v>
      </c>
      <c r="B46" s="71" t="str">
        <f>IFERROR(__xludf.DUMMYFUNCTION("""COMPUTED_VALUE"""),"peydan.hunt@kairosacademies.org")</f>
        <v>peydan.hunt@kairosacademies.org</v>
      </c>
      <c r="C46" s="71" t="str">
        <f>IFERROR(__xludf.DUMMYFUNCTION("""COMPUTED_VALUE"""),"peydan hunt")</f>
        <v>peydan hunt</v>
      </c>
      <c r="D46" s="71" t="str">
        <f>IFERROR(__xludf.DUMMYFUNCTION("""COMPUTED_VALUE"""),"peydan")</f>
        <v>peydan</v>
      </c>
      <c r="E46" s="71" t="str">
        <f>IFERROR(__xludf.DUMMYFUNCTION("""COMPUTED_VALUE"""),"im 13, im the oldest sibling , and i wanna be 18")</f>
        <v>im 13, im the oldest sibling , and i wanna be 18</v>
      </c>
      <c r="F46" s="71" t="str">
        <f>IFERROR(__xludf.DUMMYFUNCTION("""COMPUTED_VALUE"""),"Doing a hands-on lab or experiment")</f>
        <v>Doing a hands-on lab or experiment</v>
      </c>
      <c r="G46" s="71" t="str">
        <f>IFERROR(__xludf.DUMMYFUNCTION("""COMPUTED_VALUE"""),"Review my notes and materials")</f>
        <v>Review my notes and materials</v>
      </c>
      <c r="H46" s="71" t="str">
        <f>IFERROR(__xludf.DUMMYFUNCTION("""COMPUTED_VALUE"""),"How can we make new materials? (Chemical Reactions) ⚗️, How does changing an ecosystem affect what lives there? (Ecosystem Dynamics) 🌿, How are we connected to patterns in the sky? (Earth in Space) 🌍, Why are living things different from one another? (G"&amp;"enetics) 🧬")</f>
        <v>How can we make new materials? (Chemical Reactions) ⚗️, How does changing an ecosystem affect what lives there? (Ecosystem Dynamics) 🌿, How are we connected to patterns in the sky? (Earth in Space) 🌍, Why are living things different from one another? (Genetics) 🧬</v>
      </c>
      <c r="I46" s="71" t="str">
        <f>IFERROR(__xludf.DUMMYFUNCTION("""COMPUTED_VALUE"""),"basketball")</f>
        <v>basketball</v>
      </c>
      <c r="J46" s="71" t="str">
        <f>IFERROR(__xludf.DUMMYFUNCTION("""COMPUTED_VALUE"""),"im good at everything i put my mind to")</f>
        <v>im good at everything i put my mind to</v>
      </c>
      <c r="K46" s="71">
        <f>IFERROR(__xludf.DUMMYFUNCTION("""COMPUTED_VALUE"""),5.0)</f>
        <v>5</v>
      </c>
      <c r="L46" s="71">
        <f>IFERROR(__xludf.DUMMYFUNCTION("""COMPUTED_VALUE"""),4.0)</f>
        <v>4</v>
      </c>
      <c r="M46" s="71">
        <f>IFERROR(__xludf.DUMMYFUNCTION("""COMPUTED_VALUE"""),5.0)</f>
        <v>5</v>
      </c>
      <c r="N46" s="71">
        <f>IFERROR(__xludf.DUMMYFUNCTION("""COMPUTED_VALUE"""),3.0)</f>
        <v>3</v>
      </c>
      <c r="O46" s="71">
        <f>IFERROR(__xludf.DUMMYFUNCTION("""COMPUTED_VALUE"""),5.0)</f>
        <v>5</v>
      </c>
      <c r="P46" s="71">
        <f>IFERROR(__xludf.DUMMYFUNCTION("""COMPUTED_VALUE"""),5.0)</f>
        <v>5</v>
      </c>
      <c r="Q46" s="71">
        <f>IFERROR(__xludf.DUMMYFUNCTION("""COMPUTED_VALUE"""),5.0)</f>
        <v>5</v>
      </c>
      <c r="R46" s="71">
        <f>IFERROR(__xludf.DUMMYFUNCTION("""COMPUTED_VALUE"""),5.0)</f>
        <v>5</v>
      </c>
      <c r="S46" s="71">
        <f>IFERROR(__xludf.DUMMYFUNCTION("""COMPUTED_VALUE"""),5.0)</f>
        <v>5</v>
      </c>
      <c r="T46" s="71">
        <f>IFERROR(__xludf.DUMMYFUNCTION("""COMPUTED_VALUE"""),5.0)</f>
        <v>5</v>
      </c>
      <c r="U46" s="71">
        <f>IFERROR(__xludf.DUMMYFUNCTION("""COMPUTED_VALUE"""),5.0)</f>
        <v>5</v>
      </c>
      <c r="V46" s="71">
        <f>IFERROR(__xludf.DUMMYFUNCTION("""COMPUTED_VALUE"""),5.0)</f>
        <v>5</v>
      </c>
      <c r="W46" s="71">
        <f>IFERROR(__xludf.DUMMYFUNCTION("""COMPUTED_VALUE"""),2.0)</f>
        <v>2</v>
      </c>
      <c r="X46" s="71" t="str">
        <f>IFERROR(__xludf.DUMMYFUNCTION("""COMPUTED_VALUE"""),"Organizes the plan and keeps the team on task.")</f>
        <v>Organizes the plan and keeps the team on task.</v>
      </c>
      <c r="Y46" s="71" t="str">
        <f>IFERROR(__xludf.DUMMYFUNCTION("""COMPUTED_VALUE"""),"Listen to everyone's ideas and try to find a compromise that includes parts of each")</f>
        <v>Listen to everyone's ideas and try to find a compromise that includes parts of each</v>
      </c>
      <c r="Z46" s="71" t="str">
        <f>IFERROR(__xludf.DUMMYFUNCTION("""COMPUTED_VALUE"""),"i dont know")</f>
        <v>i dont know</v>
      </c>
    </row>
    <row r="47">
      <c r="A47" s="128">
        <f>IFERROR(__xludf.DUMMYFUNCTION("""COMPUTED_VALUE"""),45888.55895451389)</f>
        <v>45888.55895</v>
      </c>
      <c r="B47" s="71" t="str">
        <f>IFERROR(__xludf.DUMMYFUNCTION("""COMPUTED_VALUE"""),"chyna.turner@kairosacademies.org")</f>
        <v>chyna.turner@kairosacademies.org</v>
      </c>
      <c r="C47" s="71" t="str">
        <f>IFERROR(__xludf.DUMMYFUNCTION("""COMPUTED_VALUE"""),"Chyna turner")</f>
        <v>Chyna turner</v>
      </c>
      <c r="D47" s="71" t="str">
        <f>IFERROR(__xludf.DUMMYFUNCTION("""COMPUTED_VALUE"""),"chyna")</f>
        <v>chyna</v>
      </c>
      <c r="E47" s="71" t="str">
        <f>IFERROR(__xludf.DUMMYFUNCTION("""COMPUTED_VALUE"""),"i hate bananas , i have hair, i wish i could get a Real job ")</f>
        <v>i hate bananas , i have hair, i wish i could get a Real job </v>
      </c>
      <c r="F47" s="71" t="str">
        <f>IFERROR(__xludf.DUMMYFUNCTION("""COMPUTED_VALUE"""),"Reading and taking notes")</f>
        <v>Reading and taking notes</v>
      </c>
      <c r="G47" s="71" t="str">
        <f>IFERROR(__xludf.DUMMYFUNCTION("""COMPUTED_VALUE"""),"Review my notes and materials, Make and study flashcards, Do practice problems or worksheets")</f>
        <v>Review my notes and materials, Make and study flashcards, Do practice problems or worksheets</v>
      </c>
      <c r="H47" s="71" t="str">
        <f>IFERROR(__xludf.DUMMYFUNCTION("""COMPUTED_VALUE"""),"How do our bodies get energy from food? (Metabolic Reactions) 🍎, Why are living things different from one another? (Genetics) 🧬")</f>
        <v>How do our bodies get energy from food? (Metabolic Reactions) 🍎, Why are living things different from one another? (Genetics) 🧬</v>
      </c>
      <c r="I47" s="71" t="str">
        <f>IFERROR(__xludf.DUMMYFUNCTION("""COMPUTED_VALUE"""),"sell cookies, and social media")</f>
        <v>sell cookies, and social media</v>
      </c>
      <c r="J47" s="71" t="str">
        <f>IFERROR(__xludf.DUMMYFUNCTION("""COMPUTED_VALUE"""),"taking care of siblings and baking 
")</f>
        <v>taking care of siblings and baking 
</v>
      </c>
      <c r="K47" s="71">
        <f>IFERROR(__xludf.DUMMYFUNCTION("""COMPUTED_VALUE"""),3.0)</f>
        <v>3</v>
      </c>
      <c r="L47" s="71">
        <f>IFERROR(__xludf.DUMMYFUNCTION("""COMPUTED_VALUE"""),3.0)</f>
        <v>3</v>
      </c>
      <c r="M47" s="71">
        <f>IFERROR(__xludf.DUMMYFUNCTION("""COMPUTED_VALUE"""),3.0)</f>
        <v>3</v>
      </c>
      <c r="N47" s="71">
        <f>IFERROR(__xludf.DUMMYFUNCTION("""COMPUTED_VALUE"""),2.0)</f>
        <v>2</v>
      </c>
      <c r="O47" s="71">
        <f>IFERROR(__xludf.DUMMYFUNCTION("""COMPUTED_VALUE"""),3.0)</f>
        <v>3</v>
      </c>
      <c r="P47" s="71">
        <f>IFERROR(__xludf.DUMMYFUNCTION("""COMPUTED_VALUE"""),4.0)</f>
        <v>4</v>
      </c>
      <c r="Q47" s="71">
        <f>IFERROR(__xludf.DUMMYFUNCTION("""COMPUTED_VALUE"""),3.0)</f>
        <v>3</v>
      </c>
      <c r="R47" s="71">
        <f>IFERROR(__xludf.DUMMYFUNCTION("""COMPUTED_VALUE"""),3.0)</f>
        <v>3</v>
      </c>
      <c r="S47" s="71">
        <f>IFERROR(__xludf.DUMMYFUNCTION("""COMPUTED_VALUE"""),3.0)</f>
        <v>3</v>
      </c>
      <c r="T47" s="71">
        <f>IFERROR(__xludf.DUMMYFUNCTION("""COMPUTED_VALUE"""),2.0)</f>
        <v>2</v>
      </c>
      <c r="U47" s="71">
        <f>IFERROR(__xludf.DUMMYFUNCTION("""COMPUTED_VALUE"""),3.0)</f>
        <v>3</v>
      </c>
      <c r="V47" s="71">
        <f>IFERROR(__xludf.DUMMYFUNCTION("""COMPUTED_VALUE"""),3.0)</f>
        <v>3</v>
      </c>
      <c r="W47" s="71">
        <f>IFERROR(__xludf.DUMMYFUNCTION("""COMPUTED_VALUE"""),2.0)</f>
        <v>2</v>
      </c>
      <c r="X47" s="71" t="str">
        <f>IFERROR(__xludf.DUMMYFUNCTION("""COMPUTED_VALUE"""),"Organizes the plan and keeps the team on task., Makes sure everyone feels included and helps solve disagreements.")</f>
        <v>Organizes the plan and keeps the team on task., Makes sure everyone feels included and helps solve disagreements.</v>
      </c>
      <c r="Y47" s="71" t="str">
        <f>IFERROR(__xludf.DUMMYFUNCTION("""COMPUTED_VALUE"""),"Listen to everyone's ideas and try to find a compromise that includes parts of each")</f>
        <v>Listen to everyone's ideas and try to find a compromise that includes parts of each</v>
      </c>
      <c r="Z47" s="71" t="str">
        <f>IFERROR(__xludf.DUMMYFUNCTION("""COMPUTED_VALUE"""),"i like when pl ask for my ideas")</f>
        <v>i like when pl ask for my ideas</v>
      </c>
    </row>
    <row r="48">
      <c r="A48" s="128">
        <f>IFERROR(__xludf.DUMMYFUNCTION("""COMPUTED_VALUE"""),45888.55975645833)</f>
        <v>45888.55976</v>
      </c>
      <c r="B48" s="71" t="str">
        <f>IFERROR(__xludf.DUMMYFUNCTION("""COMPUTED_VALUE"""),"eli.wilcox@kairosacademies.org")</f>
        <v>eli.wilcox@kairosacademies.org</v>
      </c>
      <c r="C48" s="71" t="str">
        <f>IFERROR(__xludf.DUMMYFUNCTION("""COMPUTED_VALUE"""),"Eli Wilcox")</f>
        <v>Eli Wilcox</v>
      </c>
      <c r="D48" s="71" t="str">
        <f>IFERROR(__xludf.DUMMYFUNCTION("""COMPUTED_VALUE"""),"dont have one")</f>
        <v>dont have one</v>
      </c>
      <c r="E48" s="71" t="str">
        <f>IFERROR(__xludf.DUMMYFUNCTION("""COMPUTED_VALUE"""),"i have 4 siblings i have two dogs and i wish to find my hair line")</f>
        <v>i have 4 siblings i have two dogs and i wish to find my hair line</v>
      </c>
      <c r="F48" s="71" t="str">
        <f>IFERROR(__xludf.DUMMYFUNCTION("""COMPUTED_VALUE"""),"Doing a hands-on lab or experiment, Watching a video or live demonstration")</f>
        <v>Doing a hands-on lab or experiment, Watching a video or live demonstration</v>
      </c>
      <c r="G48" s="71" t="str">
        <f>IFERROR(__xludf.DUMMYFUNCTION("""COMPUTED_VALUE"""),"Do practice problems or worksheets, Explain the concept out loud to someone else, Create my own study guide or diagram")</f>
        <v>Do practice problems or worksheets, Explain the concept out loud to someone else, Create my own study guide or diagram</v>
      </c>
      <c r="H48" s="71" t="str">
        <f>IFERROR(__xludf.DUMMYFUNCTION("""COMPUTED_VALUE"""),"How can we make new materials? (Chemical Reactions) ⚗️, How do our bodies get energy from food? (Metabolic Reactions) 🍎, Why do things get damaged when they hit each other? (Contact Forces) 💥")</f>
        <v>How can we make new materials? (Chemical Reactions) ⚗️, How do our bodies get energy from food? (Metabolic Reactions) 🍎, Why do things get damaged when they hit each other? (Contact Forces) 💥</v>
      </c>
      <c r="I48" s="71" t="str">
        <f>IFERROR(__xludf.DUMMYFUNCTION("""COMPUTED_VALUE"""),"i like carpentry and wood working")</f>
        <v>i like carpentry and wood working</v>
      </c>
      <c r="J48" s="71" t="str">
        <f>IFERROR(__xludf.DUMMYFUNCTION("""COMPUTED_VALUE"""),"fixing things")</f>
        <v>fixing things</v>
      </c>
      <c r="K48" s="71">
        <f>IFERROR(__xludf.DUMMYFUNCTION("""COMPUTED_VALUE"""),3.0)</f>
        <v>3</v>
      </c>
      <c r="L48" s="71">
        <f>IFERROR(__xludf.DUMMYFUNCTION("""COMPUTED_VALUE"""),4.0)</f>
        <v>4</v>
      </c>
      <c r="M48" s="71">
        <f>IFERROR(__xludf.DUMMYFUNCTION("""COMPUTED_VALUE"""),3.0)</f>
        <v>3</v>
      </c>
      <c r="N48" s="71">
        <f>IFERROR(__xludf.DUMMYFUNCTION("""COMPUTED_VALUE"""),3.0)</f>
        <v>3</v>
      </c>
      <c r="O48" s="71">
        <f>IFERROR(__xludf.DUMMYFUNCTION("""COMPUTED_VALUE"""),5.0)</f>
        <v>5</v>
      </c>
      <c r="P48" s="71">
        <f>IFERROR(__xludf.DUMMYFUNCTION("""COMPUTED_VALUE"""),4.0)</f>
        <v>4</v>
      </c>
      <c r="Q48" s="71">
        <f>IFERROR(__xludf.DUMMYFUNCTION("""COMPUTED_VALUE"""),4.0)</f>
        <v>4</v>
      </c>
      <c r="R48" s="71">
        <f>IFERROR(__xludf.DUMMYFUNCTION("""COMPUTED_VALUE"""),3.0)</f>
        <v>3</v>
      </c>
      <c r="S48" s="71">
        <f>IFERROR(__xludf.DUMMYFUNCTION("""COMPUTED_VALUE"""),4.0)</f>
        <v>4</v>
      </c>
      <c r="T48" s="71">
        <f>IFERROR(__xludf.DUMMYFUNCTION("""COMPUTED_VALUE"""),3.0)</f>
        <v>3</v>
      </c>
      <c r="U48" s="71">
        <f>IFERROR(__xludf.DUMMYFUNCTION("""COMPUTED_VALUE"""),4.0)</f>
        <v>4</v>
      </c>
      <c r="V48" s="71">
        <f>IFERROR(__xludf.DUMMYFUNCTION("""COMPUTED_VALUE"""),3.0)</f>
        <v>3</v>
      </c>
      <c r="W48" s="71">
        <f>IFERROR(__xludf.DUMMYFUNCTION("""COMPUTED_VALUE"""),3.0)</f>
        <v>3</v>
      </c>
      <c r="X48" s="71" t="str">
        <f>IFERROR(__xludf.DUMMYFUNCTION("""COMPUTED_VALUE"""),"Organizes the plan and keeps the team on task.")</f>
        <v>Organizes the plan and keeps the team on task.</v>
      </c>
      <c r="Y48" s="71" t="str">
        <f>IFERROR(__xludf.DUMMYFUNCTION("""COMPUTED_VALUE"""),"Listen to everyone's ideas and try to find a compromise that includes parts of each")</f>
        <v>Listen to everyone's ideas and try to find a compromise that includes parts of each</v>
      </c>
      <c r="Z48" s="71" t="str">
        <f>IFERROR(__xludf.DUMMYFUNCTION("""COMPUTED_VALUE"""),"people actully listening to me instead of talking over me
")</f>
        <v>people actully listening to me instead of talking over me
</v>
      </c>
    </row>
    <row r="49">
      <c r="A49" s="128">
        <f>IFERROR(__xludf.DUMMYFUNCTION("""COMPUTED_VALUE"""),45888.56279438658)</f>
        <v>45888.56279</v>
      </c>
      <c r="B49" s="71" t="str">
        <f>IFERROR(__xludf.DUMMYFUNCTION("""COMPUTED_VALUE"""),"elijah.bell@kairosacademies.org")</f>
        <v>elijah.bell@kairosacademies.org</v>
      </c>
      <c r="C49" s="71" t="str">
        <f>IFERROR(__xludf.DUMMYFUNCTION("""COMPUTED_VALUE"""),"elijahbell")</f>
        <v>elijahbell</v>
      </c>
      <c r="D49" s="71" t="str">
        <f>IFERROR(__xludf.DUMMYFUNCTION("""COMPUTED_VALUE"""),"eli")</f>
        <v>eli</v>
      </c>
      <c r="E49" s="71" t="str">
        <f>IFERROR(__xludf.DUMMYFUNCTION("""COMPUTED_VALUE"""),"im a car rider1) i have a dog 2) i wish i had a new shoes")</f>
        <v>im a car rider1) i have a dog 2) i wish i had a new shoes</v>
      </c>
      <c r="F49" s="71" t="str">
        <f>IFERROR(__xludf.DUMMYFUNCTION("""COMPUTED_VALUE"""),"Watching a video or live demonstration, Discussing ideas with a small group, Reading and taking notes")</f>
        <v>Watching a video or live demonstration, Discussing ideas with a small group, Reading and taking notes</v>
      </c>
      <c r="G49" s="71" t="str">
        <f>IFERROR(__xludf.DUMMYFUNCTION("""COMPUTED_VALUE"""),"Review my notes and materials, Do practice problems or worksheets, Create my own study guide or diagram")</f>
        <v>Review my notes and materials, Do practice problems or worksheets, Create my own study guide or diagram</v>
      </c>
      <c r="H49" s="71" t="str">
        <f>IFERROR(__xludf.DUMMYFUNCTION("""COMPUTED_VALUE"""),"How can we make new materials? (Chemical Reactions) ⚗️, Why do things get damaged when they hit each other? (Contact Forces) 💥, How are we connected to patterns in the sky? (Earth in Space) 🌍")</f>
        <v>How can we make new materials? (Chemical Reactions) ⚗️, Why do things get damaged when they hit each other? (Contact Forces) 💥, How are we connected to patterns in the sky? (Earth in Space) 🌍</v>
      </c>
      <c r="I49" s="71" t="str">
        <f>IFERROR(__xludf.DUMMYFUNCTION("""COMPUTED_VALUE"""),"sleeping")</f>
        <v>sleeping</v>
      </c>
      <c r="J49" s="71" t="str">
        <f>IFERROR(__xludf.DUMMYFUNCTION("""COMPUTED_VALUE"""),"im good at gaming strategies")</f>
        <v>im good at gaming strategies</v>
      </c>
      <c r="K49" s="71">
        <f>IFERROR(__xludf.DUMMYFUNCTION("""COMPUTED_VALUE"""),3.0)</f>
        <v>3</v>
      </c>
      <c r="L49" s="71">
        <f>IFERROR(__xludf.DUMMYFUNCTION("""COMPUTED_VALUE"""),5.0)</f>
        <v>5</v>
      </c>
      <c r="M49" s="71">
        <f>IFERROR(__xludf.DUMMYFUNCTION("""COMPUTED_VALUE"""),1.0)</f>
        <v>1</v>
      </c>
      <c r="N49" s="71">
        <f>IFERROR(__xludf.DUMMYFUNCTION("""COMPUTED_VALUE"""),1.0)</f>
        <v>1</v>
      </c>
      <c r="O49" s="71">
        <f>IFERROR(__xludf.DUMMYFUNCTION("""COMPUTED_VALUE"""),3.0)</f>
        <v>3</v>
      </c>
      <c r="P49" s="71">
        <f>IFERROR(__xludf.DUMMYFUNCTION("""COMPUTED_VALUE"""),5.0)</f>
        <v>5</v>
      </c>
      <c r="Q49" s="71">
        <f>IFERROR(__xludf.DUMMYFUNCTION("""COMPUTED_VALUE"""),5.0)</f>
        <v>5</v>
      </c>
      <c r="R49" s="71">
        <f>IFERROR(__xludf.DUMMYFUNCTION("""COMPUTED_VALUE"""),3.0)</f>
        <v>3</v>
      </c>
      <c r="S49" s="71">
        <f>IFERROR(__xludf.DUMMYFUNCTION("""COMPUTED_VALUE"""),5.0)</f>
        <v>5</v>
      </c>
      <c r="T49" s="71">
        <f>IFERROR(__xludf.DUMMYFUNCTION("""COMPUTED_VALUE"""),3.0)</f>
        <v>3</v>
      </c>
      <c r="U49" s="71">
        <f>IFERROR(__xludf.DUMMYFUNCTION("""COMPUTED_VALUE"""),3.0)</f>
        <v>3</v>
      </c>
      <c r="V49" s="71">
        <f>IFERROR(__xludf.DUMMYFUNCTION("""COMPUTED_VALUE"""),3.0)</f>
        <v>3</v>
      </c>
      <c r="W49" s="71">
        <f>IFERROR(__xludf.DUMMYFUNCTION("""COMPUTED_VALUE"""),2.0)</f>
        <v>2</v>
      </c>
      <c r="X49" s="71" t="str">
        <f>IFERROR(__xludf.DUMMYFUNCTION("""COMPUTED_VALUE"""),"Makes sure everyone feels included and helps solve disagreements.")</f>
        <v>Makes sure everyone feels included and helps solve disagreements.</v>
      </c>
      <c r="Y49" s="71" t="str">
        <f>IFERROR(__xludf.DUMMYFUNCTION("""COMPUTED_VALUE"""),"Listen to everyone's ideas and try to find a compromise that includes parts of each")</f>
        <v>Listen to everyone's ideas and try to find a compromise that includes parts of each</v>
      </c>
      <c r="Z49" s="71" t="str">
        <f>IFERROR(__xludf.DUMMYFUNCTION("""COMPUTED_VALUE"""),"I like when i can incond people in the gruop")</f>
        <v>I like when i can incond people in the gruop</v>
      </c>
    </row>
    <row r="50">
      <c r="A50" s="128">
        <f>IFERROR(__xludf.DUMMYFUNCTION("""COMPUTED_VALUE"""),45888.56309988426)</f>
        <v>45888.5631</v>
      </c>
      <c r="B50" s="71" t="str">
        <f>IFERROR(__xludf.DUMMYFUNCTION("""COMPUTED_VALUE"""),"camia.lindsey@kairosacademies.org")</f>
        <v>camia.lindsey@kairosacademies.org</v>
      </c>
      <c r="C50" s="71" t="str">
        <f>IFERROR(__xludf.DUMMYFUNCTION("""COMPUTED_VALUE"""),"Camia Lindsey")</f>
        <v>Camia Lindsey</v>
      </c>
      <c r="D50" s="71" t="str">
        <f>IFERROR(__xludf.DUMMYFUNCTION("""COMPUTED_VALUE"""),"Mia")</f>
        <v>Mia</v>
      </c>
      <c r="E50" s="71" t="str">
        <f>IFERROR(__xludf.DUMMYFUNCTION("""COMPUTED_VALUE"""),"I like black, i don't smile for real, and my wish is to make foam come out a volcano.")</f>
        <v>I like black, i don't smile for real, and my wish is to make foam come out a volcano.</v>
      </c>
      <c r="F50" s="71" t="str">
        <f>IFERROR(__xludf.DUMMYFUNCTION("""COMPUTED_VALUE"""),"Watching a video or live demonstration, Discussing ideas with a small group, Drawing a model or diagram, Listening to the teacher explain it")</f>
        <v>Watching a video or live demonstration, Discussing ideas with a small group, Drawing a model or diagram, Listening to the teacher explain it</v>
      </c>
      <c r="G50" s="71" t="str">
        <f>IFERROR(__xludf.DUMMYFUNCTION("""COMPUTED_VALUE"""),"Review my notes and materials, Do practice problems or worksheets")</f>
        <v>Review my notes and materials, Do practice problems or worksheets</v>
      </c>
      <c r="H50" s="71" t="str">
        <f>IFERROR(__xludf.DUMMYFUNCTION("""COMPUTED_VALUE"""),"How do our bodies get energy from food? (Metabolic Reactions) 🍎, How are we connected to patterns in the sky? (Earth in Space) 🌍, Why are living things different from one another? (Genetics) 🧬")</f>
        <v>How do our bodies get energy from food? (Metabolic Reactions) 🍎, How are we connected to patterns in the sky? (Earth in Space) 🌍, Why are living things different from one another? (Genetics) 🧬</v>
      </c>
      <c r="I50" s="71" t="str">
        <f>IFERROR(__xludf.DUMMYFUNCTION("""COMPUTED_VALUE"""),"Sleeping,Eating,and making people happy")</f>
        <v>Sleeping,Eating,and making people happy</v>
      </c>
      <c r="J50" s="71" t="str">
        <f>IFERROR(__xludf.DUMMYFUNCTION("""COMPUTED_VALUE"""),"I'm good at gaming, cooking, and taking care of my little cousins.")</f>
        <v>I'm good at gaming, cooking, and taking care of my little cousins.</v>
      </c>
      <c r="K50" s="71">
        <f>IFERROR(__xludf.DUMMYFUNCTION("""COMPUTED_VALUE"""),5.0)</f>
        <v>5</v>
      </c>
      <c r="L50" s="71">
        <f>IFERROR(__xludf.DUMMYFUNCTION("""COMPUTED_VALUE"""),5.0)</f>
        <v>5</v>
      </c>
      <c r="M50" s="71">
        <f>IFERROR(__xludf.DUMMYFUNCTION("""COMPUTED_VALUE"""),5.0)</f>
        <v>5</v>
      </c>
      <c r="N50" s="71">
        <f>IFERROR(__xludf.DUMMYFUNCTION("""COMPUTED_VALUE"""),4.0)</f>
        <v>4</v>
      </c>
      <c r="O50" s="71">
        <f>IFERROR(__xludf.DUMMYFUNCTION("""COMPUTED_VALUE"""),4.0)</f>
        <v>4</v>
      </c>
      <c r="P50" s="71">
        <f>IFERROR(__xludf.DUMMYFUNCTION("""COMPUTED_VALUE"""),5.0)</f>
        <v>5</v>
      </c>
      <c r="Q50" s="71">
        <f>IFERROR(__xludf.DUMMYFUNCTION("""COMPUTED_VALUE"""),5.0)</f>
        <v>5</v>
      </c>
      <c r="R50" s="71">
        <f>IFERROR(__xludf.DUMMYFUNCTION("""COMPUTED_VALUE"""),5.0)</f>
        <v>5</v>
      </c>
      <c r="S50" s="71">
        <f>IFERROR(__xludf.DUMMYFUNCTION("""COMPUTED_VALUE"""),5.0)</f>
        <v>5</v>
      </c>
      <c r="T50" s="71">
        <f>IFERROR(__xludf.DUMMYFUNCTION("""COMPUTED_VALUE"""),5.0)</f>
        <v>5</v>
      </c>
      <c r="U50" s="71">
        <f>IFERROR(__xludf.DUMMYFUNCTION("""COMPUTED_VALUE"""),5.0)</f>
        <v>5</v>
      </c>
      <c r="V50" s="71">
        <f>IFERROR(__xludf.DUMMYFUNCTION("""COMPUTED_VALUE"""),3.0)</f>
        <v>3</v>
      </c>
      <c r="W50" s="71">
        <f>IFERROR(__xludf.DUMMYFUNCTION("""COMPUTED_VALUE"""),5.0)</f>
        <v>5</v>
      </c>
      <c r="X50" s="71" t="str">
        <f>IFERROR(__xludf.DUMMYFUNCTION("""COMPUTED_VALUE"""),"Organizes the plan and keeps the team on task., Researches information and finds answers to questions., Builds the project or does the hands-on work., Takes notes, writes, and prepares the final presentation.")</f>
        <v>Organizes the plan and keeps the team on task., Researches information and finds answers to questions., Builds the project or does the hands-on work., Takes notes, writes, and prepares the final presentation.</v>
      </c>
      <c r="Y50" s="71" t="str">
        <f>IFERROR(__xludf.DUMMYFUNCTION("""COMPUTED_VALUE"""),"Listen to everyone's ideas and try to find a compromise that includes parts of each")</f>
        <v>Listen to everyone's ideas and try to find a compromise that includes parts of each</v>
      </c>
      <c r="Z50" s="71" t="str">
        <f>IFERROR(__xludf.DUMMYFUNCTION("""COMPUTED_VALUE"""),"When everyone look at me and i know that they are listening and under standing me")</f>
        <v>When everyone look at me and i know that they are listening and under standing me</v>
      </c>
    </row>
    <row r="51">
      <c r="A51" s="128">
        <f>IFERROR(__xludf.DUMMYFUNCTION("""COMPUTED_VALUE"""),45888.577583252314)</f>
        <v>45888.57758</v>
      </c>
      <c r="B51" s="71" t="str">
        <f>IFERROR(__xludf.DUMMYFUNCTION("""COMPUTED_VALUE"""),"zariah.scales@kairosacademies.org")</f>
        <v>zariah.scales@kairosacademies.org</v>
      </c>
      <c r="C51" s="71" t="str">
        <f>IFERROR(__xludf.DUMMYFUNCTION("""COMPUTED_VALUE"""),"....")</f>
        <v>....</v>
      </c>
      <c r="D51" s="71" t="str">
        <f>IFERROR(__xludf.DUMMYFUNCTION("""COMPUTED_VALUE"""),"The boss ")</f>
        <v>The boss </v>
      </c>
      <c r="E51" s="71" t="str">
        <f>IFERROR(__xludf.DUMMYFUNCTION("""COMPUTED_VALUE"""),"i have a dog and i want to be legendary.I wish i could do more work.  ")</f>
        <v>i have a dog and i want to be legendary.I wish i could do more work.  </v>
      </c>
      <c r="F51" s="71" t="str">
        <f>IFERROR(__xludf.DUMMYFUNCTION("""COMPUTED_VALUE"""),"Doing a hands-on lab or experiment, Watching a video or live demonstration, Discussing ideas with a small group, Reading and taking notes, Drawing a model or diagram, Listening to the teacher explain it")</f>
        <v>Doing a hands-on lab or experiment, Watching a video or live demonstration, Discussing ideas with a small group, Reading and taking notes, Drawing a model or diagram, Listening to the teacher explain it</v>
      </c>
      <c r="G51" s="71" t="str">
        <f>IFERROR(__xludf.DUMMYFUNCTION("""COMPUTED_VALUE"""),"Review my notes and materials, Make and study flashcards, Do practice problems or worksheets")</f>
        <v>Review my notes and materials, Make and study flashcards, Do practice problems or worksheets</v>
      </c>
      <c r="H51" s="71" t="str">
        <f>IFERROR(__xludf.DUMMYFUNCTION("""COMPUTED_VALUE"""),"Why do things get damaged when they hit each other? (Contact Forces) 💥, Why are living things different from one another? (Genetics) 🧬")</f>
        <v>Why do things get damaged when they hit each other? (Contact Forces) 💥, Why are living things different from one another? (Genetics) 🧬</v>
      </c>
      <c r="I51" s="71" t="str">
        <f>IFERROR(__xludf.DUMMYFUNCTION("""COMPUTED_VALUE"""),"My hobbies are scrolling on social media")</f>
        <v>My hobbies are scrolling on social media</v>
      </c>
      <c r="J51" s="71" t="str">
        <f>IFERROR(__xludf.DUMMYFUNCTION("""COMPUTED_VALUE"""),"I'm great at babysitting and dance sports")</f>
        <v>I'm great at babysitting and dance sports</v>
      </c>
      <c r="K51" s="71">
        <f>IFERROR(__xludf.DUMMYFUNCTION("""COMPUTED_VALUE"""),3.0)</f>
        <v>3</v>
      </c>
      <c r="L51" s="71">
        <f>IFERROR(__xludf.DUMMYFUNCTION("""COMPUTED_VALUE"""),5.0)</f>
        <v>5</v>
      </c>
      <c r="M51" s="71">
        <f>IFERROR(__xludf.DUMMYFUNCTION("""COMPUTED_VALUE"""),5.0)</f>
        <v>5</v>
      </c>
      <c r="N51" s="71">
        <f>IFERROR(__xludf.DUMMYFUNCTION("""COMPUTED_VALUE"""),4.0)</f>
        <v>4</v>
      </c>
      <c r="O51" s="71">
        <f>IFERROR(__xludf.DUMMYFUNCTION("""COMPUTED_VALUE"""),5.0)</f>
        <v>5</v>
      </c>
      <c r="P51" s="71">
        <f>IFERROR(__xludf.DUMMYFUNCTION("""COMPUTED_VALUE"""),5.0)</f>
        <v>5</v>
      </c>
      <c r="Q51" s="71">
        <f>IFERROR(__xludf.DUMMYFUNCTION("""COMPUTED_VALUE"""),5.0)</f>
        <v>5</v>
      </c>
      <c r="R51" s="71">
        <f>IFERROR(__xludf.DUMMYFUNCTION("""COMPUTED_VALUE"""),5.0)</f>
        <v>5</v>
      </c>
      <c r="S51" s="71">
        <f>IFERROR(__xludf.DUMMYFUNCTION("""COMPUTED_VALUE"""),5.0)</f>
        <v>5</v>
      </c>
      <c r="T51" s="71">
        <f>IFERROR(__xludf.DUMMYFUNCTION("""COMPUTED_VALUE"""),3.0)</f>
        <v>3</v>
      </c>
      <c r="U51" s="71">
        <f>IFERROR(__xludf.DUMMYFUNCTION("""COMPUTED_VALUE"""),4.0)</f>
        <v>4</v>
      </c>
      <c r="V51" s="71">
        <f>IFERROR(__xludf.DUMMYFUNCTION("""COMPUTED_VALUE"""),4.0)</f>
        <v>4</v>
      </c>
      <c r="W51" s="71">
        <f>IFERROR(__xludf.DUMMYFUNCTION("""COMPUTED_VALUE"""),4.0)</f>
        <v>4</v>
      </c>
      <c r="X51" s="71" t="str">
        <f>IFERROR(__xludf.DUMMYFUNCTION("""COMPUTED_VALUE"""),"Organizes the plan and keeps the team on task., Researches information and finds answers to questions., Makes sure everyone feels included and helps solve disagreements.")</f>
        <v>Organizes the plan and keeps the team on task., Researches information and finds answers to questions., Makes sure everyone feels included and helps solve disagreements.</v>
      </c>
      <c r="Y51" s="71" t="str">
        <f>IFERROR(__xludf.DUMMYFUNCTION("""COMPUTED_VALUE"""),"Listen to everyone's ideas and try to find a compromise that includes parts of each")</f>
        <v>Listen to everyone's ideas and try to find a compromise that includes parts of each</v>
      </c>
      <c r="Z51" s="71" t="str">
        <f>IFERROR(__xludf.DUMMYFUNCTION("""COMPUTED_VALUE"""),"i need time to think before i share")</f>
        <v>i need time to think before i share</v>
      </c>
    </row>
    <row r="52">
      <c r="A52" s="128">
        <f>IFERROR(__xludf.DUMMYFUNCTION("""COMPUTED_VALUE"""),45888.5742154051)</f>
        <v>45888.57422</v>
      </c>
      <c r="B52" s="71" t="str">
        <f>IFERROR(__xludf.DUMMYFUNCTION("""COMPUTED_VALUE"""),"jermondez.gilcrease@kairosacademies.org")</f>
        <v>jermondez.gilcrease@kairosacademies.org</v>
      </c>
      <c r="C52" s="71" t="str">
        <f>IFERROR(__xludf.DUMMYFUNCTION("""COMPUTED_VALUE"""),"Jermondez Gilcrease")</f>
        <v>Jermondez Gilcrease</v>
      </c>
      <c r="D52" s="71" t="str">
        <f>IFERROR(__xludf.DUMMYFUNCTION("""COMPUTED_VALUE"""),"JD")</f>
        <v>JD</v>
      </c>
      <c r="E52" s="71" t="str">
        <f>IFERROR(__xludf.DUMMYFUNCTION("""COMPUTED_VALUE"""),"zzzzzzzz")</f>
        <v>zzzzzzzz</v>
      </c>
      <c r="F52" s="71" t="str">
        <f>IFERROR(__xludf.DUMMYFUNCTION("""COMPUTED_VALUE"""),"Discussing ideas with a small group, Drawing a model or diagram")</f>
        <v>Discussing ideas with a small group, Drawing a model or diagram</v>
      </c>
      <c r="G52" s="71" t="str">
        <f>IFERROR(__xludf.DUMMYFUNCTION("""COMPUTED_VALUE"""),"Review my notes and materials, Do practice problems or worksheets, Create my own study guide or diagram")</f>
        <v>Review my notes and materials, Do practice problems or worksheets, Create my own study guide or diagram</v>
      </c>
      <c r="H52" s="71" t="str">
        <f>IFERROR(__xludf.DUMMYFUNCTION("""COMPUTED_VALUE"""),"How can we make new materials? (Chemical Reactions) ⚗️, How do our bodies get energy from food? (Metabolic Reactions) 🍎, Why do things get damaged when they hit each other? (Contact Forces) 💥")</f>
        <v>How can we make new materials? (Chemical Reactions) ⚗️, How do our bodies get energy from food? (Metabolic Reactions) 🍎, Why do things get damaged when they hit each other? (Contact Forces) 💥</v>
      </c>
      <c r="I52" s="71" t="str">
        <f>IFERROR(__xludf.DUMMYFUNCTION("""COMPUTED_VALUE"""),"I like playing basketball and football. I also like gaming. lastly I like watching tv.")</f>
        <v>I like playing basketball and football. I also like gaming. lastly I like watching tv.</v>
      </c>
      <c r="J52" s="71" t="str">
        <f>IFERROR(__xludf.DUMMYFUNCTION("""COMPUTED_VALUE"""),"Im great at sports.")</f>
        <v>Im great at sports.</v>
      </c>
      <c r="K52" s="71">
        <f>IFERROR(__xludf.DUMMYFUNCTION("""COMPUTED_VALUE"""),3.0)</f>
        <v>3</v>
      </c>
      <c r="L52" s="71">
        <f>IFERROR(__xludf.DUMMYFUNCTION("""COMPUTED_VALUE"""),5.0)</f>
        <v>5</v>
      </c>
      <c r="M52" s="71">
        <f>IFERROR(__xludf.DUMMYFUNCTION("""COMPUTED_VALUE"""),3.0)</f>
        <v>3</v>
      </c>
      <c r="N52" s="71">
        <f>IFERROR(__xludf.DUMMYFUNCTION("""COMPUTED_VALUE"""),4.0)</f>
        <v>4</v>
      </c>
      <c r="O52" s="71">
        <f>IFERROR(__xludf.DUMMYFUNCTION("""COMPUTED_VALUE"""),4.0)</f>
        <v>4</v>
      </c>
      <c r="P52" s="71">
        <f>IFERROR(__xludf.DUMMYFUNCTION("""COMPUTED_VALUE"""),4.0)</f>
        <v>4</v>
      </c>
      <c r="Q52" s="71">
        <f>IFERROR(__xludf.DUMMYFUNCTION("""COMPUTED_VALUE"""),3.0)</f>
        <v>3</v>
      </c>
      <c r="R52" s="71">
        <f>IFERROR(__xludf.DUMMYFUNCTION("""COMPUTED_VALUE"""),4.0)</f>
        <v>4</v>
      </c>
      <c r="S52" s="71">
        <f>IFERROR(__xludf.DUMMYFUNCTION("""COMPUTED_VALUE"""),4.0)</f>
        <v>4</v>
      </c>
      <c r="T52" s="71">
        <f>IFERROR(__xludf.DUMMYFUNCTION("""COMPUTED_VALUE"""),4.0)</f>
        <v>4</v>
      </c>
      <c r="U52" s="71">
        <f>IFERROR(__xludf.DUMMYFUNCTION("""COMPUTED_VALUE"""),4.0)</f>
        <v>4</v>
      </c>
      <c r="V52" s="71">
        <f>IFERROR(__xludf.DUMMYFUNCTION("""COMPUTED_VALUE"""),5.0)</f>
        <v>5</v>
      </c>
      <c r="W52" s="71">
        <f>IFERROR(__xludf.DUMMYFUNCTION("""COMPUTED_VALUE"""),4.0)</f>
        <v>4</v>
      </c>
      <c r="X52" s="71" t="str">
        <f>IFERROR(__xludf.DUMMYFUNCTION("""COMPUTED_VALUE"""),"Builds the project or does the hands-on work., Makes sure everyone feels included and helps solve disagreements.")</f>
        <v>Builds the project or does the hands-on work., Makes sure everyone feels included and helps solve disagreements.</v>
      </c>
      <c r="Y52" s="71" t="str">
        <f>IFERROR(__xludf.DUMMYFUNCTION("""COMPUTED_VALUE"""),"Listen to everyone's ideas and try to find a compromise that includes parts of each")</f>
        <v>Listen to everyone's ideas and try to find a compromise that includes parts of each</v>
      </c>
      <c r="Z52" s="71" t="str">
        <f>IFERROR(__xludf.DUMMYFUNCTION("""COMPUTED_VALUE"""),"I like when people ask me questions to my idea")</f>
        <v>I like when people ask me questions to my idea</v>
      </c>
    </row>
    <row r="53">
      <c r="A53" s="128">
        <f>IFERROR(__xludf.DUMMYFUNCTION("""COMPUTED_VALUE"""),45888.57633387731)</f>
        <v>45888.57633</v>
      </c>
      <c r="B53" s="71" t="str">
        <f>IFERROR(__xludf.DUMMYFUNCTION("""COMPUTED_VALUE"""),"jalivia.stokes@kairosacademies.org")</f>
        <v>jalivia.stokes@kairosacademies.org</v>
      </c>
      <c r="C53" s="71" t="str">
        <f>IFERROR(__xludf.DUMMYFUNCTION("""COMPUTED_VALUE"""),"jalivia stokes")</f>
        <v>jalivia stokes</v>
      </c>
      <c r="D53" s="71" t="str">
        <f>IFERROR(__xludf.DUMMYFUNCTION("""COMPUTED_VALUE"""),"livia")</f>
        <v>livia</v>
      </c>
      <c r="E53" s="71" t="str">
        <f>IFERROR(__xludf.DUMMYFUNCTION("""COMPUTED_VALUE"""),"1.)i got more shoes and clothes than my momma 2.)i get starbucks every thursday and i wish to become a lawer")</f>
        <v>1.)i got more shoes and clothes than my momma 2.)i get starbucks every thursday and i wish to become a lawer</v>
      </c>
      <c r="F53" s="71" t="str">
        <f>IFERROR(__xludf.DUMMYFUNCTION("""COMPUTED_VALUE"""),"Doing a hands-on lab or experiment, Drawing a model or diagram, Listening to the teacher explain it")</f>
        <v>Doing a hands-on lab or experiment, Drawing a model or diagram, Listening to the teacher explain it</v>
      </c>
      <c r="G53" s="71" t="str">
        <f>IFERROR(__xludf.DUMMYFUNCTION("""COMPUTED_VALUE"""),"Review my notes and materials, Make and study flashcards, Explain the concept out loud to someone else")</f>
        <v>Review my notes and materials, Make and study flashcards, Explain the concept out loud to someone else</v>
      </c>
      <c r="H53" s="71" t="str">
        <f>IFERROR(__xludf.DUMMYFUNCTION("""COMPUTED_VALUE"""),"How do our bodies get energy from food? (Metabolic Reactions) 🍎, How can a magnet move something without touching it? (Forces at a Distance) 🧲, How are we connected to patterns in the sky? (Earth in Space) 🌍")</f>
        <v>How do our bodies get energy from food? (Metabolic Reactions) 🍎, How can a magnet move something without touching it? (Forces at a Distance) 🧲, How are we connected to patterns in the sky? (Earth in Space) 🌍</v>
      </c>
      <c r="I53" s="71" t="str">
        <f>IFERROR(__xludf.DUMMYFUNCTION("""COMPUTED_VALUE"""),"baseball,cooking and bakeing,hair and makeup")</f>
        <v>baseball,cooking and bakeing,hair and makeup</v>
      </c>
      <c r="J53" s="71" t="str">
        <f>IFERROR(__xludf.DUMMYFUNCTION("""COMPUTED_VALUE"""),"fashion i love putting together different outfits")</f>
        <v>fashion i love putting together different outfits</v>
      </c>
      <c r="K53" s="71">
        <f>IFERROR(__xludf.DUMMYFUNCTION("""COMPUTED_VALUE"""),2.0)</f>
        <v>2</v>
      </c>
      <c r="L53" s="71">
        <f>IFERROR(__xludf.DUMMYFUNCTION("""COMPUTED_VALUE"""),5.0)</f>
        <v>5</v>
      </c>
      <c r="M53" s="71">
        <f>IFERROR(__xludf.DUMMYFUNCTION("""COMPUTED_VALUE"""),3.0)</f>
        <v>3</v>
      </c>
      <c r="N53" s="71">
        <f>IFERROR(__xludf.DUMMYFUNCTION("""COMPUTED_VALUE"""),1.0)</f>
        <v>1</v>
      </c>
      <c r="O53" s="71">
        <f>IFERROR(__xludf.DUMMYFUNCTION("""COMPUTED_VALUE"""),4.0)</f>
        <v>4</v>
      </c>
      <c r="P53" s="71">
        <f>IFERROR(__xludf.DUMMYFUNCTION("""COMPUTED_VALUE"""),3.0)</f>
        <v>3</v>
      </c>
      <c r="Q53" s="71">
        <f>IFERROR(__xludf.DUMMYFUNCTION("""COMPUTED_VALUE"""),5.0)</f>
        <v>5</v>
      </c>
      <c r="R53" s="71">
        <f>IFERROR(__xludf.DUMMYFUNCTION("""COMPUTED_VALUE"""),5.0)</f>
        <v>5</v>
      </c>
      <c r="S53" s="71">
        <f>IFERROR(__xludf.DUMMYFUNCTION("""COMPUTED_VALUE"""),2.0)</f>
        <v>2</v>
      </c>
      <c r="T53" s="71">
        <f>IFERROR(__xludf.DUMMYFUNCTION("""COMPUTED_VALUE"""),1.0)</f>
        <v>1</v>
      </c>
      <c r="U53" s="71">
        <f>IFERROR(__xludf.DUMMYFUNCTION("""COMPUTED_VALUE"""),1.0)</f>
        <v>1</v>
      </c>
      <c r="V53" s="71">
        <f>IFERROR(__xludf.DUMMYFUNCTION("""COMPUTED_VALUE"""),1.0)</f>
        <v>1</v>
      </c>
      <c r="W53" s="71">
        <f>IFERROR(__xludf.DUMMYFUNCTION("""COMPUTED_VALUE"""),5.0)</f>
        <v>5</v>
      </c>
      <c r="X53" s="71" t="str">
        <f>IFERROR(__xludf.DUMMYFUNCTION("""COMPUTED_VALUE"""),"Researches information and finds answers to questions., Makes sure everyone feels included and helps solve disagreements.")</f>
        <v>Researches information and finds answers to questions., Makes sure everyone feels included and helps solve disagreements.</v>
      </c>
      <c r="Y53" s="71" t="str">
        <f>IFERROR(__xludf.DUMMYFUNCTION("""COMPUTED_VALUE"""),"Listen to everyone's ideas and try to find a compromise that includes parts of each")</f>
        <v>Listen to everyone's ideas and try to find a compromise that includes parts of each</v>
      </c>
      <c r="Z53" s="71" t="str">
        <f>IFERROR(__xludf.DUMMYFUNCTION("""COMPUTED_VALUE"""),"i need time to wright it down before shareing")</f>
        <v>i need time to wright it down before shareing</v>
      </c>
    </row>
    <row r="54">
      <c r="A54" s="128">
        <f>IFERROR(__xludf.DUMMYFUNCTION("""COMPUTED_VALUE"""),45888.57155501157)</f>
        <v>45888.57156</v>
      </c>
      <c r="B54" s="71" t="str">
        <f>IFERROR(__xludf.DUMMYFUNCTION("""COMPUTED_VALUE"""),"de'asia.griffin@kairosacademies.org")</f>
        <v>de'asia.griffin@kairosacademies.org</v>
      </c>
      <c r="C54" s="71" t="str">
        <f>IFERROR(__xludf.DUMMYFUNCTION("""COMPUTED_VALUE"""),"De'asia .griffiin")</f>
        <v>De'asia .griffiin</v>
      </c>
      <c r="D54" s="71" t="str">
        <f>IFERROR(__xludf.DUMMYFUNCTION("""COMPUTED_VALUE"""),"deasia")</f>
        <v>deasia</v>
      </c>
      <c r="E54" s="71" t="str">
        <f>IFERROR(__xludf.DUMMYFUNCTION("""COMPUTED_VALUE"""),"i cant see from  a far  distance  , my  birthday is  oct,3 ,i  want to be a doctor ")</f>
        <v>i cant see from  a far  distance  , my  birthday is  oct,3 ,i  want to be a doctor </v>
      </c>
      <c r="F54" s="71" t="str">
        <f>IFERROR(__xludf.DUMMYFUNCTION("""COMPUTED_VALUE"""),"Doing a hands-on lab or experiment, Discussing ideas with a small group")</f>
        <v>Doing a hands-on lab or experiment, Discussing ideas with a small group</v>
      </c>
      <c r="G54" s="71" t="str">
        <f>IFERROR(__xludf.DUMMYFUNCTION("""COMPUTED_VALUE"""),"Make and study flashcards, Do practice problems or worksheets")</f>
        <v>Make and study flashcards, Do practice problems or worksheets</v>
      </c>
      <c r="H54" s="71" t="str">
        <f>IFERROR(__xludf.DUMMYFUNCTION("""COMPUTED_VALUE"""),"How can we make new materials? (Chemical Reactions) ⚗️, Why do things get damaged when they hit each other? (Contact Forces) 💥, Why are living things different from one another? (Genetics) 🧬")</f>
        <v>How can we make new materials? (Chemical Reactions) ⚗️, Why do things get damaged when they hit each other? (Contact Forces) 💥, Why are living things different from one another? (Genetics) 🧬</v>
      </c>
      <c r="I54" s="71" t="str">
        <f>IFERROR(__xludf.DUMMYFUNCTION("""COMPUTED_VALUE"""),"i love  volleyball")</f>
        <v>i love  volleyball</v>
      </c>
      <c r="J54" s="71" t="str">
        <f>IFERROR(__xludf.DUMMYFUNCTION("""COMPUTED_VALUE"""),"im good At volleyball")</f>
        <v>im good At volleyball</v>
      </c>
      <c r="K54" s="71">
        <f>IFERROR(__xludf.DUMMYFUNCTION("""COMPUTED_VALUE"""),4.0)</f>
        <v>4</v>
      </c>
      <c r="L54" s="71">
        <f>IFERROR(__xludf.DUMMYFUNCTION("""COMPUTED_VALUE"""),5.0)</f>
        <v>5</v>
      </c>
      <c r="M54" s="71">
        <f>IFERROR(__xludf.DUMMYFUNCTION("""COMPUTED_VALUE"""),3.0)</f>
        <v>3</v>
      </c>
      <c r="N54" s="71">
        <f>IFERROR(__xludf.DUMMYFUNCTION("""COMPUTED_VALUE"""),3.0)</f>
        <v>3</v>
      </c>
      <c r="O54" s="71">
        <f>IFERROR(__xludf.DUMMYFUNCTION("""COMPUTED_VALUE"""),4.0)</f>
        <v>4</v>
      </c>
      <c r="P54" s="71">
        <f>IFERROR(__xludf.DUMMYFUNCTION("""COMPUTED_VALUE"""),5.0)</f>
        <v>5</v>
      </c>
      <c r="Q54" s="71">
        <f>IFERROR(__xludf.DUMMYFUNCTION("""COMPUTED_VALUE"""),4.0)</f>
        <v>4</v>
      </c>
      <c r="R54" s="71">
        <f>IFERROR(__xludf.DUMMYFUNCTION("""COMPUTED_VALUE"""),5.0)</f>
        <v>5</v>
      </c>
      <c r="S54" s="71">
        <f>IFERROR(__xludf.DUMMYFUNCTION("""COMPUTED_VALUE"""),4.0)</f>
        <v>4</v>
      </c>
      <c r="T54" s="71">
        <f>IFERROR(__xludf.DUMMYFUNCTION("""COMPUTED_VALUE"""),4.0)</f>
        <v>4</v>
      </c>
      <c r="U54" s="71">
        <f>IFERROR(__xludf.DUMMYFUNCTION("""COMPUTED_VALUE"""),4.0)</f>
        <v>4</v>
      </c>
      <c r="V54" s="71">
        <f>IFERROR(__xludf.DUMMYFUNCTION("""COMPUTED_VALUE"""),3.0)</f>
        <v>3</v>
      </c>
      <c r="W54" s="71">
        <f>IFERROR(__xludf.DUMMYFUNCTION("""COMPUTED_VALUE"""),3.0)</f>
        <v>3</v>
      </c>
      <c r="X54" s="71" t="str">
        <f>IFERROR(__xludf.DUMMYFUNCTION("""COMPUTED_VALUE"""),"Researches information and finds answers to questions., Builds the project or does the hands-on work.")</f>
        <v>Researches information and finds answers to questions., Builds the project or does the hands-on work.</v>
      </c>
      <c r="Y54" s="71" t="str">
        <f>IFERROR(__xludf.DUMMYFUNCTION("""COMPUTED_VALUE"""),"Listen to everyone's ideas and try to find a compromise that includes parts of each")</f>
        <v>Listen to everyone's ideas and try to find a compromise that includes parts of each</v>
      </c>
      <c r="Z54" s="71" t="str">
        <f>IFERROR(__xludf.DUMMYFUNCTION("""COMPUTED_VALUE"""),"when people ask me questions")</f>
        <v>when people ask me questions</v>
      </c>
    </row>
    <row r="55">
      <c r="A55" s="128">
        <f>IFERROR(__xludf.DUMMYFUNCTION("""COMPUTED_VALUE"""),45888.58075179398)</f>
        <v>45888.58075</v>
      </c>
      <c r="B55" s="71" t="str">
        <f>IFERROR(__xludf.DUMMYFUNCTION("""COMPUTED_VALUE"""),"charlotte.williams@kairosacademies.org")</f>
        <v>charlotte.williams@kairosacademies.org</v>
      </c>
      <c r="C55" s="71" t="str">
        <f>IFERROR(__xludf.DUMMYFUNCTION("""COMPUTED_VALUE"""),"Charlotte Williams")</f>
        <v>Charlotte Williams</v>
      </c>
      <c r="D55" s="71" t="str">
        <f>IFERROR(__xludf.DUMMYFUNCTION("""COMPUTED_VALUE"""),"the queen/goat")</f>
        <v>the queen/goat</v>
      </c>
      <c r="E55" s="71" t="str">
        <f>IFERROR(__xludf.DUMMYFUNCTION("""COMPUTED_VALUE"""),"im legendary, i love chipotle, and i wanna be even more legendary")</f>
        <v>im legendary, i love chipotle, and i wanna be even more legendary</v>
      </c>
      <c r="F55" s="71" t="str">
        <f>IFERROR(__xludf.DUMMYFUNCTION("""COMPUTED_VALUE"""),"Doing a hands-on lab or experiment, Watching a video or live demonstration, Discussing ideas with a small group, Reading and taking notes, Listening to the teacher explain it, when i have music playing it makes me focus better")</f>
        <v>Doing a hands-on lab or experiment, Watching a video or live demonstration, Discussing ideas with a small group, Reading and taking notes, Listening to the teacher explain it, when i have music playing it makes me focus better</v>
      </c>
      <c r="G55" s="71" t="str">
        <f>IFERROR(__xludf.DUMMYFUNCTION("""COMPUTED_VALUE"""),"Review my notes and materials, Make and study flashcards, Do practice problems or worksheets, Create my own study guide or diagram")</f>
        <v>Review my notes and materials, Make and study flashcards, Do practice problems or worksheets, Create my own study guide or diagram</v>
      </c>
      <c r="H55" s="71" t="str">
        <f>IFERROR(__xludf.DUMMYFUNCTION("""COMPUTED_VALUE"""),"How do our bodies get energy from food? (Metabolic Reactions) 🍎, Why do things get damaged when they hit each other? (Contact Forces) 💥, How can a magnet move something without touching it? (Forces at a Distance) 🧲, Why are living things different from"&amp;" one another? (Genetics) 🧬")</f>
        <v>How do our bodies get energy from food? (Metabolic Reactions) 🍎, Why do things get damaged when they hit each other? (Contact Forces) 💥, How can a magnet move something without touching it? (Forces at a Distance) 🧲, Why are living things different from one another? (Genetics) 🧬</v>
      </c>
      <c r="I55" s="71" t="str">
        <f>IFERROR(__xludf.DUMMYFUNCTION("""COMPUTED_VALUE"""),"i like to listen to music, be on facetime with my bff, and watch movies")</f>
        <v>i like to listen to music, be on facetime with my bff, and watch movies</v>
      </c>
      <c r="J55" s="71" t="str">
        <f>IFERROR(__xludf.DUMMYFUNCTION("""COMPUTED_VALUE"""),"im good at ")</f>
        <v>im good at </v>
      </c>
      <c r="K55" s="71">
        <f>IFERROR(__xludf.DUMMYFUNCTION("""COMPUTED_VALUE"""),3.0)</f>
        <v>3</v>
      </c>
      <c r="L55" s="71">
        <f>IFERROR(__xludf.DUMMYFUNCTION("""COMPUTED_VALUE"""),5.0)</f>
        <v>5</v>
      </c>
      <c r="M55" s="71">
        <f>IFERROR(__xludf.DUMMYFUNCTION("""COMPUTED_VALUE"""),2.0)</f>
        <v>2</v>
      </c>
      <c r="N55" s="71">
        <f>IFERROR(__xludf.DUMMYFUNCTION("""COMPUTED_VALUE"""),1.0)</f>
        <v>1</v>
      </c>
      <c r="O55" s="71">
        <f>IFERROR(__xludf.DUMMYFUNCTION("""COMPUTED_VALUE"""),4.0)</f>
        <v>4</v>
      </c>
      <c r="P55" s="71">
        <f>IFERROR(__xludf.DUMMYFUNCTION("""COMPUTED_VALUE"""),5.0)</f>
        <v>5</v>
      </c>
      <c r="Q55" s="71">
        <f>IFERROR(__xludf.DUMMYFUNCTION("""COMPUTED_VALUE"""),4.0)</f>
        <v>4</v>
      </c>
      <c r="R55" s="71">
        <f>IFERROR(__xludf.DUMMYFUNCTION("""COMPUTED_VALUE"""),3.0)</f>
        <v>3</v>
      </c>
      <c r="S55" s="71">
        <f>IFERROR(__xludf.DUMMYFUNCTION("""COMPUTED_VALUE"""),5.0)</f>
        <v>5</v>
      </c>
      <c r="T55" s="71">
        <f>IFERROR(__xludf.DUMMYFUNCTION("""COMPUTED_VALUE"""),3.0)</f>
        <v>3</v>
      </c>
      <c r="U55" s="71">
        <f>IFERROR(__xludf.DUMMYFUNCTION("""COMPUTED_VALUE"""),4.0)</f>
        <v>4</v>
      </c>
      <c r="V55" s="71">
        <f>IFERROR(__xludf.DUMMYFUNCTION("""COMPUTED_VALUE"""),3.0)</f>
        <v>3</v>
      </c>
      <c r="W55" s="71">
        <f>IFERROR(__xludf.DUMMYFUNCTION("""COMPUTED_VALUE"""),4.0)</f>
        <v>4</v>
      </c>
      <c r="X55" s="71" t="str">
        <f>IFERROR(__xludf.DUMMYFUNCTION("""COMPUTED_VALUE"""),"Researches information and finds answers to questions., Takes notes, writes, and prepares the final presentation., Makes sure everyone feels included and helps solve disagreements.")</f>
        <v>Researches information and finds answers to questions., Takes notes, writes, and prepares the final presentation., Makes sure everyone feels included and helps solve disagreements.</v>
      </c>
      <c r="Y55" s="71" t="str">
        <f>IFERROR(__xludf.DUMMYFUNCTION("""COMPUTED_VALUE"""),"Listen to everyone's ideas and try to find a compromise that includes parts of each")</f>
        <v>Listen to everyone's ideas and try to find a compromise that includes parts of each</v>
      </c>
      <c r="Z55" s="71" t="str">
        <f>IFERROR(__xludf.DUMMYFUNCTION("""COMPUTED_VALUE"""),"something that makes me feel heard is people listening and paying attention to me when im speaking")</f>
        <v>something that makes me feel heard is people listening and paying attention to me when im speaking</v>
      </c>
    </row>
    <row r="56">
      <c r="A56" s="128">
        <f>IFERROR(__xludf.DUMMYFUNCTION("""COMPUTED_VALUE"""),45888.60614703703)</f>
        <v>45888.60615</v>
      </c>
      <c r="B56" s="71" t="str">
        <f>IFERROR(__xludf.DUMMYFUNCTION("""COMPUTED_VALUE"""),"tyler.harlan@kairosacademies.org")</f>
        <v>tyler.harlan@kairosacademies.org</v>
      </c>
      <c r="C56" s="71" t="str">
        <f>IFERROR(__xludf.DUMMYFUNCTION("""COMPUTED_VALUE"""),"Tyler Harlan")</f>
        <v>Tyler Harlan</v>
      </c>
      <c r="D56" s="71" t="str">
        <f>IFERROR(__xludf.DUMMYFUNCTION("""COMPUTED_VALUE"""),"Tyler")</f>
        <v>Tyler</v>
      </c>
      <c r="E56" s="71" t="str">
        <f>IFERROR(__xludf.DUMMYFUNCTION("""COMPUTED_VALUE"""),"im a artist and a builder")</f>
        <v>im a artist and a builder</v>
      </c>
      <c r="F56" s="71" t="str">
        <f>IFERROR(__xludf.DUMMYFUNCTION("""COMPUTED_VALUE"""),"Doing a hands-on lab or experiment, Listening to the teacher explain it")</f>
        <v>Doing a hands-on lab or experiment, Listening to the teacher explain it</v>
      </c>
      <c r="G56" s="71" t="str">
        <f>IFERROR(__xludf.DUMMYFUNCTION("""COMPUTED_VALUE"""),"Review my notes and materials, Create my own study guide or diagram")</f>
        <v>Review my notes and materials, Create my own study guide or diagram</v>
      </c>
      <c r="H56" s="71" t="str">
        <f>IFERROR(__xludf.DUMMYFUNCTION("""COMPUTED_VALUE"""),"How can we make new materials? (Chemical Reactions) ⚗️, How does changing an ecosystem affect what lives there? (Ecosystem Dynamics) 🌿, How can a magnet move something without touching it? (Forces at a Distance) 🧲, Why are living things different from o"&amp;"ne another? (Genetics) 🧬")</f>
        <v>How can we make new materials? (Chemical Reactions) ⚗️, How does changing an ecosystem affect what lives there? (Ecosystem Dynamics) 🌿, How can a magnet move something without touching it? (Forces at a Distance) 🧲, Why are living things different from one another? (Genetics) 🧬</v>
      </c>
      <c r="I56" s="71" t="str">
        <f>IFERROR(__xludf.DUMMYFUNCTION("""COMPUTED_VALUE"""),"drawing building creating going outside and having fun")</f>
        <v>drawing building creating going outside and having fun</v>
      </c>
      <c r="J56" s="71" t="str">
        <f>IFERROR(__xludf.DUMMYFUNCTION("""COMPUTED_VALUE"""),"i can climb really good and i have good speed i can draw really good ")</f>
        <v>i can climb really good and i have good speed i can draw really good </v>
      </c>
      <c r="K56" s="71">
        <f>IFERROR(__xludf.DUMMYFUNCTION("""COMPUTED_VALUE"""),5.0)</f>
        <v>5</v>
      </c>
      <c r="L56" s="71">
        <f>IFERROR(__xludf.DUMMYFUNCTION("""COMPUTED_VALUE"""),5.0)</f>
        <v>5</v>
      </c>
      <c r="M56" s="71">
        <f>IFERROR(__xludf.DUMMYFUNCTION("""COMPUTED_VALUE"""),3.0)</f>
        <v>3</v>
      </c>
      <c r="N56" s="71">
        <f>IFERROR(__xludf.DUMMYFUNCTION("""COMPUTED_VALUE"""),1.0)</f>
        <v>1</v>
      </c>
      <c r="O56" s="71">
        <f>IFERROR(__xludf.DUMMYFUNCTION("""COMPUTED_VALUE"""),5.0)</f>
        <v>5</v>
      </c>
      <c r="P56" s="71">
        <f>IFERROR(__xludf.DUMMYFUNCTION("""COMPUTED_VALUE"""),5.0)</f>
        <v>5</v>
      </c>
      <c r="Q56" s="71">
        <f>IFERROR(__xludf.DUMMYFUNCTION("""COMPUTED_VALUE"""),5.0)</f>
        <v>5</v>
      </c>
      <c r="R56" s="71">
        <f>IFERROR(__xludf.DUMMYFUNCTION("""COMPUTED_VALUE"""),5.0)</f>
        <v>5</v>
      </c>
      <c r="S56" s="71">
        <f>IFERROR(__xludf.DUMMYFUNCTION("""COMPUTED_VALUE"""),5.0)</f>
        <v>5</v>
      </c>
      <c r="T56" s="71">
        <f>IFERROR(__xludf.DUMMYFUNCTION("""COMPUTED_VALUE"""),4.0)</f>
        <v>4</v>
      </c>
      <c r="U56" s="71">
        <f>IFERROR(__xludf.DUMMYFUNCTION("""COMPUTED_VALUE"""),5.0)</f>
        <v>5</v>
      </c>
      <c r="V56" s="71">
        <f>IFERROR(__xludf.DUMMYFUNCTION("""COMPUTED_VALUE"""),5.0)</f>
        <v>5</v>
      </c>
      <c r="W56" s="71">
        <f>IFERROR(__xludf.DUMMYFUNCTION("""COMPUTED_VALUE"""),4.0)</f>
        <v>4</v>
      </c>
      <c r="X56" s="71" t="str">
        <f>IFERROR(__xludf.DUMMYFUNCTION("""COMPUTED_VALUE"""),"Researches information and finds answers to questions., Builds the project or does the hands-on work., Takes notes, writes, and prepares the final presentation.")</f>
        <v>Researches information and finds answers to questions., Builds the project or does the hands-on work., Takes notes, writes, and prepares the final presentation.</v>
      </c>
      <c r="Y56" s="71" t="str">
        <f>IFERROR(__xludf.DUMMYFUNCTION("""COMPUTED_VALUE"""),"Listen to everyone's ideas and try to find a compromise that includes parts of each")</f>
        <v>Listen to everyone's ideas and try to find a compromise that includes parts of each</v>
      </c>
      <c r="Z56" s="71" t="str">
        <f>IFERROR(__xludf.DUMMYFUNCTION("""COMPUTED_VALUE"""),"i dont really like working in groups cause i like doing things by myself and i dont want people slowing me down")</f>
        <v>i dont really like working in groups cause i like doing things by myself and i dont want people slowing me down</v>
      </c>
    </row>
    <row r="57">
      <c r="A57" s="128">
        <f>IFERROR(__xludf.DUMMYFUNCTION("""COMPUTED_VALUE"""),45888.61822159722)</f>
        <v>45888.61822</v>
      </c>
      <c r="B57" s="71" t="str">
        <f>IFERROR(__xludf.DUMMYFUNCTION("""COMPUTED_VALUE"""),"courtland.conner@kairosacademies.org")</f>
        <v>courtland.conner@kairosacademies.org</v>
      </c>
      <c r="C57" s="71" t="str">
        <f>IFERROR(__xludf.DUMMYFUNCTION("""COMPUTED_VALUE"""),"Courtland conner")</f>
        <v>Courtland conner</v>
      </c>
      <c r="D57" s="71" t="str">
        <f>IFERROR(__xludf.DUMMYFUNCTION("""COMPUTED_VALUE""")," court or theo")</f>
        <v> court or theo</v>
      </c>
      <c r="E57" s="71" t="str">
        <f>IFERROR(__xludf.DUMMYFUNCTION("""COMPUTED_VALUE""")," i have 2 cats  i cam juggle and i fell off a cliff before.")</f>
        <v> i have 2 cats  i cam juggle and i fell off a cliff before.</v>
      </c>
      <c r="F57" s="71" t="str">
        <f>IFERROR(__xludf.DUMMYFUNCTION("""COMPUTED_VALUE"""),"Listening to the teacher explain it")</f>
        <v>Listening to the teacher explain it</v>
      </c>
      <c r="G57" s="71" t="str">
        <f>IFERROR(__xludf.DUMMYFUNCTION("""COMPUTED_VALUE"""),"Explain the concept out loud to someone else")</f>
        <v>Explain the concept out loud to someone else</v>
      </c>
      <c r="H57" s="71" t="str">
        <f>IFERROR(__xludf.DUMMYFUNCTION("""COMPUTED_VALUE"""),"Why do things get damaged when they hit each other? (Contact Forces) 💥, How can a magnet move something without touching it? (Forces at a Distance) 🧲, How are we connected to patterns in the sky? (Earth in Space) 🌍, Why are living things different from"&amp;" one another? (Genetics) 🧬")</f>
        <v>Why do things get damaged when they hit each other? (Contact Forces) 💥, How can a magnet move something without touching it? (Forces at a Distance) 🧲, How are we connected to patterns in the sky? (Earth in Space) 🌍, Why are living things different from one another? (Genetics) 🧬</v>
      </c>
      <c r="I57" s="71" t="str">
        <f>IFERROR(__xludf.DUMMYFUNCTION("""COMPUTED_VALUE"""),"gaming talking to friends and soon boxing ")</f>
        <v>gaming talking to friends and soon boxing </v>
      </c>
      <c r="J57" s="71" t="str">
        <f>IFERROR(__xludf.DUMMYFUNCTION("""COMPUTED_VALUE"""),"i am okay at cooking and taking care of children i am okay at baking")</f>
        <v>i am okay at cooking and taking care of children i am okay at baking</v>
      </c>
      <c r="K57" s="71">
        <f>IFERROR(__xludf.DUMMYFUNCTION("""COMPUTED_VALUE"""),1.0)</f>
        <v>1</v>
      </c>
      <c r="L57" s="71">
        <f>IFERROR(__xludf.DUMMYFUNCTION("""COMPUTED_VALUE"""),2.0)</f>
        <v>2</v>
      </c>
      <c r="M57" s="71">
        <f>IFERROR(__xludf.DUMMYFUNCTION("""COMPUTED_VALUE"""),3.0)</f>
        <v>3</v>
      </c>
      <c r="N57" s="71">
        <f>IFERROR(__xludf.DUMMYFUNCTION("""COMPUTED_VALUE"""),2.0)</f>
        <v>2</v>
      </c>
      <c r="O57" s="71">
        <f>IFERROR(__xludf.DUMMYFUNCTION("""COMPUTED_VALUE"""),5.0)</f>
        <v>5</v>
      </c>
      <c r="P57" s="71">
        <f>IFERROR(__xludf.DUMMYFUNCTION("""COMPUTED_VALUE"""),3.0)</f>
        <v>3</v>
      </c>
      <c r="Q57" s="71">
        <f>IFERROR(__xludf.DUMMYFUNCTION("""COMPUTED_VALUE"""),4.0)</f>
        <v>4</v>
      </c>
      <c r="R57" s="71">
        <f>IFERROR(__xludf.DUMMYFUNCTION("""COMPUTED_VALUE"""),2.0)</f>
        <v>2</v>
      </c>
      <c r="S57" s="71">
        <f>IFERROR(__xludf.DUMMYFUNCTION("""COMPUTED_VALUE"""),5.0)</f>
        <v>5</v>
      </c>
      <c r="T57" s="71">
        <f>IFERROR(__xludf.DUMMYFUNCTION("""COMPUTED_VALUE"""),3.0)</f>
        <v>3</v>
      </c>
      <c r="U57" s="71">
        <f>IFERROR(__xludf.DUMMYFUNCTION("""COMPUTED_VALUE"""),5.0)</f>
        <v>5</v>
      </c>
      <c r="V57" s="71">
        <f>IFERROR(__xludf.DUMMYFUNCTION("""COMPUTED_VALUE"""),1.0)</f>
        <v>1</v>
      </c>
      <c r="W57" s="71">
        <f>IFERROR(__xludf.DUMMYFUNCTION("""COMPUTED_VALUE"""),2.0)</f>
        <v>2</v>
      </c>
      <c r="X57" s="71" t="str">
        <f>IFERROR(__xludf.DUMMYFUNCTION("""COMPUTED_VALUE"""),"Researches information and finds answers to questions., Takes notes, writes, and prepares the final presentation., Makes sure everyone feels included and helps solve disagreements.")</f>
        <v>Researches information and finds answers to questions., Takes notes, writes, and prepares the final presentation., Makes sure everyone feels included and helps solve disagreements.</v>
      </c>
      <c r="Y57" s="71" t="str">
        <f>IFERROR(__xludf.DUMMYFUNCTION("""COMPUTED_VALUE"""),"Stay quiet and let the others figure it out")</f>
        <v>Stay quiet and let the others figure it out</v>
      </c>
      <c r="Z57" s="71" t="str">
        <f>IFERROR(__xludf.DUMMYFUNCTION("""COMPUTED_VALUE"""),"i would only be comfortable if one of the people are my friends.")</f>
        <v>i would only be comfortable if one of the people are my friends.</v>
      </c>
    </row>
    <row r="58">
      <c r="A58" s="128">
        <f>IFERROR(__xludf.DUMMYFUNCTION("""COMPUTED_VALUE"""),45888.61165798611)</f>
        <v>45888.61166</v>
      </c>
      <c r="B58" s="71" t="str">
        <f>IFERROR(__xludf.DUMMYFUNCTION("""COMPUTED_VALUE"""),"summer.adams-jones@kairosacademies.org")</f>
        <v>summer.adams-jones@kairosacademies.org</v>
      </c>
      <c r="C58" s="71" t="str">
        <f>IFERROR(__xludf.DUMMYFUNCTION("""COMPUTED_VALUE"""),"summer adams-jones ")</f>
        <v>summer adams-jones </v>
      </c>
      <c r="D58" s="71" t="str">
        <f>IFERROR(__xludf.DUMMYFUNCTION("""COMPUTED_VALUE"""),"jones or sumsum")</f>
        <v>jones or sumsum</v>
      </c>
      <c r="E58" s="71" t="str">
        <f>IFERROR(__xludf.DUMMYFUNCTION("""COMPUTED_VALUE"""),"i have a cat i like to draw and i wish to get better at drawing")</f>
        <v>i have a cat i like to draw and i wish to get better at drawing</v>
      </c>
      <c r="F58" s="71" t="str">
        <f>IFERROR(__xludf.DUMMYFUNCTION("""COMPUTED_VALUE"""),"Doing a hands-on lab or experiment, Watching a video or live demonstration, Discussing ideas with a small group, Drawing a model or diagram, Listening to the teacher explain it")</f>
        <v>Doing a hands-on lab or experiment, Watching a video or live demonstration, Discussing ideas with a small group, Drawing a model or diagram, Listening to the teacher explain it</v>
      </c>
      <c r="G58" s="71" t="str">
        <f>IFERROR(__xludf.DUMMYFUNCTION("""COMPUTED_VALUE"""),"Review my notes and materials, Create my own study guide or diagram")</f>
        <v>Review my notes and materials, Create my own study guide or diagram</v>
      </c>
      <c r="H58" s="71" t="str">
        <f>IFERROR(__xludf.DUMMYFUNCTION("""COMPUTED_VALUE"""),"How can we make new materials? (Chemical Reactions) ⚗️, How do our bodies get energy from food? (Metabolic Reactions) 🍎, Why do things get damaged when they hit each other? (Contact Forces) 💥, How can a magnet move something without touching it? (Forces"&amp;" at a Distance) 🧲")</f>
        <v>How can we make new materials? (Chemical Reactions) ⚗️, How do our bodies get energy from food? (Metabolic Reactions) 🍎, Why do things get damaged when they hit each other? (Contact Forces) 💥, How can a magnet move something without touching it? (Forces at a Distance) 🧲</v>
      </c>
      <c r="I58" s="71" t="str">
        <f>IFERROR(__xludf.DUMMYFUNCTION("""COMPUTED_VALUE"""),"drawing and gaming")</f>
        <v>drawing and gaming</v>
      </c>
      <c r="J58" s="71" t="str">
        <f>IFERROR(__xludf.DUMMYFUNCTION("""COMPUTED_VALUE"""),"im not sure")</f>
        <v>im not sure</v>
      </c>
      <c r="K58" s="71">
        <f>IFERROR(__xludf.DUMMYFUNCTION("""COMPUTED_VALUE"""),3.0)</f>
        <v>3</v>
      </c>
      <c r="L58" s="71">
        <f>IFERROR(__xludf.DUMMYFUNCTION("""COMPUTED_VALUE"""),5.0)</f>
        <v>5</v>
      </c>
      <c r="M58" s="71">
        <f>IFERROR(__xludf.DUMMYFUNCTION("""COMPUTED_VALUE"""),3.0)</f>
        <v>3</v>
      </c>
      <c r="N58" s="71">
        <f>IFERROR(__xludf.DUMMYFUNCTION("""COMPUTED_VALUE"""),2.0)</f>
        <v>2</v>
      </c>
      <c r="O58" s="71">
        <f>IFERROR(__xludf.DUMMYFUNCTION("""COMPUTED_VALUE"""),2.0)</f>
        <v>2</v>
      </c>
      <c r="P58" s="71">
        <f>IFERROR(__xludf.DUMMYFUNCTION("""COMPUTED_VALUE"""),5.0)</f>
        <v>5</v>
      </c>
      <c r="Q58" s="71">
        <f>IFERROR(__xludf.DUMMYFUNCTION("""COMPUTED_VALUE"""),5.0)</f>
        <v>5</v>
      </c>
      <c r="R58" s="71">
        <f>IFERROR(__xludf.DUMMYFUNCTION("""COMPUTED_VALUE"""),5.0)</f>
        <v>5</v>
      </c>
      <c r="S58" s="71">
        <f>IFERROR(__xludf.DUMMYFUNCTION("""COMPUTED_VALUE"""),5.0)</f>
        <v>5</v>
      </c>
      <c r="T58" s="71">
        <f>IFERROR(__xludf.DUMMYFUNCTION("""COMPUTED_VALUE"""),3.0)</f>
        <v>3</v>
      </c>
      <c r="U58" s="71">
        <f>IFERROR(__xludf.DUMMYFUNCTION("""COMPUTED_VALUE"""),5.0)</f>
        <v>5</v>
      </c>
      <c r="V58" s="71">
        <f>IFERROR(__xludf.DUMMYFUNCTION("""COMPUTED_VALUE"""),4.0)</f>
        <v>4</v>
      </c>
      <c r="W58" s="71">
        <f>IFERROR(__xludf.DUMMYFUNCTION("""COMPUTED_VALUE"""),4.0)</f>
        <v>4</v>
      </c>
      <c r="X58" s="71" t="str">
        <f>IFERROR(__xludf.DUMMYFUNCTION("""COMPUTED_VALUE"""),"Researches information and finds answers to questions., Takes notes, writes, and prepares the final presentation., Makes sure everyone feels included and helps solve disagreements.")</f>
        <v>Researches information and finds answers to questions., Takes notes, writes, and prepares the final presentation., Makes sure everyone feels included and helps solve disagreements.</v>
      </c>
      <c r="Y58" s="71" t="str">
        <f>IFERROR(__xludf.DUMMYFUNCTION("""COMPUTED_VALUE"""),"Listen to everyone's ideas and try to find a compromise that includes parts of each")</f>
        <v>Listen to everyone's ideas and try to find a compromise that includes parts of each</v>
      </c>
      <c r="Z58" s="71" t="str">
        <f>IFERROR(__xludf.DUMMYFUNCTION("""COMPUTED_VALUE"""),"letting me do little things even if there really wasnt any more work for me to do")</f>
        <v>letting me do little things even if there really wasnt any more work for me to do</v>
      </c>
    </row>
    <row r="59">
      <c r="A59" s="128">
        <f>IFERROR(__xludf.DUMMYFUNCTION("""COMPUTED_VALUE"""),45888.62848321759)</f>
        <v>45888.62848</v>
      </c>
      <c r="B59" s="71" t="str">
        <f>IFERROR(__xludf.DUMMYFUNCTION("""COMPUTED_VALUE"""),"jelon.knox@kairosacademies.org")</f>
        <v>jelon.knox@kairosacademies.org</v>
      </c>
      <c r="C59" s="71" t="str">
        <f>IFERROR(__xludf.DUMMYFUNCTION("""COMPUTED_VALUE"""),"jelon knox")</f>
        <v>jelon knox</v>
      </c>
      <c r="D59" s="71" t="str">
        <f>IFERROR(__xludf.DUMMYFUNCTION("""COMPUTED_VALUE"""),"jelon")</f>
        <v>jelon</v>
      </c>
      <c r="E59" s="71" t="str">
        <f>IFERROR(__xludf.DUMMYFUNCTION("""COMPUTED_VALUE"""),"I wish i was rich  i play sports in i like going outside")</f>
        <v>I wish i was rich  i play sports in i like going outside</v>
      </c>
      <c r="F59" s="71" t="str">
        <f>IFERROR(__xludf.DUMMYFUNCTION("""COMPUTED_VALUE"""),"Watching a video or live demonstration, Discussing ideas with a small group")</f>
        <v>Watching a video or live demonstration, Discussing ideas with a small group</v>
      </c>
      <c r="G59" s="71" t="str">
        <f>IFERROR(__xludf.DUMMYFUNCTION("""COMPUTED_VALUE"""),"Review my notes and materials, Make and study flashcards, Do practice problems or worksheets")</f>
        <v>Review my notes and materials, Make and study flashcards, Do practice problems or worksheets</v>
      </c>
      <c r="H59" s="71" t="str">
        <f>IFERROR(__xludf.DUMMYFUNCTION("""COMPUTED_VALUE"""),"How can we make new materials? (Chemical Reactions) ⚗️, Why do things get damaged when they hit each other? (Contact Forces) 💥")</f>
        <v>How can we make new materials? (Chemical Reactions) ⚗️, Why do things get damaged when they hit each other? (Contact Forces) 💥</v>
      </c>
      <c r="I59" s="71" t="str">
        <f>IFERROR(__xludf.DUMMYFUNCTION("""COMPUTED_VALUE"""),"play basketball in work out ")</f>
        <v>play basketball in work out </v>
      </c>
      <c r="J59" s="71" t="str">
        <f>IFERROR(__xludf.DUMMYFUNCTION("""COMPUTED_VALUE"""),"im good at running im good at football")</f>
        <v>im good at running im good at football</v>
      </c>
      <c r="K59" s="71">
        <f>IFERROR(__xludf.DUMMYFUNCTION("""COMPUTED_VALUE"""),3.0)</f>
        <v>3</v>
      </c>
      <c r="L59" s="71">
        <f>IFERROR(__xludf.DUMMYFUNCTION("""COMPUTED_VALUE"""),4.0)</f>
        <v>4</v>
      </c>
      <c r="M59" s="71">
        <f>IFERROR(__xludf.DUMMYFUNCTION("""COMPUTED_VALUE"""),5.0)</f>
        <v>5</v>
      </c>
      <c r="N59" s="71">
        <f>IFERROR(__xludf.DUMMYFUNCTION("""COMPUTED_VALUE"""),2.0)</f>
        <v>2</v>
      </c>
      <c r="O59" s="71">
        <f>IFERROR(__xludf.DUMMYFUNCTION("""COMPUTED_VALUE"""),4.0)</f>
        <v>4</v>
      </c>
      <c r="P59" s="71">
        <f>IFERROR(__xludf.DUMMYFUNCTION("""COMPUTED_VALUE"""),5.0)</f>
        <v>5</v>
      </c>
      <c r="Q59" s="71">
        <f>IFERROR(__xludf.DUMMYFUNCTION("""COMPUTED_VALUE"""),3.0)</f>
        <v>3</v>
      </c>
      <c r="R59" s="71">
        <f>IFERROR(__xludf.DUMMYFUNCTION("""COMPUTED_VALUE"""),4.0)</f>
        <v>4</v>
      </c>
      <c r="S59" s="71">
        <f>IFERROR(__xludf.DUMMYFUNCTION("""COMPUTED_VALUE"""),5.0)</f>
        <v>5</v>
      </c>
      <c r="T59" s="71">
        <f>IFERROR(__xludf.DUMMYFUNCTION("""COMPUTED_VALUE"""),3.0)</f>
        <v>3</v>
      </c>
      <c r="U59" s="71">
        <f>IFERROR(__xludf.DUMMYFUNCTION("""COMPUTED_VALUE"""),2.0)</f>
        <v>2</v>
      </c>
      <c r="V59" s="71">
        <f>IFERROR(__xludf.DUMMYFUNCTION("""COMPUTED_VALUE"""),2.0)</f>
        <v>2</v>
      </c>
      <c r="W59" s="71">
        <f>IFERROR(__xludf.DUMMYFUNCTION("""COMPUTED_VALUE"""),3.0)</f>
        <v>3</v>
      </c>
      <c r="X59" s="71" t="str">
        <f>IFERROR(__xludf.DUMMYFUNCTION("""COMPUTED_VALUE"""),"Organizes the plan and keeps the team on task., Takes notes, writes, and prepares the final presentation.")</f>
        <v>Organizes the plan and keeps the team on task., Takes notes, writes, and prepares the final presentation.</v>
      </c>
      <c r="Y59" s="71" t="str">
        <f>IFERROR(__xludf.DUMMYFUNCTION("""COMPUTED_VALUE"""),"Listen to everyone's ideas and try to find a compromise that includes parts of each")</f>
        <v>Listen to everyone's ideas and try to find a compromise that includes parts of each</v>
      </c>
      <c r="Z59" s="71" t="str">
        <f>IFERROR(__xludf.DUMMYFUNCTION("""COMPUTED_VALUE"""),"idk")</f>
        <v>idk</v>
      </c>
    </row>
    <row r="60">
      <c r="A60" s="128">
        <f>IFERROR(__xludf.DUMMYFUNCTION("""COMPUTED_VALUE"""),45888.62721946759)</f>
        <v>45888.62722</v>
      </c>
      <c r="B60" s="71" t="str">
        <f>IFERROR(__xludf.DUMMYFUNCTION("""COMPUTED_VALUE"""),"marshawn.blair@kairosacademies.org")</f>
        <v>marshawn.blair@kairosacademies.org</v>
      </c>
      <c r="C60" s="71" t="str">
        <f>IFERROR(__xludf.DUMMYFUNCTION("""COMPUTED_VALUE"""),"Marshawn Blair")</f>
        <v>Marshawn Blair</v>
      </c>
      <c r="D60" s="71" t="str">
        <f>IFERROR(__xludf.DUMMYFUNCTION("""COMPUTED_VALUE"""),"Marshawn")</f>
        <v>Marshawn</v>
      </c>
      <c r="E60" s="71" t="str">
        <f>IFERROR(__xludf.DUMMYFUNCTION("""COMPUTED_VALUE"""),"1 I didn't eat for 4 days cause i got bored 2 i played a sport and almost got into a group that was 2 years older than me 3 I have an husky and american bully.")</f>
        <v>1 I didn't eat for 4 days cause i got bored 2 i played a sport and almost got into a group that was 2 years older than me 3 I have an husky and american bully.</v>
      </c>
      <c r="F60" s="71" t="str">
        <f>IFERROR(__xludf.DUMMYFUNCTION("""COMPUTED_VALUE"""),"Doing a hands-on lab or experiment, Watching a video or live demonstration, Discussing ideas with a small group, Reading and taking notes, Drawing a model or diagram, Listening to the teacher explain it")</f>
        <v>Doing a hands-on lab or experiment, Watching a video or live demonstration, Discussing ideas with a small group, Reading and taking notes, Drawing a model or diagram, Listening to the teacher explain it</v>
      </c>
      <c r="G60" s="71" t="str">
        <f>IFERROR(__xludf.DUMMYFUNCTION("""COMPUTED_VALUE"""),"Do practice problems or worksheets, Explain the concept out loud to someone else, Create my own study guide or diagram")</f>
        <v>Do practice problems or worksheets, Explain the concept out loud to someone else, Create my own study guide or diagram</v>
      </c>
      <c r="H60" s="71" t="str">
        <f>IFERROR(__xludf.DUMMYFUNCTION("""COMPUTED_VALUE"""),"How can we make new materials? (Chemical Reactions) ⚗️, How are we connected to patterns in the sky? (Earth in Space) 🌍, Why are living things different from one another? (Genetics) 🧬")</f>
        <v>How can we make new materials? (Chemical Reactions) ⚗️, How are we connected to patterns in the sky? (Earth in Space) 🌍, Why are living things different from one another? (Genetics) 🧬</v>
      </c>
      <c r="I60" s="71" t="str">
        <f>IFERROR(__xludf.DUMMYFUNCTION("""COMPUTED_VALUE"""),"sports and gaming")</f>
        <v>sports and gaming</v>
      </c>
      <c r="J60" s="71" t="str">
        <f>IFERROR(__xludf.DUMMYFUNCTION("""COMPUTED_VALUE"""),"i am good at cooking, and sports ")</f>
        <v>i am good at cooking, and sports </v>
      </c>
      <c r="K60" s="71">
        <f>IFERROR(__xludf.DUMMYFUNCTION("""COMPUTED_VALUE"""),5.0)</f>
        <v>5</v>
      </c>
      <c r="L60" s="71">
        <f>IFERROR(__xludf.DUMMYFUNCTION("""COMPUTED_VALUE"""),5.0)</f>
        <v>5</v>
      </c>
      <c r="M60" s="71">
        <f>IFERROR(__xludf.DUMMYFUNCTION("""COMPUTED_VALUE"""),5.0)</f>
        <v>5</v>
      </c>
      <c r="N60" s="71">
        <f>IFERROR(__xludf.DUMMYFUNCTION("""COMPUTED_VALUE"""),5.0)</f>
        <v>5</v>
      </c>
      <c r="O60" s="71">
        <f>IFERROR(__xludf.DUMMYFUNCTION("""COMPUTED_VALUE"""),5.0)</f>
        <v>5</v>
      </c>
      <c r="P60" s="71">
        <f>IFERROR(__xludf.DUMMYFUNCTION("""COMPUTED_VALUE"""),5.0)</f>
        <v>5</v>
      </c>
      <c r="Q60" s="71">
        <f>IFERROR(__xludf.DUMMYFUNCTION("""COMPUTED_VALUE"""),5.0)</f>
        <v>5</v>
      </c>
      <c r="R60" s="71">
        <f>IFERROR(__xludf.DUMMYFUNCTION("""COMPUTED_VALUE"""),5.0)</f>
        <v>5</v>
      </c>
      <c r="S60" s="71">
        <f>IFERROR(__xludf.DUMMYFUNCTION("""COMPUTED_VALUE"""),5.0)</f>
        <v>5</v>
      </c>
      <c r="T60" s="71">
        <f>IFERROR(__xludf.DUMMYFUNCTION("""COMPUTED_VALUE"""),5.0)</f>
        <v>5</v>
      </c>
      <c r="U60" s="71">
        <f>IFERROR(__xludf.DUMMYFUNCTION("""COMPUTED_VALUE"""),5.0)</f>
        <v>5</v>
      </c>
      <c r="V60" s="71">
        <f>IFERROR(__xludf.DUMMYFUNCTION("""COMPUTED_VALUE"""),5.0)</f>
        <v>5</v>
      </c>
      <c r="W60" s="71">
        <f>IFERROR(__xludf.DUMMYFUNCTION("""COMPUTED_VALUE"""),5.0)</f>
        <v>5</v>
      </c>
      <c r="X60" s="71" t="str">
        <f>IFERROR(__xludf.DUMMYFUNCTION("""COMPUTED_VALUE"""),"Organizes the plan and keeps the team on task., Researches information and finds answers to questions., Builds the project or does the hands-on work., Takes notes, writes, and prepares the final presentation., Makes sure everyone feels included and helps "&amp;"solve disagreements., Doing most if not all the work because i'm omnipotent or i like to fee like it\")</f>
        <v>Organizes the plan and keeps the team on task., Researches information and finds answers to questions., Builds the project or does the hands-on work., Takes notes, writes, and prepares the final presentation., Makes sure everyone feels included and helps solve disagreements., Doing most if not all the work because i'm omnipotent or i like to fee like it\</v>
      </c>
      <c r="Y60" s="71" t="str">
        <f>IFERROR(__xludf.DUMMYFUNCTION("""COMPUTED_VALUE"""),"Listen to everyone's ideas and try to find a compromise that includes parts of each")</f>
        <v>Listen to everyone's ideas and try to find a compromise that includes parts of each</v>
      </c>
      <c r="Z60" s="71" t="str">
        <f>IFERROR(__xludf.DUMMYFUNCTION("""COMPUTED_VALUE"""),"I am known as a smart person so people listen to me before just making stuff.
")</f>
        <v>I am known as a smart person so people listen to me before just making stuff.
</v>
      </c>
    </row>
    <row r="61">
      <c r="A61" s="128">
        <f>IFERROR(__xludf.DUMMYFUNCTION("""COMPUTED_VALUE"""),45888.61387890046)</f>
        <v>45888.61388</v>
      </c>
      <c r="B61" s="71" t="str">
        <f>IFERROR(__xludf.DUMMYFUNCTION("""COMPUTED_VALUE"""),"miriam.morales@kairosacademies.org")</f>
        <v>miriam.morales@kairosacademies.org</v>
      </c>
      <c r="C61" s="71" t="str">
        <f>IFERROR(__xludf.DUMMYFUNCTION("""COMPUTED_VALUE"""),"Miriam Morales")</f>
        <v>Miriam Morales</v>
      </c>
      <c r="D61" s="71" t="str">
        <f>IFERROR(__xludf.DUMMYFUNCTION("""COMPUTED_VALUE"""),"""Mimi""")</f>
        <v>"Mimi"</v>
      </c>
      <c r="E61" s="71" t="str">
        <f>IFERROR(__xludf.DUMMYFUNCTION("""COMPUTED_VALUE"""),"I have three younger siblings, i like to bake, I wish i could draw better.")</f>
        <v>I have three younger siblings, i like to bake, I wish i could draw better.</v>
      </c>
      <c r="F61" s="71" t="str">
        <f>IFERROR(__xludf.DUMMYFUNCTION("""COMPUTED_VALUE"""),"Doing a hands-on lab or experiment, Reading and taking notes, Drawing a model or diagram")</f>
        <v>Doing a hands-on lab or experiment, Reading and taking notes, Drawing a model or diagram</v>
      </c>
      <c r="G61" s="71" t="str">
        <f>IFERROR(__xludf.DUMMYFUNCTION("""COMPUTED_VALUE"""),"Review my notes and materials, Do practice problems or worksheets")</f>
        <v>Review my notes and materials, Do practice problems or worksheets</v>
      </c>
      <c r="H61" s="71" t="str">
        <f>IFERROR(__xludf.DUMMYFUNCTION("""COMPUTED_VALUE"""),"How does changing an ecosystem affect what lives there? (Ecosystem Dynamics) 🌿, How can a magnet move something without touching it? (Forces at a Distance) 🧲, Why are living things different from one another? (Genetics) 🧬")</f>
        <v>How does changing an ecosystem affect what lives there? (Ecosystem Dynamics) 🌿, How can a magnet move something without touching it? (Forces at a Distance) 🧲, Why are living things different from one another? (Genetics) 🧬</v>
      </c>
      <c r="I61" s="71" t="str">
        <f>IFERROR(__xludf.DUMMYFUNCTION("""COMPUTED_VALUE"""),"drawing, baking and sleeping.")</f>
        <v>drawing, baking and sleeping.</v>
      </c>
      <c r="J61" s="71" t="str">
        <f>IFERROR(__xludf.DUMMYFUNCTION("""COMPUTED_VALUE"""),"taking care of my siblings.")</f>
        <v>taking care of my siblings.</v>
      </c>
      <c r="K61" s="71">
        <f>IFERROR(__xludf.DUMMYFUNCTION("""COMPUTED_VALUE"""),3.0)</f>
        <v>3</v>
      </c>
      <c r="L61" s="71">
        <f>IFERROR(__xludf.DUMMYFUNCTION("""COMPUTED_VALUE"""),4.0)</f>
        <v>4</v>
      </c>
      <c r="M61" s="71">
        <f>IFERROR(__xludf.DUMMYFUNCTION("""COMPUTED_VALUE"""),2.0)</f>
        <v>2</v>
      </c>
      <c r="N61" s="71">
        <f>IFERROR(__xludf.DUMMYFUNCTION("""COMPUTED_VALUE"""),2.0)</f>
        <v>2</v>
      </c>
      <c r="O61" s="71">
        <f>IFERROR(__xludf.DUMMYFUNCTION("""COMPUTED_VALUE"""),3.0)</f>
        <v>3</v>
      </c>
      <c r="P61" s="71">
        <f>IFERROR(__xludf.DUMMYFUNCTION("""COMPUTED_VALUE"""),4.0)</f>
        <v>4</v>
      </c>
      <c r="Q61" s="71">
        <f>IFERROR(__xludf.DUMMYFUNCTION("""COMPUTED_VALUE"""),3.0)</f>
        <v>3</v>
      </c>
      <c r="R61" s="71">
        <f>IFERROR(__xludf.DUMMYFUNCTION("""COMPUTED_VALUE"""),3.0)</f>
        <v>3</v>
      </c>
      <c r="S61" s="71">
        <f>IFERROR(__xludf.DUMMYFUNCTION("""COMPUTED_VALUE"""),3.0)</f>
        <v>3</v>
      </c>
      <c r="T61" s="71">
        <f>IFERROR(__xludf.DUMMYFUNCTION("""COMPUTED_VALUE"""),3.0)</f>
        <v>3</v>
      </c>
      <c r="U61" s="71">
        <f>IFERROR(__xludf.DUMMYFUNCTION("""COMPUTED_VALUE"""),3.0)</f>
        <v>3</v>
      </c>
      <c r="V61" s="71">
        <f>IFERROR(__xludf.DUMMYFUNCTION("""COMPUTED_VALUE"""),4.0)</f>
        <v>4</v>
      </c>
      <c r="W61" s="71">
        <f>IFERROR(__xludf.DUMMYFUNCTION("""COMPUTED_VALUE"""),2.0)</f>
        <v>2</v>
      </c>
      <c r="X61" s="71" t="str">
        <f>IFERROR(__xludf.DUMMYFUNCTION("""COMPUTED_VALUE"""),"Organizes the plan and keeps the team on task., Researches information and finds answers to questions., Takes notes, writes, and prepares the final presentation.")</f>
        <v>Organizes the plan and keeps the team on task., Researches information and finds answers to questions., Takes notes, writes, and prepares the final presentation.</v>
      </c>
      <c r="Y61" s="71" t="str">
        <f>IFERROR(__xludf.DUMMYFUNCTION("""COMPUTED_VALUE"""),"Listen to everyone's ideas and try to find a compromise that includes parts of each")</f>
        <v>Listen to everyone's ideas and try to find a compromise that includes parts of each</v>
      </c>
      <c r="Z61" s="71" t="str">
        <f>IFERROR(__xludf.DUMMYFUNCTION("""COMPUTED_VALUE"""),"somethings that helps me feel heard in a group is getting the attention from at least one person in a group.")</f>
        <v>somethings that helps me feel heard in a group is getting the attention from at least one person in a group.</v>
      </c>
    </row>
    <row r="62">
      <c r="A62" s="128">
        <f>IFERROR(__xludf.DUMMYFUNCTION("""COMPUTED_VALUE"""),45888.61494746528)</f>
        <v>45888.61495</v>
      </c>
      <c r="B62" s="71" t="str">
        <f>IFERROR(__xludf.DUMMYFUNCTION("""COMPUTED_VALUE"""),"nevaeh.cox@kairosacademies.org")</f>
        <v>nevaeh.cox@kairosacademies.org</v>
      </c>
      <c r="C62" s="71" t="str">
        <f>IFERROR(__xludf.DUMMYFUNCTION("""COMPUTED_VALUE"""),"nevaeh cox ")</f>
        <v>nevaeh cox </v>
      </c>
      <c r="D62" s="71" t="str">
        <f>IFERROR(__xludf.DUMMYFUNCTION("""COMPUTED_VALUE"""),"nae nae or nevaeh ")</f>
        <v>nae nae or nevaeh </v>
      </c>
      <c r="E62" s="71" t="str">
        <f>IFERROR(__xludf.DUMMYFUNCTION("""COMPUTED_VALUE"""),"i wish to do big projcets i cook and i play football")</f>
        <v>i wish to do big projcets i cook and i play football</v>
      </c>
      <c r="F62" s="71" t="str">
        <f>IFERROR(__xludf.DUMMYFUNCTION("""COMPUTED_VALUE"""),"Doing a hands-on lab or experiment, Watching a video or live demonstration, Discussing ideas with a small group, Reading and taking notes, Listening to the teacher explain it")</f>
        <v>Doing a hands-on lab or experiment, Watching a video or live demonstration, Discussing ideas with a small group, Reading and taking notes, Listening to the teacher explain it</v>
      </c>
      <c r="G62" s="71" t="str">
        <f>IFERROR(__xludf.DUMMYFUNCTION("""COMPUTED_VALUE"""),"Review my notes and materials, Make and study flashcards, Do practice problems or worksheets, Explain the concept out loud to someone else")</f>
        <v>Review my notes and materials, Make and study flashcards, Do practice problems or worksheets, Explain the concept out loud to someone else</v>
      </c>
      <c r="H62" s="71" t="str">
        <f>IFERROR(__xludf.DUMMYFUNCTION("""COMPUTED_VALUE"""),"How can we make new materials? (Chemical Reactions) ⚗️, How are we connected to patterns in the sky? (Earth in Space) 🌍, Why are living things different from one another? (Genetics) 🧬")</f>
        <v>How can we make new materials? (Chemical Reactions) ⚗️, How are we connected to patterns in the sky? (Earth in Space) 🌍, Why are living things different from one another? (Genetics) 🧬</v>
      </c>
      <c r="I62" s="71" t="str">
        <f>IFERROR(__xludf.DUMMYFUNCTION("""COMPUTED_VALUE"""),"sports, cooking")</f>
        <v>sports, cooking</v>
      </c>
      <c r="J62" s="71" t="str">
        <f>IFERROR(__xludf.DUMMYFUNCTION("""COMPUTED_VALUE"""),"im good at cooking and sports ")</f>
        <v>im good at cooking and sports </v>
      </c>
      <c r="K62" s="71">
        <f>IFERROR(__xludf.DUMMYFUNCTION("""COMPUTED_VALUE"""),4.0)</f>
        <v>4</v>
      </c>
      <c r="L62" s="71">
        <f>IFERROR(__xludf.DUMMYFUNCTION("""COMPUTED_VALUE"""),5.0)</f>
        <v>5</v>
      </c>
      <c r="M62" s="71">
        <f>IFERROR(__xludf.DUMMYFUNCTION("""COMPUTED_VALUE"""),3.0)</f>
        <v>3</v>
      </c>
      <c r="N62" s="71">
        <f>IFERROR(__xludf.DUMMYFUNCTION("""COMPUTED_VALUE"""),3.0)</f>
        <v>3</v>
      </c>
      <c r="O62" s="71">
        <f>IFERROR(__xludf.DUMMYFUNCTION("""COMPUTED_VALUE"""),4.0)</f>
        <v>4</v>
      </c>
      <c r="P62" s="71">
        <f>IFERROR(__xludf.DUMMYFUNCTION("""COMPUTED_VALUE"""),5.0)</f>
        <v>5</v>
      </c>
      <c r="Q62" s="71">
        <f>IFERROR(__xludf.DUMMYFUNCTION("""COMPUTED_VALUE"""),5.0)</f>
        <v>5</v>
      </c>
      <c r="R62" s="71">
        <f>IFERROR(__xludf.DUMMYFUNCTION("""COMPUTED_VALUE"""),5.0)</f>
        <v>5</v>
      </c>
      <c r="S62" s="71">
        <f>IFERROR(__xludf.DUMMYFUNCTION("""COMPUTED_VALUE"""),5.0)</f>
        <v>5</v>
      </c>
      <c r="T62" s="71">
        <f>IFERROR(__xludf.DUMMYFUNCTION("""COMPUTED_VALUE"""),4.0)</f>
        <v>4</v>
      </c>
      <c r="U62" s="71">
        <f>IFERROR(__xludf.DUMMYFUNCTION("""COMPUTED_VALUE"""),5.0)</f>
        <v>5</v>
      </c>
      <c r="V62" s="71">
        <f>IFERROR(__xludf.DUMMYFUNCTION("""COMPUTED_VALUE"""),3.0)</f>
        <v>3</v>
      </c>
      <c r="W62" s="71">
        <f>IFERROR(__xludf.DUMMYFUNCTION("""COMPUTED_VALUE"""),3.0)</f>
        <v>3</v>
      </c>
      <c r="X62" s="71" t="str">
        <f>IFERROR(__xludf.DUMMYFUNCTION("""COMPUTED_VALUE"""),"Organizes the plan and keeps the team on task., Researches information and finds answers to questions., Makes sure everyone feels included and helps solve disagreements.")</f>
        <v>Organizes the plan and keeps the team on task., Researches information and finds answers to questions., Makes sure everyone feels included and helps solve disagreements.</v>
      </c>
      <c r="Y62" s="71" t="str">
        <f>IFERROR(__xludf.DUMMYFUNCTION("""COMPUTED_VALUE"""),"Listen to everyone's ideas and try to find a compromise that includes parts of each")</f>
        <v>Listen to everyone's ideas and try to find a compromise that includes parts of each</v>
      </c>
      <c r="Z62" s="71" t="str">
        <f>IFERROR(__xludf.DUMMYFUNCTION("""COMPUTED_VALUE"""),"i need more time before we share ")</f>
        <v>i need more time before we share </v>
      </c>
    </row>
    <row r="63">
      <c r="A63" s="128">
        <f>IFERROR(__xludf.DUMMYFUNCTION("""COMPUTED_VALUE"""),45888.62945208333)</f>
        <v>45888.62945</v>
      </c>
      <c r="B63" s="71" t="str">
        <f>IFERROR(__xludf.DUMMYFUNCTION("""COMPUTED_VALUE"""),"monika.stewart@kairosacademies.org")</f>
        <v>monika.stewart@kairosacademies.org</v>
      </c>
      <c r="C63" s="71" t="str">
        <f>IFERROR(__xludf.DUMMYFUNCTION("""COMPUTED_VALUE"""),"monika stewart")</f>
        <v>monika stewart</v>
      </c>
      <c r="D63" s="71"/>
      <c r="E63" s="71" t="str">
        <f>IFERROR(__xludf.DUMMYFUNCTION("""COMPUTED_VALUE"""),"i have a dog and i love dogs i wish  had a cat but i don't like them  ")</f>
        <v>i have a dog and i love dogs i wish  had a cat but i don't like them  </v>
      </c>
      <c r="F63" s="71" t="str">
        <f>IFERROR(__xludf.DUMMYFUNCTION("""COMPUTED_VALUE"""),"Listening to the teacher explain it")</f>
        <v>Listening to the teacher explain it</v>
      </c>
      <c r="G63" s="71" t="str">
        <f>IFERROR(__xludf.DUMMYFUNCTION("""COMPUTED_VALUE"""),"Review my notes and materials")</f>
        <v>Review my notes and materials</v>
      </c>
      <c r="H63" s="71" t="str">
        <f>IFERROR(__xludf.DUMMYFUNCTION("""COMPUTED_VALUE"""),"How do our bodies get energy from food? (Metabolic Reactions) 🍎")</f>
        <v>How do our bodies get energy from food? (Metabolic Reactions) 🍎</v>
      </c>
      <c r="I63" s="71" t="str">
        <f>IFERROR(__xludf.DUMMYFUNCTION("""COMPUTED_VALUE"""),"i love to hangout with my family and i love to cook and sometimes i play sports or games")</f>
        <v>i love to hangout with my family and i love to cook and sometimes i play sports or games</v>
      </c>
      <c r="J63" s="71" t="str">
        <f>IFERROR(__xludf.DUMMYFUNCTION("""COMPUTED_VALUE"""),"low-key i love to play the game but my mom be like that olny for boys")</f>
        <v>low-key i love to play the game but my mom be like that olny for boys</v>
      </c>
      <c r="K63" s="71">
        <f>IFERROR(__xludf.DUMMYFUNCTION("""COMPUTED_VALUE"""),4.0)</f>
        <v>4</v>
      </c>
      <c r="L63" s="71">
        <f>IFERROR(__xludf.DUMMYFUNCTION("""COMPUTED_VALUE"""),4.0)</f>
        <v>4</v>
      </c>
      <c r="M63" s="71">
        <f>IFERROR(__xludf.DUMMYFUNCTION("""COMPUTED_VALUE"""),2.0)</f>
        <v>2</v>
      </c>
      <c r="N63" s="71">
        <f>IFERROR(__xludf.DUMMYFUNCTION("""COMPUTED_VALUE"""),2.0)</f>
        <v>2</v>
      </c>
      <c r="O63" s="71">
        <f>IFERROR(__xludf.DUMMYFUNCTION("""COMPUTED_VALUE"""),2.0)</f>
        <v>2</v>
      </c>
      <c r="P63" s="71">
        <f>IFERROR(__xludf.DUMMYFUNCTION("""COMPUTED_VALUE"""),3.0)</f>
        <v>3</v>
      </c>
      <c r="Q63" s="71">
        <f>IFERROR(__xludf.DUMMYFUNCTION("""COMPUTED_VALUE"""),3.0)</f>
        <v>3</v>
      </c>
      <c r="R63" s="71">
        <f>IFERROR(__xludf.DUMMYFUNCTION("""COMPUTED_VALUE"""),3.0)</f>
        <v>3</v>
      </c>
      <c r="S63" s="71">
        <f>IFERROR(__xludf.DUMMYFUNCTION("""COMPUTED_VALUE"""),4.0)</f>
        <v>4</v>
      </c>
      <c r="T63" s="71">
        <f>IFERROR(__xludf.DUMMYFUNCTION("""COMPUTED_VALUE"""),4.0)</f>
        <v>4</v>
      </c>
      <c r="U63" s="71">
        <f>IFERROR(__xludf.DUMMYFUNCTION("""COMPUTED_VALUE"""),3.0)</f>
        <v>3</v>
      </c>
      <c r="V63" s="71">
        <f>IFERROR(__xludf.DUMMYFUNCTION("""COMPUTED_VALUE"""),4.0)</f>
        <v>4</v>
      </c>
      <c r="W63" s="71">
        <f>IFERROR(__xludf.DUMMYFUNCTION("""COMPUTED_VALUE"""),4.0)</f>
        <v>4</v>
      </c>
      <c r="X63" s="71" t="str">
        <f>IFERROR(__xludf.DUMMYFUNCTION("""COMPUTED_VALUE"""),"Builds the project or does the hands-on work., Makes sure everyone feels included and helps solve disagreements.")</f>
        <v>Builds the project or does the hands-on work., Makes sure everyone feels included and helps solve disagreements.</v>
      </c>
      <c r="Y63" s="71" t="str">
        <f>IFERROR(__xludf.DUMMYFUNCTION("""COMPUTED_VALUE"""),"Listen to everyone's ideas and try to find a compromise that includes parts of each")</f>
        <v>Listen to everyone's ideas and try to find a compromise that includes parts of each</v>
      </c>
      <c r="Z63" s="71" t="str">
        <f>IFERROR(__xludf.DUMMYFUNCTION("""COMPUTED_VALUE"""),"to have ppl who can help out and do like more work and more things ")</f>
        <v>to have ppl who can help out and do like more work and more things </v>
      </c>
    </row>
    <row r="64">
      <c r="A64" s="128">
        <f>IFERROR(__xludf.DUMMYFUNCTION("""COMPUTED_VALUE"""),45888.61647630787)</f>
        <v>45888.61648</v>
      </c>
      <c r="B64" s="71" t="str">
        <f>IFERROR(__xludf.DUMMYFUNCTION("""COMPUTED_VALUE"""),"jackeydon.boykin@kairosacademies.org")</f>
        <v>jackeydon.boykin@kairosacademies.org</v>
      </c>
      <c r="C64" s="71" t="str">
        <f>IFERROR(__xludf.DUMMYFUNCTION("""COMPUTED_VALUE"""),"jackeydon boykin ")</f>
        <v>jackeydon boykin </v>
      </c>
      <c r="D64" s="71" t="str">
        <f>IFERROR(__xludf.DUMMYFUNCTION("""COMPUTED_VALUE"""),"jay or jack ")</f>
        <v>jay or jack </v>
      </c>
      <c r="E64" s="71" t="str">
        <f>IFERROR(__xludf.DUMMYFUNCTION("""COMPUTED_VALUE"""),"I play basketball i play the vr and i wanna become a nba player
")</f>
        <v>I play basketball i play the vr and i wanna become a nba player
</v>
      </c>
      <c r="F64" s="71" t="str">
        <f>IFERROR(__xludf.DUMMYFUNCTION("""COMPUTED_VALUE"""),"Doing a hands-on lab or experiment, Reading and taking notes, Drawing a model or diagram")</f>
        <v>Doing a hands-on lab or experiment, Reading and taking notes, Drawing a model or diagram</v>
      </c>
      <c r="G64" s="71" t="str">
        <f>IFERROR(__xludf.DUMMYFUNCTION("""COMPUTED_VALUE"""),"Do practice problems or worksheets, Create my own study guide or diagram")</f>
        <v>Do practice problems or worksheets, Create my own study guide or diagram</v>
      </c>
      <c r="H64" s="71" t="str">
        <f>IFERROR(__xludf.DUMMYFUNCTION("""COMPUTED_VALUE"""),"Why do things get damaged when they hit each other? (Contact Forces) 💥, How are we connected to patterns in the sky? (Earth in Space) 🌍, Why are living things different from one another? (Genetics) 🧬")</f>
        <v>Why do things get damaged when they hit each other? (Contact Forces) 💥, How are we connected to patterns in the sky? (Earth in Space) 🌍, Why are living things different from one another? (Genetics) 🧬</v>
      </c>
      <c r="I64" s="71" t="str">
        <f>IFERROR(__xludf.DUMMYFUNCTION("""COMPUTED_VALUE"""),"basketball and gaming ")</f>
        <v>basketball and gaming </v>
      </c>
      <c r="J64" s="71" t="str">
        <f>IFERROR(__xludf.DUMMYFUNCTION("""COMPUTED_VALUE"""),"i can almost get good at anything i do meaning i can adapt fast")</f>
        <v>i can almost get good at anything i do meaning i can adapt fast</v>
      </c>
      <c r="K64" s="71">
        <f>IFERROR(__xludf.DUMMYFUNCTION("""COMPUTED_VALUE"""),5.0)</f>
        <v>5</v>
      </c>
      <c r="L64" s="71">
        <f>IFERROR(__xludf.DUMMYFUNCTION("""COMPUTED_VALUE"""),4.0)</f>
        <v>4</v>
      </c>
      <c r="M64" s="71">
        <f>IFERROR(__xludf.DUMMYFUNCTION("""COMPUTED_VALUE"""),5.0)</f>
        <v>5</v>
      </c>
      <c r="N64" s="71">
        <f>IFERROR(__xludf.DUMMYFUNCTION("""COMPUTED_VALUE"""),3.0)</f>
        <v>3</v>
      </c>
      <c r="O64" s="71">
        <f>IFERROR(__xludf.DUMMYFUNCTION("""COMPUTED_VALUE"""),5.0)</f>
        <v>5</v>
      </c>
      <c r="P64" s="71">
        <f>IFERROR(__xludf.DUMMYFUNCTION("""COMPUTED_VALUE"""),5.0)</f>
        <v>5</v>
      </c>
      <c r="Q64" s="71">
        <f>IFERROR(__xludf.DUMMYFUNCTION("""COMPUTED_VALUE"""),5.0)</f>
        <v>5</v>
      </c>
      <c r="R64" s="71">
        <f>IFERROR(__xludf.DUMMYFUNCTION("""COMPUTED_VALUE"""),5.0)</f>
        <v>5</v>
      </c>
      <c r="S64" s="71">
        <f>IFERROR(__xludf.DUMMYFUNCTION("""COMPUTED_VALUE"""),4.0)</f>
        <v>4</v>
      </c>
      <c r="T64" s="71">
        <f>IFERROR(__xludf.DUMMYFUNCTION("""COMPUTED_VALUE"""),5.0)</f>
        <v>5</v>
      </c>
      <c r="U64" s="71">
        <f>IFERROR(__xludf.DUMMYFUNCTION("""COMPUTED_VALUE"""),5.0)</f>
        <v>5</v>
      </c>
      <c r="V64" s="71">
        <f>IFERROR(__xludf.DUMMYFUNCTION("""COMPUTED_VALUE"""),5.0)</f>
        <v>5</v>
      </c>
      <c r="W64" s="71">
        <f>IFERROR(__xludf.DUMMYFUNCTION("""COMPUTED_VALUE"""),3.0)</f>
        <v>3</v>
      </c>
      <c r="X64" s="71" t="str">
        <f>IFERROR(__xludf.DUMMYFUNCTION("""COMPUTED_VALUE"""),"Organizes the plan and keeps the team on task., Researches information and finds answers to questions., Builds the project or does the hands-on work., Takes notes, writes, and prepares the final presentation., i usually work by myself during projects")</f>
        <v>Organizes the plan and keeps the team on task., Researches information and finds answers to questions., Builds the project or does the hands-on work., Takes notes, writes, and prepares the final presentation., i usually work by myself during projects</v>
      </c>
      <c r="Y64" s="71" t="str">
        <f>IFERROR(__xludf.DUMMYFUNCTION("""COMPUTED_VALUE"""),"Listen to everyone's ideas and try to find a compromise that includes parts of each")</f>
        <v>Listen to everyone's ideas and try to find a compromise that includes parts of each</v>
      </c>
      <c r="Z64" s="71" t="str">
        <f>IFERROR(__xludf.DUMMYFUNCTION("""COMPUTED_VALUE"""),"i like when people come to me and asks if this is good and if not i would help them get the right design")</f>
        <v>i like when people come to me and asks if this is good and if not i would help them get the right design</v>
      </c>
    </row>
    <row r="65">
      <c r="A65" s="128">
        <f>IFERROR(__xludf.DUMMYFUNCTION("""COMPUTED_VALUE"""),45888.61773512732)</f>
        <v>45888.61774</v>
      </c>
      <c r="B65" s="71" t="str">
        <f>IFERROR(__xludf.DUMMYFUNCTION("""COMPUTED_VALUE"""),"sollal.punch@kairosacademies.org")</f>
        <v>sollal.punch@kairosacademies.org</v>
      </c>
      <c r="C65" s="71" t="str">
        <f>IFERROR(__xludf.DUMMYFUNCTION("""COMPUTED_VALUE"""),"Sollal Braxton Punch")</f>
        <v>Sollal Braxton Punch</v>
      </c>
      <c r="D65" s="71" t="str">
        <f>IFERROR(__xludf.DUMMYFUNCTION("""COMPUTED_VALUE"""),"Sollal")</f>
        <v>Sollal</v>
      </c>
      <c r="E65" s="71" t="str">
        <f>IFERROR(__xludf.DUMMYFUNCTION("""COMPUTED_VALUE"""),"My favorite vehicle is trains. I'm VERY allergic to bananas. I hope I'll get good grades.")</f>
        <v>My favorite vehicle is trains. I'm VERY allergic to bananas. I hope I'll get good grades.</v>
      </c>
      <c r="F65" s="71" t="str">
        <f>IFERROR(__xludf.DUMMYFUNCTION("""COMPUTED_VALUE"""),"Watching a video or live demonstration, Reading and taking notes, Listening to the teacher explain it")</f>
        <v>Watching a video or live demonstration, Reading and taking notes, Listening to the teacher explain it</v>
      </c>
      <c r="G65" s="71" t="str">
        <f>IFERROR(__xludf.DUMMYFUNCTION("""COMPUTED_VALUE"""),"Review my notes and materials, Make and study flashcards")</f>
        <v>Review my notes and materials, Make and study flashcards</v>
      </c>
      <c r="H65" s="71" t="str">
        <f>IFERROR(__xludf.DUMMYFUNCTION("""COMPUTED_VALUE"""),"How can we make new materials? (Chemical Reactions) ⚗️, How does changing an ecosystem affect what lives there? (Ecosystem Dynamics) 🌿, Why are living things different from one another? (Genetics) 🧬")</f>
        <v>How can we make new materials? (Chemical Reactions) ⚗️, How does changing an ecosystem affect what lives there? (Ecosystem Dynamics) 🌿, Why are living things different from one another? (Genetics) 🧬</v>
      </c>
      <c r="I65" s="71" t="str">
        <f>IFERROR(__xludf.DUMMYFUNCTION("""COMPUTED_VALUE"""),"Gaming, sports, and art")</f>
        <v>Gaming, sports, and art</v>
      </c>
      <c r="J65" s="71" t="str">
        <f>IFERROR(__xludf.DUMMYFUNCTION("""COMPUTED_VALUE"""),"I'm great at coding.")</f>
        <v>I'm great at coding.</v>
      </c>
      <c r="K65" s="71">
        <f>IFERROR(__xludf.DUMMYFUNCTION("""COMPUTED_VALUE"""),5.0)</f>
        <v>5</v>
      </c>
      <c r="L65" s="71">
        <f>IFERROR(__xludf.DUMMYFUNCTION("""COMPUTED_VALUE"""),4.0)</f>
        <v>4</v>
      </c>
      <c r="M65" s="71">
        <f>IFERROR(__xludf.DUMMYFUNCTION("""COMPUTED_VALUE"""),5.0)</f>
        <v>5</v>
      </c>
      <c r="N65" s="71">
        <f>IFERROR(__xludf.DUMMYFUNCTION("""COMPUTED_VALUE"""),3.0)</f>
        <v>3</v>
      </c>
      <c r="O65" s="71">
        <f>IFERROR(__xludf.DUMMYFUNCTION("""COMPUTED_VALUE"""),4.0)</f>
        <v>4</v>
      </c>
      <c r="P65" s="71">
        <f>IFERROR(__xludf.DUMMYFUNCTION("""COMPUTED_VALUE"""),5.0)</f>
        <v>5</v>
      </c>
      <c r="Q65" s="71">
        <f>IFERROR(__xludf.DUMMYFUNCTION("""COMPUTED_VALUE"""),5.0)</f>
        <v>5</v>
      </c>
      <c r="R65" s="71">
        <f>IFERROR(__xludf.DUMMYFUNCTION("""COMPUTED_VALUE"""),4.0)</f>
        <v>4</v>
      </c>
      <c r="S65" s="71">
        <f>IFERROR(__xludf.DUMMYFUNCTION("""COMPUTED_VALUE"""),5.0)</f>
        <v>5</v>
      </c>
      <c r="T65" s="71">
        <f>IFERROR(__xludf.DUMMYFUNCTION("""COMPUTED_VALUE"""),5.0)</f>
        <v>5</v>
      </c>
      <c r="U65" s="71">
        <f>IFERROR(__xludf.DUMMYFUNCTION("""COMPUTED_VALUE"""),5.0)</f>
        <v>5</v>
      </c>
      <c r="V65" s="71">
        <f>IFERROR(__xludf.DUMMYFUNCTION("""COMPUTED_VALUE"""),5.0)</f>
        <v>5</v>
      </c>
      <c r="W65" s="71">
        <f>IFERROR(__xludf.DUMMYFUNCTION("""COMPUTED_VALUE"""),5.0)</f>
        <v>5</v>
      </c>
      <c r="X65" s="71" t="str">
        <f>IFERROR(__xludf.DUMMYFUNCTION("""COMPUTED_VALUE"""),"Organizes the plan and keeps the team on task., Helps me build the project.")</f>
        <v>Organizes the plan and keeps the team on task., Helps me build the project.</v>
      </c>
      <c r="Y65" s="71" t="str">
        <f>IFERROR(__xludf.DUMMYFUNCTION("""COMPUTED_VALUE"""),"Listen to everyone's ideas and try to find a compromise that includes parts of each")</f>
        <v>Listen to everyone's ideas and try to find a compromise that includes parts of each</v>
      </c>
      <c r="Z65" s="71" t="str">
        <f>IFERROR(__xludf.DUMMYFUNCTION("""COMPUTED_VALUE"""),"I like when people ask me questions, but I also need time to think before I share.")</f>
        <v>I like when people ask me questions, but I also need time to think before I share.</v>
      </c>
    </row>
    <row r="66">
      <c r="A66" s="128">
        <f>IFERROR(__xludf.DUMMYFUNCTION("""COMPUTED_VALUE"""),45888.61815126157)</f>
        <v>45888.61815</v>
      </c>
      <c r="B66" s="71" t="str">
        <f>IFERROR(__xludf.DUMMYFUNCTION("""COMPUTED_VALUE"""),"taylor.horton@kairosacademies.org")</f>
        <v>taylor.horton@kairosacademies.org</v>
      </c>
      <c r="C66" s="71" t="str">
        <f>IFERROR(__xludf.DUMMYFUNCTION("""COMPUTED_VALUE"""),"Taylor Horton")</f>
        <v>Taylor Horton</v>
      </c>
      <c r="D66" s="71"/>
      <c r="E66" s="71" t="str">
        <f>IFERROR(__xludf.DUMMYFUNCTION("""COMPUTED_VALUE"""),"my favorite color is green i wish to know how gravity works and im the second oldest in my family")</f>
        <v>my favorite color is green i wish to know how gravity works and im the second oldest in my family</v>
      </c>
      <c r="F66" s="71" t="str">
        <f>IFERROR(__xludf.DUMMYFUNCTION("""COMPUTED_VALUE"""),"Doing a hands-on lab or experiment, Drawing a model or diagram, Listening to the teacher explain it")</f>
        <v>Doing a hands-on lab or experiment, Drawing a model or diagram, Listening to the teacher explain it</v>
      </c>
      <c r="G66" s="71" t="str">
        <f>IFERROR(__xludf.DUMMYFUNCTION("""COMPUTED_VALUE"""),"Review my notes and materials, Make and study flashcards, Do practice problems or worksheets")</f>
        <v>Review my notes and materials, Make and study flashcards, Do practice problems or worksheets</v>
      </c>
      <c r="H66" s="71" t="str">
        <f>IFERROR(__xludf.DUMMYFUNCTION("""COMPUTED_VALUE"""),"How do our bodies get energy from food? (Metabolic Reactions) 🍎, How does changing an ecosystem affect what lives there? (Ecosystem Dynamics) 🌿, How can a magnet move something without touching it? (Forces at a Distance) 🧲, Why are living things differ"&amp;"ent from one another? (Genetics) 🧬")</f>
        <v>How do our bodies get energy from food? (Metabolic Reactions) 🍎, How does changing an ecosystem affect what lives there? (Ecosystem Dynamics) 🌿, How can a magnet move something without touching it? (Forces at a Distance) 🧲, Why are living things different from one another? (Genetics) 🧬</v>
      </c>
      <c r="I66" s="71" t="str">
        <f>IFERROR(__xludf.DUMMYFUNCTION("""COMPUTED_VALUE"""),"i like cooking and gaming")</f>
        <v>i like cooking and gaming</v>
      </c>
      <c r="J66" s="71" t="str">
        <f>IFERROR(__xludf.DUMMYFUNCTION("""COMPUTED_VALUE"""),"im great at gaming strategies ")</f>
        <v>im great at gaming strategies </v>
      </c>
      <c r="K66" s="71">
        <f>IFERROR(__xludf.DUMMYFUNCTION("""COMPUTED_VALUE"""),3.0)</f>
        <v>3</v>
      </c>
      <c r="L66" s="71">
        <f>IFERROR(__xludf.DUMMYFUNCTION("""COMPUTED_VALUE"""),4.0)</f>
        <v>4</v>
      </c>
      <c r="M66" s="71">
        <f>IFERROR(__xludf.DUMMYFUNCTION("""COMPUTED_VALUE"""),2.0)</f>
        <v>2</v>
      </c>
      <c r="N66" s="71">
        <f>IFERROR(__xludf.DUMMYFUNCTION("""COMPUTED_VALUE"""),3.0)</f>
        <v>3</v>
      </c>
      <c r="O66" s="71">
        <f>IFERROR(__xludf.DUMMYFUNCTION("""COMPUTED_VALUE"""),4.0)</f>
        <v>4</v>
      </c>
      <c r="P66" s="71">
        <f>IFERROR(__xludf.DUMMYFUNCTION("""COMPUTED_VALUE"""),3.0)</f>
        <v>3</v>
      </c>
      <c r="Q66" s="71">
        <f>IFERROR(__xludf.DUMMYFUNCTION("""COMPUTED_VALUE"""),4.0)</f>
        <v>4</v>
      </c>
      <c r="R66" s="71">
        <f>IFERROR(__xludf.DUMMYFUNCTION("""COMPUTED_VALUE"""),3.0)</f>
        <v>3</v>
      </c>
      <c r="S66" s="71">
        <f>IFERROR(__xludf.DUMMYFUNCTION("""COMPUTED_VALUE"""),4.0)</f>
        <v>4</v>
      </c>
      <c r="T66" s="71">
        <f>IFERROR(__xludf.DUMMYFUNCTION("""COMPUTED_VALUE"""),4.0)</f>
        <v>4</v>
      </c>
      <c r="U66" s="71">
        <f>IFERROR(__xludf.DUMMYFUNCTION("""COMPUTED_VALUE"""),3.0)</f>
        <v>3</v>
      </c>
      <c r="V66" s="71">
        <f>IFERROR(__xludf.DUMMYFUNCTION("""COMPUTED_VALUE"""),3.0)</f>
        <v>3</v>
      </c>
      <c r="W66" s="71">
        <f>IFERROR(__xludf.DUMMYFUNCTION("""COMPUTED_VALUE"""),3.0)</f>
        <v>3</v>
      </c>
      <c r="X66" s="71" t="str">
        <f>IFERROR(__xludf.DUMMYFUNCTION("""COMPUTED_VALUE"""),"Organizes the plan and keeps the team on task., Builds the project or does the hands-on work., Makes sure everyone feels included and helps solve disagreements.")</f>
        <v>Organizes the plan and keeps the team on task., Builds the project or does the hands-on work., Makes sure everyone feels included and helps solve disagreements.</v>
      </c>
      <c r="Y66" s="71" t="str">
        <f>IFERROR(__xludf.DUMMYFUNCTION("""COMPUTED_VALUE"""),"Listen to everyone's ideas and try to find a compromise that includes parts of each")</f>
        <v>Listen to everyone's ideas and try to find a compromise that includes parts of each</v>
      </c>
      <c r="Z66" s="71" t="str">
        <f>IFERROR(__xludf.DUMMYFUNCTION("""COMPUTED_VALUE"""),"i need time to think before I share")</f>
        <v>i need time to think before I share</v>
      </c>
    </row>
    <row r="67">
      <c r="A67" s="128">
        <f>IFERROR(__xludf.DUMMYFUNCTION("""COMPUTED_VALUE"""),45888.62919626158)</f>
        <v>45888.6292</v>
      </c>
      <c r="B67" s="71" t="str">
        <f>IFERROR(__xludf.DUMMYFUNCTION("""COMPUTED_VALUE"""),"jade.howard@kairosacademies.org")</f>
        <v>jade.howard@kairosacademies.org</v>
      </c>
      <c r="C67" s="71" t="str">
        <f>IFERROR(__xludf.DUMMYFUNCTION("""COMPUTED_VALUE"""),"Jade Howard")</f>
        <v>Jade Howard</v>
      </c>
      <c r="D67" s="71" t="str">
        <f>IFERROR(__xludf.DUMMYFUNCTION("""COMPUTED_VALUE"""),"Jade")</f>
        <v>Jade</v>
      </c>
      <c r="E67" s="71" t="str">
        <f>IFERROR(__xludf.DUMMYFUNCTION("""COMPUTED_VALUE"""),"My birthday is November 18th, my favorite color is purple, and i wish to end the year with all A's.")</f>
        <v>My birthday is November 18th, my favorite color is purple, and i wish to end the year with all A's.</v>
      </c>
      <c r="F67" s="71" t="str">
        <f>IFERROR(__xludf.DUMMYFUNCTION("""COMPUTED_VALUE"""),"Doing a hands-on lab or experiment, Reading and taking notes, Listening to the teacher explain it")</f>
        <v>Doing a hands-on lab or experiment, Reading and taking notes, Listening to the teacher explain it</v>
      </c>
      <c r="G67" s="71" t="str">
        <f>IFERROR(__xludf.DUMMYFUNCTION("""COMPUTED_VALUE"""),"Review my notes and materials, Do practice problems or worksheets, Create my own study guide or diagram")</f>
        <v>Review my notes and materials, Do practice problems or worksheets, Create my own study guide or diagram</v>
      </c>
      <c r="H67" s="71" t="str">
        <f>IFERROR(__xludf.DUMMYFUNCTION("""COMPUTED_VALUE"""),"How can we make new materials? (Chemical Reactions) ⚗️, How do our bodies get energy from food? (Metabolic Reactions) 🍎, Why are living things different from one another? (Genetics) 🧬")</f>
        <v>How can we make new materials? (Chemical Reactions) ⚗️, How do our bodies get energy from food? (Metabolic Reactions) 🍎, Why are living things different from one another? (Genetics) 🧬</v>
      </c>
      <c r="I67" s="71" t="str">
        <f>IFERROR(__xludf.DUMMYFUNCTION("""COMPUTED_VALUE"""),"I like to dance.")</f>
        <v>I like to dance.</v>
      </c>
      <c r="J67" s="71" t="str">
        <f>IFERROR(__xludf.DUMMYFUNCTION("""COMPUTED_VALUE"""),"Im good at baking.")</f>
        <v>Im good at baking.</v>
      </c>
      <c r="K67" s="71">
        <f>IFERROR(__xludf.DUMMYFUNCTION("""COMPUTED_VALUE"""),5.0)</f>
        <v>5</v>
      </c>
      <c r="L67" s="71">
        <f>IFERROR(__xludf.DUMMYFUNCTION("""COMPUTED_VALUE"""),5.0)</f>
        <v>5</v>
      </c>
      <c r="M67" s="71">
        <f>IFERROR(__xludf.DUMMYFUNCTION("""COMPUTED_VALUE"""),4.0)</f>
        <v>4</v>
      </c>
      <c r="N67" s="71">
        <f>IFERROR(__xludf.DUMMYFUNCTION("""COMPUTED_VALUE"""),4.0)</f>
        <v>4</v>
      </c>
      <c r="O67" s="71">
        <f>IFERROR(__xludf.DUMMYFUNCTION("""COMPUTED_VALUE"""),4.0)</f>
        <v>4</v>
      </c>
      <c r="P67" s="71">
        <f>IFERROR(__xludf.DUMMYFUNCTION("""COMPUTED_VALUE"""),5.0)</f>
        <v>5</v>
      </c>
      <c r="Q67" s="71">
        <f>IFERROR(__xludf.DUMMYFUNCTION("""COMPUTED_VALUE"""),4.0)</f>
        <v>4</v>
      </c>
      <c r="R67" s="71">
        <f>IFERROR(__xludf.DUMMYFUNCTION("""COMPUTED_VALUE"""),4.0)</f>
        <v>4</v>
      </c>
      <c r="S67" s="71">
        <f>IFERROR(__xludf.DUMMYFUNCTION("""COMPUTED_VALUE"""),5.0)</f>
        <v>5</v>
      </c>
      <c r="T67" s="71">
        <f>IFERROR(__xludf.DUMMYFUNCTION("""COMPUTED_VALUE"""),4.0)</f>
        <v>4</v>
      </c>
      <c r="U67" s="71">
        <f>IFERROR(__xludf.DUMMYFUNCTION("""COMPUTED_VALUE"""),4.0)</f>
        <v>4</v>
      </c>
      <c r="V67" s="71">
        <f>IFERROR(__xludf.DUMMYFUNCTION("""COMPUTED_VALUE"""),5.0)</f>
        <v>5</v>
      </c>
      <c r="W67" s="71">
        <f>IFERROR(__xludf.DUMMYFUNCTION("""COMPUTED_VALUE"""),3.0)</f>
        <v>3</v>
      </c>
      <c r="X67" s="71" t="str">
        <f>IFERROR(__xludf.DUMMYFUNCTION("""COMPUTED_VALUE"""),"Makes sure everyone feels included and helps solve disagreements.")</f>
        <v>Makes sure everyone feels included and helps solve disagreements.</v>
      </c>
      <c r="Y67" s="71" t="str">
        <f>IFERROR(__xludf.DUMMYFUNCTION("""COMPUTED_VALUE"""),"Listen to everyone's ideas and try to find a compromise that includes parts of each")</f>
        <v>Listen to everyone's ideas and try to find a compromise that includes parts of each</v>
      </c>
      <c r="Z67" s="71" t="str">
        <f>IFERROR(__xludf.DUMMYFUNCTION("""COMPUTED_VALUE"""),"I prefer for people to ask me questions.
 ")</f>
        <v>I prefer for people to ask me questions.
 </v>
      </c>
    </row>
    <row r="68">
      <c r="A68" s="128">
        <f>IFERROR(__xludf.DUMMYFUNCTION("""COMPUTED_VALUE"""),45888.62053865741)</f>
        <v>45888.62054</v>
      </c>
      <c r="B68" s="71" t="str">
        <f>IFERROR(__xludf.DUMMYFUNCTION("""COMPUTED_VALUE"""),"caylin.brown@kairosacademies.org")</f>
        <v>caylin.brown@kairosacademies.org</v>
      </c>
      <c r="C68" s="71" t="str">
        <f>IFERROR(__xludf.DUMMYFUNCTION("""COMPUTED_VALUE"""),"caylin brown")</f>
        <v>caylin brown</v>
      </c>
      <c r="D68" s="71" t="str">
        <f>IFERROR(__xludf.DUMMYFUNCTION("""COMPUTED_VALUE"""),"cay ")</f>
        <v>cay </v>
      </c>
      <c r="E68" s="71" t="str">
        <f>IFERROR(__xludf.DUMMYFUNCTION("""COMPUTED_VALUE"""),"my birthday is in december, i have a brother, i wish i can telaoport")</f>
        <v>my birthday is in december, i have a brother, i wish i can telaoport</v>
      </c>
      <c r="F68" s="71" t="str">
        <f>IFERROR(__xludf.DUMMYFUNCTION("""COMPUTED_VALUE"""),"Watching a video or live demonstration, Discussing ideas with a small group")</f>
        <v>Watching a video or live demonstration, Discussing ideas with a small group</v>
      </c>
      <c r="G68" s="71" t="str">
        <f>IFERROR(__xludf.DUMMYFUNCTION("""COMPUTED_VALUE"""),"Review my notes and materials")</f>
        <v>Review my notes and materials</v>
      </c>
      <c r="H68" s="71" t="str">
        <f>IFERROR(__xludf.DUMMYFUNCTION("""COMPUTED_VALUE"""),"How can we make new materials? (Chemical Reactions) ⚗️, How does changing an ecosystem affect what lives there? (Ecosystem Dynamics) 🌿, Why do things get damaged when they hit each other? (Contact Forces) 💥")</f>
        <v>How can we make new materials? (Chemical Reactions) ⚗️, How does changing an ecosystem affect what lives there? (Ecosystem Dynamics) 🌿, Why do things get damaged when they hit each other? (Contact Forces) 💥</v>
      </c>
      <c r="I68" s="71" t="str">
        <f>IFERROR(__xludf.DUMMYFUNCTION("""COMPUTED_VALUE"""),"sleeping baking and eaing")</f>
        <v>sleeping baking and eaing</v>
      </c>
      <c r="J68" s="71" t="str">
        <f>IFERROR(__xludf.DUMMYFUNCTION("""COMPUTED_VALUE"""),"idk i dont really have one")</f>
        <v>idk i dont really have one</v>
      </c>
      <c r="K68" s="71">
        <f>IFERROR(__xludf.DUMMYFUNCTION("""COMPUTED_VALUE"""),3.0)</f>
        <v>3</v>
      </c>
      <c r="L68" s="71">
        <f>IFERROR(__xludf.DUMMYFUNCTION("""COMPUTED_VALUE"""),4.0)</f>
        <v>4</v>
      </c>
      <c r="M68" s="71">
        <f>IFERROR(__xludf.DUMMYFUNCTION("""COMPUTED_VALUE"""),3.0)</f>
        <v>3</v>
      </c>
      <c r="N68" s="71">
        <f>IFERROR(__xludf.DUMMYFUNCTION("""COMPUTED_VALUE"""),2.0)</f>
        <v>2</v>
      </c>
      <c r="O68" s="71">
        <f>IFERROR(__xludf.DUMMYFUNCTION("""COMPUTED_VALUE"""),5.0)</f>
        <v>5</v>
      </c>
      <c r="P68" s="71">
        <f>IFERROR(__xludf.DUMMYFUNCTION("""COMPUTED_VALUE"""),4.0)</f>
        <v>4</v>
      </c>
      <c r="Q68" s="71">
        <f>IFERROR(__xludf.DUMMYFUNCTION("""COMPUTED_VALUE"""),3.0)</f>
        <v>3</v>
      </c>
      <c r="R68" s="71">
        <f>IFERROR(__xludf.DUMMYFUNCTION("""COMPUTED_VALUE"""),4.0)</f>
        <v>4</v>
      </c>
      <c r="S68" s="71">
        <f>IFERROR(__xludf.DUMMYFUNCTION("""COMPUTED_VALUE"""),3.0)</f>
        <v>3</v>
      </c>
      <c r="T68" s="71">
        <f>IFERROR(__xludf.DUMMYFUNCTION("""COMPUTED_VALUE"""),2.0)</f>
        <v>2</v>
      </c>
      <c r="U68" s="71">
        <f>IFERROR(__xludf.DUMMYFUNCTION("""COMPUTED_VALUE"""),3.0)</f>
        <v>3</v>
      </c>
      <c r="V68" s="71">
        <f>IFERROR(__xludf.DUMMYFUNCTION("""COMPUTED_VALUE"""),2.0)</f>
        <v>2</v>
      </c>
      <c r="W68" s="71">
        <f>IFERROR(__xludf.DUMMYFUNCTION("""COMPUTED_VALUE"""),3.0)</f>
        <v>3</v>
      </c>
      <c r="X68" s="71" t="str">
        <f>IFERROR(__xludf.DUMMYFUNCTION("""COMPUTED_VALUE"""),"Builds the project or does the hands-on work., Takes notes, writes, and prepares the final presentation.")</f>
        <v>Builds the project or does the hands-on work., Takes notes, writes, and prepares the final presentation.</v>
      </c>
      <c r="Y68" s="71" t="str">
        <f>IFERROR(__xludf.DUMMYFUNCTION("""COMPUTED_VALUE"""),"Try to convince everyone that my idea is the best one")</f>
        <v>Try to convince everyone that my idea is the best one</v>
      </c>
      <c r="Z68" s="71" t="str">
        <f>IFERROR(__xludf.DUMMYFUNCTION("""COMPUTED_VALUE"""),"what makes me feel comfortable in sharing ideas in a team is puttin ideas together")</f>
        <v>what makes me feel comfortable in sharing ideas in a team is puttin ideas together</v>
      </c>
    </row>
    <row r="69">
      <c r="A69" s="128">
        <f>IFERROR(__xludf.DUMMYFUNCTION("""COMPUTED_VALUE"""),45888.621015462966)</f>
        <v>45888.62102</v>
      </c>
      <c r="B69" s="71" t="str">
        <f>IFERROR(__xludf.DUMMYFUNCTION("""COMPUTED_VALUE"""),"jakiyyah.draper@kairosacademies.org")</f>
        <v>jakiyyah.draper@kairosacademies.org</v>
      </c>
      <c r="C69" s="71" t="str">
        <f>IFERROR(__xludf.DUMMYFUNCTION("""COMPUTED_VALUE"""),"jakiyyah,draper")</f>
        <v>jakiyyah,draper</v>
      </c>
      <c r="D69" s="71" t="str">
        <f>IFERROR(__xludf.DUMMYFUNCTION("""COMPUTED_VALUE"""),"JD")</f>
        <v>JD</v>
      </c>
      <c r="E69" s="71" t="str">
        <f>IFERROR(__xludf.DUMMYFUNCTION("""COMPUTED_VALUE"""),"i have 2 dog and i'm don't like them")</f>
        <v>i have 2 dog and i'm don't like them</v>
      </c>
      <c r="F69" s="71" t="str">
        <f>IFERROR(__xludf.DUMMYFUNCTION("""COMPUTED_VALUE"""),"Watching a video or live demonstration")</f>
        <v>Watching a video or live demonstration</v>
      </c>
      <c r="G69" s="71" t="str">
        <f>IFERROR(__xludf.DUMMYFUNCTION("""COMPUTED_VALUE"""),"Explain the concept out loud to someone else")</f>
        <v>Explain the concept out loud to someone else</v>
      </c>
      <c r="H69" s="71" t="str">
        <f>IFERROR(__xludf.DUMMYFUNCTION("""COMPUTED_VALUE"""),"How do our bodies get energy from food? (Metabolic Reactions) 🍎")</f>
        <v>How do our bodies get energy from food? (Metabolic Reactions) 🍎</v>
      </c>
      <c r="I69" s="71" t="str">
        <f>IFERROR(__xludf.DUMMYFUNCTION("""COMPUTED_VALUE"""),"i like to play footdall")</f>
        <v>i like to play footdall</v>
      </c>
      <c r="J69" s="71" t="str">
        <f>IFERROR(__xludf.DUMMYFUNCTION("""COMPUTED_VALUE"""),"i dont for real")</f>
        <v>i dont for real</v>
      </c>
      <c r="K69" s="71">
        <f>IFERROR(__xludf.DUMMYFUNCTION("""COMPUTED_VALUE"""),2.0)</f>
        <v>2</v>
      </c>
      <c r="L69" s="71">
        <f>IFERROR(__xludf.DUMMYFUNCTION("""COMPUTED_VALUE"""),3.0)</f>
        <v>3</v>
      </c>
      <c r="M69" s="71">
        <f>IFERROR(__xludf.DUMMYFUNCTION("""COMPUTED_VALUE"""),4.0)</f>
        <v>4</v>
      </c>
      <c r="N69" s="71">
        <f>IFERROR(__xludf.DUMMYFUNCTION("""COMPUTED_VALUE"""),1.0)</f>
        <v>1</v>
      </c>
      <c r="O69" s="71">
        <f>IFERROR(__xludf.DUMMYFUNCTION("""COMPUTED_VALUE"""),4.0)</f>
        <v>4</v>
      </c>
      <c r="P69" s="71">
        <f>IFERROR(__xludf.DUMMYFUNCTION("""COMPUTED_VALUE"""),3.0)</f>
        <v>3</v>
      </c>
      <c r="Q69" s="71">
        <f>IFERROR(__xludf.DUMMYFUNCTION("""COMPUTED_VALUE"""),4.0)</f>
        <v>4</v>
      </c>
      <c r="R69" s="71">
        <f>IFERROR(__xludf.DUMMYFUNCTION("""COMPUTED_VALUE"""),3.0)</f>
        <v>3</v>
      </c>
      <c r="S69" s="71">
        <f>IFERROR(__xludf.DUMMYFUNCTION("""COMPUTED_VALUE"""),4.0)</f>
        <v>4</v>
      </c>
      <c r="T69" s="71">
        <f>IFERROR(__xludf.DUMMYFUNCTION("""COMPUTED_VALUE"""),4.0)</f>
        <v>4</v>
      </c>
      <c r="U69" s="71">
        <f>IFERROR(__xludf.DUMMYFUNCTION("""COMPUTED_VALUE"""),4.0)</f>
        <v>4</v>
      </c>
      <c r="V69" s="71">
        <f>IFERROR(__xludf.DUMMYFUNCTION("""COMPUTED_VALUE"""),3.0)</f>
        <v>3</v>
      </c>
      <c r="W69" s="71">
        <f>IFERROR(__xludf.DUMMYFUNCTION("""COMPUTED_VALUE"""),3.0)</f>
        <v>3</v>
      </c>
      <c r="X69" s="71" t="str">
        <f>IFERROR(__xludf.DUMMYFUNCTION("""COMPUTED_VALUE"""),"Researches information and finds answers to questions.")</f>
        <v>Researches information and finds answers to questions.</v>
      </c>
      <c r="Y69" s="71" t="str">
        <f>IFERROR(__xludf.DUMMYFUNCTION("""COMPUTED_VALUE"""),"Listen to everyone's ideas and try to find a compromise that includes parts of each")</f>
        <v>Listen to everyone's ideas and try to find a compromise that includes parts of each</v>
      </c>
      <c r="Z69" s="71" t="str">
        <f>IFERROR(__xludf.DUMMYFUNCTION("""COMPUTED_VALUE"""),"i dont knoe frl")</f>
        <v>i dont knoe frl</v>
      </c>
    </row>
    <row r="70">
      <c r="A70" s="128">
        <f>IFERROR(__xludf.DUMMYFUNCTION("""COMPUTED_VALUE"""),45888.62137060185)</f>
        <v>45888.62137</v>
      </c>
      <c r="B70" s="71" t="str">
        <f>IFERROR(__xludf.DUMMYFUNCTION("""COMPUTED_VALUE"""),"brandon.reynolds@kairosacademies.org")</f>
        <v>brandon.reynolds@kairosacademies.org</v>
      </c>
      <c r="C70" s="71" t="str">
        <f>IFERROR(__xludf.DUMMYFUNCTION("""COMPUTED_VALUE"""),"Brandon Reynolds ")</f>
        <v>Brandon Reynolds </v>
      </c>
      <c r="D70" s="71" t="str">
        <f>IFERROR(__xludf.DUMMYFUNCTION("""COMPUTED_VALUE"""),"Brandon")</f>
        <v>Brandon</v>
      </c>
      <c r="E70" s="71" t="str">
        <f>IFERROR(__xludf.DUMMYFUNCTION("""COMPUTED_VALUE"""),"My favortie color is blue, My favortie thing to do is to be on my phone and i wish to know how humans impact the world in both positive and negative.")</f>
        <v>My favortie color is blue, My favortie thing to do is to be on my phone and i wish to know how humans impact the world in both positive and negative.</v>
      </c>
      <c r="F70" s="71" t="str">
        <f>IFERROR(__xludf.DUMMYFUNCTION("""COMPUTED_VALUE"""),"Watching a video or live demonstration, Discussing ideas with a small group, Listening to the teacher explain it")</f>
        <v>Watching a video or live demonstration, Discussing ideas with a small group, Listening to the teacher explain it</v>
      </c>
      <c r="G70" s="71" t="str">
        <f>IFERROR(__xludf.DUMMYFUNCTION("""COMPUTED_VALUE"""),"Review my notes and materials, Make and study flashcards, Explain the concept out loud to someone else, Create my own study guide or diagram")</f>
        <v>Review my notes and materials, Make and study flashcards, Explain the concept out loud to someone else, Create my own study guide or diagram</v>
      </c>
      <c r="H70" s="71" t="str">
        <f>IFERROR(__xludf.DUMMYFUNCTION("""COMPUTED_VALUE"""),"How can we make new materials? (Chemical Reactions) ⚗️, How are we connected to patterns in the sky? (Earth in Space) 🌍, Why are living things different from one another? (Genetics) 🧬")</f>
        <v>How can we make new materials? (Chemical Reactions) ⚗️, How are we connected to patterns in the sky? (Earth in Space) 🌍, Why are living things different from one another? (Genetics) 🧬</v>
      </c>
      <c r="I70" s="71" t="str">
        <f>IFERROR(__xludf.DUMMYFUNCTION("""COMPUTED_VALUE"""),"Chilling and reading and being on my phone.")</f>
        <v>Chilling and reading and being on my phone.</v>
      </c>
      <c r="J70" s="71" t="str">
        <f>IFERROR(__xludf.DUMMYFUNCTION("""COMPUTED_VALUE"""),"I'm good at gaming on my phone.")</f>
        <v>I'm good at gaming on my phone.</v>
      </c>
      <c r="K70" s="71">
        <f>IFERROR(__xludf.DUMMYFUNCTION("""COMPUTED_VALUE"""),4.0)</f>
        <v>4</v>
      </c>
      <c r="L70" s="71">
        <f>IFERROR(__xludf.DUMMYFUNCTION("""COMPUTED_VALUE"""),5.0)</f>
        <v>5</v>
      </c>
      <c r="M70" s="71">
        <f>IFERROR(__xludf.DUMMYFUNCTION("""COMPUTED_VALUE"""),5.0)</f>
        <v>5</v>
      </c>
      <c r="N70" s="71">
        <f>IFERROR(__xludf.DUMMYFUNCTION("""COMPUTED_VALUE"""),3.0)</f>
        <v>3</v>
      </c>
      <c r="O70" s="71">
        <f>IFERROR(__xludf.DUMMYFUNCTION("""COMPUTED_VALUE"""),4.0)</f>
        <v>4</v>
      </c>
      <c r="P70" s="71">
        <f>IFERROR(__xludf.DUMMYFUNCTION("""COMPUTED_VALUE"""),4.0)</f>
        <v>4</v>
      </c>
      <c r="Q70" s="71">
        <f>IFERROR(__xludf.DUMMYFUNCTION("""COMPUTED_VALUE"""),4.0)</f>
        <v>4</v>
      </c>
      <c r="R70" s="71">
        <f>IFERROR(__xludf.DUMMYFUNCTION("""COMPUTED_VALUE"""),5.0)</f>
        <v>5</v>
      </c>
      <c r="S70" s="71">
        <f>IFERROR(__xludf.DUMMYFUNCTION("""COMPUTED_VALUE"""),5.0)</f>
        <v>5</v>
      </c>
      <c r="T70" s="71">
        <f>IFERROR(__xludf.DUMMYFUNCTION("""COMPUTED_VALUE"""),4.0)</f>
        <v>4</v>
      </c>
      <c r="U70" s="71">
        <f>IFERROR(__xludf.DUMMYFUNCTION("""COMPUTED_VALUE"""),5.0)</f>
        <v>5</v>
      </c>
      <c r="V70" s="71">
        <f>IFERROR(__xludf.DUMMYFUNCTION("""COMPUTED_VALUE"""),3.0)</f>
        <v>3</v>
      </c>
      <c r="W70" s="71">
        <f>IFERROR(__xludf.DUMMYFUNCTION("""COMPUTED_VALUE"""),5.0)</f>
        <v>5</v>
      </c>
      <c r="X70" s="71" t="str">
        <f>IFERROR(__xludf.DUMMYFUNCTION("""COMPUTED_VALUE"""),"Researches information and finds answers to questions., Takes notes, writes, and prepares the final presentation., Makes sure everyone feels included and helps solve disagreements.")</f>
        <v>Researches information and finds answers to questions., Takes notes, writes, and prepares the final presentation., Makes sure everyone feels included and helps solve disagreements.</v>
      </c>
      <c r="Y70" s="71" t="str">
        <f>IFERROR(__xludf.DUMMYFUNCTION("""COMPUTED_VALUE"""),"Listen to everyone's ideas and try to find a compromise that includes parts of each")</f>
        <v>Listen to everyone's ideas and try to find a compromise that includes parts of each</v>
      </c>
      <c r="Z70" s="71" t="str">
        <f>IFERROR(__xludf.DUMMYFUNCTION("""COMPUTED_VALUE"""),"When i'm in a group with people i know.")</f>
        <v>When i'm in a group with people i know.</v>
      </c>
    </row>
    <row r="71">
      <c r="A71" s="128">
        <f>IFERROR(__xludf.DUMMYFUNCTION("""COMPUTED_VALUE"""),45888.6214917824)</f>
        <v>45888.62149</v>
      </c>
      <c r="B71" s="71" t="str">
        <f>IFERROR(__xludf.DUMMYFUNCTION("""COMPUTED_VALUE"""),"samuel.sims@kairosacademies.org")</f>
        <v>samuel.sims@kairosacademies.org</v>
      </c>
      <c r="C71" s="71" t="str">
        <f>IFERROR(__xludf.DUMMYFUNCTION("""COMPUTED_VALUE"""),"samuel  sims")</f>
        <v>samuel  sims</v>
      </c>
      <c r="D71" s="71" t="str">
        <f>IFERROR(__xludf.DUMMYFUNCTION("""COMPUTED_VALUE"""),"""sam""")</f>
        <v>"sam"</v>
      </c>
      <c r="E71" s="71" t="str">
        <f>IFERROR(__xludf.DUMMYFUNCTION("""COMPUTED_VALUE"""),"1) i love science  2) i can kinda swim 3) i wish  to be a professional biology ")</f>
        <v>1) i love science  2) i can kinda swim 3) i wish  to be a professional biology </v>
      </c>
      <c r="F71" s="71" t="str">
        <f>IFERROR(__xludf.DUMMYFUNCTION("""COMPUTED_VALUE"""),"Doing a hands-on lab or experiment, Discussing ideas with a small group, Reading and taking notes, Drawing a model or diagram")</f>
        <v>Doing a hands-on lab or experiment, Discussing ideas with a small group, Reading and taking notes, Drawing a model or diagram</v>
      </c>
      <c r="G71" s="71" t="str">
        <f>IFERROR(__xludf.DUMMYFUNCTION("""COMPUTED_VALUE"""),"Review my notes and materials, Do practice problems or worksheets, Create my own study guide or diagram")</f>
        <v>Review my notes and materials, Do practice problems or worksheets, Create my own study guide or diagram</v>
      </c>
      <c r="H71" s="71" t="str">
        <f>IFERROR(__xludf.DUMMYFUNCTION("""COMPUTED_VALUE"""),"How do our bodies get energy from food? (Metabolic Reactions) 🍎, How does changing an ecosystem affect what lives there? (Ecosystem Dynamics) 🌿, How are we connected to patterns in the sky? (Earth in Space) 🌍, Why are living things different from one a"&amp;"nother? (Genetics) 🧬")</f>
        <v>How do our bodies get energy from food? (Metabolic Reactions) 🍎, How does changing an ecosystem affect what lives there? (Ecosystem Dynamics) 🌿, How are we connected to patterns in the sky? (Earth in Space) 🌍, Why are living things different from one another? (Genetics) 🧬</v>
      </c>
      <c r="I71" s="71" t="str">
        <f>IFERROR(__xludf.DUMMYFUNCTION("""COMPUTED_VALUE"""),"Art,  biology, and  gaming")</f>
        <v>Art,  biology, and  gaming</v>
      </c>
      <c r="J71" s="71" t="str">
        <f>IFERROR(__xludf.DUMMYFUNCTION("""COMPUTED_VALUE"""),"soccer and strategy")</f>
        <v>soccer and strategy</v>
      </c>
      <c r="K71" s="71">
        <f>IFERROR(__xludf.DUMMYFUNCTION("""COMPUTED_VALUE"""),5.0)</f>
        <v>5</v>
      </c>
      <c r="L71" s="71">
        <f>IFERROR(__xludf.DUMMYFUNCTION("""COMPUTED_VALUE"""),5.0)</f>
        <v>5</v>
      </c>
      <c r="M71" s="71">
        <f>IFERROR(__xludf.DUMMYFUNCTION("""COMPUTED_VALUE"""),5.0)</f>
        <v>5</v>
      </c>
      <c r="N71" s="71">
        <f>IFERROR(__xludf.DUMMYFUNCTION("""COMPUTED_VALUE"""),5.0)</f>
        <v>5</v>
      </c>
      <c r="O71" s="71">
        <f>IFERROR(__xludf.DUMMYFUNCTION("""COMPUTED_VALUE"""),5.0)</f>
        <v>5</v>
      </c>
      <c r="P71" s="71">
        <f>IFERROR(__xludf.DUMMYFUNCTION("""COMPUTED_VALUE"""),5.0)</f>
        <v>5</v>
      </c>
      <c r="Q71" s="71">
        <f>IFERROR(__xludf.DUMMYFUNCTION("""COMPUTED_VALUE"""),5.0)</f>
        <v>5</v>
      </c>
      <c r="R71" s="71">
        <f>IFERROR(__xludf.DUMMYFUNCTION("""COMPUTED_VALUE"""),5.0)</f>
        <v>5</v>
      </c>
      <c r="S71" s="71">
        <f>IFERROR(__xludf.DUMMYFUNCTION("""COMPUTED_VALUE"""),5.0)</f>
        <v>5</v>
      </c>
      <c r="T71" s="71">
        <f>IFERROR(__xludf.DUMMYFUNCTION("""COMPUTED_VALUE"""),4.0)</f>
        <v>4</v>
      </c>
      <c r="U71" s="71">
        <f>IFERROR(__xludf.DUMMYFUNCTION("""COMPUTED_VALUE"""),5.0)</f>
        <v>5</v>
      </c>
      <c r="V71" s="71">
        <f>IFERROR(__xludf.DUMMYFUNCTION("""COMPUTED_VALUE"""),4.0)</f>
        <v>4</v>
      </c>
      <c r="W71" s="71">
        <f>IFERROR(__xludf.DUMMYFUNCTION("""COMPUTED_VALUE"""),4.0)</f>
        <v>4</v>
      </c>
      <c r="X71" s="71" t="str">
        <f>IFERROR(__xludf.DUMMYFUNCTION("""COMPUTED_VALUE"""),"Researches information and finds answers to questions., Builds the project or does the hands-on work., Makes sure everyone feels included and helps solve disagreements.")</f>
        <v>Researches information and finds answers to questions., Builds the project or does the hands-on work., Makes sure everyone feels included and helps solve disagreements.</v>
      </c>
      <c r="Y71" s="71" t="str">
        <f>IFERROR(__xludf.DUMMYFUNCTION("""COMPUTED_VALUE"""),"Listen to everyone's ideas and try to find a compromise that includes parts of each")</f>
        <v>Listen to everyone's ideas and try to find a compromise that includes parts of each</v>
      </c>
      <c r="Z71" s="71" t="str">
        <f>IFERROR(__xludf.DUMMYFUNCTION("""COMPUTED_VALUE"""),"I like when people ask me questions")</f>
        <v>I like when people ask me questions</v>
      </c>
    </row>
    <row r="72">
      <c r="A72" s="128">
        <f>IFERROR(__xludf.DUMMYFUNCTION("""COMPUTED_VALUE"""),45888.62589119213)</f>
        <v>45888.62589</v>
      </c>
      <c r="B72" s="71" t="str">
        <f>IFERROR(__xludf.DUMMYFUNCTION("""COMPUTED_VALUE"""),"cameron.brown@kairosacademies.org")</f>
        <v>cameron.brown@kairosacademies.org</v>
      </c>
      <c r="C72" s="71" t="str">
        <f>IFERROR(__xludf.DUMMYFUNCTION("""COMPUTED_VALUE"""),"Cameron Brown")</f>
        <v>Cameron Brown</v>
      </c>
      <c r="D72" s="71" t="str">
        <f>IFERROR(__xludf.DUMMYFUNCTION("""COMPUTED_VALUE"""),"Cam ")</f>
        <v>Cam </v>
      </c>
      <c r="E72" s="71" t="str">
        <f>IFERROR(__xludf.DUMMYFUNCTION("""COMPUTED_VALUE"""),"(1) I have 3 pets (2) I like to draw a lot 
I wish i can be able to pass all the classes in this grade.")</f>
        <v>(1) I have 3 pets (2) I like to draw a lot 
I wish i can be able to pass all the classes in this grade.</v>
      </c>
      <c r="F72" s="71" t="str">
        <f>IFERROR(__xludf.DUMMYFUNCTION("""COMPUTED_VALUE"""),"Watching a video or live demonstration, Reading and taking notes, Drawing a model or diagram, Listening to the teacher explain it")</f>
        <v>Watching a video or live demonstration, Reading and taking notes, Drawing a model or diagram, Listening to the teacher explain it</v>
      </c>
      <c r="G72" s="71" t="str">
        <f>IFERROR(__xludf.DUMMYFUNCTION("""COMPUTED_VALUE"""),"Review my notes and materials, Make and study flashcards, Do practice problems or worksheets")</f>
        <v>Review my notes and materials, Make and study flashcards, Do practice problems or worksheets</v>
      </c>
      <c r="H72" s="71" t="str">
        <f>IFERROR(__xludf.DUMMYFUNCTION("""COMPUTED_VALUE"""),"How can we make new materials? (Chemical Reactions) ⚗️, How can a magnet move something without touching it? (Forces at a Distance) 🧲, How are we connected to patterns in the sky? (Earth in Space) 🌍, Why are living things different from one another? (Ge"&amp;"netics) 🧬")</f>
        <v>How can we make new materials? (Chemical Reactions) ⚗️, How can a magnet move something without touching it? (Forces at a Distance) 🧲, How are we connected to patterns in the sky? (Earth in Space) 🌍, Why are living things different from one another? (Genetics) 🧬</v>
      </c>
      <c r="I72" s="71" t="str">
        <f>IFERROR(__xludf.DUMMYFUNCTION("""COMPUTED_VALUE"""),"Gaming,sports, and art")</f>
        <v>Gaming,sports, and art</v>
      </c>
      <c r="J72" s="71" t="str">
        <f>IFERROR(__xludf.DUMMYFUNCTION("""COMPUTED_VALUE"""),"able to cook breakfast and gaming. ")</f>
        <v>able to cook breakfast and gaming. </v>
      </c>
      <c r="K72" s="71">
        <f>IFERROR(__xludf.DUMMYFUNCTION("""COMPUTED_VALUE"""),4.0)</f>
        <v>4</v>
      </c>
      <c r="L72" s="71">
        <f>IFERROR(__xludf.DUMMYFUNCTION("""COMPUTED_VALUE"""),5.0)</f>
        <v>5</v>
      </c>
      <c r="M72" s="71">
        <f>IFERROR(__xludf.DUMMYFUNCTION("""COMPUTED_VALUE"""),4.0)</f>
        <v>4</v>
      </c>
      <c r="N72" s="71">
        <f>IFERROR(__xludf.DUMMYFUNCTION("""COMPUTED_VALUE"""),4.0)</f>
        <v>4</v>
      </c>
      <c r="O72" s="71">
        <f>IFERROR(__xludf.DUMMYFUNCTION("""COMPUTED_VALUE"""),5.0)</f>
        <v>5</v>
      </c>
      <c r="P72" s="71">
        <f>IFERROR(__xludf.DUMMYFUNCTION("""COMPUTED_VALUE"""),5.0)</f>
        <v>5</v>
      </c>
      <c r="Q72" s="71">
        <f>IFERROR(__xludf.DUMMYFUNCTION("""COMPUTED_VALUE"""),4.0)</f>
        <v>4</v>
      </c>
      <c r="R72" s="71">
        <f>IFERROR(__xludf.DUMMYFUNCTION("""COMPUTED_VALUE"""),4.0)</f>
        <v>4</v>
      </c>
      <c r="S72" s="71">
        <f>IFERROR(__xludf.DUMMYFUNCTION("""COMPUTED_VALUE"""),5.0)</f>
        <v>5</v>
      </c>
      <c r="T72" s="71">
        <f>IFERROR(__xludf.DUMMYFUNCTION("""COMPUTED_VALUE"""),4.0)</f>
        <v>4</v>
      </c>
      <c r="U72" s="71">
        <f>IFERROR(__xludf.DUMMYFUNCTION("""COMPUTED_VALUE"""),4.0)</f>
        <v>4</v>
      </c>
      <c r="V72" s="71">
        <f>IFERROR(__xludf.DUMMYFUNCTION("""COMPUTED_VALUE"""),4.0)</f>
        <v>4</v>
      </c>
      <c r="W72" s="71">
        <f>IFERROR(__xludf.DUMMYFUNCTION("""COMPUTED_VALUE"""),3.0)</f>
        <v>3</v>
      </c>
      <c r="X72" s="71" t="str">
        <f>IFERROR(__xludf.DUMMYFUNCTION("""COMPUTED_VALUE"""),"Builds the project or does the hands-on work., Takes notes, writes, and prepares the final presentation.")</f>
        <v>Builds the project or does the hands-on work., Takes notes, writes, and prepares the final presentation.</v>
      </c>
      <c r="Y72" s="71" t="str">
        <f>IFERROR(__xludf.DUMMYFUNCTION("""COMPUTED_VALUE"""),"Listen to everyone's ideas and try to find a compromise that includes parts of each")</f>
        <v>Listen to everyone's ideas and try to find a compromise that includes parts of each</v>
      </c>
      <c r="Z72" s="71" t="str">
        <f>IFERROR(__xludf.DUMMYFUNCTION("""COMPUTED_VALUE"""),"when people listen when i am talking.")</f>
        <v>when people listen when i am talking.</v>
      </c>
    </row>
    <row r="73">
      <c r="A73" s="128">
        <f>IFERROR(__xludf.DUMMYFUNCTION("""COMPUTED_VALUE"""),45890.59384076389)</f>
        <v>45890.59384</v>
      </c>
      <c r="B73" s="71" t="str">
        <f>IFERROR(__xludf.DUMMYFUNCTION("""COMPUTED_VALUE"""),"miles.williams@kairosacademies.org")</f>
        <v>miles.williams@kairosacademies.org</v>
      </c>
      <c r="C73" s="71" t="str">
        <f>IFERROR(__xludf.DUMMYFUNCTION("""COMPUTED_VALUE"""),"Miles williams")</f>
        <v>Miles williams</v>
      </c>
      <c r="D73" s="71" t="str">
        <f>IFERROR(__xludf.DUMMYFUNCTION("""COMPUTED_VALUE"""),"miles")</f>
        <v>miles</v>
      </c>
      <c r="E73" s="71" t="str">
        <f>IFERROR(__xludf.DUMMYFUNCTION("""COMPUTED_VALUE"""),"i play baseball 
i wish to do chemistry
im 5'3 ")</f>
        <v>i play baseball 
i wish to do chemistry
im 5'3 </v>
      </c>
      <c r="F73" s="71" t="str">
        <f>IFERROR(__xludf.DUMMYFUNCTION("""COMPUTED_VALUE"""),"Doing a hands-on lab or experiment, Discussing ideas with a small group, Drawing a model or diagram")</f>
        <v>Doing a hands-on lab or experiment, Discussing ideas with a small group, Drawing a model or diagram</v>
      </c>
      <c r="G73" s="71" t="str">
        <f>IFERROR(__xludf.DUMMYFUNCTION("""COMPUTED_VALUE"""),"Review my notes and materials, Explain the concept out loud to someone else, Create my own study guide or diagram")</f>
        <v>Review my notes and materials, Explain the concept out loud to someone else, Create my own study guide or diagram</v>
      </c>
      <c r="H73" s="71" t="str">
        <f>IFERROR(__xludf.DUMMYFUNCTION("""COMPUTED_VALUE"""),"How can we make new materials? (Chemical Reactions) ⚗️, Why do things get damaged when they hit each other? (Contact Forces) 💥, How can a magnet move something without touching it? (Forces at a Distance) 🧲")</f>
        <v>How can we make new materials? (Chemical Reactions) ⚗️, Why do things get damaged when they hit each other? (Contact Forces) 💥, How can a magnet move something without touching it? (Forces at a Distance) 🧲</v>
      </c>
      <c r="I73" s="71" t="str">
        <f>IFERROR(__xludf.DUMMYFUNCTION("""COMPUTED_VALUE"""),"baseball cooking")</f>
        <v>baseball cooking</v>
      </c>
      <c r="J73" s="71" t="str">
        <f>IFERROR(__xludf.DUMMYFUNCTION("""COMPUTED_VALUE"""),"baseball")</f>
        <v>baseball</v>
      </c>
      <c r="K73" s="71">
        <f>IFERROR(__xludf.DUMMYFUNCTION("""COMPUTED_VALUE"""),3.0)</f>
        <v>3</v>
      </c>
      <c r="L73" s="71">
        <f>IFERROR(__xludf.DUMMYFUNCTION("""COMPUTED_VALUE"""),5.0)</f>
        <v>5</v>
      </c>
      <c r="M73" s="71">
        <f>IFERROR(__xludf.DUMMYFUNCTION("""COMPUTED_VALUE"""),5.0)</f>
        <v>5</v>
      </c>
      <c r="N73" s="71">
        <f>IFERROR(__xludf.DUMMYFUNCTION("""COMPUTED_VALUE"""),5.0)</f>
        <v>5</v>
      </c>
      <c r="O73" s="71">
        <f>IFERROR(__xludf.DUMMYFUNCTION("""COMPUTED_VALUE"""),4.0)</f>
        <v>4</v>
      </c>
      <c r="P73" s="71">
        <f>IFERROR(__xludf.DUMMYFUNCTION("""COMPUTED_VALUE"""),4.0)</f>
        <v>4</v>
      </c>
      <c r="Q73" s="71">
        <f>IFERROR(__xludf.DUMMYFUNCTION("""COMPUTED_VALUE"""),5.0)</f>
        <v>5</v>
      </c>
      <c r="R73" s="71">
        <f>IFERROR(__xludf.DUMMYFUNCTION("""COMPUTED_VALUE"""),4.0)</f>
        <v>4</v>
      </c>
      <c r="S73" s="71">
        <f>IFERROR(__xludf.DUMMYFUNCTION("""COMPUTED_VALUE"""),5.0)</f>
        <v>5</v>
      </c>
      <c r="T73" s="71">
        <f>IFERROR(__xludf.DUMMYFUNCTION("""COMPUTED_VALUE"""),5.0)</f>
        <v>5</v>
      </c>
      <c r="U73" s="71">
        <f>IFERROR(__xludf.DUMMYFUNCTION("""COMPUTED_VALUE"""),3.0)</f>
        <v>3</v>
      </c>
      <c r="V73" s="71">
        <f>IFERROR(__xludf.DUMMYFUNCTION("""COMPUTED_VALUE"""),3.0)</f>
        <v>3</v>
      </c>
      <c r="W73" s="71">
        <f>IFERROR(__xludf.DUMMYFUNCTION("""COMPUTED_VALUE"""),3.0)</f>
        <v>3</v>
      </c>
      <c r="X73" s="71" t="str">
        <f>IFERROR(__xludf.DUMMYFUNCTION("""COMPUTED_VALUE"""),"Builds the project or does the hands-on work., Makes sure everyone feels included and helps solve disagreements.")</f>
        <v>Builds the project or does the hands-on work., Makes sure everyone feels included and helps solve disagreements.</v>
      </c>
      <c r="Y73" s="71" t="str">
        <f>IFERROR(__xludf.DUMMYFUNCTION("""COMPUTED_VALUE"""),"Listen to everyone's ideas and try to find a compromise that includes parts of each")</f>
        <v>Listen to everyone's ideas and try to find a compromise that includes parts of each</v>
      </c>
      <c r="Z73" s="71" t="str">
        <f>IFERROR(__xludf.DUMMYFUNCTION("""COMPUTED_VALUE"""),"i like it when everyone shares and i can hear others ideas first")</f>
        <v>i like it when everyone shares and i can hear others ideas first</v>
      </c>
    </row>
    <row r="74">
      <c r="A74" s="128">
        <f>IFERROR(__xludf.DUMMYFUNCTION("""COMPUTED_VALUE"""),45980.41254142361)</f>
        <v>45980.41254</v>
      </c>
      <c r="B74" s="71" t="str">
        <f>IFERROR(__xludf.DUMMYFUNCTION("""COMPUTED_VALUE"""),"ziy'la.griffin@kairosacademies.org")</f>
        <v>ziy'la.griffin@kairosacademies.org</v>
      </c>
      <c r="C74" s="71" t="str">
        <f>IFERROR(__xludf.DUMMYFUNCTION("""COMPUTED_VALUE"""),"Ziy'la Griffin")</f>
        <v>Ziy'la Griffin</v>
      </c>
      <c r="D74" s="71" t="str">
        <f>IFERROR(__xludf.DUMMYFUNCTION("""COMPUTED_VALUE"""),"Ziyy ")</f>
        <v>Ziyy </v>
      </c>
      <c r="E74" s="71" t="str">
        <f>IFERROR(__xludf.DUMMYFUNCTION("""COMPUTED_VALUE"""),"i love the color blue, i have 4 brothers, i wish to pass science.")</f>
        <v>i love the color blue, i have 4 brothers, i wish to pass science.</v>
      </c>
      <c r="F74" s="71" t="str">
        <f>IFERROR(__xludf.DUMMYFUNCTION("""COMPUTED_VALUE"""),"Doing a hands-on lab or experiment, Watching a video or live demonstration, Discussing ideas with a small group, Drawing a model or diagram, Listening to the teacher explain it")</f>
        <v>Doing a hands-on lab or experiment, Watching a video or live demonstration, Discussing ideas with a small group, Drawing a model or diagram, Listening to the teacher explain it</v>
      </c>
      <c r="G74" s="71" t="str">
        <f>IFERROR(__xludf.DUMMYFUNCTION("""COMPUTED_VALUE"""),"Review my notes and materials, Make and study flashcards, Do practice problems or worksheets, Explain the concept out loud to someone else")</f>
        <v>Review my notes and materials, Make and study flashcards, Do practice problems or worksheets, Explain the concept out loud to someone else</v>
      </c>
      <c r="H74" s="71" t="str">
        <f>IFERROR(__xludf.DUMMYFUNCTION("""COMPUTED_VALUE"""),"How can we make new materials? (Chemical Reactions) ⚗️, Why do things get damaged when they hit each other? (Contact Forces) 💥, How can a magnet move something without touching it? (Forces at a Distance) 🧲, How are we connected to patterns in the sky? ("&amp;"Earth in Space) 🌍")</f>
        <v>How can we make new materials? (Chemical Reactions) ⚗️, Why do things get damaged when they hit each other? (Contact Forces) 💥, How can a magnet move something without touching it? (Forces at a Distance) 🧲, How are we connected to patterns in the sky? (Earth in Space) 🌍</v>
      </c>
      <c r="I74" s="71" t="str">
        <f>IFERROR(__xludf.DUMMYFUNCTION("""COMPUTED_VALUE"""),"I love to play video games and draw and sleep.")</f>
        <v>I love to play video games and draw and sleep.</v>
      </c>
      <c r="J74" s="71" t="str">
        <f>IFERROR(__xludf.DUMMYFUNCTION("""COMPUTED_VALUE"""),"Im really good at drawing and singing and dancing not everybody knows.")</f>
        <v>Im really good at drawing and singing and dancing not everybody knows.</v>
      </c>
      <c r="K74" s="71">
        <f>IFERROR(__xludf.DUMMYFUNCTION("""COMPUTED_VALUE"""),3.0)</f>
        <v>3</v>
      </c>
      <c r="L74" s="71">
        <f>IFERROR(__xludf.DUMMYFUNCTION("""COMPUTED_VALUE"""),5.0)</f>
        <v>5</v>
      </c>
      <c r="M74" s="71">
        <f>IFERROR(__xludf.DUMMYFUNCTION("""COMPUTED_VALUE"""),4.0)</f>
        <v>4</v>
      </c>
      <c r="N74" s="71">
        <f>IFERROR(__xludf.DUMMYFUNCTION("""COMPUTED_VALUE"""),4.0)</f>
        <v>4</v>
      </c>
      <c r="O74" s="71">
        <f>IFERROR(__xludf.DUMMYFUNCTION("""COMPUTED_VALUE"""),5.0)</f>
        <v>5</v>
      </c>
      <c r="P74" s="71">
        <f>IFERROR(__xludf.DUMMYFUNCTION("""COMPUTED_VALUE"""),5.0)</f>
        <v>5</v>
      </c>
      <c r="Q74" s="71">
        <f>IFERROR(__xludf.DUMMYFUNCTION("""COMPUTED_VALUE"""),5.0)</f>
        <v>5</v>
      </c>
      <c r="R74" s="71">
        <f>IFERROR(__xludf.DUMMYFUNCTION("""COMPUTED_VALUE"""),3.0)</f>
        <v>3</v>
      </c>
      <c r="S74" s="71">
        <f>IFERROR(__xludf.DUMMYFUNCTION("""COMPUTED_VALUE"""),5.0)</f>
        <v>5</v>
      </c>
      <c r="T74" s="71">
        <f>IFERROR(__xludf.DUMMYFUNCTION("""COMPUTED_VALUE"""),4.0)</f>
        <v>4</v>
      </c>
      <c r="U74" s="71">
        <f>IFERROR(__xludf.DUMMYFUNCTION("""COMPUTED_VALUE"""),4.0)</f>
        <v>4</v>
      </c>
      <c r="V74" s="71">
        <f>IFERROR(__xludf.DUMMYFUNCTION("""COMPUTED_VALUE"""),4.0)</f>
        <v>4</v>
      </c>
      <c r="W74" s="71">
        <f>IFERROR(__xludf.DUMMYFUNCTION("""COMPUTED_VALUE"""),5.0)</f>
        <v>5</v>
      </c>
      <c r="X74" s="71" t="str">
        <f>IFERROR(__xludf.DUMMYFUNCTION("""COMPUTED_VALUE"""),"Organizes the plan and keeps the team on task., Researches information and finds answers to questions., Builds the project or does the hands-on work., Takes notes, writes, and prepares the final presentation., Makes sure everyone feels included and helps "&amp;"solve disagreements.")</f>
        <v>Organizes the plan and keeps the team on task., Researches information and finds answers to questions., Builds the project or does the hands-on work., Takes notes, writes, and prepares the final presentation., Makes sure everyone feels included and helps solve disagreements.</v>
      </c>
      <c r="Y74" s="71" t="str">
        <f>IFERROR(__xludf.DUMMYFUNCTION("""COMPUTED_VALUE"""),"Listen to everyone's ideas and try to find a compromise that includes parts of each")</f>
        <v>Listen to everyone's ideas and try to find a compromise that includes parts of each</v>
      </c>
      <c r="Z74" s="71" t="str">
        <f>IFERROR(__xludf.DUMMYFUNCTION("""COMPUTED_VALUE"""),"When they take time to listen to everybody.")</f>
        <v>When they take time to listen to everybody.</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tr">
        <f>IFERROR(__xludf.DUMMYFUNCTION("QUERY(IMPORTRANGE(""https://docs.google.com/spreadsheets/d/1an0NWflWOI3epvhnieiL9IgL_OpUkqPuIqzuPMifi8o/edit?gid=450263002#gid=450263002"", ""Form Responses 1!A:Z""), ""SELECT * WHERE Col1 IS NOT NULL"")"),"Timestamp")</f>
        <v>Timestamp</v>
      </c>
      <c r="B1" s="71" t="str">
        <f>IFERROR(__xludf.DUMMYFUNCTION("""COMPUTED_VALUE"""),"Email Address")</f>
        <v>Email Address</v>
      </c>
      <c r="C1" s="71" t="str">
        <f>IFERROR(__xludf.DUMMYFUNCTION("""COMPUTED_VALUE"""),"The two tomato plants have the same genes, but they grew very differently because of their environment. 
Besides sunlight, what is another environmental factor that could change how a plant grows?  ")</f>
        <v>The two tomato plants have the same genes, but they grew very differently because of their environment. 
Besides sunlight, what is another environmental factor that could change how a plant grows?  </v>
      </c>
      <c r="D1" s="71" t="str">
        <f>IFERROR(__xludf.DUMMYFUNCTION("""COMPUTED_VALUE"""),"Plants use sunlight to make their own food (glucose). 
Describe how energy changes during this process. (The energy changes from the form of __________ to the form of __________ energy.)  ")</f>
        <v>Plants use sunlight to make their own food (glucose). 
Describe how energy changes during this process. (The energy changes from the form of __________ to the form of __________ energy.)  </v>
      </c>
      <c r="E1" s="71" t="str">
        <f>IFERROR(__xludf.DUMMYFUNCTION("""COMPUTED_VALUE"""),"At the end of the season, the old plants rot and become part of the soil.
What happens to the atoms that made up the dead plants?
And what happens to the energy that was stored in the plants' molecules? Do they both get recycled?")</f>
        <v>At the end of the season, the old plants rot and become part of the soil.
What happens to the atoms that made up the dead plants?
And what happens to the energy that was stored in the plants' molecules? Do they both get recycled?</v>
      </c>
      <c r="F1" s="71" t="str">
        <f>IFERROR(__xludf.DUMMYFUNCTION("""COMPUTED_VALUE"""),"Rabbits are eating the garden!
Your challenge is to figure out the best way to protect the plants.
How could you design a fair test to compare two different solutions (like a fence vs. a spray), making sure you control the important variables?  ")</f>
        <v>Rabbits are eating the garden!
Your challenge is to figure out the best way to protect the plants.
How could you design a fair test to compare two different solutions (like a fence vs. a spray), making sure you control the important variables?  </v>
      </c>
      <c r="G1" s="71" t="str">
        <f>IFERROR(__xludf.DUMMYFUNCTION("""COMPUTED_VALUE"""),"The hot lava will eventually cool and harden into brand new rock.
Describe one way that new rock could, over millions of years, become tiny grains of sand on a beach. ")</f>
        <v>The hot lava will eventually cool and harden into brand new rock.
Describe one way that new rock could, over millions of years, become tiny grains of sand on a beach. </v>
      </c>
      <c r="H1" s="71" t="str">
        <f>IFERROR(__xludf.DUMMYFUNCTION("""COMPUTED_VALUE"""),"Most volcanoes on Earth are found in specific zones, like the ""Ring of Fire.""
What's happening with Earth's giant crustal plates in these zones that causes so many volcanoes?  ")</f>
        <v>Most volcanoes on Earth are found in specific zones, like the "Ring of Fire."
What's happening with Earth's giant crustal plates in these zones that causes so many volcanoes?  </v>
      </c>
      <c r="I1" s="71" t="str">
        <f>IFERROR(__xludf.DUMMYFUNCTION("""COMPUTED_VALUE"""),"Imagine a heavy boulder is launched from the volcano and is flying through the air.
Name two different forces you know are acting on it as it flies.  ")</f>
        <v>Imagine a heavy boulder is launched from the volcano and is flying through the air.
Name two different forces you know are acting on it as it flies.  </v>
      </c>
      <c r="J1" s="71" t="str">
        <f>IFERROR(__xludf.DUMMYFUNCTION("""COMPUTED_VALUE"""),"Sometimes, an eruption under the ocean can create a tsunami.
Which do you think would reach a distant shore first: the sound of the eruption or the tsunami wave itself? Why?  ")</f>
        <v>Sometimes, an eruption under the ocean can create a tsunami.
Which do you think would reach a distant shore first: the sound of the eruption or the tsunami wave itself? Why?  </v>
      </c>
      <c r="K1" s="71" t="str">
        <f>IFERROR(__xludf.DUMMYFUNCTION("""COMPUTED_VALUE"""),"Your phone sends and receives information like texts and videos without any wires.
How does it send those signals through the air? ")</f>
        <v>Your phone sends and receives information like texts and videos without any wires.
How does it send those signals through the air? </v>
      </c>
      <c r="L1" s="71" t="str">
        <f>IFERROR(__xludf.DUMMYFUNCTION("""COMPUTED_VALUE"""),"In terms of how their parts are organized, which do you think represents a more complex level of organization: a single living cell or a complete phone? Explain your reasoning.  ")</f>
        <v>In terms of how their parts are organized, which do you think represents a more complex level of organization: a single living cell or a complete phone? Explain your reasoning.  </v>
      </c>
      <c r="M1" s="71" t="str">
        <f>IFERROR(__xludf.DUMMYFUNCTION("""COMPUTED_VALUE"""),"The ability to see all the colors on this phone screen is a trait. How are traits like this passed down in humans from parents to their children?  ")</f>
        <v>The ability to see all the colors on this phone screen is a trait. How are traits like this passed down in humans from parents to their children?  </v>
      </c>
      <c r="N1" s="71" t="str">
        <f>IFERROR(__xludf.DUMMYFUNCTION("""COMPUTED_VALUE"""),"Building millions of phones requires mining for special metals. Describe one negative impact this mining could have on the environment.  ")</f>
        <v>Building millions of phones requires mining for special metals. Describe one negative impact this mining could have on the environment.  </v>
      </c>
      <c r="O1" s="71" t="str">
        <f>IFERROR(__xludf.DUMMYFUNCTION("""COMPUTED_VALUE"""),"A scientist uses a globe to model the Earth. Name one way the globe is a useful model, and one way it is limited or inaccurate.  ")</f>
        <v>A scientist uses a globe to model the Earth. Name one way the globe is a useful model, and one way it is limited or inaccurate.  </v>
      </c>
      <c r="P1" s="71" t="str">
        <f>IFERROR(__xludf.DUMMYFUNCTION("""COMPUTED_VALUE"""),"")</f>
        <v/>
      </c>
      <c r="Q1" s="71" t="str">
        <f>IFERROR(__xludf.DUMMYFUNCTION("""COMPUTED_VALUE"""),"")</f>
        <v/>
      </c>
      <c r="R1" s="71" t="str">
        <f>IFERROR(__xludf.DUMMYFUNCTION("""COMPUTED_VALUE"""),"")</f>
        <v/>
      </c>
      <c r="S1" s="71" t="str">
        <f>IFERROR(__xludf.DUMMYFUNCTION("""COMPUTED_VALUE"""),"")</f>
        <v/>
      </c>
      <c r="T1" s="71" t="str">
        <f>IFERROR(__xludf.DUMMYFUNCTION("""COMPUTED_VALUE"""),"")</f>
        <v/>
      </c>
      <c r="U1" s="71" t="str">
        <f>IFERROR(__xludf.DUMMYFUNCTION("""COMPUTED_VALUE"""),"")</f>
        <v/>
      </c>
    </row>
    <row r="2">
      <c r="A2" s="128">
        <f>IFERROR(__xludf.DUMMYFUNCTION("""COMPUTED_VALUE"""),45891.43304177083)</f>
        <v>45891.43304</v>
      </c>
      <c r="B2" s="71" t="str">
        <f>IFERROR(__xludf.DUMMYFUNCTION("""COMPUTED_VALUE"""),"conrad.guebert@kairosacademies.org")</f>
        <v>conrad.guebert@kairosacademies.org</v>
      </c>
      <c r="C2" s="71" t="str">
        <f>IFERROR(__xludf.DUMMYFUNCTION("""COMPUTED_VALUE"""),"how much water it gets")</f>
        <v>how much water it gets</v>
      </c>
      <c r="D2" s="71" t="str">
        <f>IFERROR(__xludf.DUMMYFUNCTION("""COMPUTED_VALUE"""),"cant remember how")</f>
        <v>cant remember how</v>
      </c>
      <c r="E2" s="71" t="str">
        <f>IFERROR(__xludf.DUMMYFUNCTION("""COMPUTED_VALUE"""),"yes")</f>
        <v>yes</v>
      </c>
      <c r="F2" s="71" t="str">
        <f>IFERROR(__xludf.DUMMYFUNCTION("""COMPUTED_VALUE"""),"put up something that scares away the rabbits")</f>
        <v>put up something that scares away the rabbits</v>
      </c>
      <c r="G2" s="71" t="str">
        <f>IFERROR(__xludf.DUMMYFUNCTION("""COMPUTED_VALUE"""),"it could turn into sea rocks under the sea")</f>
        <v>it could turn into sea rocks under the sea</v>
      </c>
      <c r="H2" s="71" t="str">
        <f>IFERROR(__xludf.DUMMYFUNCTION("""COMPUTED_VALUE"""),"earthquake")</f>
        <v>earthquake</v>
      </c>
      <c r="I2" s="71" t="str">
        <f>IFERROR(__xludf.DUMMYFUNCTION("""COMPUTED_VALUE"""),"gravity and kinetic energy")</f>
        <v>gravity and kinetic energy</v>
      </c>
      <c r="J2" s="71" t="str">
        <f>IFERROR(__xludf.DUMMYFUNCTION("""COMPUTED_VALUE"""),"the wave because the sound would have been so far away so the wave would be heard first")</f>
        <v>the wave because the sound would have been so far away so the wave would be heard first</v>
      </c>
      <c r="K2" s="71" t="str">
        <f>IFERROR(__xludf.DUMMYFUNCTION("""COMPUTED_VALUE"""),"through frecuancy waves")</f>
        <v>through frecuancy waves</v>
      </c>
      <c r="L2" s="71" t="str">
        <f>IFERROR(__xludf.DUMMYFUNCTION("""COMPUTED_VALUE"""),"complete phone because of all the coding")</f>
        <v>complete phone because of all the coding</v>
      </c>
      <c r="M2" s="71" t="str">
        <f>IFERROR(__xludf.DUMMYFUNCTION("""COMPUTED_VALUE"""),"because the family members before them have used phones and there eyes are ajusted to the screen so when their children are born there eyes are much more normalized to looking at the screen")</f>
        <v>because the family members before them have used phones and there eyes are ajusted to the screen so when their children are born there eyes are much more normalized to looking at the screen</v>
      </c>
      <c r="N2" s="71" t="str">
        <f>IFERROR(__xludf.DUMMYFUNCTION("""COMPUTED_VALUE"""),"removing resources from the earth")</f>
        <v>removing resources from the earth</v>
      </c>
      <c r="O2" s="71" t="str">
        <f>IFERROR(__xludf.DUMMYFUNCTION("""COMPUTED_VALUE"""),"so you can see where places are i can be inaccurate because the  curves on the globe")</f>
        <v>so you can see where places are i can be inaccurate because the  curves on the globe</v>
      </c>
      <c r="P2" s="71"/>
      <c r="Q2" s="71"/>
      <c r="R2" s="71"/>
      <c r="S2" s="71"/>
      <c r="T2" s="71"/>
      <c r="U2" s="71"/>
    </row>
    <row r="3">
      <c r="A3" s="128">
        <f>IFERROR(__xludf.DUMMYFUNCTION("""COMPUTED_VALUE"""),45891.428579976855)</f>
        <v>45891.42858</v>
      </c>
      <c r="B3" s="71" t="str">
        <f>IFERROR(__xludf.DUMMYFUNCTION("""COMPUTED_VALUE"""),"kaegan.zimbelmann@kairosacademies.org")</f>
        <v>kaegan.zimbelmann@kairosacademies.org</v>
      </c>
      <c r="C3" s="71" t="str">
        <f>IFERROR(__xludf.DUMMYFUNCTION("""COMPUTED_VALUE"""),"water source   and nutrient source")</f>
        <v>water source   and nutrient source</v>
      </c>
      <c r="D3" s="71" t="str">
        <f>IFERROR(__xludf.DUMMYFUNCTION("""COMPUTED_VALUE"""),"sunlight to sugar")</f>
        <v>sunlight to sugar</v>
      </c>
      <c r="E3" s="71" t="str">
        <f>IFERROR(__xludf.DUMMYFUNCTION("""COMPUTED_VALUE"""),"they both get recycled")</f>
        <v>they both get recycled</v>
      </c>
      <c r="F3" s="71" t="str">
        <f>IFERROR(__xludf.DUMMYFUNCTION("""COMPUTED_VALUE"""),"murder them")</f>
        <v>murder them</v>
      </c>
      <c r="G3" s="71" t="str">
        <f>IFERROR(__xludf.DUMMYFUNCTION("""COMPUTED_VALUE"""),"lava hardness into obsidion and then the obsidion is kinda a glass material
and i dont know what else ")</f>
        <v>lava hardness into obsidion and then the obsidion is kinda a glass material
and i dont know what else </v>
      </c>
      <c r="H3" s="71" t="str">
        <f>IFERROR(__xludf.DUMMYFUNCTION("""COMPUTED_VALUE"""),"two things colide and makes it")</f>
        <v>two things colide and makes it</v>
      </c>
      <c r="I3" s="71" t="str">
        <f>IFERROR(__xludf.DUMMYFUNCTION("""COMPUTED_VALUE"""),"gravity and wind resistence")</f>
        <v>gravity and wind resistence</v>
      </c>
      <c r="J3" s="71" t="str">
        <f>IFERROR(__xludf.DUMMYFUNCTION("""COMPUTED_VALUE"""),"the wave because the sound will be trapped underwater")</f>
        <v>the wave because the sound will be trapped underwater</v>
      </c>
      <c r="K3" s="71" t="str">
        <f>IFERROR(__xludf.DUMMYFUNCTION("""COMPUTED_VALUE"""),"internet and wifi  also eletricity poles")</f>
        <v>internet and wifi  also eletricity poles</v>
      </c>
      <c r="L3" s="71" t="str">
        <f>IFERROR(__xludf.DUMMYFUNCTION("""COMPUTED_VALUE"""),"cell because its living stuff inside ")</f>
        <v>cell because its living stuff inside </v>
      </c>
      <c r="M3" s="71" t="str">
        <f>IFERROR(__xludf.DUMMYFUNCTION("""COMPUTED_VALUE"""),"its less vibrant ")</f>
        <v>its less vibrant </v>
      </c>
      <c r="N3" s="71" t="str">
        <f>IFERROR(__xludf.DUMMYFUNCTION("""COMPUTED_VALUE"""),"mining can cause air pollution cause the  smoke")</f>
        <v>mining can cause air pollution cause the  smoke</v>
      </c>
      <c r="O3" s="71" t="str">
        <f>IFERROR(__xludf.DUMMYFUNCTION("""COMPUTED_VALUE"""),"because its round and it shows all the countries and area but doesnt know the landscape of the area    ")</f>
        <v>because its round and it shows all the countries and area but doesnt know the landscape of the area    </v>
      </c>
      <c r="P3" s="71"/>
      <c r="Q3" s="71"/>
      <c r="R3" s="71"/>
      <c r="S3" s="71"/>
      <c r="T3" s="71"/>
      <c r="U3" s="71"/>
    </row>
    <row r="4">
      <c r="A4" s="128">
        <f>IFERROR(__xludf.DUMMYFUNCTION("""COMPUTED_VALUE"""),45891.430426087965)</f>
        <v>45891.43043</v>
      </c>
      <c r="B4" s="71" t="str">
        <f>IFERROR(__xludf.DUMMYFUNCTION("""COMPUTED_VALUE"""),"khaleel.muhammad@kairosacademies.org")</f>
        <v>khaleel.muhammad@kairosacademies.org</v>
      </c>
      <c r="C4" s="71" t="str">
        <f>IFERROR(__xludf.DUMMYFUNCTION("""COMPUTED_VALUE"""),"Another environmental factor that can play a major role in how plants grow is the soil that the plant grows in.")</f>
        <v>Another environmental factor that can play a major role in how plants grow is the soil that the plant grows in.</v>
      </c>
      <c r="D4" s="71" t="str">
        <f>IFERROR(__xludf.DUMMYFUNCTION("""COMPUTED_VALUE"""),"Plants take in sunlight and carbon dioxide to make glucose and oxygen. That is called photosynthesis.")</f>
        <v>Plants take in sunlight and carbon dioxide to make glucose and oxygen. That is called photosynthesis.</v>
      </c>
      <c r="E4" s="71" t="str">
        <f>IFERROR(__xludf.DUMMYFUNCTION("""COMPUTED_VALUE"""),"I would have to say that they get absorbed into the soil below and the nutrients that was stored in the plant goes to the soil.")</f>
        <v>I would have to say that they get absorbed into the soil below and the nutrients that was stored in the plant goes to the soil.</v>
      </c>
      <c r="F4" s="71" t="str">
        <f>IFERROR(__xludf.DUMMYFUNCTION("""COMPUTED_VALUE"""),"I would come up with an natural chemicals with no chemicals to spray on the plants that discourage the rabbits. A fence would be good to keep the rabbits out but your gonna have to push the fence down into the ground because the rabbits can burrow into th"&amp;"e ground. I think a natural spray will be more effective")</f>
        <v>I would come up with an natural chemicals with no chemicals to spray on the plants that discourage the rabbits. A fence would be good to keep the rabbits out but your gonna have to push the fence down into the ground because the rabbits can burrow into the ground. I think a natural spray will be more effective</v>
      </c>
      <c r="G4" s="71" t="str">
        <f>IFERROR(__xludf.DUMMYFUNCTION("""COMPUTED_VALUE"""),"Maybe from it being passed around and broken from other organisms.")</f>
        <v>Maybe from it being passed around and broken from other organisms.</v>
      </c>
      <c r="H4" s="71" t="str">
        <f>IFERROR(__xludf.DUMMYFUNCTION("""COMPUTED_VALUE"""),"The tectonic plates collide and push up together, forming the volcano's.")</f>
        <v>The tectonic plates collide and push up together, forming the volcano's.</v>
      </c>
      <c r="I4" s="71" t="str">
        <f>IFERROR(__xludf.DUMMYFUNCTION("""COMPUTED_VALUE"""),"Gravity and air resistance.")</f>
        <v>Gravity and air resistance.</v>
      </c>
      <c r="J4" s="71" t="str">
        <f>IFERROR(__xludf.DUMMYFUNCTION("""COMPUTED_VALUE"""),"I think the sound would arrive first. Even though its slower than light it still travels at about 767 miles per hour. Thats much faster than a wave can form.")</f>
        <v>I think the sound would arrive first. Even though its slower than light it still travels at about 767 miles per hour. Thats much faster than a wave can form.</v>
      </c>
      <c r="K4" s="71" t="str">
        <f>IFERROR(__xludf.DUMMYFUNCTION("""COMPUTED_VALUE"""),"I think from the cell towers that are built around that give the phones service that allow them to connect without wires.")</f>
        <v>I think from the cell towers that are built around that give the phones service that allow them to connect without wires.</v>
      </c>
      <c r="L4" s="71" t="str">
        <f>IFERROR(__xludf.DUMMYFUNCTION("""COMPUTED_VALUE"""),"I think of it as a multicellular organism. if it was to be an organism because the parts are different just like the organelles in cells.")</f>
        <v>I think of it as a multicellular organism. if it was to be an organism because the parts are different just like the organelles in cells.</v>
      </c>
      <c r="M4" s="71" t="str">
        <f>IFERROR(__xludf.DUMMYFUNCTION("""COMPUTED_VALUE"""),"genetics and dna are transferred down from parent to offspring, giving them the same traits.")</f>
        <v>genetics and dna are transferred down from parent to offspring, giving them the same traits.</v>
      </c>
      <c r="N4" s="71" t="str">
        <f>IFERROR(__xludf.DUMMYFUNCTION("""COMPUTED_VALUE"""),"if its mining for fossil fuels it can be bad because after the fossil fuels get burned which releases carbon dioxide which is harmful.")</f>
        <v>if its mining for fossil fuels it can be bad because after the fossil fuels get burned which releases carbon dioxide which is harmful.</v>
      </c>
      <c r="O4" s="71" t="str">
        <f>IFERROR(__xludf.DUMMYFUNCTION("""COMPUTED_VALUE"""),"One way the globe is useful is we can know where the landmasses are and how they look. A way it can be inaccurate is that it can distort how it look and the locations of things can be out of place.")</f>
        <v>One way the globe is useful is we can know where the landmasses are and how they look. A way it can be inaccurate is that it can distort how it look and the locations of things can be out of place.</v>
      </c>
      <c r="P4" s="71"/>
      <c r="Q4" s="71"/>
      <c r="R4" s="71"/>
      <c r="S4" s="71"/>
      <c r="T4" s="71"/>
      <c r="U4" s="71"/>
    </row>
    <row r="5">
      <c r="A5" s="128">
        <f>IFERROR(__xludf.DUMMYFUNCTION("""COMPUTED_VALUE"""),45891.42944048611)</f>
        <v>45891.42944</v>
      </c>
      <c r="B5" s="71" t="str">
        <f>IFERROR(__xludf.DUMMYFUNCTION("""COMPUTED_VALUE"""),"jackeydon.boykin@kairosacademies.org")</f>
        <v>jackeydon.boykin@kairosacademies.org</v>
      </c>
      <c r="C5" s="71" t="str">
        <f>IFERROR(__xludf.DUMMYFUNCTION("""COMPUTED_VALUE"""),"how much water and energy it gets")</f>
        <v>how much water and energy it gets</v>
      </c>
      <c r="D5" s="71" t="str">
        <f>IFERROR(__xludf.DUMMYFUNCTION("""COMPUTED_VALUE"""),"sugar to the form of reusuable energy ")</f>
        <v>sugar to the form of reusuable energy </v>
      </c>
      <c r="E5" s="71" t="str">
        <f>IFERROR(__xludf.DUMMYFUNCTION("""COMPUTED_VALUE"""),"yes they both do get recycled because of decomposers")</f>
        <v>yes they both do get recycled because of decomposers</v>
      </c>
      <c r="F5" s="71" t="str">
        <f>IFERROR(__xludf.DUMMYFUNCTION("""COMPUTED_VALUE"""),"Make a barrier/ electrical fence")</f>
        <v>Make a barrier/ electrical fence</v>
      </c>
      <c r="G5" s="71" t="str">
        <f>IFERROR(__xludf.DUMMYFUNCTION("""COMPUTED_VALUE"""),"it could becomes tiny grains of sand over time from water pushing up against it aka erosion")</f>
        <v>it could becomes tiny grains of sand over time from water pushing up against it aka erosion</v>
      </c>
      <c r="H5" s="71" t="str">
        <f>IFERROR(__xludf.DUMMYFUNCTION("""COMPUTED_VALUE"""),"too many convergent boundaries")</f>
        <v>too many convergent boundaries</v>
      </c>
      <c r="I5" s="71" t="str">
        <f>IFERROR(__xludf.DUMMYFUNCTION("""COMPUTED_VALUE"""),"gravity, and accelartion")</f>
        <v>gravity, and accelartion</v>
      </c>
      <c r="J5" s="71" t="str">
        <f>IFERROR(__xludf.DUMMYFUNCTION("""COMPUTED_VALUE"""),"The tsunami would because the eruption happened so far under the water")</f>
        <v>The tsunami would because the eruption happened so far under the water</v>
      </c>
      <c r="K5" s="71" t="str">
        <f>IFERROR(__xludf.DUMMYFUNCTION("""COMPUTED_VALUE"""),"it sends those signals through the air because of the electric posts and signal pole outside everywhere")</f>
        <v>it sends those signals through the air because of the electric posts and signal pole outside everywhere</v>
      </c>
      <c r="L5" s="71" t="str">
        <f>IFERROR(__xludf.DUMMYFUNCTION("""COMPUTED_VALUE"""),"A single living cell because a single living cell has a never ending cycle of continuing its job")</f>
        <v>A single living cell because a single living cell has a never ending cycle of continuing its job</v>
      </c>
      <c r="M5" s="71" t="str">
        <f>IFERROR(__xludf.DUMMYFUNCTION("""COMPUTED_VALUE"""),"Traits like this is passed down through the mother and father combining their ""cells"" ti make a child that will have some of both of their traits ")</f>
        <v>Traits like this is passed down through the mother and father combining their "cells" ti make a child that will have some of both of their traits </v>
      </c>
      <c r="N5" s="71" t="str">
        <f>IFERROR(__xludf.DUMMYFUNCTION("""COMPUTED_VALUE"""),"over use of materials when the world runs out of this material it will be very hard to obtain this metal so no one would be able to buy the same kind of phone again")</f>
        <v>over use of materials when the world runs out of this material it will be very hard to obtain this metal so no one would be able to buy the same kind of phone again</v>
      </c>
      <c r="O5" s="71" t="str">
        <f>IFERROR(__xludf.DUMMYFUNCTION("""COMPUTED_VALUE"""),"The globe is a useful model because it is almost an eye to eye model but it is limited because you cant see some details in islands like jamaica")</f>
        <v>The globe is a useful model because it is almost an eye to eye model but it is limited because you cant see some details in islands like jamaica</v>
      </c>
      <c r="P5" s="71"/>
      <c r="Q5" s="71"/>
      <c r="R5" s="71"/>
      <c r="S5" s="71"/>
      <c r="T5" s="71"/>
      <c r="U5" s="71"/>
    </row>
    <row r="6">
      <c r="A6" s="128">
        <f>IFERROR(__xludf.DUMMYFUNCTION("""COMPUTED_VALUE"""),45891.429567893516)</f>
        <v>45891.42957</v>
      </c>
      <c r="B6" s="71" t="str">
        <f>IFERROR(__xludf.DUMMYFUNCTION("""COMPUTED_VALUE"""),"henry.hardy@kairosacademies.org")</f>
        <v>henry.hardy@kairosacademies.org</v>
      </c>
      <c r="C6" s="71" t="str">
        <f>IFERROR(__xludf.DUMMYFUNCTION("""COMPUTED_VALUE"""),"The amount of water that they get.")</f>
        <v>The amount of water that they get.</v>
      </c>
      <c r="D6" s="71" t="str">
        <f>IFERROR(__xludf.DUMMYFUNCTION("""COMPUTED_VALUE"""),"glucose, plant")</f>
        <v>glucose, plant</v>
      </c>
      <c r="E6" s="71" t="str">
        <f>IFERROR(__xludf.DUMMYFUNCTION("""COMPUTED_VALUE"""),"they decompose and become nutritious")</f>
        <v>they decompose and become nutritious</v>
      </c>
      <c r="F6" s="71" t="str">
        <f>IFERROR(__xludf.DUMMYFUNCTION("""COMPUTED_VALUE"""),"I could put a net over the plants")</f>
        <v>I could put a net over the plants</v>
      </c>
      <c r="G6" s="71" t="str">
        <f>IFERROR(__xludf.DUMMYFUNCTION("""COMPUTED_VALUE"""),"over years they could be broken by hitting against each other or and ")</f>
        <v>over years they could be broken by hitting against each other or and </v>
      </c>
      <c r="H6" s="71" t="str">
        <f>IFERROR(__xludf.DUMMYFUNCTION("""COMPUTED_VALUE"""),"A build up of pressure makes the lava rise until it explodes from the pressure")</f>
        <v>A build up of pressure makes the lava rise until it explodes from the pressure</v>
      </c>
      <c r="I6" s="71" t="str">
        <f>IFERROR(__xludf.DUMMYFUNCTION("""COMPUTED_VALUE"""),"I cant remember")</f>
        <v>I cant remember</v>
      </c>
      <c r="J6" s="71" t="str">
        <f>IFERROR(__xludf.DUMMYFUNCTION("""COMPUTED_VALUE"""),"Sound because the speed of sound is exactly 343 m / s fast or 760 mph")</f>
        <v>Sound because the speed of sound is exactly 343 m / s fast or 760 mph</v>
      </c>
      <c r="K6" s="71" t="str">
        <f>IFERROR(__xludf.DUMMYFUNCTION("""COMPUTED_VALUE"""),"signal towers
")</f>
        <v>signal towers
</v>
      </c>
      <c r="L6" s="71" t="str">
        <f>IFERROR(__xludf.DUMMYFUNCTION("""COMPUTED_VALUE"""),"A phone because just like the body you can't live without some of the body parts or in this case parts it can't work")</f>
        <v>A phone because just like the body you can't live without some of the body parts or in this case parts it can't work</v>
      </c>
      <c r="M6" s="71" t="str">
        <f>IFERROR(__xludf.DUMMYFUNCTION("""COMPUTED_VALUE"""),"the genes will help with not getting color blindness")</f>
        <v>the genes will help with not getting color blindness</v>
      </c>
      <c r="N6" s="71" t="str">
        <f>IFERROR(__xludf.DUMMYFUNCTION("""COMPUTED_VALUE"""),"we might run out of that material")</f>
        <v>we might run out of that material</v>
      </c>
      <c r="O6" s="71" t="str">
        <f>IFERROR(__xludf.DUMMYFUNCTION("""COMPUTED_VALUE"""),"Its going to help with the way its made  we haven't seen the entire planet.")</f>
        <v>Its going to help with the way its made  we haven't seen the entire planet.</v>
      </c>
      <c r="P6" s="71"/>
      <c r="Q6" s="71"/>
      <c r="R6" s="71"/>
      <c r="S6" s="71"/>
      <c r="T6" s="71"/>
      <c r="U6" s="71"/>
    </row>
    <row r="7">
      <c r="A7" s="128">
        <f>IFERROR(__xludf.DUMMYFUNCTION("""COMPUTED_VALUE"""),45891.431117245374)</f>
        <v>45891.43112</v>
      </c>
      <c r="B7" s="71" t="str">
        <f>IFERROR(__xludf.DUMMYFUNCTION("""COMPUTED_VALUE"""),"deshaun.andrews@kairosacademies.org")</f>
        <v>deshaun.andrews@kairosacademies.org</v>
      </c>
      <c r="C7" s="71" t="str">
        <f>IFERROR(__xludf.DUMMYFUNCTION("""COMPUTED_VALUE"""),"lack of water ")</f>
        <v>lack of water </v>
      </c>
      <c r="D7" s="71" t="str">
        <f>IFERROR(__xludf.DUMMYFUNCTION("""COMPUTED_VALUE"""),"sunlight glucose")</f>
        <v>sunlight glucose</v>
      </c>
      <c r="E7" s="71" t="str">
        <f>IFERROR(__xludf.DUMMYFUNCTION("""COMPUTED_VALUE"""),"they go into the soil and the go into another plant")</f>
        <v>they go into the soil and the go into another plant</v>
      </c>
      <c r="F7" s="71" t="str">
        <f>IFERROR(__xludf.DUMMYFUNCTION("""COMPUTED_VALUE"""),"build a large fence  just in case the plant grows large .")</f>
        <v>build a large fence  just in case the plant grows large .</v>
      </c>
      <c r="G7" s="71" t="str">
        <f>IFERROR(__xludf.DUMMYFUNCTION("""COMPUTED_VALUE"""),"it breaks down over time")</f>
        <v>it breaks down over time</v>
      </c>
      <c r="H7" s="71" t="str">
        <f>IFERROR(__xludf.DUMMYFUNCTION("""COMPUTED_VALUE"""),"the plates start you rub against each other ")</f>
        <v>the plates start you rub against each other </v>
      </c>
      <c r="I7" s="71" t="str">
        <f>IFERROR(__xludf.DUMMYFUNCTION("""COMPUTED_VALUE"""),"atmosphere and stratosphere ")</f>
        <v>atmosphere and stratosphere </v>
      </c>
      <c r="J7" s="71" t="str">
        <f>IFERROR(__xludf.DUMMYFUNCTION("""COMPUTED_VALUE"""),"the volcanic eruption because it doesn't take long for a volcano to erupt ")</f>
        <v>the volcanic eruption because it doesn't take long for a volcano to erupt </v>
      </c>
      <c r="K7" s="71" t="str">
        <f>IFERROR(__xludf.DUMMYFUNCTION("""COMPUTED_VALUE"""),"the satlite take the message or video and sends it down")</f>
        <v>the satlite take the message or video and sends it down</v>
      </c>
      <c r="L7" s="71" t="str">
        <f>IFERROR(__xludf.DUMMYFUNCTION("""COMPUTED_VALUE"""),"a cell, because a cell develop everyday")</f>
        <v>a cell, because a cell develop everyday</v>
      </c>
      <c r="M7" s="71" t="str">
        <f>IFERROR(__xludf.DUMMYFUNCTION("""COMPUTED_VALUE"""),"genes and cells")</f>
        <v>genes and cells</v>
      </c>
      <c r="N7" s="71" t="str">
        <f>IFERROR(__xludf.DUMMYFUNCTION("""COMPUTED_VALUE"""),"you cant always find the metals that you need  ")</f>
        <v>you cant always find the metals that you need  </v>
      </c>
      <c r="O7" s="71" t="str">
        <f>IFERROR(__xludf.DUMMYFUNCTION("""COMPUTED_VALUE"""),"if you have a project and you have to model a globe and one way its inaccurate is it doesn't have all the details.")</f>
        <v>if you have a project and you have to model a globe and one way its inaccurate is it doesn't have all the details.</v>
      </c>
      <c r="P7" s="71"/>
      <c r="Q7" s="71"/>
      <c r="R7" s="71"/>
      <c r="S7" s="71"/>
      <c r="T7" s="71"/>
      <c r="U7" s="71"/>
    </row>
    <row r="8">
      <c r="A8" s="128">
        <f>IFERROR(__xludf.DUMMYFUNCTION("""COMPUTED_VALUE"""),45891.43410042825)</f>
        <v>45891.4341</v>
      </c>
      <c r="B8" s="71" t="str">
        <f>IFERROR(__xludf.DUMMYFUNCTION("""COMPUTED_VALUE"""),"jhariya.ward@kairosacademies.org")</f>
        <v>jhariya.ward@kairosacademies.org</v>
      </c>
      <c r="C8" s="71" t="str">
        <f>IFERROR(__xludf.DUMMYFUNCTION("""COMPUTED_VALUE"""),"water")</f>
        <v>water</v>
      </c>
      <c r="D8" s="71" t="str">
        <f>IFERROR(__xludf.DUMMYFUNCTION("""COMPUTED_VALUE"""),"the energy changes from the form of chemical to kinetic")</f>
        <v>the energy changes from the form of chemical to kinetic</v>
      </c>
      <c r="E8" s="71" t="str">
        <f>IFERROR(__xludf.DUMMYFUNCTION("""COMPUTED_VALUE"""),"yea i think so")</f>
        <v>yea i think so</v>
      </c>
      <c r="F8" s="71" t="str">
        <f>IFERROR(__xludf.DUMMYFUNCTION("""COMPUTED_VALUE"""),"a fence and a trap like if they step on the line it'll spray ")</f>
        <v>a fence and a trap like if they step on the line it'll spray </v>
      </c>
      <c r="G8" s="71" t="str">
        <f>IFERROR(__xludf.DUMMYFUNCTION("""COMPUTED_VALUE"""),"it desolves?")</f>
        <v>it desolves?</v>
      </c>
      <c r="H8" s="71" t="str">
        <f>IFERROR(__xludf.DUMMYFUNCTION("""COMPUTED_VALUE"""),"maybe plate tectonics?")</f>
        <v>maybe plate tectonics?</v>
      </c>
      <c r="I8" s="71" t="str">
        <f>IFERROR(__xludf.DUMMYFUNCTION("""COMPUTED_VALUE"""),"gravity and air resistance")</f>
        <v>gravity and air resistance</v>
      </c>
      <c r="J8" s="71" t="str">
        <f>IFERROR(__xludf.DUMMYFUNCTION("""COMPUTED_VALUE"""),"the sound because people could here that in about 10 minutes rather than the tsunami it would take about an hour to an hour and a half")</f>
        <v>the sound because people could here that in about 10 minutes rather than the tsunami it would take about an hour to an hour and a half</v>
      </c>
      <c r="K8" s="71" t="str">
        <f>IFERROR(__xludf.DUMMYFUNCTION("""COMPUTED_VALUE"""),"cell towers and a bunch of batterys")</f>
        <v>cell towers and a bunch of batterys</v>
      </c>
      <c r="L8" s="71" t="str">
        <f>IFERROR(__xludf.DUMMYFUNCTION("""COMPUTED_VALUE"""),"A cell is more complex because its parts work together to keep it alive, unlike a phone’s parts which only work when designed and powered by humans.
")</f>
        <v>A cell is more complex because its parts work together to keep it alive, unlike a phone’s parts which only work when designed and powered by humans.
</v>
      </c>
      <c r="M8" s="71" t="str">
        <f>IFERROR(__xludf.DUMMYFUNCTION("""COMPUTED_VALUE"""),"Traits like seeing colors are passed down through genes, which are pieces of DNA that children inherit from their parents.")</f>
        <v>Traits like seeing colors are passed down through genes, which are pieces of DNA that children inherit from their parents.</v>
      </c>
      <c r="N8" s="71" t="str">
        <f>IFERROR(__xludf.DUMMYFUNCTION("""COMPUTED_VALUE"""),"Mining for metals can harm the environment by destroying habitats and polluting the land and water.")</f>
        <v>Mining for metals can harm the environment by destroying habitats and polluting the land and water.</v>
      </c>
      <c r="O8" s="71" t="str">
        <f>IFERROR(__xludf.DUMMYFUNCTION("""COMPUTED_VALUE"""),"It’s too small to show the real size and details of Earth.
")</f>
        <v>It’s too small to show the real size and details of Earth.
</v>
      </c>
      <c r="P8" s="71"/>
      <c r="Q8" s="71"/>
      <c r="R8" s="71"/>
      <c r="S8" s="71"/>
      <c r="T8" s="71"/>
      <c r="U8" s="71"/>
    </row>
    <row r="9">
      <c r="A9" s="128">
        <f>IFERROR(__xludf.DUMMYFUNCTION("""COMPUTED_VALUE"""),45891.4343665625)</f>
        <v>45891.43437</v>
      </c>
      <c r="B9" s="71" t="str">
        <f>IFERROR(__xludf.DUMMYFUNCTION("""COMPUTED_VALUE"""),"michael.frazier@kairosacademies.org")</f>
        <v>michael.frazier@kairosacademies.org</v>
      </c>
      <c r="C9" s="71" t="str">
        <f>IFERROR(__xludf.DUMMYFUNCTION("""COMPUTED_VALUE"""),"how much water they will get and how much nutrients the soil have 
")</f>
        <v>how much water they will get and how much nutrients the soil have 
</v>
      </c>
      <c r="D9" s="71" t="str">
        <f>IFERROR(__xludf.DUMMYFUNCTION("""COMPUTED_VALUE"""),"form of sun energy to the form of photosynthesis energy ")</f>
        <v>form of sun energy to the form of photosynthesis energy </v>
      </c>
      <c r="E9" s="71" t="str">
        <f>IFERROR(__xludf.DUMMYFUNCTION("""COMPUTED_VALUE"""),"they both get decomposed ")</f>
        <v>they both get decomposed </v>
      </c>
      <c r="F9" s="71" t="str">
        <f>IFERROR(__xludf.DUMMYFUNCTION("""COMPUTED_VALUE"""),"a fence bunny can go under the fence but  the spray will most likey")</f>
        <v>a fence bunny can go under the fence but  the spray will most likey</v>
      </c>
      <c r="G9" s="71" t="str">
        <f>IFERROR(__xludf.DUMMYFUNCTION("""COMPUTED_VALUE"""),"they are constenly being decomposed ")</f>
        <v>they are constenly being decomposed </v>
      </c>
      <c r="H9" s="71" t="str">
        <f>IFERROR(__xludf.DUMMYFUNCTION("""COMPUTED_VALUE"""),"titanic plates ")</f>
        <v>titanic plates </v>
      </c>
      <c r="I9" s="71" t="str">
        <f>IFERROR(__xludf.DUMMYFUNCTION("""COMPUTED_VALUE"""),"weight and force ")</f>
        <v>weight and force </v>
      </c>
      <c r="J9" s="71" t="str">
        <f>IFERROR(__xludf.DUMMYFUNCTION("""COMPUTED_VALUE"""),"idk this tho")</f>
        <v>idk this tho</v>
      </c>
      <c r="K9" s="71" t="str">
        <f>IFERROR(__xludf.DUMMYFUNCTION("""COMPUTED_VALUE"""),"the satellite sends waves trough the phone or signal waves ")</f>
        <v>the satellite sends waves trough the phone or signal waves </v>
      </c>
      <c r="L9" s="71" t="str">
        <f>IFERROR(__xludf.DUMMYFUNCTION("""COMPUTED_VALUE"""),"a single living cell because it is a complete living thing  no just technolgy ")</f>
        <v>a single living cell because it is a complete living thing  no just technolgy </v>
      </c>
      <c r="M9" s="71" t="str">
        <f>IFERROR(__xludf.DUMMYFUNCTION("""COMPUTED_VALUE"""),"trough their genes and dna ")</f>
        <v>trough their genes and dna </v>
      </c>
      <c r="N9" s="71" t="str">
        <f>IFERROR(__xludf.DUMMYFUNCTION("""COMPUTED_VALUE"""),"air pulltion ig")</f>
        <v>air pulltion ig</v>
      </c>
      <c r="O9" s="71" t="str">
        <f>IFERROR(__xludf.DUMMYFUNCTION("""COMPUTED_VALUE"""),"its a complte replica of the earth and locate states and its inacurate because  they are made by humans and they make mistakes  ")</f>
        <v>its a complte replica of the earth and locate states and its inacurate because  they are made by humans and they make mistakes  </v>
      </c>
      <c r="P9" s="71"/>
      <c r="Q9" s="71"/>
      <c r="R9" s="71"/>
      <c r="S9" s="71"/>
      <c r="T9" s="71"/>
      <c r="U9" s="71"/>
    </row>
    <row r="10">
      <c r="A10" s="128">
        <f>IFERROR(__xludf.DUMMYFUNCTION("""COMPUTED_VALUE"""),45891.43462137732)</f>
        <v>45891.43462</v>
      </c>
      <c r="B10" s="71" t="str">
        <f>IFERROR(__xludf.DUMMYFUNCTION("""COMPUTED_VALUE"""),"mya.frazier@kairosacademies.org")</f>
        <v>mya.frazier@kairosacademies.org</v>
      </c>
      <c r="C10" s="71" t="str">
        <f>IFERROR(__xludf.DUMMYFUNCTION("""COMPUTED_VALUE"""),"besides sunlight another environmental factor is, the amount of water they get, and how much shade blocks the plants from ACTUALLY getting the amount of sunlight they need.")</f>
        <v>besides sunlight another environmental factor is, the amount of water they get, and how much shade blocks the plants from ACTUALLY getting the amount of sunlight they need.</v>
      </c>
      <c r="D10" s="71" t="str">
        <f>IFERROR(__xludf.DUMMYFUNCTION("""COMPUTED_VALUE"""),"the energy changes from the form of sunlight , to the form of solar energy which is the way of photosynthesis. The backwards equation for photosynthesis would be celluar respiration.")</f>
        <v>the energy changes from the form of sunlight , to the form of solar energy which is the way of photosynthesis. The backwards equation for photosynthesis would be celluar respiration.</v>
      </c>
      <c r="E10" s="71" t="str">
        <f>IFERROR(__xludf.DUMMYFUNCTION("""COMPUTED_VALUE"""),"no, the energy and those molecules are still there, decomposers eat those and they eat those rotten plants, and that energy coverts into the animal that ate those rotten plants, or it can sink into the ground and become a plant later on.")</f>
        <v>no, the energy and those molecules are still there, decomposers eat those and they eat those rotten plants, and that energy coverts into the animal that ate those rotten plants, or it can sink into the ground and become a plant later on.</v>
      </c>
      <c r="F10" s="71" t="str">
        <f>IFERROR(__xludf.DUMMYFUNCTION("""COMPUTED_VALUE"""),"i would use a fence and spary. you never know what an animal or a human is TRULY made out of untill you see it for yourself.")</f>
        <v>i would use a fence and spary. you never know what an animal or a human is TRULY made out of untill you see it for yourself.</v>
      </c>
      <c r="G10" s="71" t="str">
        <f>IFERROR(__xludf.DUMMYFUNCTION("""COMPUTED_VALUE"""),"""
i think that that rock over millions of years, it could have became sand by, even though rocks dont ""melt"" that hard molten rock used to be lava if the rock gets overly wet, i think it could become undry and turn into sand")</f>
        <v>"
i think that that rock over millions of years, it could have became sand by, even though rocks dont "melt" that hard molten rock used to be lava if the rock gets overly wet, i think it could become undry and turn into sand</v>
      </c>
      <c r="H10" s="71" t="str">
        <f>IFERROR(__xludf.DUMMYFUNCTION("""COMPUTED_VALUE"""),"i think the titonic plates there are where they rub the most, and when the rub they create earthquakes, which can make new miuntains from seperating the land.")</f>
        <v>i think the titonic plates there are where they rub the most, and when the rub they create earthquakes, which can make new miuntains from seperating the land.</v>
      </c>
      <c r="I10" s="71" t="str">
        <f>IFERROR(__xludf.DUMMYFUNCTION("""COMPUTED_VALUE"""),"md k")</f>
        <v>md k</v>
      </c>
      <c r="J10" s="71" t="str">
        <f>IFERROR(__xludf.DUMMYFUNCTION("""COMPUTED_VALUE"""),"i think the eruption would reach fastrer, sound travels faster through the ground, i heard it in a anime. in water it goes a little more slower than the way it does when it travels through the ground.")</f>
        <v>i think the eruption would reach fastrer, sound travels faster through the ground, i heard it in a anime. in water it goes a little more slower than the way it does when it travels through the ground.</v>
      </c>
      <c r="K10" s="71" t="str">
        <f>IFERROR(__xludf.DUMMYFUNCTION("""COMPUTED_VALUE"""),"i think everything in the world is connected even though everything isnt LITTERALY connected, we all have some type of connection no matter how bad you think we dont. The wifi, which is used from people and the sattilte  which goes around the world which "&amp;"is where our phones are connected too")</f>
        <v>i think everything in the world is connected even though everything isnt LITTERALY connected, we all have some type of connection no matter how bad you think we dont. The wifi, which is used from people and the sattilte  which goes around the world which is where our phones are connected too</v>
      </c>
      <c r="L10" s="71" t="str">
        <f>IFERROR(__xludf.DUMMYFUNCTION("""COMPUTED_VALUE"""),"i think a cell has a more complex way of living, they have to follow a same routine every single day, one little mistake can mess up a persons body, or even a plants organizam.")</f>
        <v>i think a cell has a more complex way of living, they have to follow a same routine every single day, one little mistake can mess up a persons body, or even a plants organizam.</v>
      </c>
      <c r="M10" s="71" t="str">
        <f>IFERROR(__xludf.DUMMYFUNCTION("""COMPUTED_VALUE"""),"traits like being able to see are passsed down by, genes and the ability to see those colors are made into the phone so YOU can be able to see those things.")</f>
        <v>traits like being able to see are passsed down by, genes and the ability to see those colors are made into the phone so YOU can be able to see those things.</v>
      </c>
      <c r="N10" s="71" t="str">
        <f>IFERROR(__xludf.DUMMYFUNCTION("""COMPUTED_VALUE"""),"it could damage a certain enviroment people live in, or animals.")</f>
        <v>it could damage a certain enviroment people live in, or animals.</v>
      </c>
      <c r="O10" s="71" t="str">
        <f>IFERROR(__xludf.DUMMYFUNCTION("""COMPUTED_VALUE"""),"even though its an earth globe, you never know what is actually accurate unless you see it for yourself. so the globe is innacursate")</f>
        <v>even though its an earth globe, you never know what is actually accurate unless you see it for yourself. so the globe is innacursate</v>
      </c>
      <c r="P10" s="71"/>
      <c r="Q10" s="71"/>
      <c r="R10" s="71"/>
      <c r="S10" s="71"/>
      <c r="T10" s="71"/>
      <c r="U10" s="71"/>
    </row>
    <row r="11">
      <c r="A11" s="128">
        <f>IFERROR(__xludf.DUMMYFUNCTION("""COMPUTED_VALUE"""),45891.434633310186)</f>
        <v>45891.43463</v>
      </c>
      <c r="B11" s="71" t="str">
        <f>IFERROR(__xludf.DUMMYFUNCTION("""COMPUTED_VALUE"""),"alina.watkins@kairosacademies.org")</f>
        <v>alina.watkins@kairosacademies.org</v>
      </c>
      <c r="C11" s="71" t="str">
        <f>IFERROR(__xludf.DUMMYFUNCTION("""COMPUTED_VALUE"""),"The amount of water they get, which can determine the health and  ")</f>
        <v>The amount of water they get, which can determine the health and  </v>
      </c>
      <c r="D11" s="71" t="str">
        <f>IFERROR(__xludf.DUMMYFUNCTION("""COMPUTED_VALUE"""),"Sunlight, Glucose ")</f>
        <v>Sunlight, Glucose </v>
      </c>
      <c r="E11" s="71" t="str">
        <f>IFERROR(__xludf.DUMMYFUNCTION("""COMPUTED_VALUE"""),"The atoms that made up the dead plants separate into more atoms")</f>
        <v>The atoms that made up the dead plants separate into more atoms</v>
      </c>
      <c r="F11" s="71" t="str">
        <f>IFERROR(__xludf.DUMMYFUNCTION("""COMPUTED_VALUE"""),"b")</f>
        <v>b</v>
      </c>
      <c r="G11" s="71" t="str">
        <f>IFERROR(__xludf.DUMMYFUNCTION("""COMPUTED_VALUE"""),"This could happen due to change overtime in the earth's geography which could potentially turn into a beach because of a tectonic shift. All rocks eventually erode, and if the rock breaks off into tinnier pieces of the original rock and ground down to tin"&amp;"y grains of sand with the help of other environmental factors the caused the rock to erode in the first place. ")</f>
        <v>This could happen due to change overtime in the earth's geography which could potentially turn into a beach because of a tectonic shift. All rocks eventually erode, and if the rock breaks off into tinnier pieces of the original rock and ground down to tiny grains of sand with the help of other environmental factors the caused the rock to erode in the first place. </v>
      </c>
      <c r="H11" s="71" t="str">
        <f>IFERROR(__xludf.DUMMYFUNCTION("""COMPUTED_VALUE"""),".")</f>
        <v>.</v>
      </c>
      <c r="I11" s="71" t="str">
        <f>IFERROR(__xludf.DUMMYFUNCTION("""COMPUTED_VALUE"""),".")</f>
        <v>.</v>
      </c>
      <c r="J11" s="71" t="str">
        <f>IFERROR(__xludf.DUMMYFUNCTION("""COMPUTED_VALUE"""),".")</f>
        <v>.</v>
      </c>
      <c r="K11" s="71" t="str">
        <f>IFERROR(__xludf.DUMMYFUNCTION("""COMPUTED_VALUE"""),".")</f>
        <v>.</v>
      </c>
      <c r="L11" s="71" t="str">
        <f>IFERROR(__xludf.DUMMYFUNCTION("""COMPUTED_VALUE"""),".")</f>
        <v>.</v>
      </c>
      <c r="M11" s="71" t="str">
        <f>IFERROR(__xludf.DUMMYFUNCTION("""COMPUTED_VALUE"""),".")</f>
        <v>.</v>
      </c>
      <c r="N11" s="71" t="str">
        <f>IFERROR(__xludf.DUMMYFUNCTION("""COMPUTED_VALUE"""),".")</f>
        <v>.</v>
      </c>
      <c r="O11" s="71" t="str">
        <f>IFERROR(__xludf.DUMMYFUNCTION("""COMPUTED_VALUE"""),".")</f>
        <v>.</v>
      </c>
      <c r="P11" s="71"/>
      <c r="Q11" s="71"/>
      <c r="R11" s="71"/>
      <c r="S11" s="71"/>
      <c r="T11" s="71"/>
      <c r="U11" s="71"/>
    </row>
    <row r="12">
      <c r="A12" s="128">
        <f>IFERROR(__xludf.DUMMYFUNCTION("""COMPUTED_VALUE"""),45891.43465056713)</f>
        <v>45891.43465</v>
      </c>
      <c r="B12" s="71" t="str">
        <f>IFERROR(__xludf.DUMMYFUNCTION("""COMPUTED_VALUE"""),"cali.reinhardt@kairosacademies.org")</f>
        <v>cali.reinhardt@kairosacademies.org</v>
      </c>
      <c r="C12" s="71" t="str">
        <f>IFERROR(__xludf.DUMMYFUNCTION("""COMPUTED_VALUE"""),"Water may also effect those tomatoes too, one might end up wilting due to a lack of water while the other may thrive because it has enough water.")</f>
        <v>Water may also effect those tomatoes too, one might end up wilting due to a lack of water while the other may thrive because it has enough water.</v>
      </c>
      <c r="D12" s="71" t="str">
        <f>IFERROR(__xludf.DUMMYFUNCTION("""COMPUTED_VALUE"""),"The energy changes from the from of sunlight to the form of APT energy..?")</f>
        <v>The energy changes from the from of sunlight to the form of APT energy..?</v>
      </c>
      <c r="E12" s="71" t="str">
        <f>IFERROR(__xludf.DUMMYFUNCTION("""COMPUTED_VALUE"""),"they get decomposed and used as minerals in the soil")</f>
        <v>they get decomposed and used as minerals in the soil</v>
      </c>
      <c r="F12" s="71" t="str">
        <f>IFERROR(__xludf.DUMMYFUNCTION("""COMPUTED_VALUE"""),"You could use natural pesticides vs. a fence, the fence they could possibly jump over or squeeze through but with the natural pesticides will make the plant taste bad and they'll scatter.")</f>
        <v>You could use natural pesticides vs. a fence, the fence they could possibly jump over or squeeze through but with the natural pesticides will make the plant taste bad and they'll scatter.</v>
      </c>
      <c r="G12" s="71" t="str">
        <f>IFERROR(__xludf.DUMMYFUNCTION("""COMPUTED_VALUE"""),"I'm not the most sure but I believe that water would break it down like Erosion.")</f>
        <v>I'm not the most sure but I believe that water would break it down like Erosion.</v>
      </c>
      <c r="H12" s="71" t="str">
        <f>IFERROR(__xludf.DUMMYFUNCTION("""COMPUTED_VALUE"""),"I am aware of the Ring of Fire but I'm not sure what causes all the volcanoes, I apologize.")</f>
        <v>I am aware of the Ring of Fire but I'm not sure what causes all the volcanoes, I apologize.</v>
      </c>
      <c r="I12" s="71" t="str">
        <f>IFERROR(__xludf.DUMMYFUNCTION("""COMPUTED_VALUE"""),"Gravity is pulling it downwards as it falls. I don't have another force to list")</f>
        <v>Gravity is pulling it downwards as it falls. I don't have another force to list</v>
      </c>
      <c r="J12" s="71" t="str">
        <f>IFERROR(__xludf.DUMMYFUNCTION("""COMPUTED_VALUE"""),"I believe the sound would come first because sound is faster in the air than in the water.")</f>
        <v>I believe the sound would come first because sound is faster in the air than in the water.</v>
      </c>
      <c r="K12" s="71" t="str">
        <f>IFERROR(__xludf.DUMMYFUNCTION("""COMPUTED_VALUE"""),"I think it's solar power or something like that?")</f>
        <v>I think it's solar power or something like that?</v>
      </c>
      <c r="L12" s="71" t="str">
        <f>IFERROR(__xludf.DUMMYFUNCTION("""COMPUTED_VALUE"""),"I believe a living cell is more complex but I have no evidence to support my claim")</f>
        <v>I believe a living cell is more complex but I have no evidence to support my claim</v>
      </c>
      <c r="M12" s="71" t="str">
        <f>IFERROR(__xludf.DUMMYFUNCTION("""COMPUTED_VALUE"""),"I'm not sure how to explain it but I know how to answer this question.")</f>
        <v>I'm not sure how to explain it but I know how to answer this question.</v>
      </c>
      <c r="N12" s="71" t="str">
        <f>IFERROR(__xludf.DUMMYFUNCTION("""COMPUTED_VALUE"""),"the negative impact it could have is you could be harming the ecosystem of the things that maybe living in that mine shaft")</f>
        <v>the negative impact it could have is you could be harming the ecosystem of the things that maybe living in that mine shaft</v>
      </c>
      <c r="O12" s="71" t="str">
        <f>IFERROR(__xludf.DUMMYFUNCTION("""COMPUTED_VALUE"""),"One way the globe model is useful is it can help you visibly locate places on the map. A con would be is you may not be able to locate cites or etc.")</f>
        <v>One way the globe model is useful is it can help you visibly locate places on the map. A con would be is you may not be able to locate cites or etc.</v>
      </c>
      <c r="P12" s="71"/>
      <c r="Q12" s="71"/>
      <c r="R12" s="71"/>
      <c r="S12" s="71"/>
      <c r="T12" s="71"/>
      <c r="U12" s="71"/>
    </row>
    <row r="13">
      <c r="A13" s="128">
        <f>IFERROR(__xludf.DUMMYFUNCTION("""COMPUTED_VALUE"""),45891.43472572917)</f>
        <v>45891.43473</v>
      </c>
      <c r="B13" s="71" t="str">
        <f>IFERROR(__xludf.DUMMYFUNCTION("""COMPUTED_VALUE"""),"kelis.nelson@kairosacademies.org")</f>
        <v>kelis.nelson@kairosacademies.org</v>
      </c>
      <c r="C13" s="71" t="str">
        <f>IFERROR(__xludf.DUMMYFUNCTION("""COMPUTED_VALUE"""),"light temperature water humidity and nutrition.")</f>
        <v>light temperature water humidity and nutrition.</v>
      </c>
      <c r="D13" s="71" t="str">
        <f>IFERROR(__xludf.DUMMYFUNCTION("""COMPUTED_VALUE"""),"Energy conversing")</f>
        <v>Energy conversing</v>
      </c>
      <c r="E13" s="71" t="str">
        <f>IFERROR(__xludf.DUMMYFUNCTION("""COMPUTED_VALUE"""),"released when organism break down food.")</f>
        <v>released when organism break down food.</v>
      </c>
      <c r="F13" s="71" t="str">
        <f>IFERROR(__xludf.DUMMYFUNCTION("""COMPUTED_VALUE"""),"put something there that rabbits don't like to keep them away.")</f>
        <v>put something there that rabbits don't like to keep them away.</v>
      </c>
      <c r="G13" s="71" t="str">
        <f>IFERROR(__xludf.DUMMYFUNCTION("""COMPUTED_VALUE"""),"igneous rock")</f>
        <v>igneous rock</v>
      </c>
      <c r="H13" s="71" t="str">
        <f>IFERROR(__xludf.DUMMYFUNCTION("""COMPUTED_VALUE"""),".")</f>
        <v>.</v>
      </c>
      <c r="I13" s="71" t="str">
        <f>IFERROR(__xludf.DUMMYFUNCTION("""COMPUTED_VALUE"""),"lift weight thrust and drag.")</f>
        <v>lift weight thrust and drag.</v>
      </c>
      <c r="J13" s="71" t="str">
        <f>IFERROR(__xludf.DUMMYFUNCTION("""COMPUTED_VALUE"""),".")</f>
        <v>.</v>
      </c>
      <c r="K13" s="71" t="str">
        <f>IFERROR(__xludf.DUMMYFUNCTION("""COMPUTED_VALUE"""),".")</f>
        <v>.</v>
      </c>
      <c r="L13" s="71" t="str">
        <f>IFERROR(__xludf.DUMMYFUNCTION("""COMPUTED_VALUE"""),".")</f>
        <v>.</v>
      </c>
      <c r="M13" s="71" t="str">
        <f>IFERROR(__xludf.DUMMYFUNCTION("""COMPUTED_VALUE"""),".")</f>
        <v>.</v>
      </c>
      <c r="N13" s="71" t="str">
        <f>IFERROR(__xludf.DUMMYFUNCTION("""COMPUTED_VALUE"""),".")</f>
        <v>.</v>
      </c>
      <c r="O13" s="71" t="str">
        <f>IFERROR(__xludf.DUMMYFUNCTION("""COMPUTED_VALUE"""),".")</f>
        <v>.</v>
      </c>
      <c r="P13" s="71"/>
      <c r="Q13" s="71"/>
      <c r="R13" s="71"/>
      <c r="S13" s="71"/>
      <c r="T13" s="71"/>
      <c r="U13" s="71"/>
    </row>
    <row r="14">
      <c r="A14" s="128">
        <f>IFERROR(__xludf.DUMMYFUNCTION("""COMPUTED_VALUE"""),45891.56106315972)</f>
        <v>45891.56106</v>
      </c>
      <c r="B14" s="71" t="str">
        <f>IFERROR(__xludf.DUMMYFUNCTION("""COMPUTED_VALUE"""),"sollal.punch@kairosacademies.org")</f>
        <v>sollal.punch@kairosacademies.org</v>
      </c>
      <c r="C14" s="71" t="str">
        <f>IFERROR(__xludf.DUMMYFUNCTION("""COMPUTED_VALUE"""),"water")</f>
        <v>water</v>
      </c>
      <c r="D14" s="71" t="str">
        <f>IFERROR(__xludf.DUMMYFUNCTION("""COMPUTED_VALUE"""),"physical chemical")</f>
        <v>physical chemical</v>
      </c>
      <c r="E14" s="71" t="str">
        <f>IFERROR(__xludf.DUMMYFUNCTION("""COMPUTED_VALUE"""),"the atoms get destroyed after 30 seconds and the energy also gets destroyed after 30 seconds so neither of them can get recycled")</f>
        <v>the atoms get destroyed after 30 seconds and the energy also gets destroyed after 30 seconds so neither of them can get recycled</v>
      </c>
      <c r="F14" s="71" t="str">
        <f>IFERROR(__xludf.DUMMYFUNCTION("""COMPUTED_VALUE"""),"i will build a fence the rabbit can't go over or under")</f>
        <v>i will build a fence the rabbit can't go over or under</v>
      </c>
      <c r="G14" s="71" t="str">
        <f>IFERROR(__xludf.DUMMYFUNCTION("""COMPUTED_VALUE"""),"the rock could get dissolved into the air")</f>
        <v>the rock could get dissolved into the air</v>
      </c>
      <c r="H14" s="71" t="str">
        <f>IFERROR(__xludf.DUMMYFUNCTION("""COMPUTED_VALUE"""),"the plates are getting too warm and shaky")</f>
        <v>the plates are getting too warm and shaky</v>
      </c>
      <c r="I14" s="71" t="str">
        <f>IFERROR(__xludf.DUMMYFUNCTION("""COMPUTED_VALUE"""),"the flight and eruption")</f>
        <v>the flight and eruption</v>
      </c>
      <c r="J14" s="71" t="str">
        <f>IFERROR(__xludf.DUMMYFUNCTION("""COMPUTED_VALUE"""),"the tsunami wave, because its faster than the sound of the eruption")</f>
        <v>the tsunami wave, because its faster than the sound of the eruption</v>
      </c>
      <c r="K14" s="71" t="str">
        <f>IFERROR(__xludf.DUMMYFUNCTION("""COMPUTED_VALUE"""),"by electricity")</f>
        <v>by electricity</v>
      </c>
      <c r="L14" s="71" t="str">
        <f>IFERROR(__xludf.DUMMYFUNCTION("""COMPUTED_VALUE"""),"a complete phone, because it can do more stuff than a single living cell")</f>
        <v>a complete phone, because it can do more stuff than a single living cell</v>
      </c>
      <c r="M14" s="71" t="str">
        <f>IFERROR(__xludf.DUMMYFUNCTION("""COMPUTED_VALUE"""),"by technical cells")</f>
        <v>by technical cells</v>
      </c>
      <c r="N14" s="71" t="str">
        <f>IFERROR(__xludf.DUMMYFUNCTION("""COMPUTED_VALUE"""),"it could hurt the animals and damage the wild")</f>
        <v>it could hurt the animals and damage the wild</v>
      </c>
      <c r="O14" s="71" t="str">
        <f>IFERROR(__xludf.DUMMYFUNCTION("""COMPUTED_VALUE"""),"its a useful model because there are many people who dont know where china or any other contury is and it's limited because theres no such thing as unlimited continents")</f>
        <v>its a useful model because there are many people who dont know where china or any other contury is and it's limited because theres no such thing as unlimited continents</v>
      </c>
      <c r="P14" s="71"/>
      <c r="Q14" s="71"/>
      <c r="R14" s="71"/>
      <c r="S14" s="71"/>
      <c r="T14" s="71"/>
      <c r="U14" s="71"/>
    </row>
    <row r="15">
      <c r="A15" s="128">
        <f>IFERROR(__xludf.DUMMYFUNCTION("""COMPUTED_VALUE"""),45891.581774363425)</f>
        <v>45891.58177</v>
      </c>
      <c r="B15" s="71" t="str">
        <f>IFERROR(__xludf.DUMMYFUNCTION("""COMPUTED_VALUE"""),"eli.wilcox@kairosacademies.org")</f>
        <v>eli.wilcox@kairosacademies.org</v>
      </c>
      <c r="C15" s="71" t="str">
        <f>IFERROR(__xludf.DUMMYFUNCTION("""COMPUTED_VALUE"""),"differnt soil, lack of water of excessive water intake.")</f>
        <v>differnt soil, lack of water of excessive water intake.</v>
      </c>
      <c r="D15" s="71" t="str">
        <f>IFERROR(__xludf.DUMMYFUNCTION("""COMPUTED_VALUE"""),"edible resources to the form of usable energy")</f>
        <v>edible resources to the form of usable energy</v>
      </c>
      <c r="E15" s="71" t="str">
        <f>IFERROR(__xludf.DUMMYFUNCTION("""COMPUTED_VALUE"""),"the atoms form in to a new fruit/ vegetable/ nut. since energy can not be destroyed that energy gets turned into something useful like using energy to make a new plant.")</f>
        <v>the atoms form in to a new fruit/ vegetable/ nut. since energy can not be destroyed that energy gets turned into something useful like using energy to make a new plant.</v>
      </c>
      <c r="F15" s="71" t="str">
        <f>IFERROR(__xludf.DUMMYFUNCTION("""COMPUTED_VALUE"""),"a spry would be most logical be cause rabbits can easily dig under the fence  but a spary would act like a repelent.")</f>
        <v>a spry would be most logical be cause rabbits can easily dig under the fence  but a spary would act like a repelent.</v>
      </c>
      <c r="G15" s="71" t="str">
        <f>IFERROR(__xludf.DUMMYFUNCTION("""COMPUTED_VALUE"""),"eroision and it falling and shattering ")</f>
        <v>eroision and it falling and shattering </v>
      </c>
      <c r="H15" s="71" t="str">
        <f>IFERROR(__xludf.DUMMYFUNCTION("""COMPUTED_VALUE"""),"volconos emerge from continetal shifts ")</f>
        <v>volconos emerge from continetal shifts </v>
      </c>
      <c r="I15" s="71" t="str">
        <f>IFERROR(__xludf.DUMMYFUNCTION("""COMPUTED_VALUE"""),"the air around it and momentum")</f>
        <v>the air around it and momentum</v>
      </c>
      <c r="J15" s="71" t="str">
        <f>IFERROR(__xludf.DUMMYFUNCTION("""COMPUTED_VALUE"""),"the tsunami wave itself because the water acts like a cushion for sounds")</f>
        <v>the tsunami wave itself because the water acts like a cushion for sounds</v>
      </c>
      <c r="K15" s="71" t="str">
        <f>IFERROR(__xludf.DUMMYFUNCTION("""COMPUTED_VALUE"""),"the web having many differnt websites sends it by energy moving")</f>
        <v>the web having many differnt websites sends it by energy moving</v>
      </c>
      <c r="L15" s="71" t="str">
        <f>IFERROR(__xludf.DUMMYFUNCTION("""COMPUTED_VALUE"""),"a living cell because it has millions of little peices of energy moving ")</f>
        <v>a living cell because it has millions of little peices of energy moving </v>
      </c>
      <c r="M15" s="71" t="str">
        <f>IFERROR(__xludf.DUMMYFUNCTION("""COMPUTED_VALUE"""),"dna mixing ")</f>
        <v>dna mixing </v>
      </c>
      <c r="N15" s="71" t="str">
        <f>IFERROR(__xludf.DUMMYFUNCTION("""COMPUTED_VALUE"""),"the fact that it is taking away the minerals some plants that we use need to grow")</f>
        <v>the fact that it is taking away the minerals some plants that we use need to grow</v>
      </c>
      <c r="O15" s="71" t="str">
        <f>IFERROR(__xludf.DUMMYFUNCTION("""COMPUTED_VALUE"""),"it has bumps and ridges can be shown as continetal plates and sometimes the earth changes and now that gflobe becomes out dated")</f>
        <v>it has bumps and ridges can be shown as continetal plates and sometimes the earth changes and now that gflobe becomes out dated</v>
      </c>
      <c r="P15" s="71"/>
      <c r="Q15" s="71"/>
      <c r="R15" s="71"/>
      <c r="S15" s="71"/>
      <c r="T15" s="71"/>
      <c r="U15" s="71"/>
    </row>
    <row r="16">
      <c r="A16" s="128">
        <f>IFERROR(__xludf.DUMMYFUNCTION("""COMPUTED_VALUE"""),45891.57773792824)</f>
        <v>45891.57774</v>
      </c>
      <c r="B16" s="71" t="str">
        <f>IFERROR(__xludf.DUMMYFUNCTION("""COMPUTED_VALUE"""),"elijah.bell@kairosacademies.org")</f>
        <v>elijah.bell@kairosacademies.org</v>
      </c>
      <c r="C16" s="71" t="str">
        <f>IFERROR(__xludf.DUMMYFUNCTION("""COMPUTED_VALUE"""),"by water")</f>
        <v>by water</v>
      </c>
      <c r="D16" s="71" t="str">
        <f>IFERROR(__xludf.DUMMYFUNCTION("""COMPUTED_VALUE"""),"the energy changes ")</f>
        <v>the energy changes </v>
      </c>
      <c r="E16" s="71" t="str">
        <f>IFERROR(__xludf.DUMMYFUNCTION("""COMPUTED_VALUE"""),"by just getting recyled")</f>
        <v>by just getting recyled</v>
      </c>
      <c r="F16" s="71" t="str">
        <f>IFERROR(__xludf.DUMMYFUNCTION("""COMPUTED_VALUE"""),"compare the diffrenst")</f>
        <v>compare the diffrenst</v>
      </c>
      <c r="G16" s="71" t="str">
        <f>IFERROR(__xludf.DUMMYFUNCTION("""COMPUTED_VALUE"""),"getting wet and wetter")</f>
        <v>getting wet and wetter</v>
      </c>
      <c r="H16" s="71" t="str">
        <f>IFERROR(__xludf.DUMMYFUNCTION("""COMPUTED_VALUE"""),"volcanoes ememgre ")</f>
        <v>volcanoes ememgre </v>
      </c>
      <c r="I16" s="71" t="str">
        <f>IFERROR(__xludf.DUMMYFUNCTION("""COMPUTED_VALUE"""),"momemtum")</f>
        <v>momemtum</v>
      </c>
      <c r="J16" s="71" t="str">
        <f>IFERROR(__xludf.DUMMYFUNCTION("""COMPUTED_VALUE"""),"the sound becuase the wind ")</f>
        <v>the sound becuase the wind </v>
      </c>
      <c r="K16" s="71" t="str">
        <f>IFERROR(__xludf.DUMMYFUNCTION("""COMPUTED_VALUE"""),"internet")</f>
        <v>internet</v>
      </c>
      <c r="L16" s="71" t="str">
        <f>IFERROR(__xludf.DUMMYFUNCTION("""COMPUTED_VALUE"""),"living cell because it has more reson")</f>
        <v>living cell because it has more reson</v>
      </c>
      <c r="M16" s="71" t="str">
        <f>IFERROR(__xludf.DUMMYFUNCTION("""COMPUTED_VALUE"""),"because they give they kids phone")</f>
        <v>because they give they kids phone</v>
      </c>
      <c r="N16" s="71" t="str">
        <f>IFERROR(__xludf.DUMMYFUNCTION("""COMPUTED_VALUE"""),"netive thing on the internet")</f>
        <v>netive thing on the internet</v>
      </c>
      <c r="O16" s="71" t="str">
        <f>IFERROR(__xludf.DUMMYFUNCTION("""COMPUTED_VALUE"""),"inaccurate")</f>
        <v>inaccurate</v>
      </c>
      <c r="P16" s="71"/>
      <c r="Q16" s="71"/>
      <c r="R16" s="71"/>
      <c r="S16" s="71"/>
      <c r="T16" s="71"/>
      <c r="U16" s="71"/>
    </row>
    <row r="17">
      <c r="A17" s="128">
        <f>IFERROR(__xludf.DUMMYFUNCTION("""COMPUTED_VALUE"""),45891.579984421296)</f>
        <v>45891.57998</v>
      </c>
      <c r="B17" s="71" t="str">
        <f>IFERROR(__xludf.DUMMYFUNCTION("""COMPUTED_VALUE"""),"anya'noel.erhart@kairosacademies.org")</f>
        <v>anya'noel.erhart@kairosacademies.org</v>
      </c>
      <c r="C17" s="71" t="str">
        <f>IFERROR(__xludf.DUMMYFUNCTION("""COMPUTED_VALUE""")," the  amount of  water you  add to  the weather. ")</f>
        <v> the  amount of  water you  add to  the weather. </v>
      </c>
      <c r="D17" s="71" t="str">
        <f>IFERROR(__xludf.DUMMYFUNCTION("""COMPUTED_VALUE"""),"sorry idk ")</f>
        <v>sorry idk </v>
      </c>
      <c r="E17" s="71" t="str">
        <f>IFERROR(__xludf.DUMMYFUNCTION("""COMPUTED_VALUE"""),"yea. i think so")</f>
        <v>yea. i think so</v>
      </c>
      <c r="F17" s="71" t="str">
        <f>IFERROR(__xludf.DUMMYFUNCTION("""COMPUTED_VALUE"""),"put a fence by the garden ")</f>
        <v>put a fence by the garden </v>
      </c>
      <c r="G17" s="71" t="str">
        <f>IFERROR(__xludf.DUMMYFUNCTION("""COMPUTED_VALUE"""),"sedimentary rock ")</f>
        <v>sedimentary rock </v>
      </c>
      <c r="H17" s="71" t="str">
        <f>IFERROR(__xludf.DUMMYFUNCTION("""COMPUTED_VALUE""")," sorry i dont know ")</f>
        <v> sorry i dont know </v>
      </c>
      <c r="I17" s="71" t="str">
        <f>IFERROR(__xludf.DUMMYFUNCTION("""COMPUTED_VALUE"""),"i dont know ")</f>
        <v>i dont know </v>
      </c>
      <c r="J17" s="71" t="str">
        <f>IFERROR(__xludf.DUMMYFUNCTION("""COMPUTED_VALUE"""),"i dont know 
")</f>
        <v>i dont know 
</v>
      </c>
      <c r="K17" s="71" t="str">
        <f>IFERROR(__xludf.DUMMYFUNCTION("""COMPUTED_VALUE"""),"the air beacuse it llike moves our voices and makes it louder???")</f>
        <v>the air beacuse it llike moves our voices and makes it louder???</v>
      </c>
      <c r="L17" s="71" t="str">
        <f>IFERROR(__xludf.DUMMYFUNCTION("""COMPUTED_VALUE"""),"a complete phone beause you have more informason on there ")</f>
        <v>a complete phone beause you have more informason on there </v>
      </c>
      <c r="M17" s="71" t="str">
        <f>IFERROR(__xludf.DUMMYFUNCTION("""COMPUTED_VALUE"""),"ionk")</f>
        <v>ionk</v>
      </c>
      <c r="N17" s="71" t="str">
        <f>IFERROR(__xludf.DUMMYFUNCTION("""COMPUTED_VALUE"""),"that we might not have that much metals left over ")</f>
        <v>that we might not have that much metals left over </v>
      </c>
      <c r="O17" s="71" t="str">
        <f>IFERROR(__xludf.DUMMYFUNCTION("""COMPUTED_VALUE"""),"to show us all around the world and where everthing is ")</f>
        <v>to show us all around the world and where everthing is </v>
      </c>
      <c r="P17" s="71"/>
      <c r="Q17" s="71"/>
      <c r="R17" s="71"/>
      <c r="S17" s="71"/>
      <c r="T17" s="71"/>
      <c r="U17" s="71"/>
    </row>
    <row r="18">
      <c r="A18" s="128">
        <f>IFERROR(__xludf.DUMMYFUNCTION("""COMPUTED_VALUE"""),45891.58017074074)</f>
        <v>45891.58017</v>
      </c>
      <c r="B18" s="71" t="str">
        <f>IFERROR(__xludf.DUMMYFUNCTION("""COMPUTED_VALUE"""),"jakiyyah.draper@kairosacademies.org")</f>
        <v>jakiyyah.draper@kairosacademies.org</v>
      </c>
      <c r="C18" s="71" t="str">
        <f>IFERROR(__xludf.DUMMYFUNCTION("""COMPUTED_VALUE"""),"the water")</f>
        <v>the water</v>
      </c>
      <c r="D18" s="71" t="str">
        <f>IFERROR(__xludf.DUMMYFUNCTION("""COMPUTED_VALUE"""),"idk")</f>
        <v>idk</v>
      </c>
      <c r="E18" s="71" t="str">
        <f>IFERROR(__xludf.DUMMYFUNCTION("""COMPUTED_VALUE"""),"they can get recycled")</f>
        <v>they can get recycled</v>
      </c>
      <c r="F18" s="71" t="str">
        <f>IFERROR(__xludf.DUMMYFUNCTION("""COMPUTED_VALUE"""),"a fas")</f>
        <v>a fas</v>
      </c>
      <c r="G18" s="71" t="str">
        <f>IFERROR(__xludf.DUMMYFUNCTION("""COMPUTED_VALUE"""),"sedimentary rock ")</f>
        <v>sedimentary rock </v>
      </c>
      <c r="H18" s="71" t="str">
        <f>IFERROR(__xludf.DUMMYFUNCTION("""COMPUTED_VALUE"""),"idk")</f>
        <v>idk</v>
      </c>
      <c r="I18" s="71" t="str">
        <f>IFERROR(__xludf.DUMMYFUNCTION("""COMPUTED_VALUE"""),"idk")</f>
        <v>idk</v>
      </c>
      <c r="J18" s="71" t="str">
        <f>IFERROR(__xludf.DUMMYFUNCTION("""COMPUTED_VALUE"""),"idk")</f>
        <v>idk</v>
      </c>
      <c r="K18" s="71" t="str">
        <f>IFERROR(__xludf.DUMMYFUNCTION("""COMPUTED_VALUE"""),"idk")</f>
        <v>idk</v>
      </c>
      <c r="L18" s="71" t="str">
        <f>IFERROR(__xludf.DUMMYFUNCTION("""COMPUTED_VALUE"""),"idk")</f>
        <v>idk</v>
      </c>
      <c r="M18" s="71" t="str">
        <f>IFERROR(__xludf.DUMMYFUNCTION("""COMPUTED_VALUE"""),"idk")</f>
        <v>idk</v>
      </c>
      <c r="N18" s="71" t="str">
        <f>IFERROR(__xludf.DUMMYFUNCTION("""COMPUTED_VALUE"""),"idk")</f>
        <v>idk</v>
      </c>
      <c r="O18" s="71" t="str">
        <f>IFERROR(__xludf.DUMMYFUNCTION("""COMPUTED_VALUE"""),"idk im sorry")</f>
        <v>idk im sorry</v>
      </c>
      <c r="P18" s="71"/>
      <c r="Q18" s="71"/>
      <c r="R18" s="71"/>
      <c r="S18" s="71"/>
      <c r="T18" s="71"/>
      <c r="U18" s="71"/>
    </row>
    <row r="19">
      <c r="A19" s="128">
        <f>IFERROR(__xludf.DUMMYFUNCTION("""COMPUTED_VALUE"""),45891.58053060185)</f>
        <v>45891.58053</v>
      </c>
      <c r="B19" s="71" t="str">
        <f>IFERROR(__xludf.DUMMYFUNCTION("""COMPUTED_VALUE"""),"jelon.knox@kairosacademies.org")</f>
        <v>jelon.knox@kairosacademies.org</v>
      </c>
      <c r="C19" s="71" t="str">
        <f>IFERROR(__xludf.DUMMYFUNCTION("""COMPUTED_VALUE"""),"water can change how plants grow ")</f>
        <v>water can change how plants grow </v>
      </c>
      <c r="D19" s="71" t="str">
        <f>IFERROR(__xludf.DUMMYFUNCTION("""COMPUTED_VALUE"""),"soil ")</f>
        <v>soil </v>
      </c>
      <c r="E19" s="71" t="str">
        <f>IFERROR(__xludf.DUMMYFUNCTION("""COMPUTED_VALUE"""),"decompose ")</f>
        <v>decompose </v>
      </c>
      <c r="F19" s="71" t="str">
        <f>IFERROR(__xludf.DUMMYFUNCTION("""COMPUTED_VALUE"""),"use fence no one plot")</f>
        <v>use fence no one plot</v>
      </c>
      <c r="G19" s="71" t="str">
        <f>IFERROR(__xludf.DUMMYFUNCTION("""COMPUTED_VALUE"""),"the rock can be broken ")</f>
        <v>the rock can be broken </v>
      </c>
      <c r="H19" s="71" t="str">
        <f>IFERROR(__xludf.DUMMYFUNCTION("""COMPUTED_VALUE"""),"they keep moving ")</f>
        <v>they keep moving </v>
      </c>
      <c r="I19" s="71" t="str">
        <f>IFERROR(__xludf.DUMMYFUNCTION("""COMPUTED_VALUE"""),"gravity and air resistance ")</f>
        <v>gravity and air resistance </v>
      </c>
      <c r="J19" s="71" t="str">
        <f>IFERROR(__xludf.DUMMYFUNCTION("""COMPUTED_VALUE"""),"sound of eruption")</f>
        <v>sound of eruption</v>
      </c>
      <c r="K19" s="71" t="str">
        <f>IFERROR(__xludf.DUMMYFUNCTION("""COMPUTED_VALUE"""),"radio waves")</f>
        <v>radio waves</v>
      </c>
      <c r="L19" s="71" t="str">
        <f>IFERROR(__xludf.DUMMYFUNCTION("""COMPUTED_VALUE"""),"complete phone because of living cells ")</f>
        <v>complete phone because of living cells </v>
      </c>
      <c r="M19" s="71" t="str">
        <f>IFERROR(__xludf.DUMMYFUNCTION("""COMPUTED_VALUE"""),"Heredity")</f>
        <v>Heredity</v>
      </c>
      <c r="N19" s="71" t="str">
        <f>IFERROR(__xludf.DUMMYFUNCTION("""COMPUTED_VALUE"""),"habitat destrucation
")</f>
        <v>habitat destrucation
</v>
      </c>
      <c r="O19" s="71" t="str">
        <f>IFERROR(__xludf.DUMMYFUNCTION("""COMPUTED_VALUE"""),"it showes the earth a round shapes")</f>
        <v>it showes the earth a round shapes</v>
      </c>
      <c r="P19" s="71"/>
      <c r="Q19" s="71"/>
      <c r="R19" s="71"/>
      <c r="S19" s="71"/>
      <c r="T19" s="71"/>
      <c r="U19" s="71"/>
    </row>
    <row r="20">
      <c r="A20" s="128">
        <f>IFERROR(__xludf.DUMMYFUNCTION("""COMPUTED_VALUE"""),45891.58054456019)</f>
        <v>45891.58054</v>
      </c>
      <c r="B20" s="71" t="str">
        <f>IFERROR(__xludf.DUMMYFUNCTION("""COMPUTED_VALUE"""),"brayden.nyambui@kairosacademies.org")</f>
        <v>brayden.nyambui@kairosacademies.org</v>
      </c>
      <c r="C20" s="71" t="str">
        <f>IFERROR(__xludf.DUMMYFUNCTION("""COMPUTED_VALUE"""),"they both did not grow the same because the sunlight help it grow the other one did not get sunlight
")</f>
        <v>they both did not grow the same because the sunlight help it grow the other one did not get sunlight
</v>
      </c>
      <c r="D20" s="71" t="str">
        <f>IFERROR(__xludf.DUMMYFUNCTION("""COMPUTED_VALUE"""),"Energy is constantly changing forms through a process called energy transformation.")</f>
        <v>Energy is constantly changing forms through a process called energy transformation.</v>
      </c>
      <c r="E20" s="71" t="str">
        <f>IFERROR(__xludf.DUMMYFUNCTION("""COMPUTED_VALUE"""),"In the natural cycle, the atoms that made up the dead plants are recycled, while the energy that was stored in the plants is not. Decomposers, like bacteria and fungi, break down the dead organic matter, returning the atoms to the soil and atmosphere for "&amp;"future use by new plants. However, most of the energy is lost as heat during the decomposition process. 
")</f>
        <v>In the natural cycle, the atoms that made up the dead plants are recycled, while the energy that was stored in the plants is not. Decomposers, like bacteria and fungi, break down the dead organic matter, returning the atoms to the soil and atmosphere for future use by new plants. However, most of the energy is lost as heat during the decomposition process. 
</v>
      </c>
      <c r="F20" s="71" t="str">
        <f>IFERROR(__xludf.DUMMYFUNCTION("""COMPUTED_VALUE"""),"To design a fair test comparing a fence versus a spray for protecting garden plants from rabbits, you must control for variables like location, plant type, rabbit access, and evaluation methods. The ideal approach uses multiple, identical garden plots to "&amp;"isolate the effectiveness of each solution.")</f>
        <v>To design a fair test comparing a fence versus a spray for protecting garden plants from rabbits, you must control for variables like location, plant type, rabbit access, and evaluation methods. The ideal approach uses multiple, identical garden plots to isolate the effectiveness of each solution.</v>
      </c>
      <c r="G20" s="71" t="str">
        <f>IFERROR(__xludf.DUMMYFUNCTION("""COMPUTED_VALUE"""),"Over millions of years, a new igneous rock formed from lava could become tiny grains of sand through the processes of weathering and erosion. This cycle involves the rock being physically and chemically broken down, transported by natural forces, and depo"&amp;"sited on a beach.
")</f>
        <v>Over millions of years, a new igneous rock formed from lava could become tiny grains of sand through the processes of weathering and erosion. This cycle involves the rock being physically and chemically broken down, transported by natural forces, and deposited on a beach.
</v>
      </c>
      <c r="H20" s="71" t="str">
        <f>IFERROR(__xludf.DUMMYFUNCTION("""COMPUTED_VALUE"""),"The Ring of Fire, a horseshoe shaped belt around the Pacific Ocean, is home to a high concentration of volcanoes due to the interactions of Earth's giant crustal plates. ")</f>
        <v>The Ring of Fire, a horseshoe shaped belt around the Pacific Ocean, is home to a high concentration of volcanoes due to the interactions of Earth's giant crustal plates. </v>
      </c>
      <c r="I20" s="71" t="str">
        <f>IFERROR(__xludf.DUMMYFUNCTION("""COMPUTED_VALUE"""),"Gravity: Air Resistance (or Drag)")</f>
        <v>Gravity: Air Resistance (or Drag)</v>
      </c>
      <c r="J20" s="71" t="str">
        <f>IFERROR(__xludf.DUMMYFUNCTION("""COMPUTED_VALUE"""),"sound travels significantly faster through water than a tsunami wave does.")</f>
        <v>sound travels significantly faster through water than a tsunami wave does.</v>
      </c>
      <c r="K20" s="71" t="str">
        <f>IFERROR(__xludf.DUMMYFUNCTION("""COMPUTED_VALUE"""),"invisible radio waves")</f>
        <v>invisible radio waves</v>
      </c>
      <c r="L20" s="71" t="str">
        <f>IFERROR(__xludf.DUMMYFUNCTION("""COMPUTED_VALUE"""),"a single living cell
")</f>
        <v>a single living cell
</v>
      </c>
      <c r="M20" s="71" t="str">
        <f>IFERROR(__xludf.DUMMYFUNCTION("""COMPUTED_VALUE"""),"genetic inheritance")</f>
        <v>genetic inheritance</v>
      </c>
      <c r="N20" s="71" t="str">
        <f>IFERROR(__xludf.DUMMYFUNCTION("""COMPUTED_VALUE"""),"heavy metal contamination of water and soil.")</f>
        <v>heavy metal contamination of water and soil.</v>
      </c>
      <c r="O20" s="71" t="str">
        <f>IFERROR(__xludf.DUMMYFUNCTION("""COMPUTED_VALUE"""),"A globe is a useful model because it is the most accurate representation of Earth's size, shape,")</f>
        <v>A globe is a useful model because it is the most accurate representation of Earth's size, shape,</v>
      </c>
      <c r="P20" s="71"/>
      <c r="Q20" s="71"/>
      <c r="R20" s="71"/>
      <c r="S20" s="71"/>
      <c r="T20" s="71"/>
      <c r="U20" s="71"/>
    </row>
    <row r="21">
      <c r="A21" s="128">
        <f>IFERROR(__xludf.DUMMYFUNCTION("""COMPUTED_VALUE"""),45891.58066385417)</f>
        <v>45891.58066</v>
      </c>
      <c r="B21" s="71" t="str">
        <f>IFERROR(__xludf.DUMMYFUNCTION("""COMPUTED_VALUE"""),"kyle.goodman@kairosacademies.org")</f>
        <v>kyle.goodman@kairosacademies.org</v>
      </c>
      <c r="C21" s="71" t="str">
        <f>IFERROR(__xludf.DUMMYFUNCTION("""COMPUTED_VALUE"""),"soil ")</f>
        <v>soil </v>
      </c>
      <c r="D21" s="71" t="str">
        <f>IFERROR(__xludf.DUMMYFUNCTION("""COMPUTED_VALUE"""),"photosynthesis")</f>
        <v>photosynthesis</v>
      </c>
      <c r="E21" s="71" t="str">
        <f>IFERROR(__xludf.DUMMYFUNCTION("""COMPUTED_VALUE""")," decompose")</f>
        <v> decompose</v>
      </c>
      <c r="F21" s="71" t="str">
        <f>IFERROR(__xludf.DUMMYFUNCTION("""COMPUTED_VALUE""")," to use the fence on one plot")</f>
        <v> to use the fence on one plot</v>
      </c>
      <c r="G21" s="71" t="str">
        <f>IFERROR(__xludf.DUMMYFUNCTION("""COMPUTED_VALUE"""),"the rock can be broken by the wind ")</f>
        <v>the rock can be broken by the wind </v>
      </c>
      <c r="H21" s="71" t="str">
        <f>IFERROR(__xludf.DUMMYFUNCTION("""COMPUTED_VALUE"""),"They are constanly moving")</f>
        <v>They are constanly moving</v>
      </c>
      <c r="I21" s="71" t="str">
        <f>IFERROR(__xludf.DUMMYFUNCTION("""COMPUTED_VALUE"""),"gravity and air resistance")</f>
        <v>gravity and air resistance</v>
      </c>
      <c r="J21" s="71" t="str">
        <f>IFERROR(__xludf.DUMMYFUNCTION("""COMPUTED_VALUE"""),"The sound of the eruption")</f>
        <v>The sound of the eruption</v>
      </c>
      <c r="K21" s="71" t="str">
        <f>IFERROR(__xludf.DUMMYFUNCTION("""COMPUTED_VALUE"""),"Because of wifi ")</f>
        <v>Because of wifi </v>
      </c>
      <c r="L21" s="71" t="str">
        <f>IFERROR(__xludf.DUMMYFUNCTION("""COMPUTED_VALUE"""),"living cell")</f>
        <v>living cell</v>
      </c>
      <c r="M21" s="71" t="str">
        <f>IFERROR(__xludf.DUMMYFUNCTION("""COMPUTED_VALUE"""),"Traits like the ability to see all the colors on a phone screen are passed down from parents to children through genes.")</f>
        <v>Traits like the ability to see all the colors on a phone screen are passed down from parents to children through genes.</v>
      </c>
      <c r="N21" s="71" t="str">
        <f>IFERROR(__xludf.DUMMYFUNCTION("""COMPUTED_VALUE"""),"habitat destruction")</f>
        <v>habitat destruction</v>
      </c>
      <c r="O21" s="71" t="str">
        <f>IFERROR(__xludf.DUMMYFUNCTION("""COMPUTED_VALUE"""),"A globe shows the Earth’s true round shape and the correct positions of continents and oceans.
A globe is too small to show detailed features like cities or roads, so it can’t provide detailed information.")</f>
        <v>A globe shows the Earth’s true round shape and the correct positions of continents and oceans.
A globe is too small to show detailed features like cities or roads, so it can’t provide detailed information.</v>
      </c>
      <c r="P21" s="71"/>
      <c r="Q21" s="71"/>
      <c r="R21" s="71"/>
      <c r="S21" s="71"/>
      <c r="T21" s="71"/>
      <c r="U21" s="71"/>
    </row>
    <row r="22">
      <c r="A22" s="128">
        <f>IFERROR(__xludf.DUMMYFUNCTION("""COMPUTED_VALUE"""),45891.580895439816)</f>
        <v>45891.5809</v>
      </c>
      <c r="B22" s="71" t="str">
        <f>IFERROR(__xludf.DUMMYFUNCTION("""COMPUTED_VALUE"""),"adrian.king@kairosacademies.org")</f>
        <v>adrian.king@kairosacademies.org</v>
      </c>
      <c r="C22" s="71" t="str">
        <f>IFERROR(__xludf.DUMMYFUNCTION("""COMPUTED_VALUE"""),"soil and water.")</f>
        <v>soil and water.</v>
      </c>
      <c r="D22" s="71" t="str">
        <f>IFERROR(__xludf.DUMMYFUNCTION("""COMPUTED_VALUE"""),"nonusable energy to useable energy")</f>
        <v>nonusable energy to useable energy</v>
      </c>
      <c r="E22" s="71" t="str">
        <f>IFERROR(__xludf.DUMMYFUNCTION("""COMPUTED_VALUE"""),"they get reused")</f>
        <v>they get reused</v>
      </c>
      <c r="F22" s="71" t="str">
        <f>IFERROR(__xludf.DUMMYFUNCTION("""COMPUTED_VALUE"""),"you can see how the rabbet deals with the fence and the spray to see what you can change or improve")</f>
        <v>you can see how the rabbet deals with the fence and the spray to see what you can change or improve</v>
      </c>
      <c r="G22" s="71" t="str">
        <f>IFERROR(__xludf.DUMMYFUNCTION("""COMPUTED_VALUE"""),"said rock can turn into sand on the beach over millions of years due to corrosion due to weather ")</f>
        <v>said rock can turn into sand on the beach over millions of years due to corrosion due to weather </v>
      </c>
      <c r="H22" s="71" t="str">
        <f>IFERROR(__xludf.DUMMYFUNCTION("""COMPUTED_VALUE"""),"the plates shift and causes the volcano to erupt ")</f>
        <v>the plates shift and causes the volcano to erupt </v>
      </c>
      <c r="I22" s="71" t="str">
        <f>IFERROR(__xludf.DUMMYFUNCTION("""COMPUTED_VALUE"""),"momentum and drag")</f>
        <v>momentum and drag</v>
      </c>
      <c r="J22" s="71" t="str">
        <f>IFERROR(__xludf.DUMMYFUNCTION("""COMPUTED_VALUE"""),"the sound because sound travels at 767 mph and a tsunami travels travels at 500 mph, but that's what i thought BUT since the eruption is under water it would would travel faster at 1,500 mph")</f>
        <v>the sound because sound travels at 767 mph and a tsunami travels travels at 500 mph, but that's what i thought BUT since the eruption is under water it would would travel faster at 1,500 mph</v>
      </c>
      <c r="K22" s="71" t="str">
        <f>IFERROR(__xludf.DUMMYFUNCTION("""COMPUTED_VALUE"""),"cell towers")</f>
        <v>cell towers</v>
      </c>
      <c r="L22" s="71" t="str">
        <f>IFERROR(__xludf.DUMMYFUNCTION("""COMPUTED_VALUE"""),"i feel like their the same because because a cell serves a singular purpuas to serve and a phone has curcuts and wires that serve a perpous  ")</f>
        <v>i feel like their the same because because a cell serves a singular purpuas to serve and a phone has curcuts and wires that serve a perpous  </v>
      </c>
      <c r="M22" s="71" t="str">
        <f>IFERROR(__xludf.DUMMYFUNCTION("""COMPUTED_VALUE"""),"through there dna   ")</f>
        <v>through there dna   </v>
      </c>
      <c r="N22" s="71" t="str">
        <f>IFERROR(__xludf.DUMMYFUNCTION("""COMPUTED_VALUE"""),"depletion of the earths minerals and endangers the humans mining.")</f>
        <v>depletion of the earths minerals and endangers the humans mining.</v>
      </c>
      <c r="O22" s="71" t="str">
        <f>IFERROR(__xludf.DUMMYFUNCTION("""COMPUTED_VALUE"""),"its useful  to know where things are on the earth but it would be flawed because its not useful for anything else  than to look at states,country's, and continents because its not very accurate and its better to just use a map or use your phone to view th"&amp;"ings on the earth.  ")</f>
        <v>its useful  to know where things are on the earth but it would be flawed because its not useful for anything else  than to look at states,country's, and continents because its not very accurate and its better to just use a map or use your phone to view things on the earth.  </v>
      </c>
      <c r="P22" s="71"/>
      <c r="Q22" s="71"/>
      <c r="R22" s="71"/>
      <c r="S22" s="71"/>
      <c r="T22" s="71"/>
      <c r="U22" s="71"/>
    </row>
    <row r="23">
      <c r="A23" s="128">
        <f>IFERROR(__xludf.DUMMYFUNCTION("""COMPUTED_VALUE"""),45891.58089648148)</f>
        <v>45891.5809</v>
      </c>
      <c r="B23" s="71" t="str">
        <f>IFERROR(__xludf.DUMMYFUNCTION("""COMPUTED_VALUE"""),"camia.lindsey@kairosacademies.org")</f>
        <v>camia.lindsey@kairosacademies.org</v>
      </c>
      <c r="C23" s="71" t="str">
        <f>IFERROR(__xludf.DUMMYFUNCTION("""COMPUTED_VALUE"""),"l ")</f>
        <v>l </v>
      </c>
      <c r="D23" s="71" t="str">
        <f>IFERROR(__xludf.DUMMYFUNCTION("""COMPUTED_VALUE"""),"c , e")</f>
        <v>c , e</v>
      </c>
      <c r="E23" s="71" t="str">
        <f>IFERROR(__xludf.DUMMYFUNCTION("""COMPUTED_VALUE"""),"No")</f>
        <v>No</v>
      </c>
      <c r="F23" s="71" t="str">
        <f>IFERROR(__xludf.DUMMYFUNCTION("""COMPUTED_VALUE"""),"Yes")</f>
        <v>Yes</v>
      </c>
      <c r="G23" s="71" t="str">
        <f>IFERROR(__xludf.DUMMYFUNCTION("""COMPUTED_VALUE"""),"pummice")</f>
        <v>pummice</v>
      </c>
      <c r="H23" s="71" t="str">
        <f>IFERROR(__xludf.DUMMYFUNCTION("""COMPUTED_VALUE"""),"fire")</f>
        <v>fire</v>
      </c>
      <c r="I23" s="71" t="str">
        <f>IFERROR(__xludf.DUMMYFUNCTION("""COMPUTED_VALUE"""),"l,v")</f>
        <v>l,v</v>
      </c>
      <c r="J23" s="71" t="str">
        <f>IFERROR(__xludf.DUMMYFUNCTION("""COMPUTED_VALUE"""),"Because  the way it moves")</f>
        <v>Because  the way it moves</v>
      </c>
      <c r="K23" s="71" t="str">
        <f>IFERROR(__xludf.DUMMYFUNCTION("""COMPUTED_VALUE"""),"With the signal waves and the signal towers")</f>
        <v>With the signal waves and the signal towers</v>
      </c>
      <c r="L23" s="71" t="str">
        <f>IFERROR(__xludf.DUMMYFUNCTION("""COMPUTED_VALUE"""),"I have no idea")</f>
        <v>I have no idea</v>
      </c>
      <c r="M23" s="71" t="str">
        <f>IFERROR(__xludf.DUMMYFUNCTION("""COMPUTED_VALUE"""),"Your dna and gen")</f>
        <v>Your dna and gen</v>
      </c>
      <c r="N23" s="71" t="str">
        <f>IFERROR(__xludf.DUMMYFUNCTION("""COMPUTED_VALUE"""),"Stop from learning")</f>
        <v>Stop from learning</v>
      </c>
      <c r="O23" s="71" t="str">
        <f>IFERROR(__xludf.DUMMYFUNCTION("""COMPUTED_VALUE"""),"To show how far everything is from each other")</f>
        <v>To show how far everything is from each other</v>
      </c>
      <c r="P23" s="71"/>
      <c r="Q23" s="71"/>
      <c r="R23" s="71"/>
      <c r="S23" s="71"/>
      <c r="T23" s="71"/>
      <c r="U23" s="71"/>
    </row>
    <row r="24">
      <c r="A24" s="128">
        <f>IFERROR(__xludf.DUMMYFUNCTION("""COMPUTED_VALUE"""),45891.58174163195)</f>
        <v>45891.58174</v>
      </c>
      <c r="B24" s="71" t="str">
        <f>IFERROR(__xludf.DUMMYFUNCTION("""COMPUTED_VALUE"""),"chyna.turner@kairosacademies.org")</f>
        <v>chyna.turner@kairosacademies.org</v>
      </c>
      <c r="C24" s="71" t="str">
        <f>IFERROR(__xludf.DUMMYFUNCTION("""COMPUTED_VALUE"""),"water ")</f>
        <v>water </v>
      </c>
      <c r="D24" s="71" t="str">
        <f>IFERROR(__xludf.DUMMYFUNCTION("""COMPUTED_VALUE"""),"sunlight to the form of no sunlight ?")</f>
        <v>sunlight to the form of no sunlight ?</v>
      </c>
      <c r="E24" s="71" t="str">
        <f>IFERROR(__xludf.DUMMYFUNCTION("""COMPUTED_VALUE"""),"
yes")</f>
        <v>
yes</v>
      </c>
      <c r="F24" s="71" t="str">
        <f>IFERROR(__xludf.DUMMYFUNCTION("""COMPUTED_VALUE"""),"a fence or green house")</f>
        <v>a fence or green house</v>
      </c>
      <c r="G24" s="71" t="str">
        <f>IFERROR(__xludf.DUMMYFUNCTION("""COMPUTED_VALUE"""),"it hits the ground and it breaks or it fall in the water and slowly breaks away?")</f>
        <v>it hits the ground and it breaks or it fall in the water and slowly breaks away?</v>
      </c>
      <c r="H24" s="71" t="str">
        <f>IFERROR(__xludf.DUMMYFUNCTION("""COMPUTED_VALUE"""),"maybe because their all close to each other and it triggers each other to erupt?")</f>
        <v>maybe because their all close to each other and it triggers each other to erupt?</v>
      </c>
      <c r="I24" s="71" t="str">
        <f>IFERROR(__xludf.DUMMYFUNCTION("""COMPUTED_VALUE"""),"weight, and heavy")</f>
        <v>weight, and heavy</v>
      </c>
      <c r="J24" s="71" t="str">
        <f>IFERROR(__xludf.DUMMYFUNCTION("""COMPUTED_VALUE"""),"the tsuami wave because itll hit the town and make a big sound .")</f>
        <v>the tsuami wave because itll hit the town and make a big sound .</v>
      </c>
      <c r="K24" s="71" t="str">
        <f>IFERROR(__xludf.DUMMYFUNCTION("""COMPUTED_VALUE"""),"cellaur ? wifi?")</f>
        <v>cellaur ? wifi?</v>
      </c>
      <c r="L24" s="71" t="str">
        <f>IFERROR(__xludf.DUMMYFUNCTION("""COMPUTED_VALUE"""),"a living cell because a living cell had to come up with a complete phone")</f>
        <v>a living cell because a living cell had to come up with a complete phone</v>
      </c>
      <c r="M24" s="71" t="str">
        <f>IFERROR(__xludf.DUMMYFUNCTION("""COMPUTED_VALUE"""),"family genes?")</f>
        <v>family genes?</v>
      </c>
      <c r="N24" s="71" t="str">
        <f>IFERROR(__xludf.DUMMYFUNCTION("""COMPUTED_VALUE"""),"they dont find the special metal to  make more phones
")</f>
        <v>they dont find the special metal to  make more phones
</v>
      </c>
      <c r="O24" s="71" t="str">
        <f>IFERROR(__xludf.DUMMYFUNCTION("""COMPUTED_VALUE"""),"its a reprenstation on how to earth looks")</f>
        <v>its a reprenstation on how to earth looks</v>
      </c>
      <c r="P24" s="71"/>
      <c r="Q24" s="71"/>
      <c r="R24" s="71"/>
      <c r="S24" s="71"/>
      <c r="T24" s="71"/>
      <c r="U24" s="71"/>
    </row>
    <row r="25">
      <c r="A25" s="128">
        <f>IFERROR(__xludf.DUMMYFUNCTION("""COMPUTED_VALUE"""),45891.58156831018)</f>
        <v>45891.58157</v>
      </c>
      <c r="B25" s="71" t="str">
        <f>IFERROR(__xludf.DUMMYFUNCTION("""COMPUTED_VALUE"""),"jalivia.stokes@kairosacademies.org")</f>
        <v>jalivia.stokes@kairosacademies.org</v>
      </c>
      <c r="C25" s="71" t="str">
        <f>IFERROR(__xludf.DUMMYFUNCTION("""COMPUTED_VALUE"""),"water and soil")</f>
        <v>water and soil</v>
      </c>
      <c r="D25" s="71" t="str">
        <f>IFERROR(__xludf.DUMMYFUNCTION("""COMPUTED_VALUE"""),"cemacel to phasecl")</f>
        <v>cemacel to phasecl</v>
      </c>
      <c r="E25" s="71" t="str">
        <f>IFERROR(__xludf.DUMMYFUNCTION("""COMPUTED_VALUE"""),"yes they go into the soil")</f>
        <v>yes they go into the soil</v>
      </c>
      <c r="F25" s="71" t="str">
        <f>IFERROR(__xludf.DUMMYFUNCTION("""COMPUTED_VALUE"""),"a spray that keeps the bunnys away but doesnt heart the plant")</f>
        <v>a spray that keeps the bunnys away but doesnt heart the plant</v>
      </c>
      <c r="G25" s="71" t="str">
        <f>IFERROR(__xludf.DUMMYFUNCTION("""COMPUTED_VALUE"""),"because it will break up smaller and smaller over the years and at one point it will get into the oecan at one point and wash up on the beach.")</f>
        <v>because it will break up smaller and smaller over the years and at one point it will get into the oecan at one point and wash up on the beach.</v>
      </c>
      <c r="H25" s="71" t="str">
        <f>IFERROR(__xludf.DUMMYFUNCTION("""COMPUTED_VALUE"""),"idk")</f>
        <v>idk</v>
      </c>
      <c r="I25" s="71" t="str">
        <f>IFERROR(__xludf.DUMMYFUNCTION("""COMPUTED_VALUE"""),"presher and fricion")</f>
        <v>presher and fricion</v>
      </c>
      <c r="J25" s="71" t="str">
        <f>IFERROR(__xludf.DUMMYFUNCTION("""COMPUTED_VALUE"""),"the tsunami because  the sound is a type of force at one point and presher moves slower in water ")</f>
        <v>the tsunami because  the sound is a type of force at one point and presher moves slower in water </v>
      </c>
      <c r="K25" s="71" t="str">
        <f>IFERROR(__xludf.DUMMYFUNCTION("""COMPUTED_VALUE"""),"the batrie and chips in side it ")</f>
        <v>the batrie and chips in side it </v>
      </c>
      <c r="L25" s="71" t="str">
        <f>IFERROR(__xludf.DUMMYFUNCTION("""COMPUTED_VALUE"""),"the cell because for it io work inside the body  it has to be a certen way")</f>
        <v>the cell because for it io work inside the body  it has to be a certen way</v>
      </c>
      <c r="M25" s="71" t="str">
        <f>IFERROR(__xludf.DUMMYFUNCTION("""COMPUTED_VALUE"""),"because at one point the kids were conected to there parents")</f>
        <v>because at one point the kids were conected to there parents</v>
      </c>
      <c r="N25" s="71" t="str">
        <f>IFERROR(__xludf.DUMMYFUNCTION("""COMPUTED_VALUE"""),"the metals might be needed int the soil to help the plants and other liveing things all together")</f>
        <v>the metals might be needed int the soil to help the plants and other liveing things all together</v>
      </c>
      <c r="O25" s="71" t="str">
        <f>IFERROR(__xludf.DUMMYFUNCTION("""COMPUTED_VALUE"""),"the globe is useful because it helps you with the contneats and states it is inaccurate because it is two small")</f>
        <v>the globe is useful because it helps you with the contneats and states it is inaccurate because it is two small</v>
      </c>
      <c r="P25" s="71"/>
      <c r="Q25" s="71"/>
      <c r="R25" s="71"/>
      <c r="S25" s="71"/>
      <c r="T25" s="71"/>
      <c r="U25" s="71"/>
    </row>
    <row r="26">
      <c r="A26" s="128">
        <f>IFERROR(__xludf.DUMMYFUNCTION("""COMPUTED_VALUE"""),45891.58800797454)</f>
        <v>45891.58801</v>
      </c>
      <c r="B26" s="71" t="str">
        <f>IFERROR(__xludf.DUMMYFUNCTION("""COMPUTED_VALUE"""),"peydan.hunt@kairosacademies.org")</f>
        <v>peydan.hunt@kairosacademies.org</v>
      </c>
      <c r="C26" s="71" t="str">
        <f>IFERROR(__xludf.DUMMYFUNCTION("""COMPUTED_VALUE"""),"they both did not grow the same because the sunlight helped it grow the other one did not get sunlight")</f>
        <v>they both did not grow the same because the sunlight helped it grow the other one did not get sunlight</v>
      </c>
      <c r="D26" s="71" t="str">
        <f>IFERROR(__xludf.DUMMYFUNCTION("""COMPUTED_VALUE"""),"sunlight to the form of glucose")</f>
        <v>sunlight to the form of glucose</v>
      </c>
      <c r="E26" s="71" t="str">
        <f>IFERROR(__xludf.DUMMYFUNCTION("""COMPUTED_VALUE"""),"
In the natural cycle, the atoms that make up the dead plants are recycled, while the energy that was stored in the plants is not. 
")</f>
        <v>
In the natural cycle, the atoms that make up the dead plants are recycled, while the energy that was stored in the plants is not. 
</v>
      </c>
      <c r="F26" s="71" t="str">
        <f>IFERROR(__xludf.DUMMYFUNCTION("""COMPUTED_VALUE"""),"The answer is a structured experimental design comparing a fence and a spray while controlling variables such as plant type, garden size, and environmental conditions.")</f>
        <v>The answer is a structured experimental design comparing a fence and a spray while controlling variables such as plant type, garden size, and environmental conditions.</v>
      </c>
      <c r="G26" s="71" t="str">
        <f>IFERROR(__xludf.DUMMYFUNCTION("""COMPUTED_VALUE""")," New rock can weather smaller particles, which are transported and deposited on beaches, forming sand over millions of years.")</f>
        <v> New rock can weather smaller particles, which are transported and deposited on beaches, forming sand over millions of years.</v>
      </c>
      <c r="H26" s="71" t="str">
        <f>IFERROR(__xludf.DUMMYFUNCTION("""COMPUTED_VALUE"""),"The answer is that the movement of Earth's tectonic plates at divergent and convergent boundaries causes the formation of magma, leading to many volcanoes in zones like the ""Ring of Fire.""")</f>
        <v>The answer is that the movement of Earth's tectonic plates at divergent and convergent boundaries causes the formation of magma, leading to many volcanoes in zones like the "Ring of Fire."</v>
      </c>
      <c r="I26" s="71" t="str">
        <f>IFERROR(__xludf.DUMMYFUNCTION("""COMPUTED_VALUE""")," Gravity and air resistance.")</f>
        <v> Gravity and air resistance.</v>
      </c>
      <c r="J26" s="71" t="str">
        <f>IFERROR(__xludf.DUMMYFUNCTION("""COMPUTED_VALUE"""),"The sound of the eruption reaches the shore first.
")</f>
        <v>The sound of the eruption reaches the shore first.
</v>
      </c>
      <c r="K26" s="71" t="str">
        <f>IFERROR(__xludf.DUMMYFUNCTION("""COMPUTED_VALUE"""),"Your phone sends and receives information wirelessly using radio waves. ")</f>
        <v>Your phone sends and receives information wirelessly using radio waves. </v>
      </c>
      <c r="L26" s="71" t="str">
        <f>IFERROR(__xludf.DUMMYFUNCTION("""COMPUTED_VALUE"""),"A single living cell represents a more complex level of organization compared to a complete phone.")</f>
        <v>A single living cell represents a more complex level of organization compared to a complete phone.</v>
      </c>
      <c r="M26" s="71" t="str">
        <f>IFERROR(__xludf.DUMMYFUNCTION("""COMPUTED_VALUE"""),"Traits like the ability to see colors are passed down from parents to their children through genes. ")</f>
        <v>Traits like the ability to see colors are passed down from parents to their children through genes. </v>
      </c>
      <c r="N26" s="71" t="str">
        <f>IFERROR(__xludf.DUMMYFUNCTION("""COMPUTED_VALUE"""),"One negative impact of mining for special metals used in phone production is habitat destruction.")</f>
        <v>One negative impact of mining for special metals used in phone production is habitat destruction.</v>
      </c>
      <c r="O26" s="71" t="str">
        <f>IFERROR(__xludf.DUMMYFUNCTION("""COMPUTED_VALUE"""),"A globe is a useful model because it accurately represents the Earth’s shape and relative proportions, allowing for a realistic visualization of geographical features, such as continents and oceans, and their spatial relationships.")</f>
        <v>A globe is a useful model because it accurately represents the Earth’s shape and relative proportions, allowing for a realistic visualization of geographical features, such as continents and oceans, and their spatial relationships.</v>
      </c>
      <c r="P26" s="71"/>
      <c r="Q26" s="71"/>
      <c r="R26" s="71"/>
      <c r="S26" s="71"/>
      <c r="T26" s="71"/>
      <c r="U26" s="71"/>
    </row>
    <row r="27">
      <c r="A27" s="128">
        <f>IFERROR(__xludf.DUMMYFUNCTION("""COMPUTED_VALUE"""),45891.58859481481)</f>
        <v>45891.58859</v>
      </c>
      <c r="B27" s="71" t="str">
        <f>IFERROR(__xludf.DUMMYFUNCTION("""COMPUTED_VALUE"""),"estrella.hurtado-garcia@kairosacademies.org")</f>
        <v>estrella.hurtado-garcia@kairosacademies.org</v>
      </c>
      <c r="C27" s="71" t="str">
        <f>IFERROR(__xludf.DUMMYFUNCTION("""COMPUTED_VALUE"""),"soil , water , based on the temperature.
")</f>
        <v>soil , water , based on the temperature.
</v>
      </c>
      <c r="D27" s="71" t="str">
        <f>IFERROR(__xludf.DUMMYFUNCTION("""COMPUTED_VALUE"""),"high to low energy")</f>
        <v>high to low energy</v>
      </c>
      <c r="E27" s="71" t="str">
        <f>IFERROR(__xludf.DUMMYFUNCTION("""COMPUTED_VALUE"""),"yes they both get recycled ")</f>
        <v>yes they both get recycled </v>
      </c>
      <c r="F27" s="71" t="str">
        <f>IFERROR(__xludf.DUMMYFUNCTION("""COMPUTED_VALUE"""),"you could make an tent")</f>
        <v>you could make an tent</v>
      </c>
      <c r="G27" s="71" t="str">
        <f>IFERROR(__xludf.DUMMYFUNCTION("""COMPUTED_VALUE"""),"they describe over time over the spam of the millions of years.")</f>
        <v>they describe over time over the spam of the millions of years.</v>
      </c>
      <c r="H27" s="71" t="str">
        <f>IFERROR(__xludf.DUMMYFUNCTION("""COMPUTED_VALUE"""),"due to extreme heat ")</f>
        <v>due to extreme heat </v>
      </c>
      <c r="I27" s="71" t="str">
        <f>IFERROR(__xludf.DUMMYFUNCTION("""COMPUTED_VALUE"""),"air and pressure ")</f>
        <v>air and pressure </v>
      </c>
      <c r="J27" s="71" t="str">
        <f>IFERROR(__xludf.DUMMYFUNCTION("""COMPUTED_VALUE"""),"the sound of the eruption ")</f>
        <v>the sound of the eruption </v>
      </c>
      <c r="K27" s="71" t="str">
        <f>IFERROR(__xludf.DUMMYFUNCTION("""COMPUTED_VALUE"""),"the cell wires and cell cellular")</f>
        <v>the cell wires and cell cellular</v>
      </c>
      <c r="L27" s="71" t="str">
        <f>IFERROR(__xludf.DUMMYFUNCTION("""COMPUTED_VALUE"""),"phone because the phone can send thing around the world ")</f>
        <v>phone because the phone can send thing around the world </v>
      </c>
      <c r="M27" s="71" t="str">
        <f>IFERROR(__xludf.DUMMYFUNCTION("""COMPUTED_VALUE"""),"the DNA ")</f>
        <v>the DNA </v>
      </c>
      <c r="N27" s="71" t="str">
        <f>IFERROR(__xludf.DUMMYFUNCTION("""COMPUTED_VALUE"""),"the oil in the air ")</f>
        <v>the oil in the air </v>
      </c>
      <c r="O27" s="71" t="str">
        <f>IFERROR(__xludf.DUMMYFUNCTION("""COMPUTED_VALUE"""),"to see how the world is.")</f>
        <v>to see how the world is.</v>
      </c>
      <c r="P27" s="71"/>
      <c r="Q27" s="71"/>
      <c r="R27" s="71"/>
      <c r="S27" s="71"/>
      <c r="T27" s="71"/>
      <c r="U27" s="71"/>
    </row>
    <row r="28">
      <c r="A28" s="128">
        <f>IFERROR(__xludf.DUMMYFUNCTION("""COMPUTED_VALUE"""),45891.588643599534)</f>
        <v>45891.58864</v>
      </c>
      <c r="B28" s="71" t="str">
        <f>IFERROR(__xludf.DUMMYFUNCTION("""COMPUTED_VALUE"""),"de'asia.griffin@kairosacademies.org")</f>
        <v>de'asia.griffin@kairosacademies.org</v>
      </c>
      <c r="C28" s="71" t="str">
        <f>IFERROR(__xludf.DUMMYFUNCTION("""COMPUTED_VALUE"""),"soil ,temper ")</f>
        <v>soil ,temper </v>
      </c>
      <c r="D28" s="71" t="str">
        <f>IFERROR(__xludf.DUMMYFUNCTION("""COMPUTED_VALUE"""),"high to low energy ")</f>
        <v>high to low energy </v>
      </c>
      <c r="E28" s="71" t="str">
        <f>IFERROR(__xludf.DUMMYFUNCTION("""COMPUTED_VALUE"""),"yes they both get recycled ")</f>
        <v>yes they both get recycled </v>
      </c>
      <c r="F28" s="71" t="str">
        <f>IFERROR(__xludf.DUMMYFUNCTION("""COMPUTED_VALUE"""),"you could make an tent ")</f>
        <v>you could make an tent </v>
      </c>
      <c r="G28" s="71" t="str">
        <f>IFERROR(__xludf.DUMMYFUNCTION("""COMPUTED_VALUE"""),"the rocks will describe over the spam of millions of years ")</f>
        <v>the rocks will describe over the spam of millions of years </v>
      </c>
      <c r="H28" s="71" t="str">
        <f>IFERROR(__xludf.DUMMYFUNCTION("""COMPUTED_VALUE"""),"due to extreme heat ")</f>
        <v>due to extreme heat </v>
      </c>
      <c r="I28" s="71" t="str">
        <f>IFERROR(__xludf.DUMMYFUNCTION("""COMPUTED_VALUE"""),"air and heat ")</f>
        <v>air and heat </v>
      </c>
      <c r="J28" s="71" t="str">
        <f>IFERROR(__xludf.DUMMYFUNCTION("""COMPUTED_VALUE"""),"the sound of the eruption ")</f>
        <v>the sound of the eruption </v>
      </c>
      <c r="K28" s="71" t="str">
        <f>IFERROR(__xludf.DUMMYFUNCTION("""COMPUTED_VALUE"""),"cell  severs ")</f>
        <v>cell  severs </v>
      </c>
      <c r="L28" s="71" t="str">
        <f>IFERROR(__xludf.DUMMYFUNCTION("""COMPUTED_VALUE"""),"phone because the phone can send things  all the was around the wold ")</f>
        <v>phone because the phone can send things  all the was around the wold </v>
      </c>
      <c r="M28" s="71" t="str">
        <f>IFERROR(__xludf.DUMMYFUNCTION("""COMPUTED_VALUE"""),"DNA")</f>
        <v>DNA</v>
      </c>
      <c r="N28" s="71" t="str">
        <f>IFERROR(__xludf.DUMMYFUNCTION("""COMPUTED_VALUE"""),"the oil in the air ")</f>
        <v>the oil in the air </v>
      </c>
      <c r="O28" s="71" t="str">
        <f>IFERROR(__xludf.DUMMYFUNCTION("""COMPUTED_VALUE"""),"to see where the inland ar e")</f>
        <v>to see where the inland ar e</v>
      </c>
      <c r="P28" s="71"/>
      <c r="Q28" s="71"/>
      <c r="R28" s="71"/>
      <c r="S28" s="71"/>
      <c r="T28" s="71"/>
      <c r="U28" s="71"/>
    </row>
    <row r="29">
      <c r="A29" s="128">
        <f>IFERROR(__xludf.DUMMYFUNCTION("""COMPUTED_VALUE"""),45891.61440784722)</f>
        <v>45891.61441</v>
      </c>
      <c r="B29" s="71" t="str">
        <f>IFERROR(__xludf.DUMMYFUNCTION("""COMPUTED_VALUE"""),"summer.adams-jones@kairosacademies.org")</f>
        <v>summer.adams-jones@kairosacademies.org</v>
      </c>
      <c r="C29" s="71" t="str">
        <f>IFERROR(__xludf.DUMMYFUNCTION("""COMPUTED_VALUE"""),"the type of soil, whether they are getting clean or dirty water, what nutrients are around for the pant to make food out of ect.")</f>
        <v>the type of soil, whether they are getting clean or dirty water, what nutrients are around for the pant to make food out of ect.</v>
      </c>
      <c r="D29" s="71" t="str">
        <f>IFERROR(__xludf.DUMMYFUNCTION("""COMPUTED_VALUE"""),"sunshine , kenetic?")</f>
        <v>sunshine , kenetic?</v>
      </c>
      <c r="E29" s="71" t="str">
        <f>IFERROR(__xludf.DUMMYFUNCTION("""COMPUTED_VALUE"""),"yes i beleive they both get recycled because if the plant rots and becomes part of the soil the plants are designed to absorb any and all nutrients that might help them grow so it will be benifitial for the rotting plant to help it grow better.")</f>
        <v>yes i beleive they both get recycled because if the plant rots and becomes part of the soil the plants are designed to absorb any and all nutrients that might help them grow so it will be benifitial for the rotting plant to help it grow better.</v>
      </c>
      <c r="F29" s="71" t="str">
        <f>IFERROR(__xludf.DUMMYFUNCTION("""COMPUTED_VALUE""")," i would just use a tall spaceless fence because i dont want the rabiits, if they do get over to the garden again, to die or get sick if they eat the food still")</f>
        <v> i would just use a tall spaceless fence because i dont want the rabiits, if they do get over to the garden again, to die or get sick if they eat the food still</v>
      </c>
      <c r="G29" s="71" t="str">
        <f>IFERROR(__xludf.DUMMYFUNCTION("""COMPUTED_VALUE"""),"erosion from rainfall, mostly or if some of the lava landed near a body of water ")</f>
        <v>erosion from rainfall, mostly or if some of the lava landed near a body of water </v>
      </c>
      <c r="H29" s="71" t="str">
        <f>IFERROR(__xludf.DUMMYFUNCTION("""COMPUTED_VALUE"""),"i call them earths acne lol but yea um they are pushing together making a /\ shape and if some of the hotter layers of the earth come up with it, it beecomes a volcano")</f>
        <v>i call them earths acne lol but yea um they are pushing together making a /\ shape and if some of the hotter layers of the earth come up with it, it beecomes a volcano</v>
      </c>
      <c r="I29" s="71" t="str">
        <f>IFERROR(__xludf.DUMMYFUNCTION("""COMPUTED_VALUE"""),"gravity and air")</f>
        <v>gravity and air</v>
      </c>
      <c r="J29" s="71" t="str">
        <f>IFERROR(__xludf.DUMMYFUNCTION("""COMPUTED_VALUE"""),"the stunami wave would reach first because yk how like if u hear lightning but its only after u see the light depending on how far it is?  its like that")</f>
        <v>the stunami wave would reach first because yk how like if u hear lightning but its only after u see the light depending on how far it is?  its like that</v>
      </c>
      <c r="K29" s="71" t="str">
        <f>IFERROR(__xludf.DUMMYFUNCTION("""COMPUTED_VALUE"""),"the satalights")</f>
        <v>the satalights</v>
      </c>
      <c r="L29" s="71" t="str">
        <f>IFERROR(__xludf.DUMMYFUNCTION("""COMPUTED_VALUE"""),"the living cell because one cell part being shifted even slightly can mean life or death of how we see them.")</f>
        <v>the living cell because one cell part being shifted even slightly can mean life or death of how we see them.</v>
      </c>
      <c r="M29" s="71" t="str">
        <f>IFERROR(__xludf.DUMMYFUNCTION("""COMPUTED_VALUE"""),"through the remnance of dna between parents that find themselves tangling with the childerens dna during the incubation process (i think thats what its called)")</f>
        <v>through the remnance of dna between parents that find themselves tangling with the childerens dna during the incubation process (i think thats what its called)</v>
      </c>
      <c r="N29" s="71" t="str">
        <f>IFERROR(__xludf.DUMMYFUNCTION("""COMPUTED_VALUE"""),"earthquakes, calaptions (when something collapses), ect")</f>
        <v>earthquakes, calaptions (when something collapses), ect</v>
      </c>
      <c r="O29" s="71" t="str">
        <f>IFERROR(__xludf.DUMMYFUNCTION("""COMPUTED_VALUE"""),"its useful because its a very acurate model mostley used for the location of places on earth, but its limited because you cant see the top or the bottom or study them as well using it")</f>
        <v>its useful because its a very acurate model mostley used for the location of places on earth, but its limited because you cant see the top or the bottom or study them as well using it</v>
      </c>
      <c r="P29" s="71"/>
      <c r="Q29" s="71"/>
      <c r="R29" s="71"/>
      <c r="S29" s="71"/>
      <c r="T29" s="71"/>
      <c r="U29" s="71"/>
    </row>
    <row r="30">
      <c r="A30" s="128">
        <f>IFERROR(__xludf.DUMMYFUNCTION("""COMPUTED_VALUE"""),45891.63094983796)</f>
        <v>45891.63095</v>
      </c>
      <c r="B30" s="71" t="str">
        <f>IFERROR(__xludf.DUMMYFUNCTION("""COMPUTED_VALUE"""),"tyler.harlan@kairosacademies.org")</f>
        <v>tyler.harlan@kairosacademies.org</v>
      </c>
      <c r="C30" s="71" t="str">
        <f>IFERROR(__xludf.DUMMYFUNCTION("""COMPUTED_VALUE"""),"it can be effects by water shade and more it needs alot of sunlight it can also be affect by the way it was planted were it was planted and what you use to grow it")</f>
        <v>it can be effects by water shade and more it needs alot of sunlight it can also be affect by the way it was planted were it was planted and what you use to grow it</v>
      </c>
      <c r="D30" s="71" t="str">
        <f>IFERROR(__xludf.DUMMYFUNCTION("""COMPUTED_VALUE"""),"atoms to kinetic  energy")</f>
        <v>atoms to kinetic  energy</v>
      </c>
      <c r="E30" s="71" t="str">
        <f>IFERROR(__xludf.DUMMYFUNCTION("""COMPUTED_VALUE"""),"the atoms get broken down and they transfer into the plants above and the energy gets expanded ")</f>
        <v>the atoms get broken down and they transfer into the plants above and the energy gets expanded </v>
      </c>
      <c r="F30" s="71" t="str">
        <f>IFERROR(__xludf.DUMMYFUNCTION("""COMPUTED_VALUE"""),"you can make a certain   fence that cant keep rabbits out bye buying or making one and making sure it works but you can also get spray but make sure you get the right spray or you can get your plants to die and get broken down")</f>
        <v>you can make a certain   fence that cant keep rabbits out bye buying or making one and making sure it works but you can also get spray but make sure you get the right spray or you can get your plants to die and get broken down</v>
      </c>
      <c r="G30" s="71" t="str">
        <f>IFERROR(__xludf.DUMMYFUNCTION("""COMPUTED_VALUE"""),"through the process of evaluation or it can break down slowly but surly ")</f>
        <v>through the process of evaluation or it can break down slowly but surly </v>
      </c>
      <c r="H30" s="71" t="str">
        <f>IFERROR(__xludf.DUMMYFUNCTION("""COMPUTED_VALUE"""),"its a upside its when a tectonic plate move's and curves up allowing the manta and lave to flow up ward ")</f>
        <v>its a upside its when a tectonic plate move's and curves up allowing the manta and lave to flow up ward </v>
      </c>
      <c r="I30" s="71" t="str">
        <f>IFERROR(__xludf.DUMMYFUNCTION("""COMPUTED_VALUE"""),"kinetic   force and alot of resisting force ")</f>
        <v>kinetic   force and alot of resisting force </v>
      </c>
      <c r="J30" s="71" t="str">
        <f>IFERROR(__xludf.DUMMYFUNCTION("""COMPUTED_VALUE"""),"the sound because of the echo the tsunami still has to form")</f>
        <v>the sound because of the echo the tsunami still has to form</v>
      </c>
      <c r="K30" s="71" t="str">
        <f>IFERROR(__xludf.DUMMYFUNCTION("""COMPUTED_VALUE"""),"its like a wave of different codes that comes from a signal box")</f>
        <v>its like a wave of different codes that comes from a signal box</v>
      </c>
      <c r="L30" s="71" t="str">
        <f>IFERROR(__xludf.DUMMYFUNCTION("""COMPUTED_VALUE"""),"the coding inside of the phone
")</f>
        <v>the coding inside of the phone
</v>
      </c>
      <c r="M30" s="71" t="str">
        <f>IFERROR(__xludf.DUMMYFUNCTION("""COMPUTED_VALUE"""),"bye having the same dna you can have the smae things as your parents as long as the are biological and to be able to see they use certain coding in the phone")</f>
        <v>bye having the same dna you can have the smae things as your parents as long as the are biological and to be able to see they use certain coding in the phone</v>
      </c>
      <c r="N30" s="71" t="str">
        <f>IFERROR(__xludf.DUMMYFUNCTION("""COMPUTED_VALUE"""),"it could slowly destroy the earth because they are taking all the minerals life forms and more")</f>
        <v>it could slowly destroy the earth because they are taking all the minerals life forms and more</v>
      </c>
      <c r="O30" s="71" t="str">
        <f>IFERROR(__xludf.DUMMYFUNCTION("""COMPUTED_VALUE"""),"because you can use it to find locations mark a spot use it to teach about the inside of earth you can use it to find multiple things about and on earth")</f>
        <v>because you can use it to find locations mark a spot use it to teach about the inside of earth you can use it to find multiple things about and on earth</v>
      </c>
      <c r="P30" s="71"/>
      <c r="Q30" s="71"/>
      <c r="R30" s="71"/>
      <c r="S30" s="71"/>
      <c r="T30" s="71"/>
      <c r="U30" s="71"/>
    </row>
    <row r="31">
      <c r="A31" s="128">
        <f>IFERROR(__xludf.DUMMYFUNCTION("""COMPUTED_VALUE"""),45891.63668971065)</f>
        <v>45891.63669</v>
      </c>
      <c r="B31" s="71" t="str">
        <f>IFERROR(__xludf.DUMMYFUNCTION("""COMPUTED_VALUE"""),"marshawn.blair@kairosacademies.org")</f>
        <v>marshawn.blair@kairosacademies.org</v>
      </c>
      <c r="C31" s="71" t="str">
        <f>IFERROR(__xludf.DUMMYFUNCTION("""COMPUTED_VALUE"""),"if their is water nearby for rain or the landscape being dangerous it could get eaten")</f>
        <v>if their is water nearby for rain or the landscape being dangerous it could get eaten</v>
      </c>
      <c r="D31" s="71" t="str">
        <f>IFERROR(__xludf.DUMMYFUNCTION("""COMPUTED_VALUE"""),"The energy changes from the form of potential to the form of kinetic ")</f>
        <v>The energy changes from the form of potential to the form of kinetic </v>
      </c>
      <c r="E31" s="71" t="str">
        <f>IFERROR(__xludf.DUMMYFUNCTION("""COMPUTED_VALUE"""),"they get recycled and energy never dies so it might get transferred to the soil ")</f>
        <v>they get recycled and energy never dies so it might get transferred to the soil </v>
      </c>
      <c r="F31" s="71" t="str">
        <f>IFERROR(__xludf.DUMMYFUNCTION("""COMPUTED_VALUE"""),"I would build a fence to stop it from entering or exiting, so i can so I can move it to a better ecosystem for it.")</f>
        <v>I would build a fence to stop it from entering or exiting, so i can so I can move it to a better ecosystem for it.</v>
      </c>
      <c r="G31" s="71" t="str">
        <f>IFERROR(__xludf.DUMMYFUNCTION("""COMPUTED_VALUE"""),"it could be broken down from other actives and being moved through the sea and hitting other things.")</f>
        <v>it could be broken down from other actives and being moved through the sea and hitting other things.</v>
      </c>
      <c r="H31" s="71" t="str">
        <f>IFERROR(__xludf.DUMMYFUNCTION("""COMPUTED_VALUE"""),"the linked pieces in the Earth's crustal plates can cause volcanoes and earthquake")</f>
        <v>the linked pieces in the Earth's crustal plates can cause volcanoes and earthquake</v>
      </c>
      <c r="I31" s="71" t="str">
        <f>IFERROR(__xludf.DUMMYFUNCTION("""COMPUTED_VALUE"""),"gravity and force from the volcano ")</f>
        <v>gravity and force from the volcano </v>
      </c>
      <c r="J31" s="71" t="str">
        <f>IFERROR(__xludf.DUMMYFUNCTION("""COMPUTED_VALUE"""),"The tsunami wave because the sound has to through the ocean and the forming tsunami to reach the shore")</f>
        <v>The tsunami wave because the sound has to through the ocean and the forming tsunami to reach the shore</v>
      </c>
      <c r="K31" s="71" t="str">
        <f>IFERROR(__xludf.DUMMYFUNCTION("""COMPUTED_VALUE"""),"it gets sent to a cellular tower and they it finds the phone it's sending it to and then you get a notification ")</f>
        <v>it gets sent to a cellular tower and they it finds the phone it's sending it to and then you get a notification </v>
      </c>
      <c r="L31" s="71" t="str">
        <f>IFERROR(__xludf.DUMMYFUNCTION("""COMPUTED_VALUE"""),"the cell has hundreds if not thousands of organelles to function and they get no break while the phone can died and/or powered off")</f>
        <v>the cell has hundreds if not thousands of organelles to function and they get no break while the phone can died and/or powered off</v>
      </c>
      <c r="M31" s="71" t="str">
        <f>IFERROR(__xludf.DUMMYFUNCTION("""COMPUTED_VALUE"""),"genetics it takes traits from your're parents to give to you as if it is a gift of random traits.")</f>
        <v>genetics it takes traits from your're parents to give to you as if it is a gift of random traits.</v>
      </c>
      <c r="N31" s="71" t="str">
        <f>IFERROR(__xludf.DUMMYFUNCTION("""COMPUTED_VALUE"""),"it could kill off animals or plants that need the land that you took away from them")</f>
        <v>it could kill off animals or plants that need the land that you took away from them</v>
      </c>
      <c r="O31" s="71" t="str">
        <f>IFERROR(__xludf.DUMMYFUNCTION("""COMPUTED_VALUE"""),"it can help you locate areas and find countries but it can miss some countries because of the age of the globe.")</f>
        <v>it can help you locate areas and find countries but it can miss some countries because of the age of the globe.</v>
      </c>
      <c r="P31" s="71"/>
      <c r="Q31" s="71"/>
      <c r="R31" s="71"/>
      <c r="S31" s="71"/>
      <c r="T31" s="71"/>
      <c r="U31" s="71"/>
    </row>
    <row r="32">
      <c r="A32" s="128">
        <f>IFERROR(__xludf.DUMMYFUNCTION("""COMPUTED_VALUE"""),45891.63155760417)</f>
        <v>45891.63156</v>
      </c>
      <c r="B32" s="71" t="str">
        <f>IFERROR(__xludf.DUMMYFUNCTION("""COMPUTED_VALUE"""),"miriam.morales@kairosacademies.org")</f>
        <v>miriam.morales@kairosacademies.org</v>
      </c>
      <c r="C32" s="71" t="str">
        <f>IFERROR(__xludf.DUMMYFUNCTION("""COMPUTED_VALUE"""),"how much water they get and where they are located.")</f>
        <v>how much water they get and where they are located.</v>
      </c>
      <c r="D32" s="71" t="str">
        <f>IFERROR(__xludf.DUMMYFUNCTION("""COMPUTED_VALUE"""),"The energy changes during the process so that it can keep up with the growing of the plant.")</f>
        <v>The energy changes during the process so that it can keep up with the growing of the plant.</v>
      </c>
      <c r="E32" s="71" t="str">
        <f>IFERROR(__xludf.DUMMYFUNCTION("""COMPUTED_VALUE"""),"The atoms that made up the dead plants go all over the soil and the energy that was stored in the plant go to other plants near by.")</f>
        <v>The atoms that made up the dead plants go all over the soil and the energy that was stored in the plant go to other plants near by.</v>
      </c>
      <c r="F32" s="71" t="str">
        <f>IFERROR(__xludf.DUMMYFUNCTION("""COMPUTED_VALUE"""),"figure out what plants the rabbits are going for the most to so that you can move them and keep the rabbets away.")</f>
        <v>figure out what plants the rabbits are going for the most to so that you can move them and keep the rabbets away.</v>
      </c>
      <c r="G32" s="71" t="str">
        <f>IFERROR(__xludf.DUMMYFUNCTION("""COMPUTED_VALUE"""),"The rock could've been destroyed by many things over the years causing it to get smaller and smaller eventually turning it into tine bits of sand. ")</f>
        <v>The rock could've been destroyed by many things over the years causing it to get smaller and smaller eventually turning it into tine bits of sand. </v>
      </c>
      <c r="H32" s="71" t="str">
        <f>IFERROR(__xludf.DUMMYFUNCTION("""COMPUTED_VALUE"""),"The crustal plates cause an earthquake's vibration causes a reaction from the volcano.")</f>
        <v>The crustal plates cause an earthquake's vibration causes a reaction from the volcano.</v>
      </c>
      <c r="I32" s="71" t="str">
        <f>IFERROR(__xludf.DUMMYFUNCTION("""COMPUTED_VALUE"""),"gravity and air")</f>
        <v>gravity and air</v>
      </c>
      <c r="J32" s="71" t="str">
        <f>IFERROR(__xludf.DUMMYFUNCTION("""COMPUTED_VALUE"""),"I think the sound would reach the shore first due to the way of the air.")</f>
        <v>I think the sound would reach the shore first due to the way of the air.</v>
      </c>
      <c r="K32" s="71" t="str">
        <f>IFERROR(__xludf.DUMMYFUNCTION("""COMPUTED_VALUE"""),"Phones can get their signals from wave signals because of all the power lines and they wiring in the phones and any other electronic.")</f>
        <v>Phones can get their signals from wave signals because of all the power lines and they wiring in the phones and any other electronic.</v>
      </c>
      <c r="L32" s="71" t="str">
        <f>IFERROR(__xludf.DUMMYFUNCTION("""COMPUTED_VALUE"""),"I say a single living cell because of what it does and how much it does.")</f>
        <v>I say a single living cell because of what it does and how much it does.</v>
      </c>
      <c r="M32" s="71" t="str">
        <f>IFERROR(__xludf.DUMMYFUNCTION("""COMPUTED_VALUE"""),"genetics.")</f>
        <v>genetics.</v>
      </c>
      <c r="N32" s="71" t="str">
        <f>IFERROR(__xludf.DUMMYFUNCTION("""COMPUTED_VALUE"""),"it can destroy important areas.")</f>
        <v>it can destroy important areas.</v>
      </c>
      <c r="O32" s="71" t="str">
        <f>IFERROR(__xludf.DUMMYFUNCTION("""COMPUTED_VALUE"""),"a globe is useful because it sows and tells you where placed are located and how far they are. It can be limited because they'er are few places they aren't on a globe.")</f>
        <v>a globe is useful because it sows and tells you where placed are located and how far they are. It can be limited because they'er are few places they aren't on a globe.</v>
      </c>
      <c r="P32" s="71"/>
      <c r="Q32" s="71"/>
      <c r="R32" s="71"/>
      <c r="S32" s="71"/>
      <c r="T32" s="71"/>
      <c r="U32" s="71"/>
    </row>
    <row r="33">
      <c r="A33" s="128">
        <f>IFERROR(__xludf.DUMMYFUNCTION("""COMPUTED_VALUE"""),45891.64227361111)</f>
        <v>45891.64227</v>
      </c>
      <c r="B33" s="71" t="str">
        <f>IFERROR(__xludf.DUMMYFUNCTION("""COMPUTED_VALUE"""),"tamell.gholson@kairosacademies.org")</f>
        <v>tamell.gholson@kairosacademies.org</v>
      </c>
      <c r="C33" s="71" t="str">
        <f>IFERROR(__xludf.DUMMYFUNCTION("""COMPUTED_VALUE"""),"water because if you water your plant it grow good but if you dont it dieds and dont grow right.")</f>
        <v>water because if you water your plant it grow good but if you dont it dieds and dont grow right.</v>
      </c>
      <c r="D33" s="71" t="str">
        <f>IFERROR(__xludf.DUMMYFUNCTION("""COMPUTED_VALUE"""),"the energy changes from the from of ")</f>
        <v>the energy changes from the from of </v>
      </c>
      <c r="E33" s="71" t="str">
        <f>IFERROR(__xludf.DUMMYFUNCTION("""COMPUTED_VALUE"""),"the energy in the plants molecules break down other plant and energy ")</f>
        <v>the energy in the plants molecules break down other plant and energy </v>
      </c>
      <c r="F33" s="71" t="str">
        <f>IFERROR(__xludf.DUMMYFUNCTION("""COMPUTED_VALUE"""),"ill put a little fence up so no rabbits or anything can get to my garden")</f>
        <v>ill put a little fence up so no rabbits or anything can get to my garden</v>
      </c>
      <c r="G33" s="71" t="str">
        <f>IFERROR(__xludf.DUMMYFUNCTION("""COMPUTED_VALUE"""),"its been so old and hot of the lava so its been breaking down.")</f>
        <v>its been so old and hot of the lava so its been breaking down.</v>
      </c>
      <c r="H33" s="71" t="str">
        <f>IFERROR(__xludf.DUMMYFUNCTION("""COMPUTED_VALUE"""),"The Earth shakes and the volcanoes bubble up and get hotter and finally ")</f>
        <v>The Earth shakes and the volcanoes bubble up and get hotter and finally </v>
      </c>
      <c r="I33" s="71" t="str">
        <f>IFERROR(__xludf.DUMMYFUNCTION("""COMPUTED_VALUE"""),"gravity, air ")</f>
        <v>gravity, air </v>
      </c>
      <c r="J33" s="71" t="str">
        <f>IFERROR(__xludf.DUMMYFUNCTION("""COMPUTED_VALUE"""),"because the water so strong and because the air mover faster")</f>
        <v>because the water so strong and because the air mover faster</v>
      </c>
      <c r="K33" s="71" t="str">
        <f>IFERROR(__xludf.DUMMYFUNCTION("""COMPUTED_VALUE"""),"because the phone have things in them that have technology. ")</f>
        <v>because the phone have things in them that have technology. </v>
      </c>
      <c r="L33" s="71" t="str">
        <f>IFERROR(__xludf.DUMMYFUNCTION("""COMPUTED_VALUE"""),"A single living cell is more complex than a complete phone because it has evole")</f>
        <v>A single living cell is more complex than a complete phone because it has evole</v>
      </c>
      <c r="M33" s="71" t="str">
        <f>IFERROR(__xludf.DUMMYFUNCTION("""COMPUTED_VALUE"""),"because that children see there parents with it.")</f>
        <v>because that children see there parents with it.</v>
      </c>
      <c r="N33" s="71" t="str">
        <f>IFERROR(__xludf.DUMMYFUNCTION("""COMPUTED_VALUE"""),"they might waste a lot of metal and we need metals to build stuff.")</f>
        <v>they might waste a lot of metal and we need metals to build stuff.</v>
      </c>
      <c r="O33" s="71" t="str">
        <f>IFERROR(__xludf.DUMMYFUNCTION("""COMPUTED_VALUE"""),"when your looking for a place to take a vacation that's one way you can you a globe but the globe can be hard to use if you don't know how to use it ")</f>
        <v>when your looking for a place to take a vacation that's one way you can you a globe but the globe can be hard to use if you don't know how to use it </v>
      </c>
      <c r="P33" s="71"/>
      <c r="Q33" s="71"/>
      <c r="R33" s="71"/>
      <c r="S33" s="71"/>
      <c r="T33" s="71"/>
      <c r="U33" s="71"/>
    </row>
    <row r="34">
      <c r="A34" s="128">
        <f>IFERROR(__xludf.DUMMYFUNCTION("""COMPUTED_VALUE"""),45891.626543391205)</f>
        <v>45891.62654</v>
      </c>
      <c r="B34" s="71" t="str">
        <f>IFERROR(__xludf.DUMMYFUNCTION("""COMPUTED_VALUE"""),"taylor.horton@kairosacademies.org")</f>
        <v>taylor.horton@kairosacademies.org</v>
      </c>
      <c r="C34" s="71" t="str">
        <f>IFERROR(__xludf.DUMMYFUNCTION("""COMPUTED_VALUE"""),"type of soil and water intake")</f>
        <v>type of soil and water intake</v>
      </c>
      <c r="D34" s="71" t="str">
        <f>IFERROR(__xludf.DUMMYFUNCTION("""COMPUTED_VALUE"""),"light energy, chemical energy")</f>
        <v>light energy, chemical energy</v>
      </c>
      <c r="E34" s="71" t="str">
        <f>IFERROR(__xludf.DUMMYFUNCTION("""COMPUTED_VALUE"""),"The atoms go back into the soil, air, and water, so they get recycled. The energy is released as heat and doesn’t get recycled")</f>
        <v>The atoms go back into the soil, air, and water, so they get recycled. The energy is released as heat and doesn’t get recycled</v>
      </c>
      <c r="F34" s="71" t="str">
        <f>IFERROR(__xludf.DUMMYFUNCTION("""COMPUTED_VALUE"""),"I would split the garden in half. One side gets a fence, the other gets spray, and I’d keep everything else the same to see which works better")</f>
        <v>I would split the garden in half. One side gets a fence, the other gets spray, and I’d keep everything else the same to see which works better</v>
      </c>
      <c r="G34" s="71" t="str">
        <f>IFERROR(__xludf.DUMMYFUNCTION("""COMPUTED_VALUE"""),"water and wind break down the rocks and over the years of wind and water breaking down the rocks turn into sand ")</f>
        <v>water and wind break down the rocks and over the years of wind and water breaking down the rocks turn into sand </v>
      </c>
      <c r="H34" s="71" t="str">
        <f>IFERROR(__xludf.DUMMYFUNCTION("""COMPUTED_VALUE"""),"i dont know exactly but i believe that its pressure from the plates")</f>
        <v>i dont know exactly but i believe that its pressure from the plates</v>
      </c>
      <c r="I34" s="71" t="str">
        <f>IFERROR(__xludf.DUMMYFUNCTION("""COMPUTED_VALUE"""),"the two forces i know are working are gravity and kenetic energy ")</f>
        <v>the two forces i know are working are gravity and kenetic energy </v>
      </c>
      <c r="J34" s="71" t="str">
        <f>IFERROR(__xludf.DUMMYFUNCTION("""COMPUTED_VALUE"""),"i believe the sound of the eruption will be heard before the tsunami")</f>
        <v>i believe the sound of the eruption will be heard before the tsunami</v>
      </c>
      <c r="K34" s="71" t="str">
        <f>IFERROR(__xludf.DUMMYFUNCTION("""COMPUTED_VALUE"""),"i know certain phones have airdrop like iphones")</f>
        <v>i know certain phones have airdrop like iphones</v>
      </c>
      <c r="L34" s="71" t="str">
        <f>IFERROR(__xludf.DUMMYFUNCTION("""COMPUTED_VALUE"""),"i believe a complete phone if there were more cells then i would say cell but to me a phone is my complex in organization because depending on what cell it is")</f>
        <v>i believe a complete phone if there were more cells then i would say cell but to me a phone is my complex in organization because depending on what cell it is</v>
      </c>
      <c r="M34" s="71" t="str">
        <f>IFERROR(__xludf.DUMMYFUNCTION("""COMPUTED_VALUE"""),"i believe that if a parent has my bright colors on there phone they're eyes  will get used to bright colors and pass that down to they're kids")</f>
        <v>i believe that if a parent has my bright colors on there phone they're eyes  will get used to bright colors and pass that down to they're kids</v>
      </c>
      <c r="N34" s="71" t="str">
        <f>IFERROR(__xludf.DUMMYFUNCTION("""COMPUTED_VALUE"""),"it can effect the amount of netuirtents the world may have")</f>
        <v>it can effect the amount of netuirtents the world may have</v>
      </c>
      <c r="O34" s="71" t="str">
        <f>IFERROR(__xludf.DUMMYFUNCTION("""COMPUTED_VALUE"""),"it is useful for finding states countries and contenet but you can not use them for scaling if one country is bigger then another")</f>
        <v>it is useful for finding states countries and contenet but you can not use them for scaling if one country is bigger then another</v>
      </c>
      <c r="P34" s="71"/>
      <c r="Q34" s="71"/>
      <c r="R34" s="71"/>
      <c r="S34" s="71"/>
      <c r="T34" s="71"/>
      <c r="U34" s="71"/>
    </row>
    <row r="35">
      <c r="A35" s="128">
        <f>IFERROR(__xludf.DUMMYFUNCTION("""COMPUTED_VALUE"""),45891.63257662037)</f>
        <v>45891.63258</v>
      </c>
      <c r="B35" s="71" t="str">
        <f>IFERROR(__xludf.DUMMYFUNCTION("""COMPUTED_VALUE"""),"cameron.brown@kairosacademies.org")</f>
        <v>cameron.brown@kairosacademies.org</v>
      </c>
      <c r="C35" s="71" t="str">
        <f>IFERROR(__xludf.DUMMYFUNCTION("""COMPUTED_VALUE"""),"The amount of water and the type of soil.")</f>
        <v>The amount of water and the type of soil.</v>
      </c>
      <c r="D35" s="71" t="str">
        <f>IFERROR(__xludf.DUMMYFUNCTION("""COMPUTED_VALUE"""),"The energy changes from the form of potential to kinetic energy.")</f>
        <v>The energy changes from the form of potential to kinetic energy.</v>
      </c>
      <c r="E35" s="71" t="str">
        <f>IFERROR(__xludf.DUMMYFUNCTION("""COMPUTED_VALUE"""),"The energy and the atoms from the plants slowly breaks down and transfers into another living thing.")</f>
        <v>The energy and the atoms from the plants slowly breaks down and transfers into another living thing.</v>
      </c>
      <c r="F35" s="71" t="str">
        <f>IFERROR(__xludf.DUMMYFUNCTION("""COMPUTED_VALUE"""),"I can do some research about what keeps rabbits away from your property without destroying important variables then i can know what to do when i make my prototype and look for improvements it needs.")</f>
        <v>I can do some research about what keeps rabbits away from your property without destroying important variables then i can know what to do when i make my prototype and look for improvements it needs.</v>
      </c>
      <c r="G35" s="71" t="str">
        <f>IFERROR(__xludf.DUMMYFUNCTION("""COMPUTED_VALUE"""),"From the erosion from the water waves slowly breaking down the rocks into a new shape.")</f>
        <v>From the erosion from the water waves slowly breaking down the rocks into a new shape.</v>
      </c>
      <c r="H35" s="71" t="str">
        <f>IFERROR(__xludf.DUMMYFUNCTION("""COMPUTED_VALUE"""),"Most of the volcanoes can erupt from magma build up in places that have a lot of magma and friction happens underground.")</f>
        <v>Most of the volcanoes can erupt from magma build up in places that have a lot of magma and friction happens underground.</v>
      </c>
      <c r="I35" s="71" t="str">
        <f>IFERROR(__xludf.DUMMYFUNCTION("""COMPUTED_VALUE"""),"Two forces than can cause that if pushing force and gravitational force.")</f>
        <v>Two forces than can cause that if pushing force and gravitational force.</v>
      </c>
      <c r="J35" s="71" t="str">
        <f>IFERROR(__xludf.DUMMYFUNCTION("""COMPUTED_VALUE"""),"I think the sound of the eruption would reach the shore first because even though sound moves faster above water the force of the eruption would be really loud and could cause vibration.")</f>
        <v>I think the sound of the eruption would reach the shore first because even though sound moves faster above water the force of the eruption would be really loud and could cause vibration.</v>
      </c>
      <c r="K35" s="71" t="str">
        <f>IFERROR(__xludf.DUMMYFUNCTION("""COMPUTED_VALUE"""),"When you get a message or send something, the phone will send a signal to a satellite then the satellite will send it to you or the other person.")</f>
        <v>When you get a message or send something, the phone will send a signal to a satellite then the satellite will send it to you or the other person.</v>
      </c>
      <c r="L35" s="71" t="str">
        <f>IFERROR(__xludf.DUMMYFUNCTION("""COMPUTED_VALUE"""),"A signal living cell because it's very rare for a cell to malfunction and has evolved for over a million years.")</f>
        <v>A signal living cell because it's very rare for a cell to malfunction and has evolved for over a million years.</v>
      </c>
      <c r="M35" s="71" t="str">
        <f>IFERROR(__xludf.DUMMYFUNCTION("""COMPUTED_VALUE"""),"These traits are passed down from parents to their kids by genes.")</f>
        <v>These traits are passed down from parents to their kids by genes.</v>
      </c>
      <c r="N35" s="71" t="str">
        <f>IFERROR(__xludf.DUMMYFUNCTION("""COMPUTED_VALUE"""),"Taking a lot of resources from the ground and destroying some homes from living things.")</f>
        <v>Taking a lot of resources from the ground and destroying some homes from living things.</v>
      </c>
      <c r="O35" s="71" t="str">
        <f>IFERROR(__xludf.DUMMYFUNCTION("""COMPUTED_VALUE"""),"Some of the places or the size of the continent might not be the actual size compared to the other continents. It can be helpful to people showing where everything is in the world.")</f>
        <v>Some of the places or the size of the continent might not be the actual size compared to the other continents. It can be helpful to people showing where everything is in the world.</v>
      </c>
      <c r="P35" s="71"/>
      <c r="Q35" s="71"/>
      <c r="R35" s="71"/>
      <c r="S35" s="71"/>
      <c r="T35" s="71"/>
      <c r="U35" s="71"/>
    </row>
    <row r="36">
      <c r="A36" s="128">
        <f>IFERROR(__xludf.DUMMYFUNCTION("""COMPUTED_VALUE"""),45891.62808206018)</f>
        <v>45891.62808</v>
      </c>
      <c r="B36" s="71" t="str">
        <f>IFERROR(__xludf.DUMMYFUNCTION("""COMPUTED_VALUE"""),"brandon.reynolds@kairosacademies.org")</f>
        <v>brandon.reynolds@kairosacademies.org</v>
      </c>
      <c r="C36" s="71" t="str">
        <f>IFERROR(__xludf.DUMMYFUNCTION("""COMPUTED_VALUE"""),"Types of soil,water.")</f>
        <v>Types of soil,water.</v>
      </c>
      <c r="D36" s="71" t="str">
        <f>IFERROR(__xludf.DUMMYFUNCTION("""COMPUTED_VALUE"""),"Light Energy                                    Chemical  Energy")</f>
        <v>Light Energy                                    Chemical  Energy</v>
      </c>
      <c r="E36" s="71" t="str">
        <f>IFERROR(__xludf.DUMMYFUNCTION("""COMPUTED_VALUE"""),"The atoms from the dead plants go to the air.")</f>
        <v>The atoms from the dead plants go to the air.</v>
      </c>
      <c r="F36" s="71" t="str">
        <f>IFERROR(__xludf.DUMMYFUNCTION("""COMPUTED_VALUE"""),"Cut the garden in half one half with the important part and the least important part.")</f>
        <v>Cut the garden in half one half with the important part and the least important part.</v>
      </c>
      <c r="G36" s="71" t="str">
        <f>IFERROR(__xludf.DUMMYFUNCTION("""COMPUTED_VALUE"""),"The wind and water will break down the rocks over the years.")</f>
        <v>The wind and water will break down the rocks over the years.</v>
      </c>
      <c r="H36" s="71" t="str">
        <f>IFERROR(__xludf.DUMMYFUNCTION("""COMPUTED_VALUE"""),"The Crustal Plates  push together it makes more energy, but when they come apart its a more violent reaction.")</f>
        <v>The Crustal Plates  push together it makes more energy, but when they come apart its a more violent reaction.</v>
      </c>
      <c r="I36" s="71" t="str">
        <f>IFERROR(__xludf.DUMMYFUNCTION("""COMPUTED_VALUE"""),"Gravity and Kinetic Energy  ")</f>
        <v>Gravity and Kinetic Energy  </v>
      </c>
      <c r="J36" s="71" t="str">
        <f>IFERROR(__xludf.DUMMYFUNCTION("""COMPUTED_VALUE"""),"I think the wave itself will travel the fastest to a sore.")</f>
        <v>I think the wave itself will travel the fastest to a sore.</v>
      </c>
      <c r="K36" s="71" t="str">
        <f>IFERROR(__xludf.DUMMYFUNCTION("""COMPUTED_VALUE"""),"The Connetion and Service around them.")</f>
        <v>The Connetion and Service around them.</v>
      </c>
      <c r="L36" s="71" t="str">
        <f>IFERROR(__xludf.DUMMYFUNCTION("""COMPUTED_VALUE"""),"I believe that a living Cell, because a living cell is more complex its builds up stronger and stronger.")</f>
        <v>I believe that a living Cell, because a living cell is more complex its builds up stronger and stronger.</v>
      </c>
      <c r="M36" s="71" t="str">
        <f>IFERROR(__xludf.DUMMYFUNCTION("""COMPUTED_VALUE"""),"I believe that if a parent has a their phone 24/7 and on it their eye sight  will become used to the bright colors.")</f>
        <v>I believe that if a parent has a their phone 24/7 and on it their eye sight  will become used to the bright colors.</v>
      </c>
      <c r="N36" s="71" t="str">
        <f>IFERROR(__xludf.DUMMYFUNCTION("""COMPUTED_VALUE"""),"Environment problems like deforestation for materials ")</f>
        <v>Environment problems like deforestation for materials </v>
      </c>
      <c r="O36" s="71" t="str">
        <f>IFERROR(__xludf.DUMMYFUNCTION("""COMPUTED_VALUE"""),"it is useful  because finding different places/states on earth without your phone, it is limited because it will be useful for a world disater in you will need a map.")</f>
        <v>it is useful  because finding different places/states on earth without your phone, it is limited because it will be useful for a world disater in you will need a map.</v>
      </c>
      <c r="P36" s="71"/>
      <c r="Q36" s="71"/>
      <c r="R36" s="71"/>
      <c r="S36" s="71"/>
      <c r="T36" s="71"/>
      <c r="U36" s="71"/>
    </row>
    <row r="37">
      <c r="A37" s="128">
        <f>IFERROR(__xludf.DUMMYFUNCTION("""COMPUTED_VALUE"""),45891.627704907405)</f>
        <v>45891.6277</v>
      </c>
      <c r="B37" s="71" t="str">
        <f>IFERROR(__xludf.DUMMYFUNCTION("""COMPUTED_VALUE"""),"jade.howard@kairosacademies.org")</f>
        <v>jade.howard@kairosacademies.org</v>
      </c>
      <c r="C37" s="71" t="str">
        <f>IFERROR(__xludf.DUMMYFUNCTION("""COMPUTED_VALUE"""),"The amount of water and oxygen they gain can affect their genes.")</f>
        <v>The amount of water and oxygen they gain can affect their genes.</v>
      </c>
      <c r="D37" s="71" t="str">
        <f>IFERROR(__xludf.DUMMYFUNCTION("""COMPUTED_VALUE"""),"The energy changes from the form of oxygen, water, and sunlight to glucose energy. ")</f>
        <v>The energy changes from the form of oxygen, water, and sunlight to glucose energy. </v>
      </c>
      <c r="E37" s="71" t="str">
        <f>IFERROR(__xludf.DUMMYFUNCTION("""COMPUTED_VALUE"""),"The atoms go into the new plants that are going to grow. The energy breakdown in to particals for the plants that are starting to grow.")</f>
        <v>The atoms go into the new plants that are going to grow. The energy breakdown in to particals for the plants that are starting to grow.</v>
      </c>
      <c r="F37" s="71" t="str">
        <f>IFERROR(__xludf.DUMMYFUNCTION("""COMPUTED_VALUE"""),"I would test a gate and a plant house to protect the plants.")</f>
        <v>I would test a gate and a plant house to protect the plants.</v>
      </c>
      <c r="G37" s="71" t="str">
        <f>IFERROR(__xludf.DUMMYFUNCTION("""COMPUTED_VALUE"""),"The new rock would eventually break down from the weather over the years into tiny grains ")</f>
        <v>The new rock would eventually break down from the weather over the years into tiny grains </v>
      </c>
      <c r="H37" s="71" t="str">
        <f>IFERROR(__xludf.DUMMYFUNCTION("""COMPUTED_VALUE"""),"The plates began to give off so much force onto each other and causes earthquakes, volcanoes, and etc. ")</f>
        <v>The plates began to give off so much force onto each other and causes earthquakes, volcanoes, and etc. </v>
      </c>
      <c r="I37" s="71" t="str">
        <f>IFERROR(__xludf.DUMMYFUNCTION("""COMPUTED_VALUE"""),"Two forces i think are acting on are gravity and the boulder is hitting the oxygen.  ")</f>
        <v>Two forces i think are acting on are gravity and the boulder is hitting the oxygen.  </v>
      </c>
      <c r="J37" s="71" t="str">
        <f>IFERROR(__xludf.DUMMYFUNCTION("""COMPUTED_VALUE"""),"The tsunami would reach distant first because waves travel fast and the sound of the eruption would travel slower underwater. ")</f>
        <v>The tsunami would reach distant first because waves travel fast and the sound of the eruption would travel slower underwater. </v>
      </c>
      <c r="K37" s="71" t="str">
        <f>IFERROR(__xludf.DUMMYFUNCTION("""COMPUTED_VALUE"""),"The signals come through by other connections like other people having phones and power.")</f>
        <v>The signals come through by other connections like other people having phones and power.</v>
      </c>
      <c r="L37" s="71" t="str">
        <f>IFERROR(__xludf.DUMMYFUNCTION("""COMPUTED_VALUE"""),"A single living cell because a cell has many living parts that are organized like brain cells. ")</f>
        <v>A single living cell because a cell has many living parts that are organized like brain cells. </v>
      </c>
      <c r="M37" s="71" t="str">
        <f>IFERROR(__xludf.DUMMYFUNCTION("""COMPUTED_VALUE"""),"Genetics is what's passed down form parents to their kids.")</f>
        <v>Genetics is what's passed down form parents to their kids.</v>
      </c>
      <c r="N37" s="71" t="str">
        <f>IFERROR(__xludf.DUMMYFUNCTION("""COMPUTED_VALUE"""),"The negative impact is that it makes the earth not clean and its not a reusable source.")</f>
        <v>The negative impact is that it makes the earth not clean and its not a reusable source.</v>
      </c>
      <c r="O37" s="71" t="str">
        <f>IFERROR(__xludf.DUMMYFUNCTION("""COMPUTED_VALUE"""),"The globe is useful because it shows you where continents, countries, states and more are. The negitive thing is that the place not be in the exact place. ")</f>
        <v>The globe is useful because it shows you where continents, countries, states and more are. The negitive thing is that the place not be in the exact place. </v>
      </c>
      <c r="P37" s="71"/>
      <c r="Q37" s="71"/>
      <c r="R37" s="71"/>
      <c r="S37" s="71"/>
      <c r="T37" s="71"/>
      <c r="U37" s="71"/>
    </row>
    <row r="38">
      <c r="A38" s="128">
        <f>IFERROR(__xludf.DUMMYFUNCTION("""COMPUTED_VALUE"""),45891.63118261575)</f>
        <v>45891.63118</v>
      </c>
      <c r="B38" s="71" t="str">
        <f>IFERROR(__xludf.DUMMYFUNCTION("""COMPUTED_VALUE"""),"samuel.sims@kairosacademies.org")</f>
        <v>samuel.sims@kairosacademies.org</v>
      </c>
      <c r="C38" s="71" t="str">
        <f>IFERROR(__xludf.DUMMYFUNCTION("""COMPUTED_VALUE"""),"soil, water and air quality ")</f>
        <v>soil, water and air quality </v>
      </c>
      <c r="D38" s="71" t="str">
        <f>IFERROR(__xludf.DUMMYFUNCTION("""COMPUTED_VALUE"""),"The energy changes from the form of solar energy to the form of food energy")</f>
        <v>The energy changes from the form of solar energy to the form of food energy</v>
      </c>
      <c r="E38" s="71" t="str">
        <f>IFERROR(__xludf.DUMMYFUNCTION("""COMPUTED_VALUE"""),"The atoms are broken down and recycled and the energy is recycled so they can become energy and nutrients for other organisms. ")</f>
        <v>The atoms are broken down and recycled and the energy is recycled so they can become energy and nutrients for other organisms. </v>
      </c>
      <c r="F38" s="71" t="str">
        <f>IFERROR(__xludf.DUMMYFUNCTION("""COMPUTED_VALUE"""),"first find out what the rabbits are most attracted to and why it's that specific plant the plan away to keep the rabbits away without them going hungry and not harm the plants so i'll plant patches of their favorite plants all over the place   ")</f>
        <v>first find out what the rabbits are most attracted to and why it's that specific plant the plan away to keep the rabbits away without them going hungry and not harm the plants so i'll plant patches of their favorite plants all over the place   </v>
      </c>
      <c r="G38" s="71" t="str">
        <f>IFERROR(__xludf.DUMMYFUNCTION("""COMPUTED_VALUE"""),"once the lava hardens as time goes on and it rains and the winds blow and different natural disasters happen the rock will erode over time and as it washes away and blows in the wind it ends up on the ocean floor and on the beach as sand  ")</f>
        <v>once the lava hardens as time goes on and it rains and the winds blow and different natural disasters happen the rock will erode over time and as it washes away and blows in the wind it ends up on the ocean floor and on the beach as sand  </v>
      </c>
      <c r="H38" s="71" t="str">
        <f>IFERROR(__xludf.DUMMYFUNCTION("""COMPUTED_VALUE"""),"the earth plates are moving and crashes into each other with lots of force because as they push they are forcing whats above them up")</f>
        <v>the earth plates are moving and crashes into each other with lots of force because as they push they are forcing whats above them up</v>
      </c>
      <c r="I38" s="71" t="str">
        <f>IFERROR(__xludf.DUMMYFUNCTION("""COMPUTED_VALUE"""),"kinetic energy and gravity are acting upon it")</f>
        <v>kinetic energy and gravity are acting upon it</v>
      </c>
      <c r="J38" s="71" t="str">
        <f>IFERROR(__xludf.DUMMYFUNCTION("""COMPUTED_VALUE"""),"the eruption sound would get there first as water is thicker than air so the sound would move faster.")</f>
        <v>the eruption sound would get there first as water is thicker than air so the sound would move faster.</v>
      </c>
      <c r="K38" s="71" t="str">
        <f>IFERROR(__xludf.DUMMYFUNCTION("""COMPUTED_VALUE"""),"the phone uses radio waves and signals to send info back and forth through something called a receiver and emiter")</f>
        <v>the phone uses radio waves and signals to send info back and forth through something called a receiver and emiter</v>
      </c>
      <c r="L38" s="71" t="str">
        <f>IFERROR(__xludf.DUMMYFUNCTION("""COMPUTED_VALUE"""),"A single living cell is more complex than a complete phone. Cells have organelles like the nucleus and mitochondria the act and communicate on different levels while phones are man made and they are still learning how cells work so in my belief cells are "&amp;"more complex than phones ")</f>
        <v>A single living cell is more complex than a complete phone. Cells have organelles like the nucleus and mitochondria the act and communicate on different levels while phones are man made and they are still learning how cells work so in my belief cells are more complex than phones </v>
      </c>
      <c r="M38" s="71" t="str">
        <f>IFERROR(__xludf.DUMMYFUNCTION("""COMPUTED_VALUE"""),"Traits, such as the ability to see colors, are passed from parents to children through genes. Each person inherits through genes")</f>
        <v>Traits, such as the ability to see colors, are passed from parents to children through genes. Each person inherits through genes</v>
      </c>
      <c r="N38" s="71" t="str">
        <f>IFERROR(__xludf.DUMMYFUNCTION("""COMPUTED_VALUE"""),"One negative impact of mining hurts the ecosystem they are mining in")</f>
        <v>One negative impact of mining hurts the ecosystem they are mining in</v>
      </c>
      <c r="O38" s="71" t="str">
        <f>IFERROR(__xludf.DUMMYFUNCTION("""COMPUTED_VALUE"""),"the globe is useful as it displays earth in another way while it is inaccurate in terms of distance between the contents. ")</f>
        <v>the globe is useful as it displays earth in another way while it is inaccurate in terms of distance between the contents. </v>
      </c>
      <c r="P38" s="71"/>
      <c r="Q38" s="71"/>
      <c r="R38" s="71"/>
      <c r="S38" s="71"/>
      <c r="T38" s="71"/>
      <c r="U38" s="71"/>
    </row>
    <row r="39">
      <c r="A39" s="128">
        <f>IFERROR(__xludf.DUMMYFUNCTION("""COMPUTED_VALUE"""),45891.64083921297)</f>
        <v>45891.64084</v>
      </c>
      <c r="B39" s="71" t="str">
        <f>IFERROR(__xludf.DUMMYFUNCTION("""COMPUTED_VALUE"""),"king.mckee@kairosacademies.org")</f>
        <v>king.mckee@kairosacademies.org</v>
      </c>
      <c r="C39" s="71" t="str">
        <f>IFERROR(__xludf.DUMMYFUNCTION("""COMPUTED_VALUE""")," the amount fo water")</f>
        <v> the amount fo water</v>
      </c>
      <c r="D39" s="71" t="str">
        <f>IFERROR(__xludf.DUMMYFUNCTION("""COMPUTED_VALUE"""),"gluecose")</f>
        <v>gluecose</v>
      </c>
      <c r="E39" s="71" t="str">
        <f>IFERROR(__xludf.DUMMYFUNCTION("""COMPUTED_VALUE"""),"the energy get produce to energy to different plants                                                                                                                                                                    ")</f>
        <v>the energy get produce to energy to different plants                                                                                                                                                                    </v>
      </c>
      <c r="F39" s="71" t="str">
        <f>IFERROR(__xludf.DUMMYFUNCTION("""COMPUTED_VALUE""")," cook the rabbits")</f>
        <v> cook the rabbits</v>
      </c>
      <c r="G39" s="71" t="str">
        <f>IFERROR(__xludf.DUMMYFUNCTION("""COMPUTED_VALUE"""),"molten lava in when it's gets hard it's value goes up in the material is called obsidan in it can cost up to 6$ to 240$ dollars")</f>
        <v>molten lava in when it's gets hard it's value goes up in the material is called obsidan in it can cost up to 6$ to 240$ dollars</v>
      </c>
      <c r="H39" s="71" t="str">
        <f>IFERROR(__xludf.DUMMYFUNCTION("""COMPUTED_VALUE"""),"it can happeand from a earthquake")</f>
        <v>it can happeand from a earthquake</v>
      </c>
      <c r="I39" s="71" t="str">
        <f>IFERROR(__xludf.DUMMYFUNCTION("""COMPUTED_VALUE"""),"if the boulder was launched from a volcano  the energy from the volcano can make obsidian in the sky if it's i cold a enough")</f>
        <v>if the boulder was launched from a volcano  the energy from the volcano can make obsidian in the sky if it's i cold a enough</v>
      </c>
      <c r="J39" s="71" t="str">
        <f>IFERROR(__xludf.DUMMYFUNCTION("""COMPUTED_VALUE"""),"sound because the speed  of sound is exactiy  760 mph")</f>
        <v>sound because the speed  of sound is exactiy  760 mph</v>
      </c>
      <c r="K39" s="71" t="str">
        <f>IFERROR(__xludf.DUMMYFUNCTION("""COMPUTED_VALUE""")," it is a signal to the satellite  in the how you receive text messages in send  text messages")</f>
        <v> it is a signal to the satellite  in the how you receive text messages in send  text messages</v>
      </c>
      <c r="L39" s="71" t="str">
        <f>IFERROR(__xludf.DUMMYFUNCTION("""COMPUTED_VALUE"""),"
phone need cell  because so you can call people in you have cell to help you do different things in you life")</f>
        <v>
phone need cell  because so you can call people in you have cell to help you do different things in you life</v>
      </c>
      <c r="M39" s="71" t="str">
        <f>IFERROR(__xludf.DUMMYFUNCTION("""COMPUTED_VALUE"""),"because if there was no color on the phone there would be hard to read text messages.")</f>
        <v>because if there was no color on the phone there would be hard to read text messages.</v>
      </c>
      <c r="N39" s="71" t="str">
        <f>IFERROR(__xludf.DUMMYFUNCTION("""COMPUTED_VALUE"""),"when you are building a  phone you need certain parts for the phone so you can connect to the screen")</f>
        <v>when you are building a  phone you need certain parts for the phone so you can connect to the screen</v>
      </c>
      <c r="O39" s="71" t="str">
        <f>IFERROR(__xludf.DUMMYFUNCTION("""COMPUTED_VALUE"""),"i can a globe to  learn about different countries ")</f>
        <v>i can a globe to  learn about different countries </v>
      </c>
      <c r="P39" s="71"/>
      <c r="Q39" s="71"/>
      <c r="R39" s="71"/>
      <c r="S39" s="71"/>
      <c r="T39" s="71"/>
      <c r="U39" s="71"/>
    </row>
    <row r="40">
      <c r="A40" s="128">
        <f>IFERROR(__xludf.DUMMYFUNCTION("""COMPUTED_VALUE"""),45891.645480439816)</f>
        <v>45891.64548</v>
      </c>
      <c r="B40" s="71" t="str">
        <f>IFERROR(__xludf.DUMMYFUNCTION("""COMPUTED_VALUE"""),"monika.stewart@kairosacademies.org")</f>
        <v>monika.stewart@kairosacademies.org</v>
      </c>
      <c r="C40" s="71" t="str">
        <f>IFERROR(__xludf.DUMMYFUNCTION("""COMPUTED_VALUE"""),"idk")</f>
        <v>idk</v>
      </c>
      <c r="D40" s="71" t="str">
        <f>IFERROR(__xludf.DUMMYFUNCTION("""COMPUTED_VALUE"""),"the energy changes by  ues water and differn these like plants ")</f>
        <v>the energy changes by  ues water and differn these like plants </v>
      </c>
      <c r="E40" s="71" t="str">
        <f>IFERROR(__xludf.DUMMYFUNCTION("""COMPUTED_VALUE"""),"they need to  have the sun so they can have way more suun so they wont die tehn it saummer ")</f>
        <v>they need to  have the sun so they can have way more suun so they wont die tehn it saummer </v>
      </c>
      <c r="F40" s="71" t="str">
        <f>IFERROR(__xludf.DUMMYFUNCTION("""COMPUTED_VALUE"""),"i can do other thgings to help out ")</f>
        <v>i can do other thgings to help out </v>
      </c>
      <c r="G40" s="71" t="str">
        <f>IFERROR(__xludf.DUMMYFUNCTION("""COMPUTED_VALUE"""),"the hot lava will be like a rock and more things like a rock ")</f>
        <v>the hot lava will be like a rock and more things like a rock </v>
      </c>
      <c r="H40" s="71" t="str">
        <f>IFERROR(__xludf.DUMMYFUNCTION("""COMPUTED_VALUE"""),"idk but i think that they will make difeern then have both on two ")</f>
        <v>idk but i think that they will make difeern then have both on two </v>
      </c>
      <c r="I40" s="71" t="str">
        <f>IFERROR(__xludf.DUMMYFUNCTION("""COMPUTED_VALUE"""),"so it the air and some of space")</f>
        <v>so it the air and some of space</v>
      </c>
      <c r="J40" s="71" t="str">
        <f>IFERROR(__xludf.DUMMYFUNCTION("""COMPUTED_VALUE"""),"it like a diffenned way in the ocean ")</f>
        <v>it like a diffenned way in the ocean </v>
      </c>
      <c r="K40" s="71" t="str">
        <f>IFERROR(__xludf.DUMMYFUNCTION("""COMPUTED_VALUE"""),"WT-FT")</f>
        <v>WT-FT</v>
      </c>
      <c r="L40" s="71" t="str">
        <f>IFERROR(__xludf.DUMMYFUNCTION("""COMPUTED_VALUE"""),"a phone becuesa u can get way more help on the phone ")</f>
        <v>a phone becuesa u can get way more help on the phone </v>
      </c>
      <c r="M40" s="71" t="str">
        <f>IFERROR(__xludf.DUMMYFUNCTION("""COMPUTED_VALUE"""),"they are pass drown by they have phones ")</f>
        <v>they are pass drown by they have phones </v>
      </c>
      <c r="N40" s="71" t="str">
        <f>IFERROR(__xludf.DUMMYFUNCTION("""COMPUTED_VALUE"""),"nun big is going to happnen ")</f>
        <v>nun big is going to happnen </v>
      </c>
      <c r="O40" s="71" t="str">
        <f>IFERROR(__xludf.DUMMYFUNCTION("""COMPUTED_VALUE"""),"idk")</f>
        <v>idk</v>
      </c>
      <c r="P40" s="71"/>
      <c r="Q40" s="71"/>
      <c r="R40" s="71"/>
      <c r="S40" s="71"/>
      <c r="T40" s="71"/>
      <c r="U40" s="7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tr">
        <f>IFERROR(__xludf.DUMMYFUNCTION("QUERY(IMPORTRANGE(""https://docs.google.com/spreadsheets/d/17PxWgzpluVIzhJXJJaqMquBWpC2xURK7UvYA4VbZrHE/edit?gid=639144220#gid=639144220"", ""Form Responses 1!A:Z""), ""SELECT * WHERE Col1 IS NOT NULL"")"),"Timestamp")</f>
        <v>Timestamp</v>
      </c>
      <c r="B1" s="71" t="str">
        <f>IFERROR(__xludf.DUMMYFUNCTION("""COMPUTED_VALUE"""),"Email Address")</f>
        <v>Email Address</v>
      </c>
      <c r="C1" s="71" t="str">
        <f>IFERROR(__xludf.DUMMYFUNCTION("""COMPUTED_VALUE"""),"When you bake a cake, you're causing a chemical change. What's your best piece of evidence from this story that a chemical change happened, and not just a physical one (like freezing water)?  ")</f>
        <v>When you bake a cake, you're causing a chemical change. What's your best piece of evidence from this story that a chemical change happened, and not just a physical one (like freezing water)?  </v>
      </c>
      <c r="D1" s="71" t="str">
        <f>IFERROR(__xludf.DUMMYFUNCTION("""COMPUTED_VALUE"""),"Think about all the atoms in the flour, sugar, and eggs before they went into the oven. What happened to all those atoms after the cake was baked? Where did they go?
Be a detective. Where might the 'missing' atoms have gone, even if you can't see them?  ")</f>
        <v>Think about all the atoms in the flour, sugar, and eggs before they went into the oven. What happened to all those atoms after the cake was baked? Where did they go?
Be a detective. Where might the 'missing' atoms have gone, even if you can't see them?  </v>
      </c>
      <c r="E1" s="71" t="str">
        <f>IFERROR(__xludf.DUMMYFUNCTION("""COMPUTED_VALUE"""),"The flour and eggs came from living things (a wheat plant and a chicken). What are the tiny, basic building blocks of those living things called? And where in those building blocks would you find the ""instructions"" for building a whole chicken?  ")</f>
        <v>The flour and eggs came from living things (a wheat plant and a chicken). What are the tiny, basic building blocks of those living things called? And where in those building blocks would you find the "instructions" for building a whole chicken?  </v>
      </c>
      <c r="F1" s="71" t="str">
        <f>IFERROR(__xludf.DUMMYFUNCTION("""COMPUTED_VALUE"""),"As the bike is coasting and slowing down, what are the two main forces you think are acting on it to make it stop?  ")</f>
        <v>As the bike is coasting and slowing down, what are the two main forces you think are acting on it to make it stop?  </v>
      </c>
      <c r="G1" s="71" t="str">
        <f>IFERROR(__xludf.DUMMYFUNCTION("""COMPUTED_VALUE"""),"Where did the rider get the energy to make the bike move in the first place? Try to trace that energy back as far as you can.
(Hint: Think about what the rider ate for breakfast and where that came from!)  ")</f>
        <v>Where did the rider get the energy to make the bike move in the first place? Try to trace that energy back as far as you can.
(Hint: Think about what the rider ate for breakfast and where that came from!)  </v>
      </c>
      <c r="H1" s="71" t="str">
        <f>IFERROR(__xludf.DUMMYFUNCTION("""COMPUTED_VALUE"""),"Imagine you're a scientist and you want to test two different bike designs to see which one is faster. To make your test fair, you need to control your variables. Besides the bike itself, what are two other things you would need to keep exactly the same f"&amp;"or both test rides?  ")</f>
        <v>Imagine you're a scientist and you want to test two different bike designs to see which one is faster. To make your test fair, you need to control your variables. Besides the bike itself, what are two other things you would need to keep exactly the same for both test rides?  </v>
      </c>
      <c r="I1" s="71" t="str">
        <f>IFERROR(__xludf.DUMMYFUNCTION("""COMPUTED_VALUE"""),"What are two things this single fossil bone could tell scientists about the dinosaur it came from?  ")</f>
        <v>What are two things this single fossil bone could tell scientists about the dinosaur it came from?  </v>
      </c>
      <c r="J1" s="71" t="str">
        <f>IFERROR(__xludf.DUMMYFUNCTION("""COMPUTED_VALUE"""),"The scientists find this dinosaur fossil buried deep under many layers of rock. In a layer of rock much closer to the surface, they find a fossil of a wooly mammoth. Which fossil is probably much, much older? How do the rock layers help you know that?  ")</f>
        <v>The scientists find this dinosaur fossil buried deep under many layers of rock. In a layer of rock much closer to the surface, they find a fossil of a wooly mammoth. Which fossil is probably much, much older? How do the rock layers help you know that?  </v>
      </c>
      <c r="K1" s="71" t="str">
        <f>IFERROR(__xludf.DUMMYFUNCTION("""COMPUTED_VALUE"""),"Let's say the dinosaur that died had a new trait because of a random change in its DNA, like a slightly longer claw. Do you think this new trait could have been passed on to its babies? Explain your thinking.  ")</f>
        <v>Let's say the dinosaur that died had a new trait because of a random change in its DNA, like a slightly longer claw. Do you think this new trait could have been passed on to its babies? Explain your thinking.  </v>
      </c>
      <c r="L1" s="71" t="str">
        <f>IFERROR(__xludf.DUMMYFUNCTION("""COMPUTED_VALUE"""),"A scientist uses a globe to model the Earth. Name one way the globe is a useful model, and one way it is limited or inaccurate.  ")</f>
        <v>A scientist uses a globe to model the Earth. Name one way the globe is a useful model, and one way it is limited or inaccurate.  </v>
      </c>
    </row>
    <row r="2">
      <c r="A2" s="128">
        <f>IFERROR(__xludf.DUMMYFUNCTION("""COMPUTED_VALUE"""),45890.47450813657)</f>
        <v>45890.47451</v>
      </c>
      <c r="B2" s="71" t="str">
        <f>IFERROR(__xludf.DUMMYFUNCTION("""COMPUTED_VALUE"""),"zu'rell.harris@kairosacademies.org")</f>
        <v>zu'rell.harris@kairosacademies.org</v>
      </c>
      <c r="C2" s="71" t="str">
        <f>IFERROR(__xludf.DUMMYFUNCTION("""COMPUTED_VALUE"""),"rationing")</f>
        <v>rationing</v>
      </c>
      <c r="D2" s="71" t="str">
        <f>IFERROR(__xludf.DUMMYFUNCTION("""COMPUTED_VALUE"""),"burnt the atoms")</f>
        <v>burnt the atoms</v>
      </c>
      <c r="E2" s="71" t="str">
        <f>IFERROR(__xludf.DUMMYFUNCTION("""COMPUTED_VALUE"""),"seeds your brain")</f>
        <v>seeds your brain</v>
      </c>
      <c r="F2" s="71" t="str">
        <f>IFERROR(__xludf.DUMMYFUNCTION("""COMPUTED_VALUE"""),"slowing down and the bike")</f>
        <v>slowing down and the bike</v>
      </c>
      <c r="G2" s="71" t="str">
        <f>IFERROR(__xludf.DUMMYFUNCTION("""COMPUTED_VALUE"""),"a energy  drink")</f>
        <v>a energy  drink</v>
      </c>
      <c r="H2" s="71" t="str">
        <f>IFERROR(__xludf.DUMMYFUNCTION("""COMPUTED_VALUE"""),"idk")</f>
        <v>idk</v>
      </c>
      <c r="I2" s="71" t="str">
        <f>IFERROR(__xludf.DUMMYFUNCTION("""COMPUTED_VALUE"""),"it was big and srong")</f>
        <v>it was big and srong</v>
      </c>
      <c r="J2" s="71" t="str">
        <f>IFERROR(__xludf.DUMMYFUNCTION("""COMPUTED_VALUE"""),"the rock is")</f>
        <v>the rock is</v>
      </c>
      <c r="K2" s="71" t="str">
        <f>IFERROR(__xludf.DUMMYFUNCTION("""COMPUTED_VALUE"""),"yes because the mom or dad can pass the grimg")</f>
        <v>yes because the mom or dad can pass the grimg</v>
      </c>
      <c r="L2" s="71" t="str">
        <f>IFERROR(__xludf.DUMMYFUNCTION("""COMPUTED_VALUE"""),"metal models")</f>
        <v>metal models</v>
      </c>
    </row>
    <row r="3">
      <c r="A3" s="128">
        <f>IFERROR(__xludf.DUMMYFUNCTION("""COMPUTED_VALUE"""),45890.47632972222)</f>
        <v>45890.47633</v>
      </c>
      <c r="B3" s="71" t="str">
        <f>IFERROR(__xludf.DUMMYFUNCTION("""COMPUTED_VALUE"""),"ziy'la.griffin@kairosacademies.org")</f>
        <v>ziy'la.griffin@kairosacademies.org</v>
      </c>
      <c r="C3" s="71" t="str">
        <f>IFERROR(__xludf.DUMMYFUNCTION("""COMPUTED_VALUE"""),"Because at first when i mixed up all the ingredients it was a watery state but when i baked it in the oven it came out soft and able to bite into.")</f>
        <v>Because at first when i mixed up all the ingredients it was a watery state but when i baked it in the oven it came out soft and able to bite into.</v>
      </c>
      <c r="D3" s="71" t="str">
        <f>IFERROR(__xludf.DUMMYFUNCTION("""COMPUTED_VALUE"""),"They all had puffed up forming it into a cake ")</f>
        <v>They all had puffed up forming it into a cake </v>
      </c>
      <c r="E3" s="71" t="str">
        <f>IFERROR(__xludf.DUMMYFUNCTION("""COMPUTED_VALUE"""),"Are They are called ingredients?")</f>
        <v>Are They are called ingredients?</v>
      </c>
      <c r="F3" s="71" t="str">
        <f>IFERROR(__xludf.DUMMYFUNCTION("""COMPUTED_VALUE"""),"gravity force , and the breaks on the bike.")</f>
        <v>gravity force , and the breaks on the bike.</v>
      </c>
      <c r="G3" s="71" t="str">
        <f>IFERROR(__xludf.DUMMYFUNCTION("""COMPUTED_VALUE"""),"He maybe ate pankcakes fruits and orange juice to pettle the bike with the energy he got from sleep and breakfast.")</f>
        <v>He maybe ate pankcakes fruits and orange juice to pettle the bike with the energy he got from sleep and breakfast.</v>
      </c>
      <c r="H3" s="71" t="str">
        <f>IFERROR(__xludf.DUMMYFUNCTION("""COMPUTED_VALUE"""),"The bike models and wheels")</f>
        <v>The bike models and wheels</v>
      </c>
      <c r="I3" s="71" t="str">
        <f>IFERROR(__xludf.DUMMYFUNCTION("""COMPUTED_VALUE"""),"How big it is and what kind is it.How old it is and how long its been buried.")</f>
        <v>How big it is and what kind is it.How old it is and how long its been buried.</v>
      </c>
      <c r="J3" s="71" t="str">
        <f>IFERROR(__xludf.DUMMYFUNCTION("""COMPUTED_VALUE"""),"The deeper the fossi the older it is because over years the ground gets higher just like the cannon rock layers the oldest rock layers are at the bottom and the newer ones are higher and on the top.")</f>
        <v>The deeper the fossi the older it is because over years the ground gets higher just like the cannon rock layers the oldest rock layers are at the bottom and the newer ones are higher and on the top.</v>
      </c>
      <c r="K3" s="71" t="str">
        <f>IFERROR(__xludf.DUMMYFUNCTION("""COMPUTED_VALUE"""),"It depends on the genes.")</f>
        <v>It depends on the genes.</v>
      </c>
      <c r="L3" s="71" t="str">
        <f>IFERROR(__xludf.DUMMYFUNCTION("""COMPUTED_VALUE"""),"Pictures or videos like the movie magic school bus.")</f>
        <v>Pictures or videos like the movie magic school bus.</v>
      </c>
    </row>
    <row r="4">
      <c r="A4" s="128">
        <f>IFERROR(__xludf.DUMMYFUNCTION("""COMPUTED_VALUE"""),45890.47642283565)</f>
        <v>45890.47642</v>
      </c>
      <c r="B4" s="71" t="str">
        <f>IFERROR(__xludf.DUMMYFUNCTION("""COMPUTED_VALUE"""),"maya.monroy@kairosacademies.org")</f>
        <v>maya.monroy@kairosacademies.org</v>
      </c>
      <c r="C4" s="71" t="str">
        <f>IFERROR(__xludf.DUMMYFUNCTION("""COMPUTED_VALUE"""),"a chemical change that happened was the gooey batter in the heated oven and the heat cooked the gooey batter then the batter turned soft, warm and fluffy from the heat.")</f>
        <v>a chemical change that happened was the gooey batter in the heated oven and the heat cooked the gooey batter then the batter turned soft, warm and fluffy from the heat.</v>
      </c>
      <c r="D4" s="71" t="str">
        <f>IFERROR(__xludf.DUMMYFUNCTION("""COMPUTED_VALUE"""),"where the atoms might have gone was probably in the cake because since it was heated the atoms are probably moving fast in the cake making it hotter.")</f>
        <v>where the atoms might have gone was probably in the cake because since it was heated the atoms are probably moving fast in the cake making it hotter.</v>
      </c>
      <c r="E4" s="71" t="str">
        <f>IFERROR(__xludf.DUMMYFUNCTION("""COMPUTED_VALUE"""),"probably on the back of the cake box.")</f>
        <v>probably on the back of the cake box.</v>
      </c>
      <c r="F4" s="71" t="str">
        <f>IFERROR(__xludf.DUMMYFUNCTION("""COMPUTED_VALUE"""),"probably force and matter are the two main forces.")</f>
        <v>probably force and matter are the two main forces.</v>
      </c>
      <c r="G4" s="71" t="str">
        <f>IFERROR(__xludf.DUMMYFUNCTION("""COMPUTED_VALUE"""),"he ate breakfast and that gave him energy to ride the bike and pedal the back.")</f>
        <v>he ate breakfast and that gave him energy to ride the bike and pedal the back.</v>
      </c>
      <c r="H4" s="71" t="str">
        <f>IFERROR(__xludf.DUMMYFUNCTION("""COMPUTED_VALUE"""),"you would need a speed monitor and something to crash in that is safe like a gym matt so the  bikes will crash but not break.")</f>
        <v>you would need a speed monitor and something to crash in that is safe like a gym matt so the  bikes will crash but not break.</v>
      </c>
      <c r="I4" s="71" t="str">
        <f>IFERROR(__xludf.DUMMYFUNCTION("""COMPUTED_VALUE"""),"they can tell which dinosaur it came from and if they can find more.")</f>
        <v>they can tell which dinosaur it came from and if they can find more.</v>
      </c>
      <c r="J4" s="71" t="str">
        <f>IFERROR(__xludf.DUMMYFUNCTION("""COMPUTED_VALUE"""),"the dinosaur is probably older than the wooly mammoth because the wooly mamoth was covered in rocks but dinosaur was in dirt.")</f>
        <v>the dinosaur is probably older than the wooly mammoth because the wooly mamoth was covered in rocks but dinosaur was in dirt.</v>
      </c>
      <c r="K4" s="71" t="str">
        <f>IFERROR(__xludf.DUMMYFUNCTION("""COMPUTED_VALUE"""),"i think it could because dinosaurs pass down their traits to their babies.")</f>
        <v>i think it could because dinosaurs pass down their traits to their babies.</v>
      </c>
      <c r="L4" s="71" t="str">
        <f>IFERROR(__xludf.DUMMYFUNCTION("""COMPUTED_VALUE"""),"probably protection of the eyes.")</f>
        <v>probably protection of the eyes.</v>
      </c>
    </row>
    <row r="5">
      <c r="A5" s="128">
        <f>IFERROR(__xludf.DUMMYFUNCTION("""COMPUTED_VALUE"""),45890.47695775463)</f>
        <v>45890.47696</v>
      </c>
      <c r="B5" s="71" t="str">
        <f>IFERROR(__xludf.DUMMYFUNCTION("""COMPUTED_VALUE"""),"justice.worthy@kairosacademies.org")</f>
        <v>justice.worthy@kairosacademies.org</v>
      </c>
      <c r="C5" s="71" t="str">
        <f>IFERROR(__xludf.DUMMYFUNCTION("""COMPUTED_VALUE"""),"Its like when your freezing popsicles ")</f>
        <v>Its like when your freezing popsicles </v>
      </c>
      <c r="D5" s="71" t="str">
        <f>IFERROR(__xludf.DUMMYFUNCTION("""COMPUTED_VALUE"""),"It's all them chemicals went in the cake and that sugar is what make the cake sweet .")</f>
        <v>It's all them chemicals went in the cake and that sugar is what make the cake sweet .</v>
      </c>
      <c r="E5" s="71" t="str">
        <f>IFERROR(__xludf.DUMMYFUNCTION("""COMPUTED_VALUE"""),"i don't understand")</f>
        <v>i don't understand</v>
      </c>
      <c r="F5" s="71" t="str">
        <f>IFERROR(__xludf.DUMMYFUNCTION("""COMPUTED_VALUE"""),"To pedal the opposite way or to jump off.")</f>
        <v>To pedal the opposite way or to jump off.</v>
      </c>
      <c r="G5" s="71" t="str">
        <f>IFERROR(__xludf.DUMMYFUNCTION("""COMPUTED_VALUE"""),"to pedals fast .")</f>
        <v>to pedals fast .</v>
      </c>
      <c r="H5" s="71" t="str">
        <f>IFERROR(__xludf.DUMMYFUNCTION("""COMPUTED_VALUE"""),"to like i guess to like put a boost on it or something to make it go faster.")</f>
        <v>to like i guess to like put a boost on it or something to make it go faster.</v>
      </c>
      <c r="I5" s="71" t="str">
        <f>IFERROR(__xludf.DUMMYFUNCTION("""COMPUTED_VALUE"""),"I think it could make the paleontologists think that the dinosaur was big ")</f>
        <v>I think it could make the paleontologists think that the dinosaur was big </v>
      </c>
      <c r="J5" s="71" t="str">
        <f>IFERROR(__xludf.DUMMYFUNCTION("""COMPUTED_VALUE"""),"i dont understand.")</f>
        <v>i dont understand.</v>
      </c>
      <c r="K5" s="71" t="str">
        <f>IFERROR(__xludf.DUMMYFUNCTION("""COMPUTED_VALUE"""),"yes i do think that because just like humans the DNA from both parents will be past on to the child .")</f>
        <v>yes i do think that because just like humans the DNA from both parents will be past on to the child .</v>
      </c>
      <c r="L5" s="71" t="str">
        <f>IFERROR(__xludf.DUMMYFUNCTION("""COMPUTED_VALUE"""),"Like models of like dinosaurs or planets or atom and cells ")</f>
        <v>Like models of like dinosaurs or planets or atom and cells </v>
      </c>
    </row>
    <row r="6">
      <c r="A6" s="128">
        <f>IFERROR(__xludf.DUMMYFUNCTION("""COMPUTED_VALUE"""),45890.477701909724)</f>
        <v>45890.4777</v>
      </c>
      <c r="B6" s="71" t="str">
        <f>IFERROR(__xludf.DUMMYFUNCTION("""COMPUTED_VALUE"""),"dareyel.alexander@kairosacademies.org")</f>
        <v>dareyel.alexander@kairosacademies.org</v>
      </c>
      <c r="C6" s="71" t="str">
        <f>IFERROR(__xludf.DUMMYFUNCTION("""COMPUTED_VALUE"""),"cause they put it in the oven n it came out hot.")</f>
        <v>cause they put it in the oven n it came out hot.</v>
      </c>
      <c r="D6" s="71" t="str">
        <f>IFERROR(__xludf.DUMMYFUNCTION("""COMPUTED_VALUE"""),"they sinked into he cake as it was getting hot.")</f>
        <v>they sinked into he cake as it was getting hot.</v>
      </c>
      <c r="E6" s="71" t="str">
        <f>IFERROR(__xludf.DUMMYFUNCTION("""COMPUTED_VALUE"""),"i cant understand this its confusing,i tried to answer it but its to confusing")</f>
        <v>i cant understand this its confusing,i tried to answer it but its to confusing</v>
      </c>
      <c r="F6" s="71" t="str">
        <f>IFERROR(__xludf.DUMMYFUNCTION("""COMPUTED_VALUE"""),"the brakes on the bike and the person stop pedling")</f>
        <v>the brakes on the bike and the person stop pedling</v>
      </c>
      <c r="G6" s="71" t="str">
        <f>IFERROR(__xludf.DUMMYFUNCTION("""COMPUTED_VALUE"""),"uhhh maybe the biker  ate a  yogurt parfyat ,n probally drunk coffee.")</f>
        <v>uhhh maybe the biker  ate a  yogurt parfyat ,n probally drunk coffee.</v>
      </c>
      <c r="H6" s="71" t="str">
        <f>IFERROR(__xludf.DUMMYFUNCTION("""COMPUTED_VALUE"""),"uhh i think they gotta keep the bike the same way so the other bikers wont have a problem when its there turn to try out the bikes.")</f>
        <v>uhh i think they gotta keep the bike the same way so the other bikers wont have a problem when its there turn to try out the bikes.</v>
      </c>
      <c r="I6" s="71" t="str">
        <f>IFERROR(__xludf.DUMMYFUNCTION("""COMPUTED_VALUE"""),"by how the bone looks , you can tell which dinosaur that bone belongs to.")</f>
        <v>by how the bone looks , you can tell which dinosaur that bone belongs to.</v>
      </c>
      <c r="J6" s="71" t="str">
        <f>IFERROR(__xludf.DUMMYFUNCTION("""COMPUTED_VALUE"""),"i cant understand what to write  cause im still learing about dinosaurs.")</f>
        <v>i cant understand what to write  cause im still learing about dinosaurs.</v>
      </c>
      <c r="K6" s="71" t="str">
        <f>IFERROR(__xludf.DUMMYFUNCTION("""COMPUTED_VALUE"""),"yes it might cause when parents have there kids something or it can be anything that the parent have its 95% that the child will have it.")</f>
        <v>yes it might cause when parents have there kids something or it can be anything that the parent have its 95% that the child will have it.</v>
      </c>
      <c r="L6" s="71" t="str">
        <f>IFERROR(__xludf.DUMMYFUNCTION("""COMPUTED_VALUE"""),"like models of like dinosaurs or plants or atom and cells")</f>
        <v>like models of like dinosaurs or plants or atom and cells</v>
      </c>
    </row>
    <row r="7">
      <c r="A7" s="128">
        <f>IFERROR(__xludf.DUMMYFUNCTION("""COMPUTED_VALUE"""),45890.47838549768)</f>
        <v>45890.47839</v>
      </c>
      <c r="B7" s="71" t="str">
        <f>IFERROR(__xludf.DUMMYFUNCTION("""COMPUTED_VALUE"""),"london.smith@kairosacademies.org")</f>
        <v>london.smith@kairosacademies.org</v>
      </c>
      <c r="C7" s="71" t="str">
        <f>IFERROR(__xludf.DUMMYFUNCTION("""COMPUTED_VALUE"""),"The part that changes into a chemical change  when you mix all the ingredients up and put the cake into the oven and rises up.")</f>
        <v>The part that changes into a chemical change  when you mix all the ingredients up and put the cake into the oven and rises up.</v>
      </c>
      <c r="D7" s="71" t="str">
        <f>IFERROR(__xludf.DUMMYFUNCTION("""COMPUTED_VALUE"""),"All the atom to all the ingredients was all space out to raise the cake up.")</f>
        <v>All the atom to all the ingredients was all space out to raise the cake up.</v>
      </c>
      <c r="E7" s="71" t="str">
        <f>IFERROR(__xludf.DUMMYFUNCTION("""COMPUTED_VALUE"""),"I don't know what it is but i'm guessing insetcs")</f>
        <v>I don't know what it is but i'm guessing insetcs</v>
      </c>
      <c r="F7" s="71" t="str">
        <f>IFERROR(__xludf.DUMMYFUNCTION("""COMPUTED_VALUE"""),"I think matter and energy.")</f>
        <v>I think matter and energy.</v>
      </c>
      <c r="G7" s="71" t="str">
        <f>IFERROR(__xludf.DUMMYFUNCTION("""COMPUTED_VALUE"""),"The rider got it from the heel. And he ate eggs and toast for breakfast.")</f>
        <v>The rider got it from the heel. And he ate eggs and toast for breakfast.</v>
      </c>
      <c r="H7" s="71" t="str">
        <f>IFERROR(__xludf.DUMMYFUNCTION("""COMPUTED_VALUE"""),"first the weith and the road or heel.")</f>
        <v>first the weith and the road or heel.</v>
      </c>
      <c r="I7" s="71" t="str">
        <f>IFERROR(__xludf.DUMMYFUNCTION("""COMPUTED_VALUE"""),"The desert and millions years ago.")</f>
        <v>The desert and millions years ago.</v>
      </c>
      <c r="J7" s="71" t="str">
        <f>IFERROR(__xludf.DUMMYFUNCTION("""COMPUTED_VALUE"""),"When it said millions years ago.")</f>
        <v>When it said millions years ago.</v>
      </c>
      <c r="K7" s="71" t="str">
        <f>IFERROR(__xludf.DUMMYFUNCTION("""COMPUTED_VALUE"""),"yes because when you are made you have you perant.")</f>
        <v>yes because when you are made you have you perant.</v>
      </c>
      <c r="L7" s="71" t="str">
        <f>IFERROR(__xludf.DUMMYFUNCTION("""COMPUTED_VALUE"""),"We can show a picture")</f>
        <v>We can show a picture</v>
      </c>
    </row>
    <row r="8">
      <c r="A8" s="128">
        <f>IFERROR(__xludf.DUMMYFUNCTION("""COMPUTED_VALUE"""),45890.47840383102)</f>
        <v>45890.4784</v>
      </c>
      <c r="B8" s="71" t="str">
        <f>IFERROR(__xludf.DUMMYFUNCTION("""COMPUTED_VALUE"""),"damari.steward@kairosacademies.org")</f>
        <v>damari.steward@kairosacademies.org</v>
      </c>
      <c r="C8" s="71" t="str">
        <f>IFERROR(__xludf.DUMMYFUNCTION("""COMPUTED_VALUE""")," When you mix all of those ingredients it will be a different reaction.")</f>
        <v> When you mix all of those ingredients it will be a different reaction.</v>
      </c>
      <c r="D8" s="71" t="str">
        <f>IFERROR(__xludf.DUMMYFUNCTION("""COMPUTED_VALUE"""),"I think they disintgar")</f>
        <v>I think they disintgar</v>
      </c>
      <c r="E8" s="71" t="str">
        <f>IFERROR(__xludf.DUMMYFUNCTION("""COMPUTED_VALUE"""),"idk
")</f>
        <v>idk
</v>
      </c>
      <c r="F8" s="71" t="str">
        <f>IFERROR(__xludf.DUMMYFUNCTION("""COMPUTED_VALUE"""),"I'm not sure but i think that i know that the forces that where used are")</f>
        <v>I'm not sure but i think that i know that the forces that where used are</v>
      </c>
      <c r="G8" s="71" t="str">
        <f>IFERROR(__xludf.DUMMYFUNCTION("""COMPUTED_VALUE"""),"I don't know")</f>
        <v>I don't know</v>
      </c>
      <c r="H8" s="71" t="str">
        <f>IFERROR(__xludf.DUMMYFUNCTION("""COMPUTED_VALUE"""),"I don't know")</f>
        <v>I don't know</v>
      </c>
      <c r="I8" s="71" t="str">
        <f>IFERROR(__xludf.DUMMYFUNCTION("""COMPUTED_VALUE"""),"The head of the dinosaur")</f>
        <v>The head of the dinosaur</v>
      </c>
      <c r="J8" s="71" t="str">
        <f>IFERROR(__xludf.DUMMYFUNCTION("""COMPUTED_VALUE"""),"Because there are more rocks and dirt and thats how you find out if its old or not.")</f>
        <v>Because there are more rocks and dirt and thats how you find out if its old or not.</v>
      </c>
      <c r="K8" s="71" t="str">
        <f>IFERROR(__xludf.DUMMYFUNCTION("""COMPUTED_VALUE"""),"Yes because babies has more traits with the father.")</f>
        <v>Yes because babies has more traits with the father.</v>
      </c>
      <c r="L8" s="71" t="str">
        <f>IFERROR(__xludf.DUMMYFUNCTION("""COMPUTED_VALUE"""),"Like the earth model")</f>
        <v>Like the earth model</v>
      </c>
    </row>
    <row r="9">
      <c r="A9" s="128">
        <f>IFERROR(__xludf.DUMMYFUNCTION("""COMPUTED_VALUE"""),45890.47850871528)</f>
        <v>45890.47851</v>
      </c>
      <c r="B9" s="71" t="str">
        <f>IFERROR(__xludf.DUMMYFUNCTION("""COMPUTED_VALUE"""),"damani.steward@kairosacademies.org")</f>
        <v>damani.steward@kairosacademies.org</v>
      </c>
      <c r="C9" s="71" t="str">
        <f>IFERROR(__xludf.DUMMYFUNCTION("""COMPUTED_VALUE"""),"baking cookies")</f>
        <v>baking cookies</v>
      </c>
      <c r="D9" s="71" t="str">
        <f>IFERROR(__xludf.DUMMYFUNCTION("""COMPUTED_VALUE"""),"they was probley left in the smoke")</f>
        <v>they was probley left in the smoke</v>
      </c>
      <c r="E9" s="71" t="str">
        <f>IFERROR(__xludf.DUMMYFUNCTION("""COMPUTED_VALUE"""),"the brain tell every thing ")</f>
        <v>the brain tell every thing </v>
      </c>
      <c r="F9" s="71" t="str">
        <f>IFERROR(__xludf.DUMMYFUNCTION("""COMPUTED_VALUE"""),"gravity,and no fricshon")</f>
        <v>gravity,and no fricshon</v>
      </c>
      <c r="G9" s="71" t="str">
        <f>IFERROR(__xludf.DUMMYFUNCTION("""COMPUTED_VALUE"""),"the sun to the plant to the breakfast")</f>
        <v>the sun to the plant to the breakfast</v>
      </c>
      <c r="H9" s="71" t="str">
        <f>IFERROR(__xludf.DUMMYFUNCTION("""COMPUTED_VALUE"""),"the pedaling and going the same track")</f>
        <v>the pedaling and going the same track</v>
      </c>
      <c r="I9" s="71" t="str">
        <f>IFERROR(__xludf.DUMMYFUNCTION("""COMPUTED_VALUE"""),"how big is it and how it is shaped
")</f>
        <v>how big is it and how it is shaped
</v>
      </c>
      <c r="J9" s="71" t="str">
        <f>IFERROR(__xludf.DUMMYFUNCTION("""COMPUTED_VALUE"""),"how deep and how it look
")</f>
        <v>how deep and how it look
</v>
      </c>
      <c r="K9" s="71" t="str">
        <f>IFERROR(__xludf.DUMMYFUNCTION("""COMPUTED_VALUE"""),"yes, Because it is in the DNA")</f>
        <v>yes, Because it is in the DNA</v>
      </c>
      <c r="L9" s="71" t="str">
        <f>IFERROR(__xludf.DUMMYFUNCTION("""COMPUTED_VALUE"""),"little action figers that can talk")</f>
        <v>little action figers that can talk</v>
      </c>
    </row>
    <row r="10">
      <c r="A10" s="128">
        <f>IFERROR(__xludf.DUMMYFUNCTION("""COMPUTED_VALUE"""),45890.47852549768)</f>
        <v>45890.47853</v>
      </c>
      <c r="B10" s="71" t="str">
        <f>IFERROR(__xludf.DUMMYFUNCTION("""COMPUTED_VALUE"""),"mikhail.foster@kairosacademies.org")</f>
        <v>mikhail.foster@kairosacademies.org</v>
      </c>
      <c r="C10" s="71" t="str">
        <f>IFERROR(__xludf.DUMMYFUNCTION("""COMPUTED_VALUE"""),"the oil changed it.")</f>
        <v>the oil changed it.</v>
      </c>
      <c r="D10" s="71" t="str">
        <f>IFERROR(__xludf.DUMMYFUNCTION("""COMPUTED_VALUE"""),"they got burned or dissolved.")</f>
        <v>they got burned or dissolved.</v>
      </c>
      <c r="E10" s="71" t="str">
        <f>IFERROR(__xludf.DUMMYFUNCTION("""COMPUTED_VALUE"""),"the box from the chicken OR basic ways to make a chicken")</f>
        <v>the box from the chicken OR basic ways to make a chicken</v>
      </c>
      <c r="F10" s="71" t="str">
        <f>IFERROR(__xludf.DUMMYFUNCTION("""COMPUTED_VALUE"""),"without energy and movement")</f>
        <v>without energy and movement</v>
      </c>
      <c r="G10" s="71" t="str">
        <f>IFERROR(__xludf.DUMMYFUNCTION("""COMPUTED_VALUE"""),"maybe protein and a energy drink")</f>
        <v>maybe protein and a energy drink</v>
      </c>
      <c r="H10" s="71" t="str">
        <f>IFERROR(__xludf.DUMMYFUNCTION("""COMPUTED_VALUE"""),"same wheels and the front grip of the bike.")</f>
        <v>same wheels and the front grip of the bike.</v>
      </c>
      <c r="I10" s="71" t="str">
        <f>IFERROR(__xludf.DUMMYFUNCTION("""COMPUTED_VALUE"""),"from the size and shape.")</f>
        <v>from the size and shape.</v>
      </c>
      <c r="J10" s="71" t="str">
        <f>IFERROR(__xludf.DUMMYFUNCTION("""COMPUTED_VALUE"""),"from how deep and probaly how hot it is")</f>
        <v>from how deep and probaly how hot it is</v>
      </c>
      <c r="K10" s="71" t="str">
        <f>IFERROR(__xludf.DUMMYFUNCTION("""COMPUTED_VALUE"""),"yes because if they even had inch longer claws the babies would have a longer claw then the oringinal claw.")</f>
        <v>yes because if they even had inch longer claws the babies would have a longer claw then the oringinal claw.</v>
      </c>
      <c r="L10" s="71" t="str">
        <f>IFERROR(__xludf.DUMMYFUNCTION("""COMPUTED_VALUE"""),"a mentslly project just like blue prints because they need to think to build something before  mindless building you need to know what walls and windows needed to be place.")</f>
        <v>a mentslly project just like blue prints because they need to think to build something before  mindless building you need to know what walls and windows needed to be place.</v>
      </c>
    </row>
    <row r="11">
      <c r="A11" s="128">
        <f>IFERROR(__xludf.DUMMYFUNCTION("""COMPUTED_VALUE"""),45890.478533043984)</f>
        <v>45890.47853</v>
      </c>
      <c r="B11" s="71" t="str">
        <f>IFERROR(__xludf.DUMMYFUNCTION("""COMPUTED_VALUE"""),"maxx.blassingame@kairosacademies.org")</f>
        <v>maxx.blassingame@kairosacademies.org</v>
      </c>
      <c r="C11" s="71" t="str">
        <f>IFERROR(__xludf.DUMMYFUNCTION("""COMPUTED_VALUE"""),"when all the things are put in to a mix it will make a chemical change when it all mix it up all of it will hapin it the cake.")</f>
        <v>when all the things are put in to a mix it will make a chemical change when it all mix it up all of it will hapin it the cake.</v>
      </c>
      <c r="D11" s="71" t="str">
        <f>IFERROR(__xludf.DUMMYFUNCTION("""COMPUTED_VALUE"""),"thay all went in to the mist.")</f>
        <v>thay all went in to the mist.</v>
      </c>
      <c r="E11" s="71" t="str">
        <f>IFERROR(__xludf.DUMMYFUNCTION("""COMPUTED_VALUE"""),"the bilde box is atmes or molequse.")</f>
        <v>the bilde box is atmes or molequse.</v>
      </c>
      <c r="F11" s="71" t="str">
        <f>IFERROR(__xludf.DUMMYFUNCTION("""COMPUTED_VALUE"""),"the thing the stop the rider is petinche energy and the othe r thing is gravedy")</f>
        <v>the thing the stop the rider is petinche energy and the othe r thing is gravedy</v>
      </c>
      <c r="G11" s="71" t="str">
        <f>IFERROR(__xludf.DUMMYFUNCTION("""COMPUTED_VALUE"""),"from the sun which got the suns inrgy and the he aet brafist.")</f>
        <v>from the sun which got the suns inrgy and the he aet brafist.</v>
      </c>
      <c r="H11" s="71" t="str">
        <f>IFERROR(__xludf.DUMMYFUNCTION("""COMPUTED_VALUE"""),"the thing that he can not cang the gers and the chan.")</f>
        <v>the thing that he can not cang the gers and the chan.</v>
      </c>
      <c r="I11" s="71" t="str">
        <f>IFERROR(__xludf.DUMMYFUNCTION("""COMPUTED_VALUE"""),"the detanay and the stracher can help to figer it out.")</f>
        <v>the detanay and the stracher can help to figer it out.</v>
      </c>
      <c r="J11" s="71" t="str">
        <f>IFERROR(__xludf.DUMMYFUNCTION("""COMPUTED_VALUE"""),"becose the longer it is the deprt it is so the one that is under the wooly mammoth is older.")</f>
        <v>becose the longer it is the deprt it is so the one that is under the wooly mammoth is older.</v>
      </c>
      <c r="K11" s="71" t="str">
        <f>IFERROR(__xludf.DUMMYFUNCTION("""COMPUTED_VALUE"""),"yes mithit have bene but it is not 100% that it is.")</f>
        <v>yes mithit have bene but it is not 100% that it is.</v>
      </c>
      <c r="L11" s="71" t="str">
        <f>IFERROR(__xludf.DUMMYFUNCTION("""COMPUTED_VALUE"""),"a holgrame or a prjacte imge.")</f>
        <v>a holgrame or a prjacte imge.</v>
      </c>
    </row>
    <row r="12">
      <c r="A12" s="128">
        <f>IFERROR(__xludf.DUMMYFUNCTION("""COMPUTED_VALUE"""),45890.47858960648)</f>
        <v>45890.47859</v>
      </c>
      <c r="B12" s="71" t="str">
        <f>IFERROR(__xludf.DUMMYFUNCTION("""COMPUTED_VALUE"""),"jacob.hardy@kairosacademies.org")</f>
        <v>jacob.hardy@kairosacademies.org</v>
      </c>
      <c r="C12" s="71" t="str">
        <f>IFERROR(__xludf.DUMMYFUNCTION("""COMPUTED_VALUE"""),"Because you are mixing different ingredients like eggs and milk and it turns into something different because of all the different ingredients mixing together.This causes a chemical change unlike when water freezes it causes a physical change because the "&amp;"molecules don't change. ")</f>
        <v>Because you are mixing different ingredients like eggs and milk and it turns into something different because of all the different ingredients mixing together.This causes a chemical change unlike when water freezes it causes a physical change because the molecules don't change. </v>
      </c>
      <c r="D12" s="71" t="str">
        <f>IFERROR(__xludf.DUMMYFUNCTION("""COMPUTED_VALUE"""),"They aren't missing at all, they stayed, all that changed were the molecules.")</f>
        <v>They aren't missing at all, they stayed, all that changed were the molecules.</v>
      </c>
      <c r="E12" s="71" t="str">
        <f>IFERROR(__xludf.DUMMYFUNCTION("""COMPUTED_VALUE"""),"molecules, and even smaller inside molecules atoms. I think the thing that sets out the instructions is the membrane")</f>
        <v>molecules, and even smaller inside molecules atoms. I think the thing that sets out the instructions is the membrane</v>
      </c>
      <c r="F12" s="71" t="str">
        <f>IFERROR(__xludf.DUMMYFUNCTION("""COMPUTED_VALUE"""),"I think it is friction and gravity. because friction flows in the opposite way of an object slowing it down, and gravity pulls it down, and also slowing it down")</f>
        <v>I think it is friction and gravity. because friction flows in the opposite way of an object slowing it down, and gravity pulls it down, and also slowing it down</v>
      </c>
      <c r="G12" s="71" t="str">
        <f>IFERROR(__xludf.DUMMYFUNCTION("""COMPUTED_VALUE"""),"The sun, the sun helped the plant grow, the plant was used to make the riders breakfast, the rider ate the breakfast, and the rider used his energy to petal his bike with his legs.")</f>
        <v>The sun, the sun helped the plant grow, the plant was used to make the riders breakfast, the rider ate the breakfast, and the rider used his energy to petal his bike with his legs.</v>
      </c>
      <c r="H12" s="71" t="str">
        <f>IFERROR(__xludf.DUMMYFUNCTION("""COMPUTED_VALUE"""),"The rider and the things that the rider ate to get energy. because you need the same rider to get more accurate responses and the same for the things the rider ate.")</f>
        <v>The rider and the things that the rider ate to get energy. because you need the same rider to get more accurate responses and the same for the things the rider ate.</v>
      </c>
      <c r="I12" s="71" t="str">
        <f>IFERROR(__xludf.DUMMYFUNCTION("""COMPUTED_VALUE"""),"how big the dinosaur was and if it was a tooth the dinosaurs diet.")</f>
        <v>how big the dinosaur was and if it was a tooth the dinosaurs diet.</v>
      </c>
      <c r="J12" s="71" t="str">
        <f>IFERROR(__xludf.DUMMYFUNCTION("""COMPUTED_VALUE"""),"the dinosaur bone because over time bones gets deeper and deeper and the deeper the fossil the older it is")</f>
        <v>the dinosaur bone because over time bones gets deeper and deeper and the deeper the fossil the older it is</v>
      </c>
      <c r="K12" s="71" t="str">
        <f>IFERROR(__xludf.DUMMYFUNCTION("""COMPUTED_VALUE"""),"yes because DNA is passed through birth, for example i have the same natural curly hair as my mom.")</f>
        <v>yes because DNA is passed through birth, for example i have the same natural curly hair as my mom.</v>
      </c>
      <c r="L12" s="71" t="str">
        <f>IFERROR(__xludf.DUMMYFUNCTION("""COMPUTED_VALUE"""),"a DNA model")</f>
        <v>a DNA model</v>
      </c>
    </row>
    <row r="13">
      <c r="A13" s="128">
        <f>IFERROR(__xludf.DUMMYFUNCTION("""COMPUTED_VALUE"""),45890.478632569444)</f>
        <v>45890.47863</v>
      </c>
      <c r="B13" s="71" t="str">
        <f>IFERROR(__xludf.DUMMYFUNCTION("""COMPUTED_VALUE"""),"karizma.smith@kairosacademies.org")</f>
        <v>karizma.smith@kairosacademies.org</v>
      </c>
      <c r="C13" s="71" t="str">
        <f>IFERROR(__xludf.DUMMYFUNCTION("""COMPUTED_VALUE"""),"the cake grow when you put it in the oven bc of the heat and the heat when make the cake bigger ")</f>
        <v>the cake grow when you put it in the oven bc of the heat and the heat when make the cake bigger </v>
      </c>
      <c r="D13" s="71" t="str">
        <f>IFERROR(__xludf.DUMMYFUNCTION("""COMPUTED_VALUE"""),"they are in the cake bc the atoms mix with the cake and help it tase good ")</f>
        <v>they are in the cake bc the atoms mix with the cake and help it tase good </v>
      </c>
      <c r="E13" s="71" t="str">
        <f>IFERROR(__xludf.DUMMYFUNCTION("""COMPUTED_VALUE"""),"on the back of the cake box you can see what to do to make a chicken and it tells you what the chicken came from and you can make the chicken from the box")</f>
        <v>on the back of the cake box you can see what to do to make a chicken and it tells you what the chicken came from and you can make the chicken from the box</v>
      </c>
      <c r="F13" s="71" t="str">
        <f>IFERROR(__xludf.DUMMYFUNCTION("""COMPUTED_VALUE"""),"gravtie and the boy/girl stop pedaling ")</f>
        <v>gravtie and the boy/girl stop pedaling </v>
      </c>
      <c r="G13" s="71" t="str">
        <f>IFERROR(__xludf.DUMMYFUNCTION("""COMPUTED_VALUE"""),"fruit juice and it came from the fruit and eggs and bacon eggs come from chicken and bacon come from pigs")</f>
        <v>fruit juice and it came from the fruit and eggs and bacon eggs come from chicken and bacon come from pigs</v>
      </c>
      <c r="H13" s="71" t="str">
        <f>IFERROR(__xludf.DUMMYFUNCTION("""COMPUTED_VALUE"""),"the speed when you poedtel make sure there at the same speed and the  wind that is blown out of a fan ")</f>
        <v>the speed when you poedtel make sure there at the same speed and the  wind that is blown out of a fan </v>
      </c>
      <c r="I13" s="71" t="str">
        <f>IFERROR(__xludf.DUMMYFUNCTION("""COMPUTED_VALUE"""),"the way the leg look and the bone")</f>
        <v>the way the leg look and the bone</v>
      </c>
      <c r="J13" s="71" t="str">
        <f>IFERROR(__xludf.DUMMYFUNCTION("""COMPUTED_VALUE"""),"bc you can see how long its been buried")</f>
        <v>bc you can see how long its been buried</v>
      </c>
      <c r="K13" s="71" t="str">
        <f>IFERROR(__xludf.DUMMYFUNCTION("""COMPUTED_VALUE"""),"yes bc when it died if it had babies it well have its dna and well have the same things as the mother or father")</f>
        <v>yes bc when it died if it had babies it well have its dna and well have the same things as the mother or father</v>
      </c>
      <c r="L13" s="71" t="str">
        <f>IFERROR(__xludf.DUMMYFUNCTION("""COMPUTED_VALUE"""),"a model that walks a run way and shows he offit and is a baddie")</f>
        <v>a model that walks a run way and shows he offit and is a baddie</v>
      </c>
    </row>
    <row r="14">
      <c r="A14" s="128">
        <f>IFERROR(__xludf.DUMMYFUNCTION("""COMPUTED_VALUE"""),45890.47881105324)</f>
        <v>45890.47881</v>
      </c>
      <c r="B14" s="71" t="str">
        <f>IFERROR(__xludf.DUMMYFUNCTION("""COMPUTED_VALUE"""),"damorrion.alexander@kairosacademies.org")</f>
        <v>damorrion.alexander@kairosacademies.org</v>
      </c>
      <c r="C14" s="71" t="str">
        <f>IFERROR(__xludf.DUMMYFUNCTION("""COMPUTED_VALUE"""),"A chemical change has happend when you CANNOT change something back to its original farm")</f>
        <v>A chemical change has happend when you CANNOT change something back to its original farm</v>
      </c>
      <c r="D14" s="71" t="str">
        <f>IFERROR(__xludf.DUMMYFUNCTION("""COMPUTED_VALUE"""),"The atoms are boned together into the cake ")</f>
        <v>The atoms are boned together into the cake </v>
      </c>
      <c r="E14" s="71" t="str">
        <f>IFERROR(__xludf.DUMMYFUNCTION("""COMPUTED_VALUE"""),"atoms ")</f>
        <v>atoms </v>
      </c>
      <c r="F14" s="71" t="str">
        <f>IFERROR(__xludf.DUMMYFUNCTION("""COMPUTED_VALUE"""),"gravity and gravatation force")</f>
        <v>gravity and gravatation force</v>
      </c>
      <c r="G14" s="71" t="str">
        <f>IFERROR(__xludf.DUMMYFUNCTION("""COMPUTED_VALUE"""),"the rider got the energy from the sun ")</f>
        <v>the rider got the energy from the sun </v>
      </c>
      <c r="H14" s="71" t="str">
        <f>IFERROR(__xludf.DUMMYFUNCTION("""COMPUTED_VALUE"""),"i think the wheels??")</f>
        <v>i think the wheels??</v>
      </c>
      <c r="I14" s="71" t="str">
        <f>IFERROR(__xludf.DUMMYFUNCTION("""COMPUTED_VALUE"""),"how big the fossil is the shape of it")</f>
        <v>how big the fossil is the shape of it</v>
      </c>
      <c r="J14" s="71" t="str">
        <f>IFERROR(__xludf.DUMMYFUNCTION("""COMPUTED_VALUE"""),"the deeper the fossil the old it is ")</f>
        <v>the deeper the fossil the old it is </v>
      </c>
      <c r="K14" s="71" t="str">
        <f>IFERROR(__xludf.DUMMYFUNCTION("""COMPUTED_VALUE"""),"i think the trait will be pasted down, only because the baby can inherit it ")</f>
        <v>i think the trait will be pasted down, only because the baby can inherit it </v>
      </c>
      <c r="L14" s="71" t="str">
        <f>IFERROR(__xludf.DUMMYFUNCTION("""COMPUTED_VALUE"""),"a picture ")</f>
        <v>a picture </v>
      </c>
    </row>
    <row r="15">
      <c r="A15" s="128">
        <f>IFERROR(__xludf.DUMMYFUNCTION("""COMPUTED_VALUE"""),45890.58079359953)</f>
        <v>45890.58079</v>
      </c>
      <c r="B15" s="71" t="str">
        <f>IFERROR(__xludf.DUMMYFUNCTION("""COMPUTED_VALUE"""),"chloe.mcalpin@kairosacademies.org")</f>
        <v>chloe.mcalpin@kairosacademies.org</v>
      </c>
      <c r="C15" s="71" t="str">
        <f>IFERROR(__xludf.DUMMYFUNCTION("""COMPUTED_VALUE"""),"the bater start as a liqide to a sfoc sliode")</f>
        <v>the bater start as a liqide to a sfoc sliode</v>
      </c>
      <c r="D15" s="71" t="str">
        <f>IFERROR(__xludf.DUMMYFUNCTION("""COMPUTED_VALUE"""),"they go bigger")</f>
        <v>they go bigger</v>
      </c>
      <c r="E15" s="71" t="str">
        <f>IFERROR(__xludf.DUMMYFUNCTION("""COMPUTED_VALUE"""),"they mate")</f>
        <v>they mate</v>
      </c>
      <c r="F15" s="71" t="str">
        <f>IFERROR(__xludf.DUMMYFUNCTION("""COMPUTED_VALUE"""),"the sun gives energy to the plant and the plant gives breakfast energy and matter and the breakfast gives the rider energy and matter the rider gives the moving bike energy")</f>
        <v>the sun gives energy to the plant and the plant gives breakfast energy and matter and the breakfast gives the rider energy and matter the rider gives the moving bike energy</v>
      </c>
      <c r="G15" s="71" t="str">
        <f>IFERROR(__xludf.DUMMYFUNCTION("""COMPUTED_VALUE"""),".")</f>
        <v>.</v>
      </c>
      <c r="H15" s="71" t="str">
        <f>IFERROR(__xludf.DUMMYFUNCTION("""COMPUTED_VALUE"""),".")</f>
        <v>.</v>
      </c>
      <c r="I15" s="71" t="str">
        <f>IFERROR(__xludf.DUMMYFUNCTION("""COMPUTED_VALUE"""),"the sape of the hade")</f>
        <v>the sape of the hade</v>
      </c>
      <c r="J15" s="71" t="str">
        <f>IFERROR(__xludf.DUMMYFUNCTION("""COMPUTED_VALUE"""),"becuesw ecth larer has a diffent year")</f>
        <v>becuesw ecth larer has a diffent year</v>
      </c>
      <c r="K15" s="71" t="str">
        <f>IFERROR(__xludf.DUMMYFUNCTION("""COMPUTED_VALUE"""),".")</f>
        <v>.</v>
      </c>
      <c r="L15" s="71" t="str">
        <f>IFERROR(__xludf.DUMMYFUNCTION("""COMPUTED_VALUE"""),"the solar system and billding")</f>
        <v>the solar system and billding</v>
      </c>
    </row>
    <row r="16">
      <c r="A16" s="128">
        <f>IFERROR(__xludf.DUMMYFUNCTION("""COMPUTED_VALUE"""),45890.58091776621)</f>
        <v>45890.58092</v>
      </c>
      <c r="B16" s="71" t="str">
        <f>IFERROR(__xludf.DUMMYFUNCTION("""COMPUTED_VALUE"""),"iyanna.parott@kairosacademies.org")</f>
        <v>iyanna.parott@kairosacademies.org</v>
      </c>
      <c r="C16" s="71" t="str">
        <f>IFERROR(__xludf.DUMMYFUNCTION("""COMPUTED_VALUE"""),"when yhu bake a cake the mix is liquid but when yhu put it in the oven it rises and it gets fluffy ..")</f>
        <v>when yhu bake a cake the mix is liquid but when yhu put it in the oven it rises and it gets fluffy ..</v>
      </c>
      <c r="D16" s="71" t="str">
        <f>IFERROR(__xludf.DUMMYFUNCTION("""COMPUTED_VALUE"""),"they are mixed in to cake mix to make the cake fluffy and soft inside ")</f>
        <v>they are mixed in to cake mix to make the cake fluffy and soft inside </v>
      </c>
      <c r="E16" s="71" t="str">
        <f>IFERROR(__xludf.DUMMYFUNCTION("""COMPUTED_VALUE"""),"the chinkens make love to make eachother ")</f>
        <v>the chinkens make love to make eachother </v>
      </c>
      <c r="F16" s="71" t="str">
        <f>IFERROR(__xludf.DUMMYFUNCTION("""COMPUTED_VALUE"""),"gravity and chemcial reaction")</f>
        <v>gravity and chemcial reaction</v>
      </c>
      <c r="G16" s="71" t="str">
        <f>IFERROR(__xludf.DUMMYFUNCTION("""COMPUTED_VALUE"""),"the stuff to make it stop is chemial f'orce")</f>
        <v>the stuff to make it stop is chemial f'orce</v>
      </c>
      <c r="H16" s="71" t="str">
        <f>IFERROR(__xludf.DUMMYFUNCTION("""COMPUTED_VALUE"""),"the both test rights determains  one of them is absent")</f>
        <v>the both test rights determains  one of them is absent</v>
      </c>
      <c r="I16" s="71" t="str">
        <f>IFERROR(__xludf.DUMMYFUNCTION("""COMPUTED_VALUE"""),"bones and shapes")</f>
        <v>bones and shapes</v>
      </c>
      <c r="J16" s="71" t="str">
        <f>IFERROR(__xludf.DUMMYFUNCTION("""COMPUTED_VALUE"""),"many people used to burrie dinosour bones deep under ground")</f>
        <v>many people used to burrie dinosour bones deep under ground</v>
      </c>
      <c r="K16" s="71" t="str">
        <f>IFERROR(__xludf.DUMMYFUNCTION("""COMPUTED_VALUE"""),"yes because is the mom got something then ")</f>
        <v>yes because is the mom got something then </v>
      </c>
      <c r="L16" s="71" t="str">
        <f>IFERROR(__xludf.DUMMYFUNCTION("""COMPUTED_VALUE"""),"i feel like big re better bc you get to see more of your idea")</f>
        <v>i feel like big re better bc you get to see more of your idea</v>
      </c>
    </row>
    <row r="17">
      <c r="A17" s="128">
        <f>IFERROR(__xludf.DUMMYFUNCTION("""COMPUTED_VALUE"""),45890.582903981485)</f>
        <v>45890.5829</v>
      </c>
      <c r="B17" s="71" t="str">
        <f>IFERROR(__xludf.DUMMYFUNCTION("""COMPUTED_VALUE"""),"miles.williams@kairosacademies.org")</f>
        <v>miles.williams@kairosacademies.org</v>
      </c>
      <c r="C17" s="71" t="str">
        <f>IFERROR(__xludf.DUMMYFUNCTION("""COMPUTED_VALUE"""),"Because it went from liquid to solid because of the radiation.")</f>
        <v>Because it went from liquid to solid because of the radiation.</v>
      </c>
      <c r="D17" s="71" t="str">
        <f>IFERROR(__xludf.DUMMYFUNCTION("""COMPUTED_VALUE"""),"they cambined.")</f>
        <v>they cambined.</v>
      </c>
      <c r="E17" s="71" t="str">
        <f>IFERROR(__xludf.DUMMYFUNCTION("""COMPUTED_VALUE"""),"cells and in the center of the cell.")</f>
        <v>cells and in the center of the cell.</v>
      </c>
      <c r="F17" s="71" t="str">
        <f>IFERROR(__xludf.DUMMYFUNCTION("""COMPUTED_VALUE"""),"fiction and gravity.")</f>
        <v>fiction and gravity.</v>
      </c>
      <c r="G17" s="71" t="str">
        <f>IFERROR(__xludf.DUMMYFUNCTION("""COMPUTED_VALUE"""),"the sun because the sun gives the plates energy the plants give energy the breakfast and then the breakfast gives the energy to the person to move the bike.")</f>
        <v>the sun because the sun gives the plates energy the plants give energy the breakfast and then the breakfast gives the energy to the person to move the bike.</v>
      </c>
      <c r="H17" s="71" t="str">
        <f>IFERROR(__xludf.DUMMYFUNCTION("""COMPUTED_VALUE"""),"the same road and the same bike rider.")</f>
        <v>the same road and the same bike rider.</v>
      </c>
      <c r="I17" s="71" t="str">
        <f>IFERROR(__xludf.DUMMYFUNCTION("""COMPUTED_VALUE"""),"How big the dinosaur is.
and how long ago it lived.")</f>
        <v>How big the dinosaur is.
and how long ago it lived.</v>
      </c>
      <c r="J17" s="71" t="str">
        <f>IFERROR(__xludf.DUMMYFUNCTION("""COMPUTED_VALUE"""),"The dinosaur is probably much much older because it is found lower in the rocks wich means it has probably had more time to build rock above it.")</f>
        <v>The dinosaur is probably much much older because it is found lower in the rocks wich means it has probably had more time to build rock above it.</v>
      </c>
      <c r="K17" s="71" t="str">
        <f>IFERROR(__xludf.DUMMYFUNCTION("""COMPUTED_VALUE"""),"maybe because each parent of the kids give the equal amount of DNA so there is a high chance that one of the babies got that trait.")</f>
        <v>maybe because each parent of the kids give the equal amount of DNA so there is a high chance that one of the babies got that trait.</v>
      </c>
      <c r="L17" s="71" t="str">
        <f>IFERROR(__xludf.DUMMYFUNCTION("""COMPUTED_VALUE"""),"a diagram. ")</f>
        <v>a diagram. </v>
      </c>
    </row>
    <row r="18">
      <c r="A18" s="128">
        <f>IFERROR(__xludf.DUMMYFUNCTION("""COMPUTED_VALUE"""),45890.58356622685)</f>
        <v>45890.58357</v>
      </c>
      <c r="B18" s="71" t="str">
        <f>IFERROR(__xludf.DUMMYFUNCTION("""COMPUTED_VALUE"""),"austin.williams@kairosacademies.org")</f>
        <v>austin.williams@kairosacademies.org</v>
      </c>
      <c r="C18" s="71" t="str">
        <f>IFERROR(__xludf.DUMMYFUNCTION("""COMPUTED_VALUE"""),"A substance of baking.")</f>
        <v>A substance of baking.</v>
      </c>
      <c r="D18" s="71" t="str">
        <f>IFERROR(__xludf.DUMMYFUNCTION("""COMPUTED_VALUE"""),"some released as gases like carbon dioxide and water vapor.")</f>
        <v>some released as gases like carbon dioxide and water vapor.</v>
      </c>
      <c r="E18" s="71" t="str">
        <f>IFERROR(__xludf.DUMMYFUNCTION("""COMPUTED_VALUE"""),"from cells and atoms")</f>
        <v>from cells and atoms</v>
      </c>
      <c r="F18" s="71" t="str">
        <f>IFERROR(__xludf.DUMMYFUNCTION("""COMPUTED_VALUE"""),"in the opposite direction of the bike’s motion, causing it to gradually lose speed and eventually come to a stop.")</f>
        <v>in the opposite direction of the bike’s motion, causing it to gradually lose speed and eventually come to a stop.</v>
      </c>
      <c r="G18" s="71" t="str">
        <f>IFERROR(__xludf.DUMMYFUNCTION("""COMPUTED_VALUE"""),"The rider got the energy from food, which came from plants (and possibly animals), and those got their energy from the sun.")</f>
        <v>The rider got the energy from food, which came from plants (and possibly animals), and those got their energy from the sun.</v>
      </c>
      <c r="H18" s="71" t="str">
        <f>IFERROR(__xludf.DUMMYFUNCTION("""COMPUTED_VALUE"""),"speed is due to the bike design, not other factors.")</f>
        <v>speed is due to the bike design, not other factors.</v>
      </c>
      <c r="I18" s="71" t="str">
        <f>IFERROR(__xludf.DUMMYFUNCTION("""COMPUTED_VALUE""")," the bone has certain features, it might even help scientists figure out what type of dinosaur it was or what it ate!")</f>
        <v> the bone has certain features, it might even help scientists figure out what type of dinosaur it was or what it ate!</v>
      </c>
      <c r="J18" s="71" t="str">
        <f>IFERROR(__xludf.DUMMYFUNCTION("""COMPUTED_VALUE"""),"it is because deeper rock layers are older than the ones above them.")</f>
        <v>it is because deeper rock layers are older than the ones above them.</v>
      </c>
      <c r="K18" s="71" t="str">
        <f>IFERROR(__xludf.DUMMYFUNCTION("""COMPUTED_VALUE"""),"Yes, the trait could be passed on If the DNA change was in the reproductive cells
Because offspring inherit traits through DNA.")</f>
        <v>Yes, the trait could be passed on If the DNA change was in the reproductive cells
Because offspring inherit traits through DNA.</v>
      </c>
      <c r="L18" s="71" t="str">
        <f>IFERROR(__xludf.DUMMYFUNCTION("""COMPUTED_VALUE"""),"scientists make predictions test ideas or understand complex processes that we can't easily observe directly.")</f>
        <v>scientists make predictions test ideas or understand complex processes that we can't easily observe directly.</v>
      </c>
    </row>
    <row r="19">
      <c r="A19" s="128">
        <f>IFERROR(__xludf.DUMMYFUNCTION("""COMPUTED_VALUE"""),45890.58358748843)</f>
        <v>45890.58359</v>
      </c>
      <c r="B19" s="71" t="str">
        <f>IFERROR(__xludf.DUMMYFUNCTION("""COMPUTED_VALUE"""),"isaiah.irving@kairosacademies.org")</f>
        <v>isaiah.irving@kairosacademies.org</v>
      </c>
      <c r="C19" s="71" t="str">
        <f>IFERROR(__xludf.DUMMYFUNCTION("""COMPUTED_VALUE"""),"when u make the cake it is cold then when u put it in the oven it start chemical change ")</f>
        <v>when u make the cake it is cold then when u put it in the oven it start chemical change </v>
      </c>
      <c r="D19" s="71" t="str">
        <f>IFERROR(__xludf.DUMMYFUNCTION("""COMPUTED_VALUE"""),"they went in side of the cake  or food or oven ")</f>
        <v>they went in side of the cake  or food or oven </v>
      </c>
      <c r="E19" s="71" t="str">
        <f>IFERROR(__xludf.DUMMYFUNCTION("""COMPUTED_VALUE"""),"the chicken is self ")</f>
        <v>the chicken is self </v>
      </c>
      <c r="F19" s="71" t="str">
        <f>IFERROR(__xludf.DUMMYFUNCTION("""COMPUTED_VALUE"""),"when the bike is coasting it slowing down the bike so the forces is happening ")</f>
        <v>when the bike is coasting it slowing down the bike so the forces is happening </v>
      </c>
      <c r="G19" s="71" t="str">
        <f>IFERROR(__xludf.DUMMYFUNCTION("""COMPUTED_VALUE"""),"the energy is coming from the sun then the sun is forces to ")</f>
        <v>the energy is coming from the sun then the sun is forces to </v>
      </c>
      <c r="H19" s="71" t="str">
        <f>IFERROR(__xludf.DUMMYFUNCTION("""COMPUTED_VALUE"""),"your energy and your forces ")</f>
        <v>your energy and your forces </v>
      </c>
      <c r="I19" s="71" t="str">
        <f>IFERROR(__xludf.DUMMYFUNCTION("""COMPUTED_VALUE"""),"the bone has certain features ")</f>
        <v>the bone has certain features </v>
      </c>
      <c r="J19" s="71" t="str">
        <f>IFERROR(__xludf.DUMMYFUNCTION("""COMPUTED_VALUE"""),"this fossil is probably older bc dinosaur the layers ")</f>
        <v>this fossil is probably older bc dinosaur the layers </v>
      </c>
      <c r="K19" s="71" t="str">
        <f>IFERROR(__xludf.DUMMYFUNCTION("""COMPUTED_VALUE"""),"yes it could bc if he had a new trait that means the dinosaur babys go have the same thing since the parent have it ")</f>
        <v>yes it could bc if he had a new trait that means the dinosaur babys go have the same thing since the parent have it </v>
      </c>
      <c r="L19" s="71" t="str">
        <f>IFERROR(__xludf.DUMMYFUNCTION("""COMPUTED_VALUE"""),"science make predctions test ideas or understood cmplex process that we cant easliy obseve direcly ")</f>
        <v>science make predctions test ideas or understood cmplex process that we cant easliy obseve direcly </v>
      </c>
    </row>
    <row r="20">
      <c r="A20" s="128">
        <f>IFERROR(__xludf.DUMMYFUNCTION("""COMPUTED_VALUE"""),45890.585886030094)</f>
        <v>45890.58589</v>
      </c>
      <c r="B20" s="71" t="str">
        <f>IFERROR(__xludf.DUMMYFUNCTION("""COMPUTED_VALUE"""),"johan.harris@kairosacademies.org")</f>
        <v>johan.harris@kairosacademies.org</v>
      </c>
      <c r="C20" s="71" t="str">
        <f>IFERROR(__xludf.DUMMYFUNCTION("""COMPUTED_VALUE"""),"idk")</f>
        <v>idk</v>
      </c>
      <c r="D20" s="71" t="str">
        <f>IFERROR(__xludf.DUMMYFUNCTION("""COMPUTED_VALUE"""),"they where to hot so it's ")</f>
        <v>they where to hot so it's </v>
      </c>
      <c r="E20" s="71" t="str">
        <f>IFERROR(__xludf.DUMMYFUNCTION("""COMPUTED_VALUE"""),"they can mheat and have baby's")</f>
        <v>they can mheat and have baby's</v>
      </c>
      <c r="F20" s="71" t="str">
        <f>IFERROR(__xludf.DUMMYFUNCTION("""COMPUTED_VALUE"""),"idk")</f>
        <v>idk</v>
      </c>
      <c r="G20" s="71" t="str">
        <f>IFERROR(__xludf.DUMMYFUNCTION("""COMPUTED_VALUE"""),"energy from the  biker ")</f>
        <v>energy from the  biker </v>
      </c>
      <c r="H20" s="71" t="str">
        <f>IFERROR(__xludf.DUMMYFUNCTION("""COMPUTED_VALUE"""),"idk")</f>
        <v>idk</v>
      </c>
      <c r="I20" s="71" t="str">
        <f>IFERROR(__xludf.DUMMYFUNCTION("""COMPUTED_VALUE"""),"idk")</f>
        <v>idk</v>
      </c>
      <c r="J20" s="71" t="str">
        <f>IFERROR(__xludf.DUMMYFUNCTION("""COMPUTED_VALUE"""),"idk")</f>
        <v>idk</v>
      </c>
      <c r="K20" s="71" t="str">
        <f>IFERROR(__xludf.DUMMYFUNCTION("""COMPUTED_VALUE"""),"no cuses ")</f>
        <v>no cuses </v>
      </c>
      <c r="L20" s="71" t="str">
        <f>IFERROR(__xludf.DUMMYFUNCTION("""COMPUTED_VALUE"""),"a diagram and a cell")</f>
        <v>a diagram and a cell</v>
      </c>
    </row>
    <row r="21">
      <c r="A21" s="128">
        <f>IFERROR(__xludf.DUMMYFUNCTION("""COMPUTED_VALUE"""),45890.5876821875)</f>
        <v>45890.58768</v>
      </c>
      <c r="B21" s="71" t="str">
        <f>IFERROR(__xludf.DUMMYFUNCTION("""COMPUTED_VALUE"""),"peyton.luster@kairosacademies.org")</f>
        <v>peyton.luster@kairosacademies.org</v>
      </c>
      <c r="C21" s="71" t="str">
        <f>IFERROR(__xludf.DUMMYFUNCTION("""COMPUTED_VALUE"""),"the cake is evidence ")</f>
        <v>the cake is evidence </v>
      </c>
      <c r="D21" s="71" t="str">
        <f>IFERROR(__xludf.DUMMYFUNCTION("""COMPUTED_VALUE"""),"they combied together")</f>
        <v>they combied together</v>
      </c>
      <c r="E21" s="71" t="str">
        <f>IFERROR(__xludf.DUMMYFUNCTION("""COMPUTED_VALUE"""),"whats inside the body and outside of the animal ")</f>
        <v>whats inside the body and outside of the animal </v>
      </c>
      <c r="F21" s="71" t="str">
        <f>IFERROR(__xludf.DUMMYFUNCTION("""COMPUTED_VALUE"""),"gravity, pedaling ")</f>
        <v>gravity, pedaling </v>
      </c>
      <c r="G21" s="71" t="str">
        <f>IFERROR(__xludf.DUMMYFUNCTION("""COMPUTED_VALUE"""),"protein ")</f>
        <v>protein </v>
      </c>
      <c r="H21" s="71" t="str">
        <f>IFERROR(__xludf.DUMMYFUNCTION("""COMPUTED_VALUE"""),"the weight and stabilty ")</f>
        <v>the weight and stabilty </v>
      </c>
      <c r="I21" s="71" t="str">
        <f>IFERROR(__xludf.DUMMYFUNCTION("""COMPUTED_VALUE"""),"how the joints work")</f>
        <v>how the joints work</v>
      </c>
      <c r="J21" s="71" t="str">
        <f>IFERROR(__xludf.DUMMYFUNCTION("""COMPUTED_VALUE"""),"the one that's deeper in the ground cause its been there longer ")</f>
        <v>the one that's deeper in the ground cause its been there longer </v>
      </c>
      <c r="K21" s="71" t="str">
        <f>IFERROR(__xludf.DUMMYFUNCTION("""COMPUTED_VALUE"""),"maybe because dinosaurs don't really change and when it do that make it easier for its traits to get passed down  ")</f>
        <v>maybe because dinosaurs don't really change and when it do that make it easier for its traits to get passed down  </v>
      </c>
      <c r="L21" s="71" t="str">
        <f>IFERROR(__xludf.DUMMYFUNCTION("""COMPUTED_VALUE"""),"video games")</f>
        <v>video games</v>
      </c>
    </row>
    <row r="22">
      <c r="A22" s="128">
        <f>IFERROR(__xludf.DUMMYFUNCTION("""COMPUTED_VALUE"""),45890.62936630787)</f>
        <v>45890.62937</v>
      </c>
      <c r="B22" s="71" t="str">
        <f>IFERROR(__xludf.DUMMYFUNCTION("""COMPUTED_VALUE"""),"haylee.wadley@kairosacademies.org")</f>
        <v>haylee.wadley@kairosacademies.org</v>
      </c>
      <c r="C22" s="71" t="str">
        <f>IFERROR(__xludf.DUMMYFUNCTION("""COMPUTED_VALUE"""),"you can not get the ingredients back since they are combined and made a new material for baking ")</f>
        <v>you can not get the ingredients back since they are combined and made a new material for baking </v>
      </c>
      <c r="D22" s="71" t="str">
        <f>IFERROR(__xludf.DUMMYFUNCTION("""COMPUTED_VALUE"""),"all the ingredients combined into a batter when the batter gets heated it will rise and be a solid instead of being a liquid like the beginning then atoms had a chemical change   ")</f>
        <v>all the ingredients combined into a batter when the batter gets heated it will rise and be a solid instead of being a liquid like the beginning then atoms had a chemical change   </v>
      </c>
      <c r="E22" s="71" t="str">
        <f>IFERROR(__xludf.DUMMYFUNCTION("""COMPUTED_VALUE"""),"the conditions on how to get one properly    ")</f>
        <v>the conditions on how to get one properly    </v>
      </c>
      <c r="F22" s="71" t="str">
        <f>IFERROR(__xludf.DUMMYFUNCTION("""COMPUTED_VALUE"""),"from peddling the force is making it go fast but it is still going until all the force has run out making it stop fully")</f>
        <v>from peddling the force is making it go fast but it is still going until all the force has run out making it stop fully</v>
      </c>
      <c r="G22" s="71" t="str">
        <f>IFERROR(__xludf.DUMMYFUNCTION("""COMPUTED_VALUE"""),"using the chain on life it starts with sun then plant, breakfast, rider, moving, bike in that order ")</f>
        <v>using the chain on life it starts with sun then plant, breakfast, rider, moving, bike in that order </v>
      </c>
      <c r="H22" s="71" t="str">
        <f>IFERROR(__xludf.DUMMYFUNCTION("""COMPUTED_VALUE"""),"someone with that ate all the same stuff that day, and two people who have the same amount of energy / sleep")</f>
        <v>someone with that ate all the same stuff that day, and two people who have the same amount of energy / sleep</v>
      </c>
      <c r="I22" s="71" t="str">
        <f>IFERROR(__xludf.DUMMYFUNCTION("""COMPUTED_VALUE"""),"how dirty or deep down it is in the ground.")</f>
        <v>how dirty or deep down it is in the ground.</v>
      </c>
      <c r="J22" s="71" t="str">
        <f>IFERROR(__xludf.DUMMYFUNCTION("""COMPUTED_VALUE"""),"it takes years for something to be in a rock / merge with the rock so that one is most likely older then the one not in a rock")</f>
        <v>it takes years for something to be in a rock / merge with the rock so that one is most likely older then the one not in a rock</v>
      </c>
      <c r="K22" s="71" t="str">
        <f>IFERROR(__xludf.DUMMYFUNCTION("""COMPUTED_VALUE"""),"yes, just like humans DNA is shared to parents to the kids and even the grand kids ")</f>
        <v>yes, just like humans DNA is shared to parents to the kids and even the grand kids </v>
      </c>
      <c r="L22" s="71" t="str">
        <f>IFERROR(__xludf.DUMMYFUNCTION("""COMPUTED_VALUE"""),"comparing  ")</f>
        <v>comparing  </v>
      </c>
    </row>
    <row r="23">
      <c r="A23" s="128">
        <f>IFERROR(__xludf.DUMMYFUNCTION("""COMPUTED_VALUE"""),45890.641645891206)</f>
        <v>45890.64165</v>
      </c>
      <c r="B23" s="71" t="str">
        <f>IFERROR(__xludf.DUMMYFUNCTION("""COMPUTED_VALUE"""),"austin.cosey@kairosacademies.org")</f>
        <v>austin.cosey@kairosacademies.org</v>
      </c>
      <c r="C23" s="71" t="str">
        <f>IFERROR(__xludf.DUMMYFUNCTION("""COMPUTED_VALUE"""),"maybe when u put the cake in the oven then heat it for how lonng u need it make a rellay good smell to your nose and put food coulering on it")</f>
        <v>maybe when u put the cake in the oven then heat it for how lonng u need it make a rellay good smell to your nose and put food coulering on it</v>
      </c>
      <c r="D23" s="71" t="str">
        <f>IFERROR(__xludf.DUMMYFUNCTION("""COMPUTED_VALUE"""),"thay turned into a solid and the atoms get closer to gether due to all heat.")</f>
        <v>thay turned into a solid and the atoms get closer to gether due to all heat.</v>
      </c>
      <c r="E23" s="71" t="str">
        <f>IFERROR(__xludf.DUMMYFUNCTION("""COMPUTED_VALUE"""),"i dont no but it might. be a barn the building blocks")</f>
        <v>i dont no but it might. be a barn the building blocks</v>
      </c>
      <c r="F23" s="71" t="str">
        <f>IFERROR(__xludf.DUMMYFUNCTION("""COMPUTED_VALUE"""),"gravity and  and attoms")</f>
        <v>gravity and  and attoms</v>
      </c>
      <c r="G23" s="71" t="str">
        <f>IFERROR(__xludf.DUMMYFUNCTION("""COMPUTED_VALUE"""),"food beacase food gives energy")</f>
        <v>food beacase food gives energy</v>
      </c>
      <c r="H23" s="71" t="str">
        <f>IFERROR(__xludf.DUMMYFUNCTION("""COMPUTED_VALUE"""),"i would do a ebike mixed with a gas tail and make it street leagal")</f>
        <v>i would do a ebike mixed with a gas tail and make it street leagal</v>
      </c>
      <c r="I23" s="71" t="str">
        <f>IFERROR(__xludf.DUMMYFUNCTION("""COMPUTED_VALUE"""),"that dinosars are aculy real")</f>
        <v>that dinosars are aculy real</v>
      </c>
      <c r="J23" s="71" t="str">
        <f>IFERROR(__xludf.DUMMYFUNCTION("""COMPUTED_VALUE"""),"the deaper the rock layer the older the follsel")</f>
        <v>the deaper the rock layer the older the follsel</v>
      </c>
      <c r="K23" s="71" t="str">
        <f>IFERROR(__xludf.DUMMYFUNCTION("""COMPUTED_VALUE"""),"yes")</f>
        <v>yes</v>
      </c>
      <c r="L23" s="71" t="str">
        <f>IFERROR(__xludf.DUMMYFUNCTION("""COMPUTED_VALUE"""),"not a physical")</f>
        <v>not a physical</v>
      </c>
    </row>
    <row r="24">
      <c r="A24" s="128">
        <f>IFERROR(__xludf.DUMMYFUNCTION("""COMPUTED_VALUE"""),45890.61866306713)</f>
        <v>45890.61866</v>
      </c>
      <c r="B24" s="71" t="str">
        <f>IFERROR(__xludf.DUMMYFUNCTION("""COMPUTED_VALUE"""),"mckenzie.holt@kairosacademies.org")</f>
        <v>mckenzie.holt@kairosacademies.org</v>
      </c>
      <c r="C24" s="71" t="str">
        <f>IFERROR(__xludf.DUMMYFUNCTION("""COMPUTED_VALUE"""),"The yeast inside of the batter helps it rise up into a warm, fluffy cake.")</f>
        <v>The yeast inside of the batter helps it rise up into a warm, fluffy cake.</v>
      </c>
      <c r="D24" s="71" t="str">
        <f>IFERROR(__xludf.DUMMYFUNCTION("""COMPUTED_VALUE"""),"The atoms grow closer together as the cake batter is in the oven, so, that way they kind of start `evaporating`.")</f>
        <v>The atoms grow closer together as the cake batter is in the oven, so, that way they kind of start `evaporating`.</v>
      </c>
      <c r="E24" s="71" t="str">
        <f>IFERROR(__xludf.DUMMYFUNCTION("""COMPUTED_VALUE"""),"The tiny, basic building blocks are called DNA. DNA is one of the great resources of how we exist.")</f>
        <v>The tiny, basic building blocks are called DNA. DNA is one of the great resources of how we exist.</v>
      </c>
      <c r="F24" s="71" t="str">
        <f>IFERROR(__xludf.DUMMYFUNCTION("""COMPUTED_VALUE"""),"The 2 main forces are potential force and kinetic force.")</f>
        <v>The 2 main forces are potential force and kinetic force.</v>
      </c>
      <c r="G24" s="71" t="str">
        <f>IFERROR(__xludf.DUMMYFUNCTION("""COMPUTED_VALUE"""),"The energy that came from the rider was what they might had for breakfast. Maybe they ate fruits and more for breakfast because they give us energy and vitamins(vitamin A, B, C, etc).")</f>
        <v>The energy that came from the rider was what they might had for breakfast. Maybe they ate fruits and more for breakfast because they give us energy and vitamins(vitamin A, B, C, etc).</v>
      </c>
      <c r="H24" s="71" t="str">
        <f>IFERROR(__xludf.DUMMYFUNCTION("""COMPUTED_VALUE"""),"The movement speed and the energy the same.")</f>
        <v>The movement speed and the energy the same.</v>
      </c>
      <c r="I24" s="71" t="str">
        <f>IFERROR(__xludf.DUMMYFUNCTION("""COMPUTED_VALUE"""),"It could tell them the type of dinosaur it was and how long ago it was alive.")</f>
        <v>It could tell them the type of dinosaur it was and how long ago it was alive.</v>
      </c>
      <c r="J24" s="71" t="str">
        <f>IFERROR(__xludf.DUMMYFUNCTION("""COMPUTED_VALUE"""),"The fossil of the mammoth would be a bit younger, because the deeper the rock layer, the older the fossil.")</f>
        <v>The fossil of the mammoth would be a bit younger, because the deeper the rock layer, the older the fossil.</v>
      </c>
      <c r="K24" s="71" t="str">
        <f>IFERROR(__xludf.DUMMYFUNCTION("""COMPUTED_VALUE"""),"Yes, because the parent and the babies have the same DNA and since they have the same DNA, the new trait gets passed down to the babies. ")</f>
        <v>Yes, because the parent and the babies have the same DNA and since they have the same DNA, the new trait gets passed down to the babies. </v>
      </c>
      <c r="L24" s="71" t="str">
        <f>IFERROR(__xludf.DUMMYFUNCTION("""COMPUTED_VALUE"""),"A diagram would help aswell.")</f>
        <v>A diagram would help aswell.</v>
      </c>
    </row>
    <row r="25">
      <c r="A25" s="128">
        <f>IFERROR(__xludf.DUMMYFUNCTION("""COMPUTED_VALUE"""),45890.642683680555)</f>
        <v>45890.64268</v>
      </c>
      <c r="B25" s="71" t="str">
        <f>IFERROR(__xludf.DUMMYFUNCTION("""COMPUTED_VALUE"""),"jayceon.lakes@kairosacademies.org")</f>
        <v>jayceon.lakes@kairosacademies.org</v>
      </c>
      <c r="C25" s="71" t="str">
        <f>IFERROR(__xludf.DUMMYFUNCTION("""COMPUTED_VALUE"""),"before he made the cake it was eggs sugar flower they mix them up after they got done it became a warm fluffy cake mix with something that was a living thing like eggs soft weak plant`")</f>
        <v>before he made the cake it was eggs sugar flower they mix them up after they got done it became a warm fluffy cake mix with something that was a living thing like eggs soft weak plant`</v>
      </c>
      <c r="D25" s="71" t="str">
        <f>IFERROR(__xludf.DUMMYFUNCTION("""COMPUTED_VALUE"""),"all the atoms I think they went in the cake after being mix all together ")</f>
        <v>all the atoms I think they went in the cake after being mix all together </v>
      </c>
      <c r="E25" s="71" t="str">
        <f>IFERROR(__xludf.DUMMYFUNCTION("""COMPUTED_VALUE"""),"idk")</f>
        <v>idk</v>
      </c>
      <c r="F25" s="71" t="str">
        <f>IFERROR(__xludf.DUMMYFUNCTION("""COMPUTED_VALUE"""),"the energy stop")</f>
        <v>the energy stop</v>
      </c>
      <c r="G25" s="71" t="str">
        <f>IFERROR(__xludf.DUMMYFUNCTION("""COMPUTED_VALUE"""),"the persons breakfast give them energy to get the bike going till the energy on the bike slowly stop the bike ")</f>
        <v>the persons breakfast give them energy to get the bike going till the energy on the bike slowly stop the bike </v>
      </c>
      <c r="H25" s="71" t="str">
        <f>IFERROR(__xludf.DUMMYFUNCTION("""COMPUTED_VALUE"""),"it needs to be the same place and the same")</f>
        <v>it needs to be the same place and the same</v>
      </c>
      <c r="I25" s="71" t="str">
        <f>IFERROR(__xludf.DUMMYFUNCTION("""COMPUTED_VALUE"""),"the size the looks and yea ")</f>
        <v>the size the looks and yea </v>
      </c>
      <c r="J25" s="71" t="str">
        <f>IFERROR(__xludf.DUMMYFUNCTION("""COMPUTED_VALUE"""),"looks of rocks and how deep")</f>
        <v>looks of rocks and how deep</v>
      </c>
      <c r="K25" s="71" t="str">
        <f>IFERROR(__xludf.DUMMYFUNCTION("""COMPUTED_VALUE"""),"I think it could had came from the baby")</f>
        <v>I think it could had came from the baby</v>
      </c>
      <c r="L25" s="71" t="str">
        <f>IFERROR(__xludf.DUMMYFUNCTION("""COMPUTED_VALUE"""),"another model of a another model")</f>
        <v>another model of a another model</v>
      </c>
    </row>
    <row r="26">
      <c r="A26" s="128">
        <f>IFERROR(__xludf.DUMMYFUNCTION("""COMPUTED_VALUE"""),45890.62435215278)</f>
        <v>45890.62435</v>
      </c>
      <c r="B26" s="71" t="str">
        <f>IFERROR(__xludf.DUMMYFUNCTION("""COMPUTED_VALUE"""),"iyhanna.henderson@kairosacademies.org")</f>
        <v>iyhanna.henderson@kairosacademies.org</v>
      </c>
      <c r="C26" s="71" t="str">
        <f>IFERROR(__xludf.DUMMYFUNCTION("""COMPUTED_VALUE"""),"baking soda and vinager ")</f>
        <v>baking soda and vinager </v>
      </c>
      <c r="D26" s="71" t="str">
        <f>IFERROR(__xludf.DUMMYFUNCTION("""COMPUTED_VALUE"""),"the go in the bowl or in the air")</f>
        <v>the go in the bowl or in the air</v>
      </c>
      <c r="E26" s="71" t="str">
        <f>IFERROR(__xludf.DUMMYFUNCTION("""COMPUTED_VALUE"""),"the back")</f>
        <v>the back</v>
      </c>
      <c r="F26" s="71" t="str">
        <f>IFERROR(__xludf.DUMMYFUNCTION("""COMPUTED_VALUE"""),"friction and air")</f>
        <v>friction and air</v>
      </c>
      <c r="G26" s="71" t="str">
        <f>IFERROR(__xludf.DUMMYFUNCTION("""COMPUTED_VALUE"""),"    food and vitamen c")</f>
        <v>    food and vitamen c</v>
      </c>
      <c r="H26" s="71" t="str">
        <f>IFERROR(__xludf.DUMMYFUNCTION("""COMPUTED_VALUE"""),"keep steady for  both rides and go the same pace
")</f>
        <v>keep steady for  both rides and go the same pace
</v>
      </c>
      <c r="I26" s="71" t="str">
        <f>IFERROR(__xludf.DUMMYFUNCTION("""COMPUTED_VALUE"""),"because the way its shaped and the design ")</f>
        <v>because the way its shaped and the design </v>
      </c>
      <c r="J26" s="71" t="str">
        <f>IFERROR(__xludf.DUMMYFUNCTION("""COMPUTED_VALUE"""),"because wooly mammeth is old")</f>
        <v>because wooly mammeth is old</v>
      </c>
      <c r="K26" s="71" t="str">
        <f>IFERROR(__xludf.DUMMYFUNCTION("""COMPUTED_VALUE"""),"yes because they carry on transitions ")</f>
        <v>yes because they carry on transitions </v>
      </c>
      <c r="L26" s="71" t="str">
        <f>IFERROR(__xludf.DUMMYFUNCTION("""COMPUTED_VALUE"""),"a magnifing glass")</f>
        <v>a magnifing glass</v>
      </c>
    </row>
    <row r="27">
      <c r="A27" s="128">
        <f>IFERROR(__xludf.DUMMYFUNCTION("""COMPUTED_VALUE"""),45890.62474506945)</f>
        <v>45890.62475</v>
      </c>
      <c r="B27" s="71" t="str">
        <f>IFERROR(__xludf.DUMMYFUNCTION("""COMPUTED_VALUE"""),"david.heartfield@kairosacademies.org")</f>
        <v>david.heartfield@kairosacademies.org</v>
      </c>
      <c r="C27" s="71" t="str">
        <f>IFERROR(__xludf.DUMMYFUNCTION("""COMPUTED_VALUE"""),"i think a chemical change that has happen is that the cake has risen and it has became hot ")</f>
        <v>i think a chemical change that has happen is that the cake has risen and it has became hot </v>
      </c>
      <c r="D27" s="71" t="str">
        <f>IFERROR(__xludf.DUMMYFUNCTION("""COMPUTED_VALUE"""),"i think what happen to those atoms was they rose which made the cake go up")</f>
        <v>i think what happen to those atoms was they rose which made the cake go up</v>
      </c>
      <c r="E27" s="71" t="str">
        <f>IFERROR(__xludf.DUMMYFUNCTION("""COMPUTED_VALUE"""),"i think the building blocks are the bone the bone marrow and the organs and the meat and the skin and then u put them in a oven. ")</f>
        <v>i think the building blocks are the bone the bone marrow and the organs and the meat and the skin and then u put them in a oven. </v>
      </c>
      <c r="F27" s="71" t="str">
        <f>IFERROR(__xludf.DUMMYFUNCTION("""COMPUTED_VALUE"""),"i think forces are gravity  and physical energy.")</f>
        <v>i think forces are gravity  and physical energy.</v>
      </c>
      <c r="G27" s="71" t="str">
        <f>IFERROR(__xludf.DUMMYFUNCTION("""COMPUTED_VALUE"""),"i think the energy came from physical energy and gravity so energy.")</f>
        <v>i think the energy came from physical energy and gravity so energy.</v>
      </c>
      <c r="H27" s="71" t="str">
        <f>IFERROR(__xludf.DUMMYFUNCTION("""COMPUTED_VALUE"""),"u need to keep both of the same riders the same and starting at the same time.")</f>
        <v>u need to keep both of the same riders the same and starting at the same time.</v>
      </c>
      <c r="I27" s="71" t="str">
        <f>IFERROR(__xludf.DUMMYFUNCTION("""COMPUTED_VALUE"""),"i think that the two things are how deep the bone is for the time that is has been dead and  we have right now and the type of bone like the feeling the teture and what type of bone it is and the size.")</f>
        <v>i think that the two things are how deep the bone is for the time that is has been dead and  we have right now and the type of bone like the feeling the teture and what type of bone it is and the size.</v>
      </c>
      <c r="J27" s="71" t="str">
        <f>IFERROR(__xludf.DUMMYFUNCTION("""COMPUTED_VALUE"""),"i think the one that has been buried deep underground for a lot longer because a dinosour that has died its bones will be deeper because of the earths dirt and mold growing and going deeper in the earth.")</f>
        <v>i think the one that has been buried deep underground for a lot longer because a dinosour that has died its bones will be deeper because of the earths dirt and mold growing and going deeper in the earth.</v>
      </c>
      <c r="K27" s="71" t="str">
        <f>IFERROR(__xludf.DUMMYFUNCTION("""COMPUTED_VALUE"""),"i  beleve that the babes will have 50 or 57 percent because of the mom and the dads dna will mix so the trait will go onto the babes but not that much.")</f>
        <v>i  beleve that the babes will have 50 or 57 percent because of the mom and the dads dna will mix so the trait will go onto the babes but not that much.</v>
      </c>
      <c r="L27" s="71" t="str">
        <f>IFERROR(__xludf.DUMMYFUNCTION("""COMPUTED_VALUE"""),"i think another type of model is a physical model or a model on paper that we write with details and naming things.")</f>
        <v>i think another type of model is a physical model or a model on paper that we write with details and naming things.</v>
      </c>
    </row>
    <row r="28">
      <c r="A28" s="128">
        <f>IFERROR(__xludf.DUMMYFUNCTION("""COMPUTED_VALUE"""),45890.62522958333)</f>
        <v>45890.62523</v>
      </c>
      <c r="B28" s="71" t="str">
        <f>IFERROR(__xludf.DUMMYFUNCTION("""COMPUTED_VALUE"""),"traci'ana.lewis@kairosacademies.org")</f>
        <v>traci'ana.lewis@kairosacademies.org</v>
      </c>
      <c r="C28" s="71" t="str">
        <f>IFERROR(__xludf.DUMMYFUNCTION("""COMPUTED_VALUE"""),"baking soda , corn starch , vinagar ")</f>
        <v>baking soda , corn starch , vinagar </v>
      </c>
      <c r="D28" s="71" t="str">
        <f>IFERROR(__xludf.DUMMYFUNCTION("""COMPUTED_VALUE"""),"In the cake mix")</f>
        <v>In the cake mix</v>
      </c>
      <c r="E28" s="71" t="str">
        <f>IFERROR(__xludf.DUMMYFUNCTION("""COMPUTED_VALUE"""),"i have no clue honestly ")</f>
        <v>i have no clue honestly </v>
      </c>
      <c r="F28" s="71" t="str">
        <f>IFERROR(__xludf.DUMMYFUNCTION("""COMPUTED_VALUE"""),"physical force ")</f>
        <v>physical force </v>
      </c>
      <c r="G28" s="71" t="str">
        <f>IFERROR(__xludf.DUMMYFUNCTION("""COMPUTED_VALUE"""),"Maybe he ate eggs and bacon with a milkshake but the healthy ones.")</f>
        <v>Maybe he ate eggs and bacon with a milkshake but the healthy ones.</v>
      </c>
      <c r="H28" s="71" t="str">
        <f>IFERROR(__xludf.DUMMYFUNCTION("""COMPUTED_VALUE"""),"equal body weight and balence")</f>
        <v>equal body weight and balence</v>
      </c>
      <c r="I28" s="71" t="str">
        <f>IFERROR(__xludf.DUMMYFUNCTION("""COMPUTED_VALUE"""),"if its big it came from a big dinosaur and if its small it came from a small dinosaur")</f>
        <v>if its big it came from a big dinosaur and if its small it came from a small dinosaur</v>
      </c>
      <c r="J28" s="71" t="str">
        <f>IFERROR(__xludf.DUMMYFUNCTION("""COMPUTED_VALUE"""),"maybe it was buried first then that means its an very old dinosaur ")</f>
        <v>maybe it was buried first then that means its an very old dinosaur </v>
      </c>
      <c r="K28" s="71" t="str">
        <f>IFERROR(__xludf.DUMMYFUNCTION("""COMPUTED_VALUE"""),"because , dinosaurs might have a condition and pass it on to their babies and make them get their babies")</f>
        <v>because , dinosaurs might have a condition and pass it on to their babies and make them get their babies</v>
      </c>
      <c r="L28" s="71"/>
    </row>
    <row r="29">
      <c r="A29" s="128">
        <f>IFERROR(__xludf.DUMMYFUNCTION("""COMPUTED_VALUE"""),45890.626200057864)</f>
        <v>45890.6262</v>
      </c>
      <c r="B29" s="71" t="str">
        <f>IFERROR(__xludf.DUMMYFUNCTION("""COMPUTED_VALUE"""),"myka.blassingame@kairosacademies.org")</f>
        <v>myka.blassingame@kairosacademies.org</v>
      </c>
      <c r="C29" s="71" t="str">
        <f>IFERROR(__xludf.DUMMYFUNCTION("""COMPUTED_VALUE"""),"When you bake a cake a chemical change happends because when the cake is cooking it makes changes that we can not remove like the flower egg and what ever else it is made of it makes it to where we can not change it.")</f>
        <v>When you bake a cake a chemical change happends because when the cake is cooking it makes changes that we can not remove like the flower egg and what ever else it is made of it makes it to where we can not change it.</v>
      </c>
      <c r="D29" s="71" t="str">
        <f>IFERROR(__xludf.DUMMYFUNCTION("""COMPUTED_VALUE"""),"The missing atoms did not go missing they combined into one thing that can not be changed.")</f>
        <v>The missing atoms did not go missing they combined into one thing that can not be changed.</v>
      </c>
      <c r="E29" s="71" t="str">
        <f>IFERROR(__xludf.DUMMYFUNCTION("""COMPUTED_VALUE"""),"The building blocks are called atoms and when they are together correctly they will start the building of a flour eggs that chicks are in wheat plants and even living animals like a chicken.")</f>
        <v>The building blocks are called atoms and when they are together correctly they will start the building of a flour eggs that chicks are in wheat plants and even living animals like a chicken.</v>
      </c>
      <c r="F29" s="71" t="str">
        <f>IFERROR(__xludf.DUMMYFUNCTION("""COMPUTED_VALUE"""),"I think one of the main forces is going to be the air resistance and the friction of the tires to stop or slow the bicycle, bringing it to a stop.")</f>
        <v>I think one of the main forces is going to be the air resistance and the friction of the tires to stop or slow the bicycle, bringing it to a stop.</v>
      </c>
      <c r="G29" s="71" t="str">
        <f>IFERROR(__xludf.DUMMYFUNCTION("""COMPUTED_VALUE"""),"The rider probably ate something that gave him a lot of energy, and the thing he ate is from plants and living animals, such as cows and chickens, to give him the energy to move his feet and make the physical change to start making the rider's bicycle.")</f>
        <v>The rider probably ate something that gave him a lot of energy, and the thing he ate is from plants and living animals, such as cows and chickens, to give him the energy to move his feet and make the physical change to start making the rider's bicycle.</v>
      </c>
      <c r="H29" s="71" t="str">
        <f>IFERROR(__xludf.DUMMYFUNCTION("""COMPUTED_VALUE"""),"One of them is going to be the wheels, and the other thing would be the body of the bike. So, the air resistance is the same, so the other bike would not go faster.")</f>
        <v>One of them is going to be the wheels, and the other thing would be the body of the bike. So, the air resistance is the same, so the other bike would not go faster.</v>
      </c>
      <c r="I29" s="71" t="str">
        <f>IFERROR(__xludf.DUMMYFUNCTION("""COMPUTED_VALUE"""),"One way is the way it is structured like a bird dinosaur, they would have a wing, and on another one, they can see if the spine has a spike pointing up like a spino.")</f>
        <v>One way is the way it is structured like a bird dinosaur, they would have a wing, and on another one, they can see if the spine has a spike pointing up like a spino.</v>
      </c>
      <c r="J29" s="71" t="str">
        <f>IFERROR(__xludf.DUMMYFUNCTION("""COMPUTED_VALUE"""),"The farther down in layers means the older it is, because if it died, it means it is way more deep that other dead things like if a fish died 100 years ago, it would be farther under ground that a 10 year ago fish because the 100 year ago fish died way be"&amp;"for the 10 year old fish one died.")</f>
        <v>The farther down in layers means the older it is, because if it died, it means it is way more deep that other dead things like if a fish died 100 years ago, it would be farther under ground that a 10 year ago fish because the 100 year ago fish died way befor the 10 year old fish one died.</v>
      </c>
      <c r="K29" s="71" t="str">
        <f>IFERROR(__xludf.DUMMYFUNCTION("""COMPUTED_VALUE"""),"If a dinosaur has babies when it gets the new trait, then the baby dinosaur most likely would have the slight change in DNA, so that means the baby would have the trait too.")</f>
        <v>If a dinosaur has babies when it gets the new trait, then the baby dinosaur most likely would have the slight change in DNA, so that means the baby would have the trait too.</v>
      </c>
      <c r="L29" s="71" t="str">
        <f>IFERROR(__xludf.DUMMYFUNCTION("""COMPUTED_VALUE"""),"Models can tell us the relationship of what the model is about. Another scientific model besides a physical object is a chemical object, like an oven or a heater.")</f>
        <v>Models can tell us the relationship of what the model is about. Another scientific model besides a physical object is a chemical object, like an oven or a heater.</v>
      </c>
    </row>
    <row r="30">
      <c r="A30" s="128">
        <f>IFERROR(__xludf.DUMMYFUNCTION("""COMPUTED_VALUE"""),45890.630463483794)</f>
        <v>45890.63046</v>
      </c>
      <c r="B30" s="71" t="str">
        <f>IFERROR(__xludf.DUMMYFUNCTION("""COMPUTED_VALUE"""),"charles.anderson@kairosacademies.org")</f>
        <v>charles.anderson@kairosacademies.org</v>
      </c>
      <c r="C30" s="71" t="str">
        <f>IFERROR(__xludf.DUMMYFUNCTION("""COMPUTED_VALUE"""),"i don't know")</f>
        <v>i don't know</v>
      </c>
      <c r="D30" s="71" t="str">
        <f>IFERROR(__xludf.DUMMYFUNCTION("""COMPUTED_VALUE"""),"i don't know ")</f>
        <v>i don't know </v>
      </c>
      <c r="E30" s="71" t="str">
        <f>IFERROR(__xludf.DUMMYFUNCTION("""COMPUTED_VALUE"""),"i don't know")</f>
        <v>i don't know</v>
      </c>
      <c r="F30" s="71" t="str">
        <f>IFERROR(__xludf.DUMMYFUNCTION("""COMPUTED_VALUE"""),"i don't know")</f>
        <v>i don't know</v>
      </c>
      <c r="G30" s="71" t="str">
        <f>IFERROR(__xludf.DUMMYFUNCTION("""COMPUTED_VALUE"""),"i don't know")</f>
        <v>i don't know</v>
      </c>
      <c r="H30" s="71" t="str">
        <f>IFERROR(__xludf.DUMMYFUNCTION("""COMPUTED_VALUE"""),"i don't know ")</f>
        <v>i don't know </v>
      </c>
      <c r="I30" s="71" t="str">
        <f>IFERROR(__xludf.DUMMYFUNCTION("""COMPUTED_VALUE"""),"i don't know")</f>
        <v>i don't know</v>
      </c>
      <c r="J30" s="71" t="str">
        <f>IFERROR(__xludf.DUMMYFUNCTION("""COMPUTED_VALUE"""),"i don't know")</f>
        <v>i don't know</v>
      </c>
      <c r="K30" s="71" t="str">
        <f>IFERROR(__xludf.DUMMYFUNCTION("""COMPUTED_VALUE"""),"i don't know")</f>
        <v>i don't know</v>
      </c>
      <c r="L30" s="71"/>
    </row>
    <row r="31">
      <c r="A31" s="128">
        <f>IFERROR(__xludf.DUMMYFUNCTION("""COMPUTED_VALUE"""),45890.63342305555)</f>
        <v>45890.63342</v>
      </c>
      <c r="B31" s="71" t="str">
        <f>IFERROR(__xludf.DUMMYFUNCTION("""COMPUTED_VALUE"""),"kaiden.strong-noble@kairosacademies.org")</f>
        <v>kaiden.strong-noble@kairosacademies.org</v>
      </c>
      <c r="C31" s="71" t="str">
        <f>IFERROR(__xludf.DUMMYFUNCTION("""COMPUTED_VALUE"""),"The cake got heated in an oven.")</f>
        <v>The cake got heated in an oven.</v>
      </c>
      <c r="D31" s="71" t="str">
        <f>IFERROR(__xludf.DUMMYFUNCTION("""COMPUTED_VALUE"""),"They might've left the oven due to the heat.")</f>
        <v>They might've left the oven due to the heat.</v>
      </c>
      <c r="E31" s="71" t="str">
        <f>IFERROR(__xludf.DUMMYFUNCTION("""COMPUTED_VALUE"""),"I think they're called organs. And idk where the ""instructions"" are.")</f>
        <v>I think they're called organs. And idk where the "instructions" are.</v>
      </c>
      <c r="F31" s="71" t="str">
        <f>IFERROR(__xludf.DUMMYFUNCTION("""COMPUTED_VALUE"""),"Your feet and the ground are making the bike slow down.")</f>
        <v>Your feet and the ground are making the bike slow down.</v>
      </c>
      <c r="G31" s="71" t="str">
        <f>IFERROR(__xludf.DUMMYFUNCTION("""COMPUTED_VALUE"""),"He got it from his feet and the pedals.")</f>
        <v>He got it from his feet and the pedals.</v>
      </c>
      <c r="H31" s="71" t="str">
        <f>IFERROR(__xludf.DUMMYFUNCTION("""COMPUTED_VALUE"""),"You need feet and pedals.")</f>
        <v>You need feet and pedals.</v>
      </c>
      <c r="I31" s="71" t="str">
        <f>IFERROR(__xludf.DUMMYFUNCTION("""COMPUTED_VALUE"""),"1. The dinosaur went extinct 2. 100 years later, it became a ""skeleton"".")</f>
        <v>1. The dinosaur went extinct 2. 100 years later, it became a "skeleton".</v>
      </c>
      <c r="J31" s="71" t="str">
        <f>IFERROR(__xludf.DUMMYFUNCTION("""COMPUTED_VALUE"""),"The dinosaur is definitely older because dinosaurs used to be alive in the stoneage but now they're all extinct.")</f>
        <v>The dinosaur is definitely older because dinosaurs used to be alive in the stoneage but now they're all extinct.</v>
      </c>
      <c r="K31" s="71" t="str">
        <f>IFERROR(__xludf.DUMMYFUNCTION("""COMPUTED_VALUE"""),"Yes because of genetics and usually babies are based off their parents.")</f>
        <v>Yes because of genetics and usually babies are based off their parents.</v>
      </c>
      <c r="L31" s="71" t="str">
        <f>IFERROR(__xludf.DUMMYFUNCTION("""COMPUTED_VALUE"""),"Food and drinks.")</f>
        <v>Food and drinks.</v>
      </c>
    </row>
    <row r="32">
      <c r="A32" s="128">
        <f>IFERROR(__xludf.DUMMYFUNCTION("""COMPUTED_VALUE"""),45890.64139002315)</f>
        <v>45890.64139</v>
      </c>
      <c r="B32" s="71" t="str">
        <f>IFERROR(__xludf.DUMMYFUNCTION("""COMPUTED_VALUE"""),"soren.poe@kairosacademies.org")</f>
        <v>soren.poe@kairosacademies.org</v>
      </c>
      <c r="C32" s="71" t="str">
        <f>IFERROR(__xludf.DUMMYFUNCTION("""COMPUTED_VALUE"""),"Whenever you put a bunch of ingredients together and put it in a oven it makes it have a chemical reaction and makes it more solid.")</f>
        <v>Whenever you put a bunch of ingredients together and put it in a oven it makes it have a chemical reaction and makes it more solid.</v>
      </c>
      <c r="D32" s="71" t="str">
        <f>IFERROR(__xludf.DUMMYFUNCTION("""COMPUTED_VALUE"""),"I think the atoms went out of the ingredient and into the air.")</f>
        <v>I think the atoms went out of the ingredient and into the air.</v>
      </c>
      <c r="E32" s="71" t="str">
        <f>IFERROR(__xludf.DUMMYFUNCTION("""COMPUTED_VALUE"""),"I think that the tiny building blocks in those are either atoms or molecules.")</f>
        <v>I think that the tiny building blocks in those are either atoms or molecules.</v>
      </c>
      <c r="F32" s="71" t="str">
        <f>IFERROR(__xludf.DUMMYFUNCTION("""COMPUTED_VALUE"""),"I think the two main forces are gravitys force and humans force.")</f>
        <v>I think the two main forces are gravitys force and humans force.</v>
      </c>
      <c r="G32" s="71" t="str">
        <f>IFERROR(__xludf.DUMMYFUNCTION("""COMPUTED_VALUE"""),"If the rider ate eggs then it came from an chicken.")</f>
        <v>If the rider ate eggs then it came from an chicken.</v>
      </c>
      <c r="H32" s="71" t="str">
        <f>IFERROR(__xludf.DUMMYFUNCTION("""COMPUTED_VALUE"""),"The same place and person.")</f>
        <v>The same place and person.</v>
      </c>
      <c r="I32" s="71" t="str">
        <f>IFERROR(__xludf.DUMMYFUNCTION("""COMPUTED_VALUE"""),"The type of dinosaur, how long ago it went extinct, where it lived.")</f>
        <v>The type of dinosaur, how long ago it went extinct, where it lived.</v>
      </c>
      <c r="J32" s="71" t="str">
        <f>IFERROR(__xludf.DUMMYFUNCTION("""COMPUTED_VALUE"""),"The wooly mammoth is probably much older because it was under more rocks because it got more buried over the years.")</f>
        <v>The wooly mammoth is probably much older because it was under more rocks because it got more buried over the years.</v>
      </c>
      <c r="K32" s="71" t="str">
        <f>IFERROR(__xludf.DUMMYFUNCTION("""COMPUTED_VALUE"""),"I do think it could've been passed on to it babies because their genetics could give it to them.")</f>
        <v>I do think it could've been passed on to it babies because their genetics could give it to them.</v>
      </c>
      <c r="L32" s="71" t="str">
        <f>IFERROR(__xludf.DUMMYFUNCTION("""COMPUTED_VALUE"""),"Another type of scientific model that isnt a physical object could be a picture on a computer of a atom or molecule.")</f>
        <v>Another type of scientific model that isnt a physical object could be a picture on a computer of a atom or molecule.</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6.88"/>
  </cols>
  <sheetData>
    <row r="1">
      <c r="A1" s="132" t="s">
        <v>4063</v>
      </c>
      <c r="B1" s="132" t="s">
        <v>4064</v>
      </c>
      <c r="C1" s="132" t="s">
        <v>4065</v>
      </c>
      <c r="D1" s="132" t="s">
        <v>4066</v>
      </c>
      <c r="E1" s="132" t="s">
        <v>4067</v>
      </c>
      <c r="F1" s="132" t="s">
        <v>4068</v>
      </c>
      <c r="G1" s="132" t="s">
        <v>4069</v>
      </c>
      <c r="H1" s="132" t="s">
        <v>4070</v>
      </c>
      <c r="I1" s="132" t="s">
        <v>4071</v>
      </c>
      <c r="J1" s="132" t="s">
        <v>4072</v>
      </c>
      <c r="K1" s="132" t="s">
        <v>4073</v>
      </c>
    </row>
    <row r="2">
      <c r="A2" s="133" t="s">
        <v>4074</v>
      </c>
      <c r="B2" s="134" t="s">
        <v>4075</v>
      </c>
      <c r="C2" s="135" t="s">
        <v>4076</v>
      </c>
      <c r="D2" s="136"/>
      <c r="E2" s="135" t="s">
        <v>4077</v>
      </c>
      <c r="F2" s="135" t="s">
        <v>4078</v>
      </c>
      <c r="G2" s="135" t="s">
        <v>4079</v>
      </c>
      <c r="H2" s="135" t="s">
        <v>4080</v>
      </c>
      <c r="I2" s="137" t="s">
        <v>4081</v>
      </c>
      <c r="J2" s="136">
        <v>7.2</v>
      </c>
      <c r="K2" s="135" t="s">
        <v>4082</v>
      </c>
    </row>
    <row r="3">
      <c r="A3" s="138" t="s">
        <v>4083</v>
      </c>
      <c r="B3" s="139" t="s">
        <v>4075</v>
      </c>
      <c r="C3" s="140">
        <v>1.0</v>
      </c>
      <c r="D3" s="141" t="s">
        <v>4084</v>
      </c>
      <c r="E3" s="140">
        <v>5.0</v>
      </c>
      <c r="F3" s="140">
        <v>10.0</v>
      </c>
      <c r="G3" s="141" t="s">
        <v>4085</v>
      </c>
      <c r="H3" s="141" t="s">
        <v>4080</v>
      </c>
      <c r="I3" s="142" t="s">
        <v>4086</v>
      </c>
      <c r="J3" s="140"/>
      <c r="K3" s="141" t="s">
        <v>4087</v>
      </c>
    </row>
    <row r="4">
      <c r="A4" s="138" t="s">
        <v>4088</v>
      </c>
      <c r="B4" s="139" t="s">
        <v>4075</v>
      </c>
      <c r="C4" s="140">
        <v>10.0</v>
      </c>
      <c r="D4" s="141" t="s">
        <v>4089</v>
      </c>
      <c r="E4" s="140">
        <v>9.0</v>
      </c>
      <c r="F4" s="140">
        <v>9.0</v>
      </c>
      <c r="G4" s="140"/>
      <c r="H4" s="140"/>
      <c r="I4" s="142" t="s">
        <v>4090</v>
      </c>
      <c r="J4" s="140">
        <v>6.1</v>
      </c>
      <c r="K4" s="141" t="s">
        <v>4091</v>
      </c>
    </row>
    <row r="5">
      <c r="A5" s="138" t="s">
        <v>4092</v>
      </c>
      <c r="B5" s="139" t="s">
        <v>4075</v>
      </c>
      <c r="C5" s="140">
        <v>14.0</v>
      </c>
      <c r="D5" s="141" t="s">
        <v>4093</v>
      </c>
      <c r="E5" s="141" t="s">
        <v>4094</v>
      </c>
      <c r="F5" s="141" t="s">
        <v>4095</v>
      </c>
      <c r="G5" s="141" t="s">
        <v>4096</v>
      </c>
      <c r="H5" s="140"/>
      <c r="I5" s="142" t="s">
        <v>4097</v>
      </c>
      <c r="J5" s="140"/>
      <c r="K5" s="141" t="s">
        <v>4098</v>
      </c>
    </row>
    <row r="6">
      <c r="A6" s="138" t="s">
        <v>4099</v>
      </c>
      <c r="B6" s="139" t="s">
        <v>4075</v>
      </c>
      <c r="C6" s="140">
        <v>5.0</v>
      </c>
      <c r="D6" s="141" t="s">
        <v>4100</v>
      </c>
      <c r="E6" s="140">
        <v>6.0</v>
      </c>
      <c r="F6" s="140">
        <v>6.0</v>
      </c>
      <c r="G6" s="140"/>
      <c r="H6" s="140"/>
      <c r="I6" s="142" t="s">
        <v>4101</v>
      </c>
      <c r="J6" s="140"/>
      <c r="K6" s="141" t="s">
        <v>4102</v>
      </c>
    </row>
    <row r="7">
      <c r="A7" s="138" t="s">
        <v>4103</v>
      </c>
      <c r="B7" s="139" t="s">
        <v>4075</v>
      </c>
      <c r="C7" s="141" t="s">
        <v>4076</v>
      </c>
      <c r="D7" s="140"/>
      <c r="E7" s="141" t="s">
        <v>4104</v>
      </c>
      <c r="F7" s="141" t="s">
        <v>4105</v>
      </c>
      <c r="G7" s="141" t="s">
        <v>4079</v>
      </c>
      <c r="H7" s="141" t="s">
        <v>4080</v>
      </c>
      <c r="I7" s="142" t="s">
        <v>4106</v>
      </c>
      <c r="J7" s="140"/>
      <c r="K7" s="141" t="s">
        <v>4107</v>
      </c>
    </row>
    <row r="8">
      <c r="A8" s="138" t="s">
        <v>4108</v>
      </c>
      <c r="B8" s="139" t="s">
        <v>4075</v>
      </c>
      <c r="C8" s="141" t="s">
        <v>4109</v>
      </c>
      <c r="D8" s="140"/>
      <c r="E8" s="141" t="s">
        <v>4110</v>
      </c>
      <c r="F8" s="141" t="s">
        <v>4111</v>
      </c>
      <c r="G8" s="141" t="s">
        <v>4112</v>
      </c>
      <c r="H8" s="141" t="s">
        <v>4080</v>
      </c>
      <c r="I8" s="142" t="s">
        <v>4113</v>
      </c>
      <c r="J8" s="140"/>
      <c r="K8" s="141" t="s">
        <v>4114</v>
      </c>
    </row>
    <row r="9">
      <c r="A9" s="138" t="s">
        <v>4115</v>
      </c>
      <c r="B9" s="139" t="s">
        <v>4075</v>
      </c>
      <c r="C9" s="141" t="s">
        <v>4116</v>
      </c>
      <c r="D9" s="141" t="s">
        <v>4117</v>
      </c>
      <c r="E9" s="140">
        <v>40.0</v>
      </c>
      <c r="F9" s="140">
        <v>240.0</v>
      </c>
      <c r="G9" s="141" t="s">
        <v>4118</v>
      </c>
      <c r="H9" s="140"/>
      <c r="I9" s="142" t="s">
        <v>4119</v>
      </c>
      <c r="J9" s="140"/>
      <c r="K9" s="141" t="s">
        <v>4120</v>
      </c>
    </row>
    <row r="10">
      <c r="A10" s="138" t="s">
        <v>4121</v>
      </c>
      <c r="B10" s="139" t="s">
        <v>4075</v>
      </c>
      <c r="C10" s="141" t="s">
        <v>4122</v>
      </c>
      <c r="D10" s="140"/>
      <c r="E10" s="141" t="s">
        <v>4123</v>
      </c>
      <c r="F10" s="141" t="s">
        <v>4124</v>
      </c>
      <c r="G10" s="140"/>
      <c r="H10" s="141" t="s">
        <v>4080</v>
      </c>
      <c r="I10" s="140"/>
      <c r="J10" s="140"/>
      <c r="K10" s="141" t="s">
        <v>4125</v>
      </c>
    </row>
    <row r="11">
      <c r="A11" s="138" t="s">
        <v>4126</v>
      </c>
      <c r="B11" s="139" t="s">
        <v>4075</v>
      </c>
      <c r="C11" s="140">
        <v>13.0</v>
      </c>
      <c r="D11" s="141" t="s">
        <v>4127</v>
      </c>
      <c r="E11" s="140">
        <v>24.0</v>
      </c>
      <c r="F11" s="140">
        <v>144.0</v>
      </c>
      <c r="G11" s="140"/>
      <c r="H11" s="140"/>
      <c r="I11" s="142" t="s">
        <v>4128</v>
      </c>
      <c r="J11" s="140"/>
      <c r="K11" s="141" t="s">
        <v>4129</v>
      </c>
    </row>
    <row r="12">
      <c r="A12" s="138" t="s">
        <v>4130</v>
      </c>
      <c r="B12" s="139" t="s">
        <v>4075</v>
      </c>
      <c r="C12" s="141" t="s">
        <v>4131</v>
      </c>
      <c r="D12" s="141" t="s">
        <v>4132</v>
      </c>
      <c r="E12" s="140">
        <v>20.0</v>
      </c>
      <c r="F12" s="140">
        <v>20.0</v>
      </c>
      <c r="G12" s="141" t="s">
        <v>4133</v>
      </c>
      <c r="H12" s="141" t="s">
        <v>4080</v>
      </c>
      <c r="I12" s="142" t="s">
        <v>4134</v>
      </c>
      <c r="J12" s="141" t="s">
        <v>4135</v>
      </c>
      <c r="K12" s="141" t="s">
        <v>4136</v>
      </c>
    </row>
    <row r="13">
      <c r="A13" s="138" t="s">
        <v>4137</v>
      </c>
      <c r="B13" s="139" t="s">
        <v>4075</v>
      </c>
      <c r="C13" s="140">
        <v>9.0</v>
      </c>
      <c r="D13" s="141" t="s">
        <v>4138</v>
      </c>
      <c r="E13" s="141" t="s">
        <v>4139</v>
      </c>
      <c r="F13" s="141" t="s">
        <v>4140</v>
      </c>
      <c r="G13" s="141" t="s">
        <v>4141</v>
      </c>
      <c r="H13" s="140"/>
      <c r="I13" s="142" t="s">
        <v>4142</v>
      </c>
      <c r="J13" s="140"/>
      <c r="K13" s="141" t="s">
        <v>4143</v>
      </c>
    </row>
    <row r="14">
      <c r="A14" s="138" t="s">
        <v>4144</v>
      </c>
      <c r="B14" s="139" t="s">
        <v>4075</v>
      </c>
      <c r="C14" s="141" t="s">
        <v>4145</v>
      </c>
      <c r="D14" s="141" t="s">
        <v>4146</v>
      </c>
      <c r="E14" s="140">
        <v>200.0</v>
      </c>
      <c r="F14" s="140">
        <v>1200.0</v>
      </c>
      <c r="G14" s="141" t="s">
        <v>4147</v>
      </c>
      <c r="H14" s="140"/>
      <c r="I14" s="142" t="s">
        <v>4148</v>
      </c>
      <c r="J14" s="140"/>
      <c r="K14" s="141" t="s">
        <v>4149</v>
      </c>
    </row>
    <row r="15">
      <c r="A15" s="138" t="s">
        <v>4150</v>
      </c>
      <c r="B15" s="139" t="s">
        <v>4075</v>
      </c>
      <c r="C15" s="140">
        <v>13.0</v>
      </c>
      <c r="D15" s="141" t="s">
        <v>4151</v>
      </c>
      <c r="E15" s="140">
        <v>1.0</v>
      </c>
      <c r="F15" s="140">
        <v>1.0</v>
      </c>
      <c r="G15" s="141" t="s">
        <v>4152</v>
      </c>
      <c r="H15" s="141" t="s">
        <v>4080</v>
      </c>
      <c r="I15" s="142" t="s">
        <v>4153</v>
      </c>
      <c r="J15" s="140"/>
      <c r="K15" s="141" t="s">
        <v>4154</v>
      </c>
    </row>
    <row r="16">
      <c r="A16" s="138" t="s">
        <v>4155</v>
      </c>
      <c r="B16" s="139" t="s">
        <v>4075</v>
      </c>
      <c r="C16" s="140">
        <v>13.0</v>
      </c>
      <c r="D16" s="141" t="s">
        <v>4151</v>
      </c>
      <c r="E16" s="140">
        <v>1.0</v>
      </c>
      <c r="F16" s="140">
        <v>1.0</v>
      </c>
      <c r="G16" s="141" t="s">
        <v>4156</v>
      </c>
      <c r="H16" s="141" t="s">
        <v>4080</v>
      </c>
      <c r="I16" s="142" t="s">
        <v>4157</v>
      </c>
      <c r="J16" s="140"/>
      <c r="K16" s="141" t="s">
        <v>4158</v>
      </c>
    </row>
    <row r="17">
      <c r="A17" s="138" t="s">
        <v>4159</v>
      </c>
      <c r="B17" s="139" t="s">
        <v>4075</v>
      </c>
      <c r="C17" s="141" t="s">
        <v>4109</v>
      </c>
      <c r="D17" s="140"/>
      <c r="E17" s="141" t="s">
        <v>4160</v>
      </c>
      <c r="F17" s="141" t="s">
        <v>4161</v>
      </c>
      <c r="G17" s="141" t="s">
        <v>4162</v>
      </c>
      <c r="H17" s="141" t="s">
        <v>4080</v>
      </c>
      <c r="I17" s="142" t="s">
        <v>4163</v>
      </c>
      <c r="J17" s="140"/>
      <c r="K17" s="141" t="s">
        <v>4114</v>
      </c>
    </row>
    <row r="18">
      <c r="A18" s="138" t="s">
        <v>4164</v>
      </c>
      <c r="B18" s="139" t="s">
        <v>4075</v>
      </c>
      <c r="C18" s="141" t="s">
        <v>4109</v>
      </c>
      <c r="D18" s="140"/>
      <c r="E18" s="141" t="s">
        <v>4165</v>
      </c>
      <c r="F18" s="141" t="s">
        <v>4166</v>
      </c>
      <c r="G18" s="141" t="s">
        <v>4167</v>
      </c>
      <c r="H18" s="141" t="s">
        <v>4080</v>
      </c>
      <c r="I18" s="142" t="s">
        <v>4168</v>
      </c>
      <c r="J18" s="140"/>
      <c r="K18" s="141" t="s">
        <v>4125</v>
      </c>
    </row>
    <row r="19">
      <c r="A19" s="138" t="s">
        <v>4169</v>
      </c>
      <c r="B19" s="139" t="s">
        <v>4075</v>
      </c>
      <c r="C19" s="141" t="s">
        <v>4170</v>
      </c>
      <c r="D19" s="140"/>
      <c r="E19" s="141" t="s">
        <v>4171</v>
      </c>
      <c r="F19" s="141" t="s">
        <v>4172</v>
      </c>
      <c r="G19" s="141" t="s">
        <v>4173</v>
      </c>
      <c r="H19" s="141" t="s">
        <v>4080</v>
      </c>
      <c r="I19" s="142" t="s">
        <v>4174</v>
      </c>
      <c r="J19" s="140"/>
      <c r="K19" s="141" t="s">
        <v>4125</v>
      </c>
    </row>
    <row r="20">
      <c r="A20" s="138" t="s">
        <v>4175</v>
      </c>
      <c r="B20" s="139" t="s">
        <v>4075</v>
      </c>
      <c r="C20" s="140">
        <v>14.0</v>
      </c>
      <c r="D20" s="141" t="s">
        <v>4176</v>
      </c>
      <c r="E20" s="140">
        <v>30.0</v>
      </c>
      <c r="F20" s="140">
        <v>180.0</v>
      </c>
      <c r="G20" s="140"/>
      <c r="H20" s="140"/>
      <c r="I20" s="142" t="s">
        <v>4177</v>
      </c>
      <c r="J20" s="140"/>
      <c r="K20" s="141" t="s">
        <v>4098</v>
      </c>
    </row>
    <row r="21">
      <c r="A21" s="138" t="s">
        <v>4178</v>
      </c>
      <c r="B21" s="139" t="s">
        <v>4075</v>
      </c>
      <c r="C21" s="140">
        <v>13.0</v>
      </c>
      <c r="D21" s="141" t="s">
        <v>4179</v>
      </c>
      <c r="E21" s="140">
        <v>1.0</v>
      </c>
      <c r="F21" s="140">
        <v>1.0</v>
      </c>
      <c r="G21" s="141" t="s">
        <v>4180</v>
      </c>
      <c r="H21" s="141" t="s">
        <v>4080</v>
      </c>
      <c r="I21" s="142" t="s">
        <v>4181</v>
      </c>
      <c r="J21" s="140"/>
      <c r="K21" s="141" t="s">
        <v>4182</v>
      </c>
    </row>
    <row r="22">
      <c r="A22" s="138" t="s">
        <v>4183</v>
      </c>
      <c r="B22" s="139" t="s">
        <v>4075</v>
      </c>
      <c r="C22" s="141" t="s">
        <v>4109</v>
      </c>
      <c r="D22" s="140"/>
      <c r="E22" s="141" t="s">
        <v>4184</v>
      </c>
      <c r="F22" s="141" t="s">
        <v>4185</v>
      </c>
      <c r="G22" s="141" t="s">
        <v>4186</v>
      </c>
      <c r="H22" s="141" t="s">
        <v>4080</v>
      </c>
      <c r="I22" s="142" t="s">
        <v>4187</v>
      </c>
      <c r="J22" s="140"/>
      <c r="K22" s="141" t="s">
        <v>4107</v>
      </c>
    </row>
    <row r="23">
      <c r="A23" s="138" t="s">
        <v>4188</v>
      </c>
      <c r="B23" s="139" t="s">
        <v>4075</v>
      </c>
      <c r="C23" s="140">
        <v>1.0</v>
      </c>
      <c r="D23" s="141" t="s">
        <v>4189</v>
      </c>
      <c r="E23" s="140">
        <v>30.0</v>
      </c>
      <c r="F23" s="140">
        <v>180.0</v>
      </c>
      <c r="G23" s="141" t="s">
        <v>4190</v>
      </c>
      <c r="H23" s="140"/>
      <c r="I23" s="142" t="s">
        <v>4191</v>
      </c>
      <c r="J23" s="140"/>
      <c r="K23" s="141" t="s">
        <v>4182</v>
      </c>
    </row>
    <row r="24">
      <c r="A24" s="138" t="s">
        <v>4192</v>
      </c>
      <c r="B24" s="139" t="s">
        <v>4075</v>
      </c>
      <c r="C24" s="141" t="s">
        <v>4193</v>
      </c>
      <c r="D24" s="141" t="s">
        <v>4194</v>
      </c>
      <c r="E24" s="140">
        <v>200.0</v>
      </c>
      <c r="F24" s="140">
        <v>200.0</v>
      </c>
      <c r="G24" s="141" t="s">
        <v>4195</v>
      </c>
      <c r="H24" s="140"/>
      <c r="I24" s="142" t="s">
        <v>4196</v>
      </c>
      <c r="J24" s="140"/>
      <c r="K24" s="141" t="s">
        <v>4182</v>
      </c>
    </row>
    <row r="25">
      <c r="A25" s="138" t="s">
        <v>4197</v>
      </c>
      <c r="B25" s="139" t="s">
        <v>4075</v>
      </c>
      <c r="C25" s="140">
        <v>9.0</v>
      </c>
      <c r="D25" s="141" t="s">
        <v>4198</v>
      </c>
      <c r="E25" s="141" t="s">
        <v>4139</v>
      </c>
      <c r="F25" s="141" t="s">
        <v>4140</v>
      </c>
      <c r="G25" s="141" t="s">
        <v>4199</v>
      </c>
      <c r="H25" s="140"/>
      <c r="I25" s="142" t="s">
        <v>4200</v>
      </c>
      <c r="J25" s="140"/>
      <c r="K25" s="141" t="s">
        <v>4098</v>
      </c>
    </row>
    <row r="26">
      <c r="A26" s="138" t="s">
        <v>4201</v>
      </c>
      <c r="B26" s="139" t="s">
        <v>4075</v>
      </c>
      <c r="C26" s="141" t="s">
        <v>4109</v>
      </c>
      <c r="D26" s="140"/>
      <c r="E26" s="141" t="s">
        <v>4202</v>
      </c>
      <c r="F26" s="141" t="s">
        <v>4203</v>
      </c>
      <c r="G26" s="141" t="s">
        <v>4186</v>
      </c>
      <c r="H26" s="141" t="s">
        <v>4080</v>
      </c>
      <c r="I26" s="142" t="s">
        <v>4204</v>
      </c>
      <c r="J26" s="140"/>
      <c r="K26" s="141" t="s">
        <v>4107</v>
      </c>
    </row>
    <row r="27">
      <c r="A27" s="138" t="s">
        <v>4205</v>
      </c>
      <c r="B27" s="139" t="s">
        <v>4075</v>
      </c>
      <c r="C27" s="141" t="s">
        <v>4206</v>
      </c>
      <c r="D27" s="141" t="s">
        <v>4207</v>
      </c>
      <c r="E27" s="141" t="s">
        <v>4208</v>
      </c>
      <c r="F27" s="141" t="s">
        <v>4209</v>
      </c>
      <c r="G27" s="140"/>
      <c r="H27" s="140"/>
      <c r="I27" s="142" t="s">
        <v>4210</v>
      </c>
      <c r="J27" s="140"/>
      <c r="K27" s="141" t="s">
        <v>4211</v>
      </c>
    </row>
    <row r="28">
      <c r="A28" s="138" t="s">
        <v>4212</v>
      </c>
      <c r="B28" s="139" t="s">
        <v>4075</v>
      </c>
      <c r="C28" s="140">
        <v>3.0</v>
      </c>
      <c r="D28" s="141" t="s">
        <v>4213</v>
      </c>
      <c r="E28" s="140">
        <v>1.0</v>
      </c>
      <c r="F28" s="140">
        <v>1.0</v>
      </c>
      <c r="G28" s="140"/>
      <c r="H28" s="140"/>
      <c r="I28" s="142" t="s">
        <v>4214</v>
      </c>
      <c r="J28" s="140"/>
      <c r="K28" s="141" t="s">
        <v>4211</v>
      </c>
    </row>
    <row r="29">
      <c r="A29" s="138" t="s">
        <v>4215</v>
      </c>
      <c r="B29" s="139" t="s">
        <v>4075</v>
      </c>
      <c r="C29" s="141" t="s">
        <v>4109</v>
      </c>
      <c r="D29" s="140"/>
      <c r="E29" s="141" t="s">
        <v>4216</v>
      </c>
      <c r="F29" s="141" t="s">
        <v>4217</v>
      </c>
      <c r="G29" s="141" t="s">
        <v>4186</v>
      </c>
      <c r="H29" s="140"/>
      <c r="I29" s="142" t="s">
        <v>4218</v>
      </c>
      <c r="J29" s="140"/>
      <c r="K29" s="141" t="s">
        <v>4107</v>
      </c>
    </row>
    <row r="30">
      <c r="A30" s="138" t="s">
        <v>4219</v>
      </c>
      <c r="B30" s="139" t="s">
        <v>4075</v>
      </c>
      <c r="C30" s="141" t="s">
        <v>4220</v>
      </c>
      <c r="D30" s="141" t="s">
        <v>4221</v>
      </c>
      <c r="E30" s="140">
        <v>1.0</v>
      </c>
      <c r="F30" s="140">
        <v>6.0</v>
      </c>
      <c r="G30" s="140"/>
      <c r="H30" s="140"/>
      <c r="I30" s="142" t="s">
        <v>4222</v>
      </c>
      <c r="J30" s="140"/>
      <c r="K30" s="141" t="s">
        <v>4211</v>
      </c>
    </row>
    <row r="31">
      <c r="A31" s="138" t="s">
        <v>4223</v>
      </c>
      <c r="B31" s="139" t="s">
        <v>4075</v>
      </c>
      <c r="C31" s="141" t="s">
        <v>4193</v>
      </c>
      <c r="D31" s="141" t="s">
        <v>4224</v>
      </c>
      <c r="E31" s="140">
        <v>30.0</v>
      </c>
      <c r="F31" s="140">
        <v>180.0</v>
      </c>
      <c r="G31" s="141" t="s">
        <v>4225</v>
      </c>
      <c r="H31" s="140"/>
      <c r="I31" s="142" t="s">
        <v>4226</v>
      </c>
      <c r="J31" s="140"/>
      <c r="K31" s="141" t="s">
        <v>4227</v>
      </c>
    </row>
    <row r="32">
      <c r="A32" s="138" t="s">
        <v>4228</v>
      </c>
      <c r="B32" s="139" t="s">
        <v>4075</v>
      </c>
      <c r="C32" s="140">
        <v>13.0</v>
      </c>
      <c r="D32" s="141" t="s">
        <v>4151</v>
      </c>
      <c r="E32" s="140">
        <v>1.0</v>
      </c>
      <c r="F32" s="140">
        <v>1.0</v>
      </c>
      <c r="G32" s="141" t="s">
        <v>4229</v>
      </c>
      <c r="H32" s="141" t="s">
        <v>4080</v>
      </c>
      <c r="I32" s="142" t="s">
        <v>4230</v>
      </c>
      <c r="J32" s="140"/>
      <c r="K32" s="141" t="s">
        <v>4231</v>
      </c>
    </row>
    <row r="33">
      <c r="A33" s="138" t="s">
        <v>4232</v>
      </c>
      <c r="B33" s="139" t="s">
        <v>4075</v>
      </c>
      <c r="C33" s="141" t="s">
        <v>4131</v>
      </c>
      <c r="D33" s="141" t="s">
        <v>4233</v>
      </c>
      <c r="E33" s="140">
        <v>1.0</v>
      </c>
      <c r="F33" s="140">
        <v>1.0</v>
      </c>
      <c r="G33" s="141" t="s">
        <v>4234</v>
      </c>
      <c r="H33" s="140"/>
      <c r="I33" s="142" t="s">
        <v>4235</v>
      </c>
      <c r="J33" s="140"/>
      <c r="K33" s="141" t="s">
        <v>4236</v>
      </c>
    </row>
    <row r="34">
      <c r="A34" s="138" t="s">
        <v>4237</v>
      </c>
      <c r="B34" s="139" t="s">
        <v>4238</v>
      </c>
      <c r="C34" s="140">
        <v>5.0</v>
      </c>
      <c r="D34" s="141" t="s">
        <v>4221</v>
      </c>
      <c r="E34" s="140">
        <v>1.0</v>
      </c>
      <c r="F34" s="140">
        <v>6.0</v>
      </c>
      <c r="G34" s="141" t="s">
        <v>4239</v>
      </c>
      <c r="H34" s="140"/>
      <c r="I34" s="142" t="s">
        <v>4240</v>
      </c>
      <c r="J34" s="140">
        <v>6.3</v>
      </c>
      <c r="K34" s="141" t="s">
        <v>4241</v>
      </c>
    </row>
    <row r="35">
      <c r="A35" s="138" t="s">
        <v>4242</v>
      </c>
      <c r="B35" s="139" t="s">
        <v>4238</v>
      </c>
      <c r="C35" s="140">
        <v>1.0</v>
      </c>
      <c r="D35" s="141" t="s">
        <v>4151</v>
      </c>
      <c r="E35" s="140">
        <v>1.0</v>
      </c>
      <c r="F35" s="140">
        <v>1.0</v>
      </c>
      <c r="G35" s="141" t="s">
        <v>4243</v>
      </c>
      <c r="H35" s="140"/>
      <c r="I35" s="142" t="s">
        <v>4244</v>
      </c>
      <c r="J35" s="140">
        <v>7.3</v>
      </c>
      <c r="K35" s="141" t="s">
        <v>4245</v>
      </c>
    </row>
    <row r="36">
      <c r="A36" s="138" t="s">
        <v>4246</v>
      </c>
      <c r="B36" s="139" t="s">
        <v>4238</v>
      </c>
      <c r="C36" s="141" t="s">
        <v>4206</v>
      </c>
      <c r="D36" s="141" t="s">
        <v>4247</v>
      </c>
      <c r="E36" s="140">
        <v>1.0</v>
      </c>
      <c r="F36" s="140">
        <v>2.0</v>
      </c>
      <c r="G36" s="141" t="s">
        <v>4248</v>
      </c>
      <c r="H36" s="140"/>
      <c r="I36" s="142" t="s">
        <v>4249</v>
      </c>
      <c r="J36" s="140"/>
      <c r="K36" s="141" t="s">
        <v>4250</v>
      </c>
    </row>
    <row r="37">
      <c r="A37" s="138" t="s">
        <v>4251</v>
      </c>
      <c r="B37" s="139" t="s">
        <v>4238</v>
      </c>
      <c r="C37" s="140">
        <v>8.0</v>
      </c>
      <c r="D37" s="140"/>
      <c r="E37" s="140"/>
      <c r="F37" s="140"/>
      <c r="G37" s="141" t="s">
        <v>4252</v>
      </c>
      <c r="H37" s="140"/>
      <c r="I37" s="140"/>
      <c r="J37" s="140"/>
      <c r="K37" s="141" t="s">
        <v>4253</v>
      </c>
    </row>
    <row r="38">
      <c r="A38" s="138" t="s">
        <v>4254</v>
      </c>
      <c r="B38" s="139" t="s">
        <v>4238</v>
      </c>
      <c r="C38" s="141" t="s">
        <v>4255</v>
      </c>
      <c r="D38" s="141" t="s">
        <v>4256</v>
      </c>
      <c r="E38" s="141" t="s">
        <v>4257</v>
      </c>
      <c r="F38" s="141" t="s">
        <v>4257</v>
      </c>
      <c r="G38" s="140"/>
      <c r="H38" s="140"/>
      <c r="I38" s="142" t="s">
        <v>4258</v>
      </c>
      <c r="J38" s="140"/>
      <c r="K38" s="141" t="s">
        <v>4259</v>
      </c>
    </row>
    <row r="39">
      <c r="A39" s="138" t="s">
        <v>4260</v>
      </c>
      <c r="B39" s="139" t="s">
        <v>4238</v>
      </c>
      <c r="C39" s="141" t="s">
        <v>4261</v>
      </c>
      <c r="D39" s="141" t="s">
        <v>4262</v>
      </c>
      <c r="E39" s="140">
        <v>8.0</v>
      </c>
      <c r="F39" s="140">
        <v>16.0</v>
      </c>
      <c r="G39" s="140"/>
      <c r="H39" s="140"/>
      <c r="I39" s="142" t="s">
        <v>4263</v>
      </c>
      <c r="J39" s="140"/>
      <c r="K39" s="141" t="s">
        <v>4264</v>
      </c>
    </row>
    <row r="40">
      <c r="A40" s="138" t="s">
        <v>4265</v>
      </c>
      <c r="B40" s="139" t="s">
        <v>4238</v>
      </c>
      <c r="C40" s="140">
        <v>7.0</v>
      </c>
      <c r="D40" s="141" t="s">
        <v>4266</v>
      </c>
      <c r="E40" s="140">
        <v>1.0</v>
      </c>
      <c r="F40" s="140">
        <v>1.0</v>
      </c>
      <c r="G40" s="140"/>
      <c r="H40" s="140"/>
      <c r="I40" s="142" t="s">
        <v>4267</v>
      </c>
      <c r="J40" s="140"/>
      <c r="K40" s="141" t="s">
        <v>4268</v>
      </c>
    </row>
    <row r="41">
      <c r="A41" s="138" t="s">
        <v>4269</v>
      </c>
      <c r="B41" s="139" t="s">
        <v>4238</v>
      </c>
      <c r="C41" s="141" t="s">
        <v>4270</v>
      </c>
      <c r="D41" s="141" t="s">
        <v>4271</v>
      </c>
      <c r="E41" s="140">
        <v>2.0</v>
      </c>
      <c r="F41" s="140">
        <v>2.0</v>
      </c>
      <c r="G41" s="141" t="s">
        <v>4272</v>
      </c>
      <c r="H41" s="140"/>
      <c r="I41" s="142" t="s">
        <v>4273</v>
      </c>
      <c r="J41" s="140"/>
      <c r="K41" s="141" t="s">
        <v>4274</v>
      </c>
    </row>
    <row r="42">
      <c r="A42" s="138" t="s">
        <v>4275</v>
      </c>
      <c r="B42" s="139" t="s">
        <v>4238</v>
      </c>
      <c r="C42" s="140">
        <v>1.0</v>
      </c>
      <c r="D42" s="141" t="s">
        <v>4276</v>
      </c>
      <c r="E42" s="140">
        <v>1.0</v>
      </c>
      <c r="F42" s="140">
        <v>6.0</v>
      </c>
      <c r="G42" s="140"/>
      <c r="H42" s="140"/>
      <c r="I42" s="142" t="s">
        <v>4277</v>
      </c>
      <c r="J42" s="140"/>
      <c r="K42" s="141" t="s">
        <v>4278</v>
      </c>
    </row>
    <row r="43">
      <c r="A43" s="138" t="s">
        <v>4279</v>
      </c>
      <c r="B43" s="139" t="s">
        <v>4238</v>
      </c>
      <c r="C43" s="140">
        <v>10.0</v>
      </c>
      <c r="D43" s="141" t="s">
        <v>4280</v>
      </c>
      <c r="E43" s="140">
        <v>1.0</v>
      </c>
      <c r="F43" s="140">
        <v>1.0</v>
      </c>
      <c r="G43" s="141" t="s">
        <v>4281</v>
      </c>
      <c r="H43" s="140"/>
      <c r="I43" s="142" t="s">
        <v>4282</v>
      </c>
      <c r="J43" s="140"/>
      <c r="K43" s="141" t="s">
        <v>4283</v>
      </c>
    </row>
    <row r="44">
      <c r="A44" s="138" t="s">
        <v>4284</v>
      </c>
      <c r="B44" s="139" t="s">
        <v>4238</v>
      </c>
      <c r="C44" s="140">
        <v>8.0</v>
      </c>
      <c r="D44" s="141" t="s">
        <v>4151</v>
      </c>
      <c r="E44" s="140">
        <v>1.0</v>
      </c>
      <c r="F44" s="140">
        <v>1.0</v>
      </c>
      <c r="G44" s="140"/>
      <c r="H44" s="140"/>
      <c r="I44" s="142" t="s">
        <v>4285</v>
      </c>
      <c r="J44" s="140"/>
      <c r="K44" s="141" t="s">
        <v>4286</v>
      </c>
    </row>
    <row r="45">
      <c r="A45" s="138" t="s">
        <v>4287</v>
      </c>
      <c r="B45" s="139" t="s">
        <v>4238</v>
      </c>
      <c r="C45" s="141" t="s">
        <v>4288</v>
      </c>
      <c r="D45" s="141" t="s">
        <v>4289</v>
      </c>
      <c r="E45" s="140">
        <v>6.0</v>
      </c>
      <c r="F45" s="140">
        <v>6.0</v>
      </c>
      <c r="G45" s="141" t="s">
        <v>4290</v>
      </c>
      <c r="H45" s="140"/>
      <c r="I45" s="142" t="s">
        <v>4291</v>
      </c>
      <c r="J45" s="140"/>
      <c r="K45" s="141" t="s">
        <v>4292</v>
      </c>
    </row>
    <row r="46">
      <c r="A46" s="138" t="s">
        <v>4293</v>
      </c>
      <c r="B46" s="139" t="s">
        <v>4238</v>
      </c>
      <c r="C46" s="141" t="s">
        <v>4294</v>
      </c>
      <c r="D46" s="141" t="s">
        <v>4295</v>
      </c>
      <c r="E46" s="141" t="s">
        <v>4296</v>
      </c>
      <c r="F46" s="141" t="s">
        <v>4296</v>
      </c>
      <c r="G46" s="141" t="s">
        <v>4297</v>
      </c>
      <c r="H46" s="140"/>
      <c r="I46" s="140"/>
      <c r="J46" s="140"/>
      <c r="K46" s="141" t="s">
        <v>4298</v>
      </c>
    </row>
    <row r="47">
      <c r="A47" s="138" t="s">
        <v>4299</v>
      </c>
      <c r="B47" s="139" t="s">
        <v>4300</v>
      </c>
      <c r="C47" s="140">
        <v>10.0</v>
      </c>
      <c r="D47" s="141" t="s">
        <v>4301</v>
      </c>
      <c r="E47" s="140">
        <v>6.0</v>
      </c>
      <c r="F47" s="140">
        <v>6.0</v>
      </c>
      <c r="G47" s="141" t="s">
        <v>4302</v>
      </c>
      <c r="H47" s="140"/>
      <c r="I47" s="142" t="s">
        <v>4303</v>
      </c>
      <c r="J47" s="140"/>
      <c r="K47" s="141" t="s">
        <v>4304</v>
      </c>
    </row>
    <row r="48">
      <c r="A48" s="138" t="s">
        <v>4305</v>
      </c>
      <c r="B48" s="139" t="s">
        <v>4300</v>
      </c>
      <c r="C48" s="141" t="s">
        <v>4294</v>
      </c>
      <c r="D48" s="141" t="s">
        <v>4306</v>
      </c>
      <c r="E48" s="140">
        <v>3.0</v>
      </c>
      <c r="F48" s="140">
        <v>3.0</v>
      </c>
      <c r="G48" s="141" t="s">
        <v>4307</v>
      </c>
      <c r="H48" s="140"/>
      <c r="I48" s="142" t="s">
        <v>4308</v>
      </c>
      <c r="J48" s="141" t="s">
        <v>4309</v>
      </c>
      <c r="K48" s="141" t="s">
        <v>4102</v>
      </c>
    </row>
    <row r="49">
      <c r="A49" s="138" t="s">
        <v>4310</v>
      </c>
      <c r="B49" s="139" t="s">
        <v>4300</v>
      </c>
      <c r="C49" s="140">
        <v>14.0</v>
      </c>
      <c r="D49" s="141" t="s">
        <v>4311</v>
      </c>
      <c r="E49" s="140">
        <v>180.0</v>
      </c>
      <c r="F49" s="140">
        <v>180.0</v>
      </c>
      <c r="G49" s="141" t="s">
        <v>4312</v>
      </c>
      <c r="H49" s="140"/>
      <c r="I49" s="142" t="s">
        <v>4313</v>
      </c>
      <c r="J49" s="140">
        <v>7.6</v>
      </c>
      <c r="K49" s="141" t="s">
        <v>4314</v>
      </c>
    </row>
    <row r="50">
      <c r="A50" s="138" t="s">
        <v>4315</v>
      </c>
      <c r="B50" s="139" t="s">
        <v>4300</v>
      </c>
      <c r="C50" s="141" t="s">
        <v>4076</v>
      </c>
      <c r="D50" s="141" t="s">
        <v>4316</v>
      </c>
      <c r="E50" s="140">
        <v>100.0</v>
      </c>
      <c r="F50" s="140">
        <v>100.0</v>
      </c>
      <c r="G50" s="141" t="s">
        <v>4317</v>
      </c>
      <c r="H50" s="140"/>
      <c r="I50" s="142" t="s">
        <v>4318</v>
      </c>
      <c r="J50" s="140">
        <v>7.3</v>
      </c>
      <c r="K50" s="141" t="s">
        <v>4319</v>
      </c>
    </row>
    <row r="51">
      <c r="A51" s="138" t="s">
        <v>4320</v>
      </c>
      <c r="B51" s="139" t="s">
        <v>4300</v>
      </c>
      <c r="C51" s="141" t="s">
        <v>4321</v>
      </c>
      <c r="D51" s="141" t="s">
        <v>4322</v>
      </c>
      <c r="E51" s="140">
        <v>10.0</v>
      </c>
      <c r="F51" s="140">
        <v>10.0</v>
      </c>
      <c r="G51" s="141" t="s">
        <v>4317</v>
      </c>
      <c r="H51" s="140"/>
      <c r="I51" s="142" t="s">
        <v>4323</v>
      </c>
      <c r="J51" s="140"/>
      <c r="K51" s="141" t="s">
        <v>4319</v>
      </c>
    </row>
    <row r="52">
      <c r="A52" s="138" t="s">
        <v>4324</v>
      </c>
      <c r="B52" s="139" t="s">
        <v>4300</v>
      </c>
      <c r="C52" s="141" t="s">
        <v>4325</v>
      </c>
      <c r="D52" s="141" t="s">
        <v>4326</v>
      </c>
      <c r="E52" s="140">
        <v>9.0</v>
      </c>
      <c r="F52" s="140">
        <v>9.0</v>
      </c>
      <c r="G52" s="141" t="s">
        <v>4327</v>
      </c>
      <c r="H52" s="140"/>
      <c r="I52" s="142" t="s">
        <v>4328</v>
      </c>
      <c r="J52" s="141" t="s">
        <v>4329</v>
      </c>
      <c r="K52" s="141" t="s">
        <v>4330</v>
      </c>
    </row>
    <row r="53">
      <c r="A53" s="138" t="s">
        <v>4331</v>
      </c>
      <c r="B53" s="139" t="s">
        <v>4300</v>
      </c>
      <c r="C53" s="140">
        <v>10.0</v>
      </c>
      <c r="D53" s="141" t="s">
        <v>4332</v>
      </c>
      <c r="E53" s="140">
        <v>4.0</v>
      </c>
      <c r="F53" s="140">
        <v>6.0</v>
      </c>
      <c r="G53" s="141" t="s">
        <v>4333</v>
      </c>
      <c r="H53" s="141" t="s">
        <v>4080</v>
      </c>
      <c r="I53" s="142" t="s">
        <v>4334</v>
      </c>
      <c r="J53" s="140"/>
      <c r="K53" s="141" t="s">
        <v>4335</v>
      </c>
    </row>
    <row r="54">
      <c r="A54" s="138" t="s">
        <v>4336</v>
      </c>
      <c r="B54" s="139" t="s">
        <v>4300</v>
      </c>
      <c r="C54" s="141" t="s">
        <v>4337</v>
      </c>
      <c r="D54" s="141" t="s">
        <v>4338</v>
      </c>
      <c r="E54" s="140">
        <v>2.0</v>
      </c>
      <c r="F54" s="140">
        <v>2.0</v>
      </c>
      <c r="G54" s="140"/>
      <c r="H54" s="140"/>
      <c r="I54" s="142" t="s">
        <v>4339</v>
      </c>
      <c r="J54" s="140"/>
      <c r="K54" s="141" t="s">
        <v>4136</v>
      </c>
    </row>
    <row r="55">
      <c r="A55" s="138" t="s">
        <v>4340</v>
      </c>
      <c r="B55" s="139" t="s">
        <v>4300</v>
      </c>
      <c r="C55" s="140">
        <v>9.0</v>
      </c>
      <c r="D55" s="141" t="s">
        <v>4338</v>
      </c>
      <c r="E55" s="140">
        <v>2.0</v>
      </c>
      <c r="F55" s="140">
        <v>2.0</v>
      </c>
      <c r="G55" s="141" t="s">
        <v>4341</v>
      </c>
      <c r="H55" s="140"/>
      <c r="I55" s="142" t="s">
        <v>4342</v>
      </c>
      <c r="J55" s="140"/>
      <c r="K55" s="141" t="s">
        <v>4136</v>
      </c>
    </row>
    <row r="56">
      <c r="A56" s="138" t="s">
        <v>4343</v>
      </c>
      <c r="B56" s="139" t="s">
        <v>4300</v>
      </c>
      <c r="C56" s="140">
        <v>9.0</v>
      </c>
      <c r="D56" s="141" t="s">
        <v>4289</v>
      </c>
      <c r="E56" s="140">
        <v>6.0</v>
      </c>
      <c r="F56" s="140">
        <v>6.0</v>
      </c>
      <c r="G56" s="141" t="s">
        <v>4344</v>
      </c>
      <c r="H56" s="140"/>
      <c r="I56" s="142" t="s">
        <v>4345</v>
      </c>
      <c r="J56" s="140"/>
      <c r="K56" s="141" t="s">
        <v>4346</v>
      </c>
    </row>
    <row r="57">
      <c r="A57" s="138" t="s">
        <v>4347</v>
      </c>
      <c r="B57" s="139" t="s">
        <v>4300</v>
      </c>
      <c r="C57" s="140">
        <v>9.0</v>
      </c>
      <c r="D57" s="141" t="s">
        <v>4338</v>
      </c>
      <c r="E57" s="140">
        <v>2.0</v>
      </c>
      <c r="F57" s="140">
        <v>2.0</v>
      </c>
      <c r="G57" s="141" t="s">
        <v>4348</v>
      </c>
      <c r="H57" s="140"/>
      <c r="I57" s="142" t="s">
        <v>4349</v>
      </c>
      <c r="J57" s="140"/>
      <c r="K57" s="141" t="s">
        <v>4154</v>
      </c>
    </row>
    <row r="58">
      <c r="A58" s="138" t="s">
        <v>4350</v>
      </c>
      <c r="B58" s="139" t="s">
        <v>4300</v>
      </c>
      <c r="C58" s="141" t="s">
        <v>4351</v>
      </c>
      <c r="D58" s="141" t="s">
        <v>4151</v>
      </c>
      <c r="E58" s="140">
        <v>1.0</v>
      </c>
      <c r="F58" s="140">
        <v>1.0</v>
      </c>
      <c r="G58" s="140"/>
      <c r="H58" s="140"/>
      <c r="I58" s="142" t="s">
        <v>4352</v>
      </c>
      <c r="J58" s="140">
        <v>7.3</v>
      </c>
      <c r="K58" s="141" t="s">
        <v>4154</v>
      </c>
    </row>
    <row r="59">
      <c r="A59" s="138" t="s">
        <v>4353</v>
      </c>
      <c r="B59" s="139" t="s">
        <v>4300</v>
      </c>
      <c r="C59" s="141" t="s">
        <v>4131</v>
      </c>
      <c r="D59" s="141" t="s">
        <v>4354</v>
      </c>
      <c r="E59" s="140">
        <v>4.0</v>
      </c>
      <c r="F59" s="140">
        <v>4.0</v>
      </c>
      <c r="G59" s="141" t="s">
        <v>4355</v>
      </c>
      <c r="H59" s="141" t="s">
        <v>4080</v>
      </c>
      <c r="I59" s="142" t="s">
        <v>4356</v>
      </c>
      <c r="J59" s="140"/>
      <c r="K59" s="141" t="s">
        <v>4154</v>
      </c>
    </row>
    <row r="60">
      <c r="A60" s="138" t="s">
        <v>4357</v>
      </c>
      <c r="B60" s="139" t="s">
        <v>4300</v>
      </c>
      <c r="C60" s="140">
        <v>4.0</v>
      </c>
      <c r="D60" s="141" t="s">
        <v>4322</v>
      </c>
      <c r="E60" s="140">
        <v>10.0</v>
      </c>
      <c r="F60" s="140">
        <v>10.0</v>
      </c>
      <c r="G60" s="141" t="s">
        <v>4358</v>
      </c>
      <c r="H60" s="140"/>
      <c r="I60" s="142" t="s">
        <v>4359</v>
      </c>
      <c r="J60" s="140"/>
      <c r="K60" s="141" t="s">
        <v>4154</v>
      </c>
    </row>
    <row r="61">
      <c r="A61" s="138" t="s">
        <v>4360</v>
      </c>
      <c r="B61" s="139" t="s">
        <v>4300</v>
      </c>
      <c r="C61" s="140">
        <v>9.0</v>
      </c>
      <c r="D61" s="141" t="s">
        <v>4361</v>
      </c>
      <c r="E61" s="140">
        <v>28.0</v>
      </c>
      <c r="F61" s="140">
        <v>28.0</v>
      </c>
      <c r="G61" s="141" t="s">
        <v>4362</v>
      </c>
      <c r="H61" s="140"/>
      <c r="I61" s="142" t="s">
        <v>4363</v>
      </c>
      <c r="J61" s="140"/>
      <c r="K61" s="141" t="s">
        <v>4364</v>
      </c>
    </row>
    <row r="62">
      <c r="A62" s="138" t="s">
        <v>4365</v>
      </c>
      <c r="B62" s="139" t="s">
        <v>4300</v>
      </c>
      <c r="C62" s="140">
        <v>2.0</v>
      </c>
      <c r="D62" s="141" t="s">
        <v>4366</v>
      </c>
      <c r="E62" s="140">
        <v>30.0</v>
      </c>
      <c r="F62" s="140">
        <v>30.0</v>
      </c>
      <c r="G62" s="141" t="s">
        <v>4367</v>
      </c>
      <c r="H62" s="140"/>
      <c r="I62" s="142" t="s">
        <v>4368</v>
      </c>
      <c r="J62" s="140"/>
      <c r="K62" s="141" t="s">
        <v>4154</v>
      </c>
    </row>
    <row r="63">
      <c r="A63" s="138" t="s">
        <v>4369</v>
      </c>
      <c r="B63" s="139" t="s">
        <v>4300</v>
      </c>
      <c r="C63" s="140">
        <v>5.0</v>
      </c>
      <c r="D63" s="141" t="s">
        <v>4370</v>
      </c>
      <c r="E63" s="140">
        <v>6.0</v>
      </c>
      <c r="F63" s="140">
        <v>6.0</v>
      </c>
      <c r="G63" s="141" t="s">
        <v>4371</v>
      </c>
      <c r="H63" s="140"/>
      <c r="I63" s="142" t="s">
        <v>4372</v>
      </c>
      <c r="J63" s="140"/>
      <c r="K63" s="141" t="s">
        <v>4373</v>
      </c>
    </row>
    <row r="64">
      <c r="A64" s="138" t="s">
        <v>4374</v>
      </c>
      <c r="B64" s="139" t="s">
        <v>4300</v>
      </c>
      <c r="C64" s="140">
        <v>13.0</v>
      </c>
      <c r="D64" s="141" t="s">
        <v>4375</v>
      </c>
      <c r="E64" s="140">
        <v>24.0</v>
      </c>
      <c r="F64" s="140">
        <v>24.0</v>
      </c>
      <c r="G64" s="141" t="s">
        <v>4376</v>
      </c>
      <c r="H64" s="141" t="s">
        <v>4080</v>
      </c>
      <c r="I64" s="142" t="s">
        <v>4377</v>
      </c>
      <c r="J64" s="140"/>
      <c r="K64" s="141" t="s">
        <v>4378</v>
      </c>
    </row>
    <row r="65">
      <c r="A65" s="138" t="s">
        <v>4379</v>
      </c>
      <c r="B65" s="139" t="s">
        <v>4300</v>
      </c>
      <c r="C65" s="140">
        <v>3.0</v>
      </c>
      <c r="D65" s="141" t="s">
        <v>4380</v>
      </c>
      <c r="E65" s="140">
        <v>150.0</v>
      </c>
      <c r="F65" s="140">
        <v>150.0</v>
      </c>
      <c r="G65" s="140"/>
      <c r="H65" s="140"/>
      <c r="I65" s="140"/>
      <c r="J65" s="140"/>
      <c r="K65" s="141" t="s">
        <v>4373</v>
      </c>
    </row>
    <row r="66">
      <c r="A66" s="138" t="s">
        <v>4381</v>
      </c>
      <c r="B66" s="139" t="s">
        <v>4300</v>
      </c>
      <c r="C66" s="140">
        <v>9.0</v>
      </c>
      <c r="D66" s="141" t="s">
        <v>4338</v>
      </c>
      <c r="E66" s="140">
        <v>2.0</v>
      </c>
      <c r="F66" s="140">
        <v>2.0</v>
      </c>
      <c r="G66" s="141" t="s">
        <v>4382</v>
      </c>
      <c r="H66" s="140"/>
      <c r="I66" s="142" t="s">
        <v>4383</v>
      </c>
      <c r="J66" s="140"/>
      <c r="K66" s="141" t="s">
        <v>4384</v>
      </c>
    </row>
    <row r="67">
      <c r="A67" s="138" t="s">
        <v>4385</v>
      </c>
      <c r="B67" s="139" t="s">
        <v>4300</v>
      </c>
      <c r="C67" s="141" t="s">
        <v>4270</v>
      </c>
      <c r="D67" s="141" t="s">
        <v>4338</v>
      </c>
      <c r="E67" s="140">
        <v>2.0</v>
      </c>
      <c r="F67" s="140">
        <v>2.0</v>
      </c>
      <c r="G67" s="141" t="s">
        <v>4386</v>
      </c>
      <c r="H67" s="140"/>
      <c r="I67" s="142" t="s">
        <v>4387</v>
      </c>
      <c r="J67" s="140"/>
      <c r="K67" s="141" t="s">
        <v>4384</v>
      </c>
    </row>
    <row r="68">
      <c r="A68" s="138" t="s">
        <v>4388</v>
      </c>
      <c r="B68" s="139" t="s">
        <v>4300</v>
      </c>
      <c r="C68" s="141" t="s">
        <v>4294</v>
      </c>
      <c r="D68" s="141" t="s">
        <v>4151</v>
      </c>
      <c r="E68" s="140">
        <v>1.0</v>
      </c>
      <c r="F68" s="140">
        <v>1.0</v>
      </c>
      <c r="G68" s="141" t="s">
        <v>4389</v>
      </c>
      <c r="H68" s="140"/>
      <c r="I68" s="142" t="s">
        <v>4390</v>
      </c>
      <c r="J68" s="141" t="s">
        <v>4391</v>
      </c>
      <c r="K68" s="141" t="s">
        <v>4236</v>
      </c>
    </row>
    <row r="69">
      <c r="A69" s="138" t="s">
        <v>4392</v>
      </c>
      <c r="B69" s="139" t="s">
        <v>4300</v>
      </c>
      <c r="C69" s="141" t="s">
        <v>4294</v>
      </c>
      <c r="D69" s="141" t="s">
        <v>4338</v>
      </c>
      <c r="E69" s="140">
        <v>2.0</v>
      </c>
      <c r="F69" s="140">
        <v>2.0</v>
      </c>
      <c r="G69" s="141" t="s">
        <v>4393</v>
      </c>
      <c r="H69" s="140"/>
      <c r="I69" s="142" t="s">
        <v>4394</v>
      </c>
      <c r="J69" s="140">
        <v>8.2</v>
      </c>
      <c r="K69" s="141" t="s">
        <v>4236</v>
      </c>
    </row>
    <row r="70">
      <c r="A70" s="138" t="s">
        <v>4395</v>
      </c>
      <c r="B70" s="139" t="s">
        <v>4300</v>
      </c>
      <c r="C70" s="140">
        <v>9.0</v>
      </c>
      <c r="D70" s="141" t="s">
        <v>4151</v>
      </c>
      <c r="E70" s="140">
        <v>1.0</v>
      </c>
      <c r="F70" s="140">
        <v>1.0</v>
      </c>
      <c r="G70" s="141" t="s">
        <v>4396</v>
      </c>
      <c r="H70" s="140"/>
      <c r="I70" s="142" t="s">
        <v>4397</v>
      </c>
      <c r="J70" s="140"/>
      <c r="K70" s="141" t="s">
        <v>4236</v>
      </c>
    </row>
    <row r="71">
      <c r="A71" s="138" t="s">
        <v>4398</v>
      </c>
      <c r="B71" s="139" t="s">
        <v>4300</v>
      </c>
      <c r="C71" s="140">
        <v>10.0</v>
      </c>
      <c r="D71" s="141" t="s">
        <v>4289</v>
      </c>
      <c r="E71" s="140">
        <v>6.0</v>
      </c>
      <c r="F71" s="140">
        <v>6.0</v>
      </c>
      <c r="G71" s="141" t="s">
        <v>4399</v>
      </c>
      <c r="H71" s="140"/>
      <c r="I71" s="142" t="s">
        <v>4400</v>
      </c>
      <c r="J71" s="140"/>
      <c r="K71" s="141" t="s">
        <v>4401</v>
      </c>
    </row>
    <row r="72">
      <c r="A72" s="138" t="s">
        <v>4402</v>
      </c>
      <c r="B72" s="139" t="s">
        <v>4300</v>
      </c>
      <c r="C72" s="140">
        <v>2.0</v>
      </c>
      <c r="D72" s="141" t="s">
        <v>4322</v>
      </c>
      <c r="E72" s="140">
        <v>10.0</v>
      </c>
      <c r="F72" s="140">
        <v>10.0</v>
      </c>
      <c r="G72" s="141" t="s">
        <v>4403</v>
      </c>
      <c r="H72" s="141" t="s">
        <v>4080</v>
      </c>
      <c r="I72" s="142" t="s">
        <v>4404</v>
      </c>
      <c r="J72" s="140"/>
      <c r="K72" s="141" t="s">
        <v>4236</v>
      </c>
    </row>
    <row r="73">
      <c r="A73" s="138" t="s">
        <v>4405</v>
      </c>
      <c r="B73" s="139" t="s">
        <v>4300</v>
      </c>
      <c r="C73" s="141" t="s">
        <v>4406</v>
      </c>
      <c r="D73" s="141" t="s">
        <v>4289</v>
      </c>
      <c r="E73" s="140">
        <v>6.0</v>
      </c>
      <c r="F73" s="140">
        <v>6.0</v>
      </c>
      <c r="G73" s="141" t="s">
        <v>4407</v>
      </c>
      <c r="H73" s="140"/>
      <c r="I73" s="142" t="s">
        <v>4408</v>
      </c>
      <c r="J73" s="141" t="s">
        <v>4409</v>
      </c>
      <c r="K73" s="141" t="s">
        <v>4410</v>
      </c>
    </row>
    <row r="74">
      <c r="A74" s="138" t="s">
        <v>4411</v>
      </c>
      <c r="B74" s="139" t="s">
        <v>4300</v>
      </c>
      <c r="C74" s="141" t="s">
        <v>4412</v>
      </c>
      <c r="D74" s="141" t="s">
        <v>4322</v>
      </c>
      <c r="E74" s="140">
        <v>10.0</v>
      </c>
      <c r="F74" s="140">
        <v>10.0</v>
      </c>
      <c r="G74" s="141" t="s">
        <v>4413</v>
      </c>
      <c r="H74" s="140"/>
      <c r="I74" s="142" t="s">
        <v>4414</v>
      </c>
      <c r="J74" s="140"/>
      <c r="K74" s="141" t="s">
        <v>4415</v>
      </c>
    </row>
    <row r="75">
      <c r="A75" s="138" t="s">
        <v>4416</v>
      </c>
      <c r="B75" s="139" t="s">
        <v>4300</v>
      </c>
      <c r="C75" s="140">
        <v>9.0</v>
      </c>
      <c r="D75" s="141" t="s">
        <v>4417</v>
      </c>
      <c r="E75" s="140">
        <v>3.0</v>
      </c>
      <c r="F75" s="140">
        <v>3.0</v>
      </c>
      <c r="G75" s="141" t="s">
        <v>4418</v>
      </c>
      <c r="H75" s="140"/>
      <c r="I75" s="142" t="s">
        <v>4419</v>
      </c>
      <c r="J75" s="140"/>
      <c r="K75" s="141" t="s">
        <v>4236</v>
      </c>
    </row>
    <row r="76">
      <c r="A76" s="138" t="s">
        <v>4420</v>
      </c>
      <c r="B76" s="139" t="s">
        <v>4421</v>
      </c>
      <c r="C76" s="141" t="s">
        <v>4422</v>
      </c>
      <c r="D76" s="141" t="s">
        <v>4366</v>
      </c>
      <c r="E76" s="140">
        <v>30.0</v>
      </c>
      <c r="F76" s="140">
        <v>30.0</v>
      </c>
      <c r="G76" s="141" t="s">
        <v>4423</v>
      </c>
      <c r="H76" s="140"/>
      <c r="I76" s="142" t="s">
        <v>4424</v>
      </c>
      <c r="J76" s="141" t="s">
        <v>4425</v>
      </c>
      <c r="K76" s="141" t="s">
        <v>4426</v>
      </c>
    </row>
  </sheetData>
  <hyperlinks>
    <hyperlink r:id="rId2" ref="I2"/>
    <hyperlink r:id="rId3" ref="I3"/>
    <hyperlink r:id="rId4" ref="I4"/>
    <hyperlink r:id="rId5" ref="I5"/>
    <hyperlink r:id="rId6" ref="I6"/>
    <hyperlink r:id="rId7" ref="I7"/>
    <hyperlink r:id="rId8" ref="I8"/>
    <hyperlink r:id="rId9" ref="I9"/>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8"/>
    <hyperlink r:id="rId37" ref="I39"/>
    <hyperlink r:id="rId38" ref="I40"/>
    <hyperlink r:id="rId39" ref="I41"/>
    <hyperlink r:id="rId40" ref="I42"/>
    <hyperlink r:id="rId41" ref="I43"/>
    <hyperlink r:id="rId42" ref="I44"/>
    <hyperlink r:id="rId43" ref="I45"/>
    <hyperlink r:id="rId44" ref="I47"/>
    <hyperlink r:id="rId45" ref="I48"/>
    <hyperlink r:id="rId46" ref="I49"/>
    <hyperlink r:id="rId47" ref="I50"/>
    <hyperlink r:id="rId48" ref="I51"/>
    <hyperlink r:id="rId49" ref="I52"/>
    <hyperlink r:id="rId50" ref="I53"/>
    <hyperlink r:id="rId51" ref="I54"/>
    <hyperlink r:id="rId52" ref="I55"/>
    <hyperlink r:id="rId53" ref="I56"/>
    <hyperlink r:id="rId54" ref="I57"/>
    <hyperlink r:id="rId55" ref="I58"/>
    <hyperlink r:id="rId56" ref="I59"/>
    <hyperlink r:id="rId57" ref="I60"/>
    <hyperlink r:id="rId58" ref="I61"/>
    <hyperlink r:id="rId59" ref="I62"/>
    <hyperlink r:id="rId60" ref="I63"/>
    <hyperlink r:id="rId61" ref="I64"/>
    <hyperlink r:id="rId62" ref="I66"/>
    <hyperlink r:id="rId63" ref="I67"/>
    <hyperlink r:id="rId64" ref="I68"/>
    <hyperlink r:id="rId65" ref="I69"/>
    <hyperlink r:id="rId66" ref="I70"/>
    <hyperlink r:id="rId67" ref="I71"/>
    <hyperlink r:id="rId68" ref="I72"/>
    <hyperlink r:id="rId69" ref="I73"/>
    <hyperlink r:id="rId70" ref="I74"/>
    <hyperlink r:id="rId71" ref="I75"/>
    <hyperlink r:id="rId72" ref="I76"/>
  </hyperlinks>
  <drawing r:id="rId73"/>
  <legacyDrawing r:id="rId7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4.13"/>
  </cols>
  <sheetData>
    <row r="1">
      <c r="A1" s="132" t="s">
        <v>4063</v>
      </c>
      <c r="B1" s="132" t="s">
        <v>4064</v>
      </c>
      <c r="C1" s="132" t="s">
        <v>4065</v>
      </c>
      <c r="D1" s="132" t="s">
        <v>4066</v>
      </c>
      <c r="E1" s="132" t="s">
        <v>4067</v>
      </c>
      <c r="F1" s="132" t="s">
        <v>4068</v>
      </c>
      <c r="G1" s="143" t="s">
        <v>4069</v>
      </c>
      <c r="H1" s="132" t="s">
        <v>4070</v>
      </c>
      <c r="I1" s="143" t="s">
        <v>4071</v>
      </c>
      <c r="J1" s="132" t="s">
        <v>4072</v>
      </c>
      <c r="K1" s="132" t="s">
        <v>4073</v>
      </c>
    </row>
    <row r="2">
      <c r="A2" s="144" t="s">
        <v>4427</v>
      </c>
      <c r="B2" s="145" t="s">
        <v>4075</v>
      </c>
      <c r="C2" s="146">
        <v>1.0</v>
      </c>
      <c r="D2" s="147" t="s">
        <v>4428</v>
      </c>
      <c r="E2" s="146">
        <v>90.0</v>
      </c>
      <c r="F2" s="146">
        <v>540.0</v>
      </c>
      <c r="G2" s="148" t="s">
        <v>4429</v>
      </c>
      <c r="H2" s="149"/>
      <c r="I2" s="150" t="s">
        <v>4430</v>
      </c>
      <c r="J2" s="149"/>
      <c r="K2" s="147" t="s">
        <v>4431</v>
      </c>
    </row>
    <row r="3">
      <c r="A3" s="151" t="s">
        <v>4432</v>
      </c>
      <c r="B3" s="152" t="s">
        <v>4075</v>
      </c>
      <c r="C3" s="153">
        <v>1.0</v>
      </c>
      <c r="D3" s="154" t="s">
        <v>4428</v>
      </c>
      <c r="E3" s="153">
        <v>90.0</v>
      </c>
      <c r="F3" s="153">
        <v>540.0</v>
      </c>
      <c r="G3" s="155" t="s">
        <v>4429</v>
      </c>
      <c r="H3" s="156"/>
      <c r="I3" s="157" t="s">
        <v>4433</v>
      </c>
      <c r="J3" s="156"/>
      <c r="K3" s="154" t="s">
        <v>4431</v>
      </c>
    </row>
    <row r="4">
      <c r="A4" s="151" t="s">
        <v>4434</v>
      </c>
      <c r="B4" s="152" t="s">
        <v>4421</v>
      </c>
      <c r="C4" s="154" t="s">
        <v>4435</v>
      </c>
      <c r="D4" s="154" t="s">
        <v>4189</v>
      </c>
      <c r="E4" s="153">
        <v>30.0</v>
      </c>
      <c r="F4" s="153">
        <v>30.0</v>
      </c>
      <c r="G4" s="158"/>
      <c r="H4" s="156"/>
      <c r="I4" s="157" t="s">
        <v>4436</v>
      </c>
      <c r="J4" s="156"/>
      <c r="K4" s="154" t="s">
        <v>4437</v>
      </c>
    </row>
    <row r="5">
      <c r="A5" s="151" t="s">
        <v>4438</v>
      </c>
      <c r="B5" s="152" t="s">
        <v>4075</v>
      </c>
      <c r="C5" s="154" t="s">
        <v>4439</v>
      </c>
      <c r="D5" s="154" t="s">
        <v>4440</v>
      </c>
      <c r="E5" s="153">
        <v>26.0</v>
      </c>
      <c r="F5" s="153">
        <v>156.0</v>
      </c>
      <c r="G5" s="155" t="s">
        <v>4441</v>
      </c>
      <c r="H5" s="154" t="s">
        <v>4080</v>
      </c>
      <c r="I5" s="157" t="s">
        <v>4442</v>
      </c>
      <c r="J5" s="156"/>
      <c r="K5" s="154" t="s">
        <v>4443</v>
      </c>
    </row>
    <row r="6">
      <c r="A6" s="151" t="s">
        <v>4219</v>
      </c>
      <c r="B6" s="152" t="s">
        <v>4444</v>
      </c>
      <c r="C6" s="154" t="s">
        <v>4445</v>
      </c>
      <c r="D6" s="154" t="s">
        <v>4446</v>
      </c>
      <c r="E6" s="153">
        <v>3.0</v>
      </c>
      <c r="F6" s="153">
        <v>3.0</v>
      </c>
      <c r="G6" s="158"/>
      <c r="H6" s="156"/>
      <c r="I6" s="157" t="s">
        <v>4447</v>
      </c>
      <c r="J6" s="156"/>
      <c r="K6" s="154" t="s">
        <v>4448</v>
      </c>
    </row>
    <row r="7">
      <c r="A7" s="151" t="s">
        <v>4449</v>
      </c>
      <c r="B7" s="152" t="s">
        <v>4444</v>
      </c>
      <c r="C7" s="154" t="s">
        <v>4450</v>
      </c>
      <c r="D7" s="154" t="s">
        <v>4338</v>
      </c>
      <c r="E7" s="153">
        <v>2.0</v>
      </c>
      <c r="F7" s="153">
        <v>2.0</v>
      </c>
      <c r="G7" s="155" t="s">
        <v>4451</v>
      </c>
      <c r="H7" s="156"/>
      <c r="I7" s="157" t="s">
        <v>4452</v>
      </c>
      <c r="J7" s="154" t="s">
        <v>4453</v>
      </c>
      <c r="K7" s="154" t="s">
        <v>4454</v>
      </c>
    </row>
    <row r="8">
      <c r="A8" s="151" t="s">
        <v>4455</v>
      </c>
      <c r="B8" s="152" t="s">
        <v>4300</v>
      </c>
      <c r="C8" s="153">
        <v>2.0</v>
      </c>
      <c r="D8" s="154" t="s">
        <v>4456</v>
      </c>
      <c r="E8" s="153">
        <v>8.0</v>
      </c>
      <c r="F8" s="153">
        <v>8.0</v>
      </c>
      <c r="G8" s="158"/>
      <c r="H8" s="156"/>
      <c r="I8" s="157" t="s">
        <v>4457</v>
      </c>
      <c r="J8" s="156"/>
      <c r="K8" s="154" t="s">
        <v>4431</v>
      </c>
    </row>
    <row r="9">
      <c r="A9" s="151" t="s">
        <v>4458</v>
      </c>
      <c r="B9" s="152" t="s">
        <v>4300</v>
      </c>
      <c r="C9" s="153">
        <v>2.0</v>
      </c>
      <c r="D9" s="154" t="s">
        <v>4459</v>
      </c>
      <c r="E9" s="153">
        <v>8.0</v>
      </c>
      <c r="F9" s="153">
        <v>8.0</v>
      </c>
      <c r="G9" s="158"/>
      <c r="H9" s="156"/>
      <c r="I9" s="157" t="s">
        <v>4460</v>
      </c>
      <c r="J9" s="156"/>
      <c r="K9" s="154" t="s">
        <v>4461</v>
      </c>
    </row>
    <row r="10">
      <c r="A10" s="151" t="s">
        <v>4462</v>
      </c>
      <c r="B10" s="152" t="s">
        <v>4300</v>
      </c>
      <c r="C10" s="154" t="s">
        <v>4463</v>
      </c>
      <c r="D10" s="154" t="s">
        <v>4289</v>
      </c>
      <c r="E10" s="153">
        <v>6.0</v>
      </c>
      <c r="F10" s="153">
        <v>6.0</v>
      </c>
      <c r="G10" s="158"/>
      <c r="H10" s="156"/>
      <c r="I10" s="157" t="s">
        <v>4464</v>
      </c>
      <c r="J10" s="156"/>
      <c r="K10" s="154" t="s">
        <v>4454</v>
      </c>
    </row>
    <row r="11">
      <c r="A11" s="151" t="s">
        <v>4465</v>
      </c>
      <c r="B11" s="152" t="s">
        <v>4444</v>
      </c>
      <c r="C11" s="154" t="s">
        <v>4466</v>
      </c>
      <c r="D11" s="154" t="s">
        <v>4467</v>
      </c>
      <c r="E11" s="154" t="s">
        <v>4468</v>
      </c>
      <c r="F11" s="154" t="s">
        <v>4469</v>
      </c>
      <c r="G11" s="158"/>
      <c r="H11" s="156"/>
      <c r="I11" s="157" t="s">
        <v>4470</v>
      </c>
      <c r="J11" s="156"/>
      <c r="K11" s="154" t="s">
        <v>4431</v>
      </c>
    </row>
    <row r="12">
      <c r="A12" s="151" t="s">
        <v>4471</v>
      </c>
      <c r="B12" s="152" t="s">
        <v>4444</v>
      </c>
      <c r="C12" s="154" t="s">
        <v>4472</v>
      </c>
      <c r="D12" s="154" t="s">
        <v>4473</v>
      </c>
      <c r="E12" s="153">
        <v>20.0</v>
      </c>
      <c r="F12" s="153">
        <v>20.0</v>
      </c>
      <c r="G12" s="155" t="s">
        <v>4474</v>
      </c>
      <c r="H12" s="156"/>
      <c r="I12" s="157" t="s">
        <v>4475</v>
      </c>
      <c r="J12" s="156"/>
      <c r="K12" s="154" t="s">
        <v>4431</v>
      </c>
    </row>
    <row r="13">
      <c r="A13" s="151" t="s">
        <v>4476</v>
      </c>
      <c r="B13" s="152" t="s">
        <v>4075</v>
      </c>
      <c r="C13" s="154" t="s">
        <v>4477</v>
      </c>
      <c r="D13" s="154" t="s">
        <v>4478</v>
      </c>
      <c r="E13" s="153">
        <v>1.0</v>
      </c>
      <c r="F13" s="153">
        <v>2.0</v>
      </c>
      <c r="G13" s="155" t="s">
        <v>4479</v>
      </c>
      <c r="H13" s="156"/>
      <c r="I13" s="157" t="s">
        <v>4480</v>
      </c>
      <c r="J13" s="156"/>
      <c r="K13" s="154" t="s">
        <v>4481</v>
      </c>
    </row>
    <row r="14">
      <c r="A14" s="151" t="s">
        <v>4482</v>
      </c>
      <c r="B14" s="152" t="s">
        <v>4300</v>
      </c>
      <c r="C14" s="154" t="s">
        <v>4483</v>
      </c>
      <c r="D14" s="154" t="s">
        <v>4484</v>
      </c>
      <c r="E14" s="153">
        <v>16.0</v>
      </c>
      <c r="F14" s="153">
        <v>16.0</v>
      </c>
      <c r="G14" s="155" t="s">
        <v>4485</v>
      </c>
      <c r="H14" s="154" t="s">
        <v>4080</v>
      </c>
      <c r="I14" s="157" t="s">
        <v>4486</v>
      </c>
      <c r="J14" s="153">
        <v>8.3</v>
      </c>
      <c r="K14" s="154" t="s">
        <v>4487</v>
      </c>
    </row>
    <row r="15">
      <c r="A15" s="151" t="s">
        <v>4488</v>
      </c>
      <c r="B15" s="152" t="s">
        <v>4300</v>
      </c>
      <c r="C15" s="154" t="s">
        <v>4489</v>
      </c>
      <c r="D15" s="154" t="s">
        <v>4490</v>
      </c>
      <c r="E15" s="153">
        <v>64.0</v>
      </c>
      <c r="F15" s="153">
        <v>64.0</v>
      </c>
      <c r="G15" s="155" t="s">
        <v>4491</v>
      </c>
      <c r="H15" s="156"/>
      <c r="I15" s="157" t="s">
        <v>4492</v>
      </c>
      <c r="J15" s="156"/>
      <c r="K15" s="154" t="s">
        <v>4493</v>
      </c>
    </row>
    <row r="16">
      <c r="A16" s="151" t="s">
        <v>4494</v>
      </c>
      <c r="B16" s="152" t="s">
        <v>4300</v>
      </c>
      <c r="C16" s="154" t="s">
        <v>4495</v>
      </c>
      <c r="D16" s="154" t="s">
        <v>4473</v>
      </c>
      <c r="E16" s="153">
        <v>16.0</v>
      </c>
      <c r="F16" s="153">
        <v>16.0</v>
      </c>
      <c r="G16" s="155" t="s">
        <v>4496</v>
      </c>
      <c r="H16" s="154" t="s">
        <v>4080</v>
      </c>
      <c r="I16" s="157" t="s">
        <v>4497</v>
      </c>
      <c r="J16" s="153">
        <v>8.3</v>
      </c>
      <c r="K16" s="154" t="s">
        <v>4487</v>
      </c>
    </row>
    <row r="17">
      <c r="A17" s="151" t="s">
        <v>4498</v>
      </c>
      <c r="B17" s="152" t="s">
        <v>4300</v>
      </c>
      <c r="C17" s="154" t="s">
        <v>4499</v>
      </c>
      <c r="D17" s="154" t="s">
        <v>4500</v>
      </c>
      <c r="E17" s="153">
        <v>1.0</v>
      </c>
      <c r="F17" s="153">
        <v>1.0</v>
      </c>
      <c r="G17" s="155" t="s">
        <v>4501</v>
      </c>
      <c r="H17" s="156"/>
      <c r="I17" s="157" t="s">
        <v>4502</v>
      </c>
      <c r="J17" s="156"/>
      <c r="K17" s="154" t="s">
        <v>4503</v>
      </c>
    </row>
    <row r="18">
      <c r="A18" s="151" t="s">
        <v>4504</v>
      </c>
      <c r="B18" s="152" t="s">
        <v>4444</v>
      </c>
      <c r="C18" s="154" t="s">
        <v>4505</v>
      </c>
      <c r="D18" s="154" t="s">
        <v>4506</v>
      </c>
      <c r="E18" s="154" t="s">
        <v>4507</v>
      </c>
      <c r="F18" s="154" t="s">
        <v>4508</v>
      </c>
      <c r="G18" s="158"/>
      <c r="H18" s="156"/>
      <c r="I18" s="157" t="s">
        <v>4509</v>
      </c>
      <c r="J18" s="156"/>
      <c r="K18" s="154" t="s">
        <v>4510</v>
      </c>
    </row>
    <row r="19">
      <c r="A19" s="151" t="s">
        <v>4511</v>
      </c>
      <c r="B19" s="152" t="s">
        <v>4300</v>
      </c>
      <c r="C19" s="154" t="s">
        <v>4512</v>
      </c>
      <c r="D19" s="154" t="s">
        <v>4513</v>
      </c>
      <c r="E19" s="153">
        <v>1.0</v>
      </c>
      <c r="F19" s="153">
        <v>6.0</v>
      </c>
      <c r="G19" s="155" t="s">
        <v>4514</v>
      </c>
      <c r="H19" s="156"/>
      <c r="I19" s="157" t="s">
        <v>4515</v>
      </c>
      <c r="J19" s="156"/>
      <c r="K19" s="154" t="s">
        <v>4493</v>
      </c>
    </row>
    <row r="20">
      <c r="A20" s="151" t="s">
        <v>4516</v>
      </c>
      <c r="B20" s="152" t="s">
        <v>4444</v>
      </c>
      <c r="C20" s="154" t="s">
        <v>4517</v>
      </c>
      <c r="D20" s="154" t="s">
        <v>4151</v>
      </c>
      <c r="E20" s="153">
        <v>1.0</v>
      </c>
      <c r="F20" s="153">
        <v>1.0</v>
      </c>
      <c r="G20" s="155" t="s">
        <v>4518</v>
      </c>
      <c r="H20" s="156"/>
      <c r="I20" s="157" t="s">
        <v>4519</v>
      </c>
      <c r="J20" s="156"/>
      <c r="K20" s="154" t="s">
        <v>4520</v>
      </c>
    </row>
    <row r="21">
      <c r="A21" s="151" t="s">
        <v>4232</v>
      </c>
      <c r="B21" s="152" t="s">
        <v>4444</v>
      </c>
      <c r="C21" s="154" t="s">
        <v>4517</v>
      </c>
      <c r="D21" s="154" t="s">
        <v>4233</v>
      </c>
      <c r="E21" s="153">
        <v>1.0</v>
      </c>
      <c r="F21" s="153">
        <v>1.0</v>
      </c>
      <c r="G21" s="155" t="s">
        <v>4521</v>
      </c>
      <c r="H21" s="156"/>
      <c r="I21" s="157" t="s">
        <v>4522</v>
      </c>
      <c r="J21" s="156"/>
      <c r="K21" s="154" t="s">
        <v>4523</v>
      </c>
    </row>
    <row r="22">
      <c r="A22" s="151" t="s">
        <v>4524</v>
      </c>
      <c r="B22" s="152" t="s">
        <v>4444</v>
      </c>
      <c r="C22" s="154" t="s">
        <v>4517</v>
      </c>
      <c r="D22" s="154" t="s">
        <v>4151</v>
      </c>
      <c r="E22" s="153">
        <v>1.0</v>
      </c>
      <c r="F22" s="153">
        <v>1.0</v>
      </c>
      <c r="G22" s="155" t="s">
        <v>4525</v>
      </c>
      <c r="H22" s="156"/>
      <c r="I22" s="158"/>
      <c r="J22" s="156"/>
      <c r="K22" s="154" t="s">
        <v>4526</v>
      </c>
    </row>
    <row r="23">
      <c r="A23" s="151" t="s">
        <v>4275</v>
      </c>
      <c r="B23" s="152" t="s">
        <v>4444</v>
      </c>
      <c r="C23" s="154" t="s">
        <v>4517</v>
      </c>
      <c r="D23" s="154" t="s">
        <v>4233</v>
      </c>
      <c r="E23" s="153">
        <v>1.0</v>
      </c>
      <c r="F23" s="153">
        <v>1.0</v>
      </c>
      <c r="G23" s="155" t="s">
        <v>4527</v>
      </c>
      <c r="H23" s="156"/>
      <c r="I23" s="157" t="s">
        <v>4528</v>
      </c>
      <c r="J23" s="156"/>
      <c r="K23" s="154" t="s">
        <v>4529</v>
      </c>
    </row>
    <row r="24">
      <c r="A24" s="151" t="s">
        <v>4530</v>
      </c>
      <c r="B24" s="152" t="s">
        <v>4300</v>
      </c>
      <c r="C24" s="154" t="s">
        <v>4517</v>
      </c>
      <c r="D24" s="154" t="s">
        <v>4338</v>
      </c>
      <c r="E24" s="153">
        <v>2.0</v>
      </c>
      <c r="F24" s="153">
        <v>2.0</v>
      </c>
      <c r="G24" s="155" t="s">
        <v>4531</v>
      </c>
      <c r="H24" s="156"/>
      <c r="I24" s="157" t="s">
        <v>4532</v>
      </c>
      <c r="J24" s="154" t="s">
        <v>4533</v>
      </c>
      <c r="K24" s="154" t="s">
        <v>4534</v>
      </c>
    </row>
    <row r="25">
      <c r="A25" s="151" t="s">
        <v>4535</v>
      </c>
      <c r="B25" s="152" t="s">
        <v>4300</v>
      </c>
      <c r="C25" s="154" t="s">
        <v>4517</v>
      </c>
      <c r="D25" s="154" t="s">
        <v>4536</v>
      </c>
      <c r="E25" s="153">
        <v>1.0</v>
      </c>
      <c r="F25" s="153">
        <v>1.0</v>
      </c>
      <c r="G25" s="155" t="s">
        <v>4537</v>
      </c>
      <c r="H25" s="156"/>
      <c r="I25" s="157" t="s">
        <v>4538</v>
      </c>
      <c r="J25" s="156"/>
      <c r="K25" s="154" t="s">
        <v>4520</v>
      </c>
    </row>
    <row r="26">
      <c r="A26" s="151" t="s">
        <v>4539</v>
      </c>
      <c r="B26" s="152" t="s">
        <v>4300</v>
      </c>
      <c r="C26" s="154" t="s">
        <v>4517</v>
      </c>
      <c r="D26" s="154" t="s">
        <v>4151</v>
      </c>
      <c r="E26" s="153">
        <v>1.0</v>
      </c>
      <c r="F26" s="153">
        <v>1.0</v>
      </c>
      <c r="G26" s="158"/>
      <c r="H26" s="156"/>
      <c r="I26" s="157" t="s">
        <v>4540</v>
      </c>
      <c r="J26" s="156"/>
      <c r="K26" s="154" t="s">
        <v>4541</v>
      </c>
    </row>
    <row r="27">
      <c r="A27" s="151" t="s">
        <v>4542</v>
      </c>
      <c r="B27" s="152" t="s">
        <v>4300</v>
      </c>
      <c r="C27" s="154" t="s">
        <v>4517</v>
      </c>
      <c r="D27" s="154" t="s">
        <v>4338</v>
      </c>
      <c r="E27" s="153">
        <v>2.0</v>
      </c>
      <c r="F27" s="153">
        <v>2.0</v>
      </c>
      <c r="G27" s="155" t="s">
        <v>4543</v>
      </c>
      <c r="H27" s="156"/>
      <c r="I27" s="157" t="s">
        <v>4544</v>
      </c>
      <c r="J27" s="156"/>
      <c r="K27" s="154" t="s">
        <v>4545</v>
      </c>
    </row>
    <row r="28">
      <c r="A28" s="151" t="s">
        <v>4546</v>
      </c>
      <c r="B28" s="152" t="s">
        <v>4300</v>
      </c>
      <c r="C28" s="154" t="s">
        <v>4517</v>
      </c>
      <c r="D28" s="154" t="s">
        <v>4151</v>
      </c>
      <c r="E28" s="153">
        <v>1.0</v>
      </c>
      <c r="F28" s="153">
        <v>1.0</v>
      </c>
      <c r="G28" s="158"/>
      <c r="H28" s="156"/>
      <c r="I28" s="157" t="s">
        <v>4547</v>
      </c>
      <c r="J28" s="156"/>
      <c r="K28" s="154" t="s">
        <v>4548</v>
      </c>
    </row>
    <row r="29">
      <c r="A29" s="151" t="s">
        <v>4549</v>
      </c>
      <c r="B29" s="152" t="s">
        <v>4075</v>
      </c>
      <c r="C29" s="154" t="s">
        <v>4517</v>
      </c>
      <c r="D29" s="154" t="s">
        <v>4550</v>
      </c>
      <c r="E29" s="153">
        <v>1.0</v>
      </c>
      <c r="F29" s="153">
        <v>6.0</v>
      </c>
      <c r="G29" s="155" t="s">
        <v>4551</v>
      </c>
      <c r="H29" s="156"/>
      <c r="I29" s="157" t="s">
        <v>4552</v>
      </c>
      <c r="J29" s="156"/>
      <c r="K29" s="154" t="s">
        <v>4553</v>
      </c>
    </row>
    <row r="30">
      <c r="A30" s="151" t="s">
        <v>4554</v>
      </c>
      <c r="B30" s="152" t="s">
        <v>4444</v>
      </c>
      <c r="C30" s="153">
        <v>3.0</v>
      </c>
      <c r="D30" s="154" t="s">
        <v>4151</v>
      </c>
      <c r="E30" s="153">
        <v>1.0</v>
      </c>
      <c r="F30" s="153">
        <v>1.0</v>
      </c>
      <c r="G30" s="155" t="s">
        <v>4555</v>
      </c>
      <c r="H30" s="156"/>
      <c r="I30" s="158"/>
      <c r="J30" s="156"/>
      <c r="K30" s="154" t="s">
        <v>4454</v>
      </c>
    </row>
    <row r="31">
      <c r="A31" s="151" t="s">
        <v>4556</v>
      </c>
      <c r="B31" s="152" t="s">
        <v>4444</v>
      </c>
      <c r="C31" s="153">
        <v>3.0</v>
      </c>
      <c r="D31" s="154" t="s">
        <v>4151</v>
      </c>
      <c r="E31" s="153">
        <v>1.0</v>
      </c>
      <c r="F31" s="153">
        <v>1.0</v>
      </c>
      <c r="G31" s="155" t="s">
        <v>4557</v>
      </c>
      <c r="H31" s="156"/>
      <c r="I31" s="157" t="s">
        <v>4558</v>
      </c>
      <c r="J31" s="156"/>
      <c r="K31" s="154" t="s">
        <v>4559</v>
      </c>
    </row>
    <row r="32">
      <c r="A32" s="151" t="s">
        <v>4560</v>
      </c>
      <c r="B32" s="152" t="s">
        <v>4444</v>
      </c>
      <c r="C32" s="153">
        <v>3.0</v>
      </c>
      <c r="D32" s="154" t="s">
        <v>4151</v>
      </c>
      <c r="E32" s="153">
        <v>1.0</v>
      </c>
      <c r="F32" s="153">
        <v>1.0</v>
      </c>
      <c r="G32" s="155" t="s">
        <v>4561</v>
      </c>
      <c r="H32" s="156"/>
      <c r="I32" s="158"/>
      <c r="J32" s="156"/>
      <c r="K32" s="154" t="s">
        <v>4562</v>
      </c>
    </row>
    <row r="33">
      <c r="A33" s="151" t="s">
        <v>4563</v>
      </c>
      <c r="B33" s="152" t="s">
        <v>4444</v>
      </c>
      <c r="C33" s="153">
        <v>3.0</v>
      </c>
      <c r="D33" s="154" t="s">
        <v>4151</v>
      </c>
      <c r="E33" s="153">
        <v>1.0</v>
      </c>
      <c r="F33" s="153">
        <v>1.0</v>
      </c>
      <c r="G33" s="155" t="s">
        <v>4564</v>
      </c>
      <c r="H33" s="156"/>
      <c r="I33" s="158"/>
      <c r="J33" s="156"/>
      <c r="K33" s="154" t="s">
        <v>4565</v>
      </c>
    </row>
    <row r="34">
      <c r="A34" s="151" t="s">
        <v>4566</v>
      </c>
      <c r="B34" s="152" t="s">
        <v>4300</v>
      </c>
      <c r="C34" s="153">
        <v>3.0</v>
      </c>
      <c r="D34" s="154" t="s">
        <v>4151</v>
      </c>
      <c r="E34" s="153">
        <v>1.0</v>
      </c>
      <c r="F34" s="153">
        <v>1.0</v>
      </c>
      <c r="G34" s="158"/>
      <c r="H34" s="156"/>
      <c r="I34" s="157" t="s">
        <v>4567</v>
      </c>
      <c r="J34" s="153">
        <v>8.2</v>
      </c>
      <c r="K34" s="154" t="s">
        <v>4568</v>
      </c>
    </row>
    <row r="35">
      <c r="A35" s="151" t="s">
        <v>4569</v>
      </c>
      <c r="B35" s="152" t="s">
        <v>4300</v>
      </c>
      <c r="C35" s="153">
        <v>3.0</v>
      </c>
      <c r="D35" s="154" t="s">
        <v>4151</v>
      </c>
      <c r="E35" s="153">
        <v>1.0</v>
      </c>
      <c r="F35" s="153">
        <v>1.0</v>
      </c>
      <c r="G35" s="158"/>
      <c r="H35" s="156"/>
      <c r="I35" s="157" t="s">
        <v>4570</v>
      </c>
      <c r="J35" s="153">
        <v>8.2</v>
      </c>
      <c r="K35" s="154" t="s">
        <v>4571</v>
      </c>
    </row>
    <row r="36">
      <c r="A36" s="151" t="s">
        <v>4572</v>
      </c>
      <c r="B36" s="152" t="s">
        <v>4300</v>
      </c>
      <c r="C36" s="153">
        <v>3.0</v>
      </c>
      <c r="D36" s="154" t="s">
        <v>4151</v>
      </c>
      <c r="E36" s="153">
        <v>1.0</v>
      </c>
      <c r="F36" s="153">
        <v>1.0</v>
      </c>
      <c r="G36" s="158"/>
      <c r="H36" s="156"/>
      <c r="I36" s="157" t="s">
        <v>4573</v>
      </c>
      <c r="J36" s="156"/>
      <c r="K36" s="154" t="s">
        <v>4574</v>
      </c>
    </row>
    <row r="37">
      <c r="A37" s="151" t="s">
        <v>4575</v>
      </c>
      <c r="B37" s="152" t="s">
        <v>4300</v>
      </c>
      <c r="C37" s="153">
        <v>3.0</v>
      </c>
      <c r="D37" s="154" t="s">
        <v>4151</v>
      </c>
      <c r="E37" s="153">
        <v>1.0</v>
      </c>
      <c r="F37" s="153">
        <v>1.0</v>
      </c>
      <c r="G37" s="158"/>
      <c r="H37" s="156"/>
      <c r="I37" s="157" t="s">
        <v>4576</v>
      </c>
      <c r="J37" s="153">
        <v>8.2</v>
      </c>
      <c r="K37" s="154" t="s">
        <v>4577</v>
      </c>
    </row>
    <row r="38">
      <c r="A38" s="151" t="s">
        <v>4578</v>
      </c>
      <c r="B38" s="152" t="s">
        <v>4300</v>
      </c>
      <c r="C38" s="153">
        <v>3.0</v>
      </c>
      <c r="D38" s="154" t="s">
        <v>4151</v>
      </c>
      <c r="E38" s="153">
        <v>1.0</v>
      </c>
      <c r="F38" s="153">
        <v>1.0</v>
      </c>
      <c r="G38" s="155" t="s">
        <v>4579</v>
      </c>
      <c r="H38" s="156"/>
      <c r="I38" s="158"/>
      <c r="J38" s="156"/>
      <c r="K38" s="154" t="s">
        <v>4580</v>
      </c>
    </row>
    <row r="39">
      <c r="A39" s="151" t="s">
        <v>4581</v>
      </c>
      <c r="B39" s="152" t="s">
        <v>4075</v>
      </c>
      <c r="C39" s="153">
        <v>3.0</v>
      </c>
      <c r="D39" s="154" t="s">
        <v>4582</v>
      </c>
      <c r="E39" s="153">
        <v>1.0</v>
      </c>
      <c r="F39" s="153">
        <v>1.0</v>
      </c>
      <c r="G39" s="155" t="s">
        <v>4583</v>
      </c>
      <c r="H39" s="156"/>
      <c r="I39" s="157" t="s">
        <v>4584</v>
      </c>
      <c r="J39" s="156"/>
      <c r="K39" s="154" t="s">
        <v>4431</v>
      </c>
    </row>
    <row r="40">
      <c r="A40" s="151" t="s">
        <v>4585</v>
      </c>
      <c r="B40" s="152" t="s">
        <v>4444</v>
      </c>
      <c r="C40" s="154" t="s">
        <v>4586</v>
      </c>
      <c r="D40" s="154" t="s">
        <v>4221</v>
      </c>
      <c r="E40" s="153">
        <v>1.0</v>
      </c>
      <c r="F40" s="153">
        <v>6.0</v>
      </c>
      <c r="G40" s="158"/>
      <c r="H40" s="156"/>
      <c r="I40" s="157" t="s">
        <v>4587</v>
      </c>
      <c r="J40" s="156"/>
      <c r="K40" s="154" t="s">
        <v>4588</v>
      </c>
    </row>
    <row r="41">
      <c r="A41" s="151" t="s">
        <v>4589</v>
      </c>
      <c r="B41" s="152" t="s">
        <v>4444</v>
      </c>
      <c r="C41" s="153">
        <v>4.0</v>
      </c>
      <c r="D41" s="154" t="s">
        <v>4151</v>
      </c>
      <c r="E41" s="153">
        <v>1.0</v>
      </c>
      <c r="F41" s="153">
        <v>1.0</v>
      </c>
      <c r="G41" s="158"/>
      <c r="H41" s="156"/>
      <c r="I41" s="157" t="s">
        <v>4590</v>
      </c>
      <c r="J41" s="156"/>
      <c r="K41" s="154" t="s">
        <v>4591</v>
      </c>
    </row>
    <row r="42">
      <c r="A42" s="151" t="s">
        <v>4115</v>
      </c>
      <c r="B42" s="152" t="s">
        <v>4075</v>
      </c>
      <c r="C42" s="153">
        <v>4.0</v>
      </c>
      <c r="D42" s="154" t="s">
        <v>4592</v>
      </c>
      <c r="E42" s="153">
        <v>27.0</v>
      </c>
      <c r="F42" s="153">
        <v>180.0</v>
      </c>
      <c r="G42" s="155" t="s">
        <v>4593</v>
      </c>
      <c r="H42" s="154" t="s">
        <v>4080</v>
      </c>
      <c r="I42" s="157" t="s">
        <v>4594</v>
      </c>
      <c r="J42" s="156"/>
      <c r="K42" s="154" t="s">
        <v>4595</v>
      </c>
    </row>
    <row r="43">
      <c r="A43" s="151" t="s">
        <v>4596</v>
      </c>
      <c r="B43" s="152" t="s">
        <v>4300</v>
      </c>
      <c r="C43" s="154" t="s">
        <v>4597</v>
      </c>
      <c r="D43" s="154" t="s">
        <v>4473</v>
      </c>
      <c r="E43" s="153">
        <v>12.0</v>
      </c>
      <c r="F43" s="153">
        <v>12.0</v>
      </c>
      <c r="G43" s="155" t="s">
        <v>4598</v>
      </c>
      <c r="H43" s="156"/>
      <c r="I43" s="157" t="s">
        <v>4599</v>
      </c>
      <c r="J43" s="156"/>
      <c r="K43" s="154" t="s">
        <v>4493</v>
      </c>
    </row>
    <row r="44">
      <c r="A44" s="151" t="s">
        <v>4324</v>
      </c>
      <c r="B44" s="152" t="s">
        <v>4300</v>
      </c>
      <c r="C44" s="154" t="s">
        <v>4600</v>
      </c>
      <c r="D44" s="154" t="s">
        <v>4151</v>
      </c>
      <c r="E44" s="153">
        <v>1.0</v>
      </c>
      <c r="F44" s="153">
        <v>1.0</v>
      </c>
      <c r="G44" s="155" t="s">
        <v>4327</v>
      </c>
      <c r="H44" s="156"/>
      <c r="I44" s="157" t="s">
        <v>4601</v>
      </c>
      <c r="J44" s="154" t="s">
        <v>4602</v>
      </c>
      <c r="K44" s="154" t="s">
        <v>4330</v>
      </c>
    </row>
    <row r="45">
      <c r="A45" s="151" t="s">
        <v>4603</v>
      </c>
      <c r="B45" s="152" t="s">
        <v>4300</v>
      </c>
      <c r="C45" s="154" t="s">
        <v>4604</v>
      </c>
      <c r="D45" s="154" t="s">
        <v>4459</v>
      </c>
      <c r="E45" s="153">
        <v>10.0</v>
      </c>
      <c r="F45" s="153">
        <v>10.0</v>
      </c>
      <c r="G45" s="155" t="s">
        <v>4605</v>
      </c>
      <c r="H45" s="156"/>
      <c r="I45" s="157" t="s">
        <v>4606</v>
      </c>
      <c r="J45" s="154" t="s">
        <v>4607</v>
      </c>
      <c r="K45" s="154" t="s">
        <v>4461</v>
      </c>
    </row>
    <row r="46">
      <c r="A46" s="151" t="s">
        <v>4608</v>
      </c>
      <c r="B46" s="152" t="s">
        <v>4075</v>
      </c>
      <c r="C46" s="154" t="s">
        <v>4604</v>
      </c>
      <c r="D46" s="154" t="s">
        <v>4609</v>
      </c>
      <c r="E46" s="153">
        <v>1.0</v>
      </c>
      <c r="F46" s="153">
        <v>2.0</v>
      </c>
      <c r="G46" s="155" t="s">
        <v>4610</v>
      </c>
      <c r="H46" s="156"/>
      <c r="I46" s="157" t="s">
        <v>4611</v>
      </c>
      <c r="J46" s="156"/>
      <c r="K46" s="154" t="s">
        <v>4612</v>
      </c>
    </row>
    <row r="47">
      <c r="A47" s="151" t="s">
        <v>4613</v>
      </c>
      <c r="B47" s="152" t="s">
        <v>4075</v>
      </c>
      <c r="C47" s="154" t="s">
        <v>4604</v>
      </c>
      <c r="D47" s="154" t="s">
        <v>4614</v>
      </c>
      <c r="E47" s="153">
        <v>3.0</v>
      </c>
      <c r="F47" s="153">
        <v>18.0</v>
      </c>
      <c r="G47" s="155" t="s">
        <v>4615</v>
      </c>
      <c r="H47" s="154" t="s">
        <v>4080</v>
      </c>
      <c r="I47" s="157" t="s">
        <v>4616</v>
      </c>
      <c r="J47" s="156"/>
      <c r="K47" s="154" t="s">
        <v>4617</v>
      </c>
    </row>
    <row r="48">
      <c r="A48" s="151" t="s">
        <v>4618</v>
      </c>
      <c r="B48" s="152" t="s">
        <v>4444</v>
      </c>
      <c r="C48" s="153">
        <v>5.0</v>
      </c>
      <c r="D48" s="154" t="s">
        <v>4619</v>
      </c>
      <c r="E48" s="153">
        <v>50.0</v>
      </c>
      <c r="F48" s="153">
        <v>300.0</v>
      </c>
      <c r="G48" s="158"/>
      <c r="H48" s="156"/>
      <c r="I48" s="158"/>
      <c r="J48" s="156"/>
      <c r="K48" s="154" t="s">
        <v>4620</v>
      </c>
    </row>
    <row r="49">
      <c r="A49" s="151" t="s">
        <v>4621</v>
      </c>
      <c r="B49" s="152" t="s">
        <v>4300</v>
      </c>
      <c r="C49" s="153">
        <v>5.0</v>
      </c>
      <c r="D49" s="154" t="s">
        <v>4459</v>
      </c>
      <c r="E49" s="153">
        <v>8.0</v>
      </c>
      <c r="F49" s="153">
        <v>8.0</v>
      </c>
      <c r="G49" s="155" t="s">
        <v>4622</v>
      </c>
      <c r="H49" s="156"/>
      <c r="I49" s="158"/>
      <c r="J49" s="156"/>
      <c r="K49" s="154" t="s">
        <v>4623</v>
      </c>
    </row>
    <row r="50">
      <c r="A50" s="151" t="s">
        <v>4624</v>
      </c>
      <c r="B50" s="152" t="s">
        <v>4444</v>
      </c>
      <c r="C50" s="154" t="s">
        <v>4625</v>
      </c>
      <c r="D50" s="154" t="s">
        <v>4626</v>
      </c>
      <c r="E50" s="153">
        <v>421.0</v>
      </c>
      <c r="F50" s="153">
        <v>2371.0</v>
      </c>
      <c r="G50" s="158"/>
      <c r="H50" s="156"/>
      <c r="I50" s="157" t="s">
        <v>4627</v>
      </c>
      <c r="J50" s="156"/>
      <c r="K50" s="154" t="s">
        <v>4628</v>
      </c>
    </row>
    <row r="51">
      <c r="A51" s="151" t="s">
        <v>4629</v>
      </c>
      <c r="B51" s="152" t="s">
        <v>4300</v>
      </c>
      <c r="C51" s="154" t="s">
        <v>4630</v>
      </c>
      <c r="D51" s="154" t="s">
        <v>4631</v>
      </c>
      <c r="E51" s="154" t="s">
        <v>4632</v>
      </c>
      <c r="F51" s="154" t="s">
        <v>4633</v>
      </c>
      <c r="G51" s="155" t="s">
        <v>4634</v>
      </c>
      <c r="H51" s="156"/>
      <c r="I51" s="157" t="s">
        <v>4635</v>
      </c>
      <c r="J51" s="156"/>
      <c r="K51" s="154" t="s">
        <v>4636</v>
      </c>
    </row>
    <row r="52">
      <c r="A52" s="151" t="s">
        <v>4637</v>
      </c>
      <c r="B52" s="152" t="s">
        <v>4444</v>
      </c>
      <c r="C52" s="154" t="s">
        <v>4638</v>
      </c>
      <c r="D52" s="154" t="s">
        <v>4151</v>
      </c>
      <c r="E52" s="153">
        <v>1.0</v>
      </c>
      <c r="F52" s="153">
        <v>1.0</v>
      </c>
      <c r="G52" s="158"/>
      <c r="H52" s="156"/>
      <c r="I52" s="157" t="s">
        <v>4639</v>
      </c>
      <c r="J52" s="156"/>
      <c r="K52" s="154" t="s">
        <v>4640</v>
      </c>
    </row>
    <row r="53">
      <c r="A53" s="151" t="s">
        <v>4641</v>
      </c>
      <c r="B53" s="152" t="s">
        <v>4300</v>
      </c>
      <c r="C53" s="154" t="s">
        <v>4638</v>
      </c>
      <c r="D53" s="154" t="s">
        <v>4473</v>
      </c>
      <c r="E53" s="153">
        <v>12.0</v>
      </c>
      <c r="F53" s="153">
        <v>12.0</v>
      </c>
      <c r="G53" s="155" t="s">
        <v>4642</v>
      </c>
      <c r="H53" s="156"/>
      <c r="I53" s="157" t="s">
        <v>4643</v>
      </c>
      <c r="J53" s="156"/>
      <c r="K53" s="154" t="s">
        <v>4644</v>
      </c>
    </row>
    <row r="54">
      <c r="A54" s="151" t="s">
        <v>4645</v>
      </c>
      <c r="B54" s="152" t="s">
        <v>4444</v>
      </c>
      <c r="C54" s="154" t="s">
        <v>4646</v>
      </c>
      <c r="D54" s="154" t="s">
        <v>4647</v>
      </c>
      <c r="E54" s="153">
        <v>30.0</v>
      </c>
      <c r="F54" s="153">
        <v>30.0</v>
      </c>
      <c r="G54" s="158"/>
      <c r="H54" s="156"/>
      <c r="I54" s="157" t="s">
        <v>4648</v>
      </c>
      <c r="J54" s="156"/>
      <c r="K54" s="154" t="s">
        <v>4534</v>
      </c>
    </row>
    <row r="55">
      <c r="A55" s="151" t="s">
        <v>4649</v>
      </c>
      <c r="B55" s="152" t="s">
        <v>4075</v>
      </c>
      <c r="C55" s="154" t="s">
        <v>4650</v>
      </c>
      <c r="D55" s="154" t="s">
        <v>4316</v>
      </c>
      <c r="E55" s="153">
        <v>1.0</v>
      </c>
      <c r="F55" s="153">
        <v>1.0</v>
      </c>
      <c r="G55" s="155" t="s">
        <v>4651</v>
      </c>
      <c r="H55" s="156"/>
      <c r="I55" s="157" t="s">
        <v>4652</v>
      </c>
      <c r="J55" s="156"/>
      <c r="K55" s="154" t="s">
        <v>4653</v>
      </c>
    </row>
    <row r="56">
      <c r="A56" s="151" t="s">
        <v>4654</v>
      </c>
      <c r="B56" s="152" t="s">
        <v>4444</v>
      </c>
      <c r="C56" s="154" t="s">
        <v>4655</v>
      </c>
      <c r="D56" s="154" t="s">
        <v>4656</v>
      </c>
      <c r="E56" s="153">
        <v>70.0</v>
      </c>
      <c r="F56" s="153">
        <v>420.0</v>
      </c>
      <c r="G56" s="155" t="s">
        <v>4657</v>
      </c>
      <c r="H56" s="156"/>
      <c r="I56" s="157" t="s">
        <v>4658</v>
      </c>
      <c r="J56" s="156"/>
      <c r="K56" s="154" t="s">
        <v>4659</v>
      </c>
    </row>
    <row r="57">
      <c r="A57" s="151" t="s">
        <v>4660</v>
      </c>
      <c r="B57" s="152" t="s">
        <v>4300</v>
      </c>
      <c r="C57" s="154" t="s">
        <v>4661</v>
      </c>
      <c r="D57" s="154" t="s">
        <v>4338</v>
      </c>
      <c r="E57" s="153">
        <v>2.0</v>
      </c>
      <c r="F57" s="153">
        <v>2.0</v>
      </c>
      <c r="G57" s="158"/>
      <c r="H57" s="156"/>
      <c r="I57" s="157" t="s">
        <v>4662</v>
      </c>
      <c r="J57" s="156"/>
      <c r="K57" s="154" t="s">
        <v>4663</v>
      </c>
    </row>
    <row r="58">
      <c r="A58" s="151" t="s">
        <v>4664</v>
      </c>
      <c r="B58" s="152" t="s">
        <v>4444</v>
      </c>
      <c r="C58" s="154" t="s">
        <v>4665</v>
      </c>
      <c r="D58" s="154" t="s">
        <v>4459</v>
      </c>
      <c r="E58" s="153">
        <v>8.0</v>
      </c>
      <c r="F58" s="153">
        <v>8.0</v>
      </c>
      <c r="G58" s="158"/>
      <c r="H58" s="156"/>
      <c r="I58" s="157" t="s">
        <v>4666</v>
      </c>
      <c r="J58" s="156"/>
      <c r="K58" s="154" t="s">
        <v>4571</v>
      </c>
    </row>
    <row r="59">
      <c r="A59" s="151" t="s">
        <v>4667</v>
      </c>
      <c r="B59" s="152" t="s">
        <v>4444</v>
      </c>
      <c r="C59" s="153">
        <v>8.0</v>
      </c>
      <c r="D59" s="154" t="s">
        <v>4189</v>
      </c>
      <c r="E59" s="153">
        <v>30.0</v>
      </c>
      <c r="F59" s="153">
        <v>180.0</v>
      </c>
      <c r="G59" s="158"/>
      <c r="H59" s="156"/>
      <c r="I59" s="157" t="s">
        <v>4668</v>
      </c>
      <c r="J59" s="154" t="s">
        <v>4669</v>
      </c>
      <c r="K59" s="154" t="s">
        <v>4670</v>
      </c>
    </row>
    <row r="60">
      <c r="A60" s="151" t="s">
        <v>4671</v>
      </c>
      <c r="B60" s="152" t="s">
        <v>4444</v>
      </c>
      <c r="C60" s="153">
        <v>9.0</v>
      </c>
      <c r="D60" s="154" t="s">
        <v>4338</v>
      </c>
      <c r="E60" s="153">
        <v>2.0</v>
      </c>
      <c r="F60" s="153">
        <v>2.0</v>
      </c>
      <c r="G60" s="158"/>
      <c r="H60" s="156"/>
      <c r="I60" s="157" t="s">
        <v>4672</v>
      </c>
      <c r="J60" s="156"/>
      <c r="K60" s="154" t="s">
        <v>4663</v>
      </c>
    </row>
    <row r="61">
      <c r="A61" s="151" t="s">
        <v>4673</v>
      </c>
      <c r="B61" s="152" t="s">
        <v>4300</v>
      </c>
      <c r="C61" s="153">
        <v>9.0</v>
      </c>
      <c r="D61" s="154" t="s">
        <v>4338</v>
      </c>
      <c r="E61" s="153">
        <v>2.0</v>
      </c>
      <c r="F61" s="153">
        <v>2.0</v>
      </c>
      <c r="G61" s="158"/>
      <c r="H61" s="156"/>
      <c r="I61" s="157" t="s">
        <v>4674</v>
      </c>
      <c r="J61" s="156"/>
      <c r="K61" s="154" t="s">
        <v>4675</v>
      </c>
    </row>
    <row r="62">
      <c r="A62" s="151" t="s">
        <v>4676</v>
      </c>
      <c r="B62" s="152" t="s">
        <v>4300</v>
      </c>
      <c r="C62" s="153">
        <v>9.0</v>
      </c>
      <c r="D62" s="154" t="s">
        <v>4338</v>
      </c>
      <c r="E62" s="153">
        <v>2.0</v>
      </c>
      <c r="F62" s="153">
        <v>2.0</v>
      </c>
      <c r="G62" s="155" t="s">
        <v>4677</v>
      </c>
      <c r="H62" s="154" t="s">
        <v>4080</v>
      </c>
      <c r="I62" s="157" t="s">
        <v>4678</v>
      </c>
      <c r="J62" s="156"/>
      <c r="K62" s="154" t="s">
        <v>4679</v>
      </c>
    </row>
    <row r="63">
      <c r="A63" s="151" t="s">
        <v>4680</v>
      </c>
      <c r="B63" s="152" t="s">
        <v>4075</v>
      </c>
      <c r="C63" s="153">
        <v>9.0</v>
      </c>
      <c r="D63" s="154" t="s">
        <v>4681</v>
      </c>
      <c r="E63" s="153">
        <v>2.0</v>
      </c>
      <c r="F63" s="153">
        <v>12.0</v>
      </c>
      <c r="G63" s="158"/>
      <c r="H63" s="156"/>
      <c r="I63" s="157" t="s">
        <v>4682</v>
      </c>
      <c r="J63" s="156"/>
      <c r="K63" s="154" t="s">
        <v>4675</v>
      </c>
    </row>
    <row r="64">
      <c r="A64" s="151" t="s">
        <v>4683</v>
      </c>
      <c r="B64" s="152" t="s">
        <v>4444</v>
      </c>
      <c r="C64" s="153">
        <v>12.0</v>
      </c>
      <c r="D64" s="156"/>
      <c r="E64" s="156"/>
      <c r="F64" s="156"/>
      <c r="G64" s="155" t="s">
        <v>4684</v>
      </c>
      <c r="H64" s="156"/>
      <c r="I64" s="158"/>
      <c r="J64" s="156"/>
      <c r="K64" s="154" t="s">
        <v>4685</v>
      </c>
    </row>
    <row r="65">
      <c r="A65" s="151" t="s">
        <v>4686</v>
      </c>
      <c r="B65" s="152" t="s">
        <v>4444</v>
      </c>
      <c r="C65" s="153">
        <v>12.0</v>
      </c>
      <c r="D65" s="154" t="s">
        <v>4536</v>
      </c>
      <c r="E65" s="153">
        <v>1.0</v>
      </c>
      <c r="F65" s="153">
        <v>1.0</v>
      </c>
      <c r="G65" s="155" t="s">
        <v>4687</v>
      </c>
      <c r="H65" s="156"/>
      <c r="I65" s="157" t="s">
        <v>4688</v>
      </c>
      <c r="J65" s="156"/>
      <c r="K65" s="154" t="s">
        <v>4663</v>
      </c>
    </row>
    <row r="66">
      <c r="A66" s="151" t="s">
        <v>4689</v>
      </c>
      <c r="B66" s="152" t="s">
        <v>4300</v>
      </c>
      <c r="C66" s="153">
        <v>12.0</v>
      </c>
      <c r="D66" s="154" t="s">
        <v>4690</v>
      </c>
      <c r="E66" s="153">
        <v>4.0</v>
      </c>
      <c r="F66" s="153">
        <v>24.0</v>
      </c>
      <c r="G66" s="155" t="s">
        <v>4691</v>
      </c>
      <c r="H66" s="154" t="s">
        <v>4080</v>
      </c>
      <c r="I66" s="157" t="s">
        <v>4692</v>
      </c>
      <c r="J66" s="156"/>
      <c r="K66" s="154" t="s">
        <v>4693</v>
      </c>
    </row>
    <row r="67">
      <c r="A67" s="151" t="s">
        <v>4694</v>
      </c>
      <c r="B67" s="152" t="s">
        <v>4300</v>
      </c>
      <c r="C67" s="153">
        <v>12.0</v>
      </c>
      <c r="D67" s="154" t="s">
        <v>4459</v>
      </c>
      <c r="E67" s="153">
        <v>6.0</v>
      </c>
      <c r="F67" s="153">
        <v>6.0</v>
      </c>
      <c r="G67" s="155" t="s">
        <v>4695</v>
      </c>
      <c r="H67" s="156"/>
      <c r="I67" s="158"/>
      <c r="J67" s="156"/>
      <c r="K67" s="154" t="s">
        <v>4696</v>
      </c>
    </row>
    <row r="68">
      <c r="A68" s="151" t="s">
        <v>4697</v>
      </c>
      <c r="B68" s="152" t="s">
        <v>4075</v>
      </c>
      <c r="C68" s="153">
        <v>12.0</v>
      </c>
      <c r="D68" s="154" t="s">
        <v>4698</v>
      </c>
      <c r="E68" s="153">
        <v>1.0</v>
      </c>
      <c r="F68" s="153">
        <v>2.0</v>
      </c>
      <c r="G68" s="155" t="s">
        <v>4699</v>
      </c>
      <c r="H68" s="156"/>
      <c r="I68" s="157" t="s">
        <v>4700</v>
      </c>
      <c r="J68" s="156"/>
      <c r="K68" s="154" t="s">
        <v>4701</v>
      </c>
    </row>
    <row r="69">
      <c r="A69" s="151" t="s">
        <v>4702</v>
      </c>
      <c r="B69" s="152" t="s">
        <v>4075</v>
      </c>
      <c r="C69" s="153">
        <v>12.0</v>
      </c>
      <c r="D69" s="154" t="s">
        <v>4681</v>
      </c>
      <c r="E69" s="153">
        <v>2.0</v>
      </c>
      <c r="F69" s="153">
        <v>12.0</v>
      </c>
      <c r="G69" s="155" t="s">
        <v>4703</v>
      </c>
      <c r="H69" s="156"/>
      <c r="I69" s="157" t="s">
        <v>4704</v>
      </c>
      <c r="J69" s="156"/>
      <c r="K69" s="154" t="s">
        <v>4705</v>
      </c>
    </row>
    <row r="70">
      <c r="A70" s="151" t="s">
        <v>4706</v>
      </c>
      <c r="B70" s="152" t="s">
        <v>4075</v>
      </c>
      <c r="C70" s="153">
        <v>12.0</v>
      </c>
      <c r="D70" s="154" t="s">
        <v>4707</v>
      </c>
      <c r="E70" s="154" t="s">
        <v>4708</v>
      </c>
      <c r="F70" s="154" t="s">
        <v>4709</v>
      </c>
      <c r="G70" s="155" t="s">
        <v>4710</v>
      </c>
      <c r="H70" s="154" t="s">
        <v>4080</v>
      </c>
      <c r="I70" s="157" t="s">
        <v>4711</v>
      </c>
      <c r="J70" s="156"/>
      <c r="K70" s="154" t="s">
        <v>4712</v>
      </c>
    </row>
    <row r="71">
      <c r="A71" s="151" t="s">
        <v>4713</v>
      </c>
      <c r="B71" s="152" t="s">
        <v>4075</v>
      </c>
      <c r="C71" s="153">
        <v>12.0</v>
      </c>
      <c r="D71" s="154" t="s">
        <v>4707</v>
      </c>
      <c r="E71" s="154" t="s">
        <v>4708</v>
      </c>
      <c r="F71" s="154" t="s">
        <v>4709</v>
      </c>
      <c r="G71" s="155" t="s">
        <v>4714</v>
      </c>
      <c r="H71" s="154" t="s">
        <v>4080</v>
      </c>
      <c r="I71" s="157" t="s">
        <v>4715</v>
      </c>
      <c r="J71" s="156"/>
      <c r="K71" s="154" t="s">
        <v>4712</v>
      </c>
    </row>
    <row r="72">
      <c r="A72" s="151" t="s">
        <v>4716</v>
      </c>
      <c r="B72" s="152" t="s">
        <v>4300</v>
      </c>
      <c r="C72" s="154" t="s">
        <v>4717</v>
      </c>
      <c r="D72" s="154" t="s">
        <v>4473</v>
      </c>
      <c r="E72" s="153">
        <v>16.0</v>
      </c>
      <c r="F72" s="153">
        <v>16.0</v>
      </c>
      <c r="G72" s="158"/>
      <c r="H72" s="156"/>
      <c r="I72" s="157" t="s">
        <v>4718</v>
      </c>
      <c r="J72" s="156"/>
      <c r="K72" s="154" t="s">
        <v>4719</v>
      </c>
    </row>
    <row r="73">
      <c r="A73" s="151" t="s">
        <v>4720</v>
      </c>
      <c r="B73" s="152" t="s">
        <v>4075</v>
      </c>
      <c r="C73" s="154" t="s">
        <v>4717</v>
      </c>
      <c r="D73" s="154" t="s">
        <v>4721</v>
      </c>
      <c r="E73" s="153">
        <v>8.0</v>
      </c>
      <c r="F73" s="153">
        <v>50.0</v>
      </c>
      <c r="G73" s="155" t="s">
        <v>4722</v>
      </c>
      <c r="H73" s="154" t="s">
        <v>4080</v>
      </c>
      <c r="I73" s="157" t="s">
        <v>4723</v>
      </c>
      <c r="J73" s="156"/>
      <c r="K73" s="154" t="s">
        <v>4724</v>
      </c>
    </row>
    <row r="74">
      <c r="A74" s="151" t="s">
        <v>4725</v>
      </c>
      <c r="B74" s="152" t="s">
        <v>4075</v>
      </c>
      <c r="C74" s="153">
        <v>13.0</v>
      </c>
      <c r="D74" s="154" t="s">
        <v>4306</v>
      </c>
      <c r="E74" s="153">
        <v>3.0</v>
      </c>
      <c r="F74" s="153">
        <v>3.0</v>
      </c>
      <c r="G74" s="155" t="s">
        <v>4726</v>
      </c>
      <c r="H74" s="156"/>
      <c r="I74" s="157" t="s">
        <v>4727</v>
      </c>
      <c r="J74" s="156"/>
      <c r="K74" s="154" t="s">
        <v>4728</v>
      </c>
    </row>
    <row r="75">
      <c r="A75" s="151" t="s">
        <v>4729</v>
      </c>
      <c r="B75" s="152" t="s">
        <v>4300</v>
      </c>
      <c r="C75" s="153">
        <v>15.0</v>
      </c>
      <c r="D75" s="154" t="s">
        <v>4730</v>
      </c>
      <c r="E75" s="154" t="s">
        <v>4731</v>
      </c>
      <c r="F75" s="154" t="s">
        <v>4731</v>
      </c>
      <c r="G75" s="155" t="s">
        <v>4732</v>
      </c>
      <c r="H75" s="156"/>
      <c r="I75" s="157" t="s">
        <v>4733</v>
      </c>
      <c r="J75" s="156"/>
      <c r="K75" s="154" t="s">
        <v>4431</v>
      </c>
    </row>
    <row r="76">
      <c r="A76" s="151" t="s">
        <v>4734</v>
      </c>
      <c r="B76" s="152" t="s">
        <v>4735</v>
      </c>
      <c r="C76" s="153">
        <v>16.0</v>
      </c>
      <c r="D76" s="154" t="s">
        <v>4151</v>
      </c>
      <c r="E76" s="153">
        <v>1.0</v>
      </c>
      <c r="F76" s="153">
        <v>1.0</v>
      </c>
      <c r="G76" s="155" t="s">
        <v>4736</v>
      </c>
      <c r="H76" s="154" t="s">
        <v>4080</v>
      </c>
      <c r="I76" s="157" t="s">
        <v>4737</v>
      </c>
      <c r="J76" s="156"/>
      <c r="K76" s="154" t="s">
        <v>4738</v>
      </c>
    </row>
    <row r="77">
      <c r="A77" s="151" t="s">
        <v>4739</v>
      </c>
      <c r="B77" s="152" t="s">
        <v>4735</v>
      </c>
      <c r="C77" s="153">
        <v>16.0</v>
      </c>
      <c r="D77" s="154" t="s">
        <v>4740</v>
      </c>
      <c r="E77" s="153">
        <v>1.0</v>
      </c>
      <c r="F77" s="153">
        <v>1.0</v>
      </c>
      <c r="G77" s="155" t="s">
        <v>4741</v>
      </c>
      <c r="H77" s="156"/>
      <c r="I77" s="157" t="s">
        <v>4742</v>
      </c>
      <c r="J77" s="156"/>
      <c r="K77" s="154" t="s">
        <v>4738</v>
      </c>
    </row>
    <row r="78">
      <c r="A78" s="151" t="s">
        <v>4743</v>
      </c>
      <c r="B78" s="152" t="s">
        <v>4735</v>
      </c>
      <c r="C78" s="153">
        <v>16.0</v>
      </c>
      <c r="D78" s="156"/>
      <c r="E78" s="156"/>
      <c r="F78" s="156"/>
      <c r="G78" s="155" t="s">
        <v>4744</v>
      </c>
      <c r="H78" s="156"/>
      <c r="I78" s="158"/>
      <c r="J78" s="156"/>
      <c r="K78" s="154" t="s">
        <v>4745</v>
      </c>
    </row>
    <row r="79">
      <c r="A79" s="151" t="s">
        <v>4746</v>
      </c>
      <c r="B79" s="152" t="s">
        <v>4735</v>
      </c>
      <c r="C79" s="153">
        <v>16.0</v>
      </c>
      <c r="D79" s="156"/>
      <c r="E79" s="156"/>
      <c r="F79" s="156"/>
      <c r="G79" s="155" t="s">
        <v>4744</v>
      </c>
      <c r="H79" s="156"/>
      <c r="I79" s="158"/>
      <c r="J79" s="156"/>
      <c r="K79" s="154" t="s">
        <v>4745</v>
      </c>
    </row>
    <row r="80">
      <c r="A80" s="151" t="s">
        <v>4747</v>
      </c>
      <c r="B80" s="152" t="s">
        <v>4735</v>
      </c>
      <c r="C80" s="153">
        <v>16.0</v>
      </c>
      <c r="D80" s="156"/>
      <c r="E80" s="156"/>
      <c r="F80" s="156"/>
      <c r="G80" s="155" t="s">
        <v>4744</v>
      </c>
      <c r="H80" s="156"/>
      <c r="I80" s="158"/>
      <c r="J80" s="156"/>
      <c r="K80" s="154" t="s">
        <v>4745</v>
      </c>
    </row>
    <row r="81">
      <c r="A81" s="151" t="s">
        <v>4748</v>
      </c>
      <c r="B81" s="152" t="s">
        <v>4735</v>
      </c>
      <c r="C81" s="153">
        <v>16.0</v>
      </c>
      <c r="D81" s="156"/>
      <c r="E81" s="156"/>
      <c r="F81" s="156"/>
      <c r="G81" s="155" t="s">
        <v>4749</v>
      </c>
      <c r="H81" s="156"/>
      <c r="I81" s="158"/>
      <c r="J81" s="156"/>
      <c r="K81" s="154" t="s">
        <v>4745</v>
      </c>
    </row>
    <row r="82">
      <c r="A82" s="151" t="s">
        <v>4750</v>
      </c>
      <c r="B82" s="152" t="s">
        <v>4735</v>
      </c>
      <c r="C82" s="153">
        <v>16.0</v>
      </c>
      <c r="D82" s="156"/>
      <c r="E82" s="156"/>
      <c r="F82" s="156"/>
      <c r="G82" s="155" t="s">
        <v>4744</v>
      </c>
      <c r="H82" s="156"/>
      <c r="I82" s="158"/>
      <c r="J82" s="156"/>
      <c r="K82" s="154" t="s">
        <v>4745</v>
      </c>
    </row>
    <row r="83">
      <c r="A83" s="151" t="s">
        <v>4246</v>
      </c>
      <c r="B83" s="159"/>
      <c r="C83" s="154" t="s">
        <v>4206</v>
      </c>
      <c r="D83" s="154" t="s">
        <v>4247</v>
      </c>
      <c r="E83" s="153">
        <v>1.0</v>
      </c>
      <c r="F83" s="153">
        <v>2.0</v>
      </c>
      <c r="G83" s="155" t="s">
        <v>4248</v>
      </c>
      <c r="H83" s="156"/>
      <c r="I83" s="157" t="s">
        <v>4751</v>
      </c>
      <c r="J83" s="156"/>
      <c r="K83" s="154" t="s">
        <v>4752</v>
      </c>
    </row>
    <row r="84">
      <c r="A84" s="151" t="s">
        <v>4265</v>
      </c>
      <c r="B84" s="152" t="s">
        <v>4444</v>
      </c>
      <c r="C84" s="154" t="s">
        <v>4206</v>
      </c>
      <c r="D84" s="154" t="s">
        <v>4266</v>
      </c>
      <c r="E84" s="153">
        <v>1.0</v>
      </c>
      <c r="F84" s="153">
        <v>1.0</v>
      </c>
      <c r="G84" s="158"/>
      <c r="H84" s="156"/>
      <c r="I84" s="157" t="s">
        <v>4753</v>
      </c>
      <c r="J84" s="154" t="s">
        <v>4754</v>
      </c>
      <c r="K84" s="154" t="s">
        <v>4755</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3"/>
    <hyperlink r:id="rId22" ref="I24"/>
    <hyperlink r:id="rId23" ref="I25"/>
    <hyperlink r:id="rId24" ref="I26"/>
    <hyperlink r:id="rId25" ref="I27"/>
    <hyperlink r:id="rId26" ref="I28"/>
    <hyperlink r:id="rId27" ref="I29"/>
    <hyperlink r:id="rId28" ref="I31"/>
    <hyperlink r:id="rId29" ref="I34"/>
    <hyperlink r:id="rId30" ref="I35"/>
    <hyperlink r:id="rId31" ref="I36"/>
    <hyperlink r:id="rId32" ref="I37"/>
    <hyperlink r:id="rId33" ref="I39"/>
    <hyperlink r:id="rId34" ref="I40"/>
    <hyperlink r:id="rId35" ref="I41"/>
    <hyperlink r:id="rId36" ref="I42"/>
    <hyperlink r:id="rId37" ref="I43"/>
    <hyperlink r:id="rId38" ref="I44"/>
    <hyperlink r:id="rId39" ref="I45"/>
    <hyperlink r:id="rId40" ref="I46"/>
    <hyperlink r:id="rId41" ref="I47"/>
    <hyperlink r:id="rId42" ref="I50"/>
    <hyperlink r:id="rId43" ref="I51"/>
    <hyperlink r:id="rId44" ref="I52"/>
    <hyperlink r:id="rId45" ref="I53"/>
    <hyperlink r:id="rId46" ref="I54"/>
    <hyperlink r:id="rId47" ref="I55"/>
    <hyperlink r:id="rId48" ref="I56"/>
    <hyperlink r:id="rId49" ref="I57"/>
    <hyperlink r:id="rId50" ref="I58"/>
    <hyperlink r:id="rId51" ref="I59"/>
    <hyperlink r:id="rId52" ref="I60"/>
    <hyperlink r:id="rId53" ref="I61"/>
    <hyperlink r:id="rId54" ref="I62"/>
    <hyperlink r:id="rId55" ref="I63"/>
    <hyperlink r:id="rId56" ref="I65"/>
    <hyperlink r:id="rId57" ref="I66"/>
    <hyperlink r:id="rId58" ref="I68"/>
    <hyperlink r:id="rId59" ref="I69"/>
    <hyperlink r:id="rId60" ref="I70"/>
    <hyperlink r:id="rId61" ref="I71"/>
    <hyperlink r:id="rId62" ref="I72"/>
    <hyperlink r:id="rId63" ref="I73"/>
    <hyperlink r:id="rId64" ref="I74"/>
    <hyperlink r:id="rId65" ref="I75"/>
    <hyperlink r:id="rId66" ref="I76"/>
    <hyperlink r:id="rId67" ref="I77"/>
    <hyperlink r:id="rId68" ref="I83"/>
    <hyperlink r:id="rId69" ref="I84"/>
  </hyperlinks>
  <drawing r:id="rId7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75"/>
    <col customWidth="1" min="2" max="2" width="13.75"/>
    <col customWidth="1" min="4" max="4" width="12.75"/>
    <col customWidth="1" min="6" max="6" width="12.75"/>
    <col customWidth="1" min="8" max="8" width="12.75"/>
    <col customWidth="1" min="10" max="12" width="12.75"/>
  </cols>
  <sheetData>
    <row r="1" ht="22.5" customHeight="1">
      <c r="A1" s="27" t="s">
        <v>2788</v>
      </c>
      <c r="B1" s="27" t="s">
        <v>2789</v>
      </c>
      <c r="C1" s="27" t="s">
        <v>2790</v>
      </c>
      <c r="D1" s="27" t="s">
        <v>2791</v>
      </c>
      <c r="E1" s="27" t="s">
        <v>2792</v>
      </c>
      <c r="F1" s="27" t="s">
        <v>2793</v>
      </c>
      <c r="G1" s="27" t="s">
        <v>2794</v>
      </c>
      <c r="H1" s="27" t="s">
        <v>2795</v>
      </c>
      <c r="I1" s="27" t="s">
        <v>2796</v>
      </c>
      <c r="J1" s="27" t="s">
        <v>2797</v>
      </c>
      <c r="K1" s="27" t="s">
        <v>2798</v>
      </c>
      <c r="L1" s="27" t="s">
        <v>2809</v>
      </c>
    </row>
    <row r="2" ht="22.5" customHeight="1">
      <c r="A2" s="32" t="s">
        <v>4756</v>
      </c>
      <c r="B2" s="32" t="s">
        <v>4757</v>
      </c>
      <c r="C2" s="32" t="s">
        <v>4758</v>
      </c>
      <c r="D2" s="32" t="s">
        <v>4759</v>
      </c>
      <c r="E2" s="32" t="s">
        <v>4760</v>
      </c>
      <c r="F2" s="32" t="s">
        <v>4761</v>
      </c>
      <c r="G2" s="32" t="s">
        <v>4762</v>
      </c>
      <c r="H2" s="32" t="s">
        <v>4763</v>
      </c>
      <c r="I2" s="32" t="s">
        <v>4764</v>
      </c>
      <c r="J2" s="32" t="s">
        <v>4765</v>
      </c>
      <c r="K2" s="32" t="s">
        <v>4766</v>
      </c>
      <c r="L2" s="32" t="s">
        <v>4767</v>
      </c>
    </row>
    <row r="3" ht="22.5" customHeight="1">
      <c r="A3" s="160" t="s">
        <v>2832</v>
      </c>
      <c r="B3" s="161">
        <v>3.0</v>
      </c>
      <c r="C3" s="161" t="s">
        <v>2833</v>
      </c>
      <c r="D3" s="161" t="s">
        <v>2834</v>
      </c>
      <c r="E3" s="161" t="s">
        <v>2835</v>
      </c>
      <c r="F3" s="161" t="s">
        <v>2836</v>
      </c>
      <c r="G3" s="162">
        <v>45903.0</v>
      </c>
      <c r="H3" s="161" t="s">
        <v>2838</v>
      </c>
      <c r="I3" s="161" t="s">
        <v>2839</v>
      </c>
      <c r="J3" s="161" t="s">
        <v>2840</v>
      </c>
      <c r="K3" s="161" t="s">
        <v>2841</v>
      </c>
      <c r="L3" s="161" t="s">
        <v>4768</v>
      </c>
    </row>
    <row r="4" ht="22.5" customHeight="1">
      <c r="A4" s="160" t="s">
        <v>2850</v>
      </c>
      <c r="B4" s="161">
        <v>2.0</v>
      </c>
      <c r="C4" s="161" t="s">
        <v>2851</v>
      </c>
      <c r="D4" s="161" t="s">
        <v>2852</v>
      </c>
      <c r="E4" s="161" t="s">
        <v>2835</v>
      </c>
      <c r="F4" s="161" t="s">
        <v>2836</v>
      </c>
      <c r="G4" s="162">
        <v>45902.0</v>
      </c>
      <c r="H4" s="161" t="s">
        <v>2854</v>
      </c>
      <c r="I4" s="161" t="s">
        <v>2855</v>
      </c>
      <c r="J4" s="161" t="s">
        <v>2856</v>
      </c>
      <c r="K4" s="161" t="s">
        <v>2857</v>
      </c>
      <c r="L4" s="161" t="s">
        <v>4769</v>
      </c>
    </row>
    <row r="5" ht="22.5" customHeight="1">
      <c r="A5" s="160" t="s">
        <v>2867</v>
      </c>
      <c r="B5" s="161">
        <v>2.0</v>
      </c>
      <c r="C5" s="161" t="s">
        <v>2868</v>
      </c>
      <c r="D5" s="161" t="s">
        <v>2869</v>
      </c>
      <c r="E5" s="161" t="s">
        <v>2835</v>
      </c>
      <c r="F5" s="161" t="s">
        <v>2836</v>
      </c>
      <c r="G5" s="162">
        <v>45907.0</v>
      </c>
      <c r="H5" s="161" t="s">
        <v>2871</v>
      </c>
      <c r="I5" s="161" t="s">
        <v>2855</v>
      </c>
      <c r="J5" s="161" t="s">
        <v>2856</v>
      </c>
      <c r="K5" s="161" t="s">
        <v>2872</v>
      </c>
      <c r="L5" s="161" t="s">
        <v>4770</v>
      </c>
    </row>
    <row r="6" ht="22.5" customHeight="1">
      <c r="A6" s="160" t="s">
        <v>2881</v>
      </c>
      <c r="B6" s="161">
        <v>2.0</v>
      </c>
      <c r="C6" s="161" t="s">
        <v>2882</v>
      </c>
      <c r="D6" s="161" t="s">
        <v>2883</v>
      </c>
      <c r="E6" s="161" t="s">
        <v>2884</v>
      </c>
      <c r="F6" s="161" t="s">
        <v>2885</v>
      </c>
      <c r="G6" s="162">
        <v>45907.0</v>
      </c>
      <c r="H6" s="161" t="s">
        <v>2871</v>
      </c>
      <c r="I6" s="161" t="s">
        <v>2888</v>
      </c>
      <c r="J6" s="161" t="s">
        <v>2889</v>
      </c>
      <c r="K6" s="161" t="s">
        <v>2890</v>
      </c>
      <c r="L6" s="161" t="s">
        <v>4771</v>
      </c>
    </row>
    <row r="7" ht="22.5" customHeight="1">
      <c r="A7" s="160" t="s">
        <v>2898</v>
      </c>
      <c r="B7" s="161">
        <v>2.0</v>
      </c>
      <c r="C7" s="161" t="s">
        <v>2899</v>
      </c>
      <c r="D7" s="161" t="s">
        <v>2900</v>
      </c>
      <c r="E7" s="161" t="s">
        <v>2884</v>
      </c>
      <c r="F7" s="161" t="s">
        <v>2885</v>
      </c>
      <c r="G7" s="162">
        <v>45906.0</v>
      </c>
      <c r="H7" s="161" t="s">
        <v>2887</v>
      </c>
      <c r="I7" s="161" t="s">
        <v>2888</v>
      </c>
      <c r="J7" s="161" t="s">
        <v>2889</v>
      </c>
      <c r="K7" s="161" t="s">
        <v>2901</v>
      </c>
      <c r="L7" s="161" t="s">
        <v>4772</v>
      </c>
    </row>
    <row r="8" ht="22.5" customHeight="1">
      <c r="A8" s="160" t="s">
        <v>2910</v>
      </c>
      <c r="B8" s="161">
        <v>2.0</v>
      </c>
      <c r="C8" s="161" t="s">
        <v>2911</v>
      </c>
      <c r="D8" s="161" t="s">
        <v>2912</v>
      </c>
      <c r="E8" s="161" t="s">
        <v>2913</v>
      </c>
      <c r="F8" s="161" t="s">
        <v>2914</v>
      </c>
      <c r="G8" s="162">
        <v>45906.0</v>
      </c>
      <c r="H8" s="161" t="s">
        <v>2887</v>
      </c>
      <c r="I8" s="161" t="s">
        <v>2915</v>
      </c>
      <c r="J8" s="161" t="s">
        <v>2916</v>
      </c>
      <c r="K8" s="161" t="s">
        <v>2917</v>
      </c>
      <c r="L8" s="161" t="s">
        <v>4773</v>
      </c>
    </row>
    <row r="9" ht="22.5" customHeight="1">
      <c r="A9" s="160" t="s">
        <v>2926</v>
      </c>
      <c r="B9" s="161">
        <v>2.0</v>
      </c>
      <c r="C9" s="161" t="s">
        <v>2927</v>
      </c>
      <c r="D9" s="161" t="s">
        <v>2928</v>
      </c>
      <c r="E9" s="161" t="s">
        <v>2913</v>
      </c>
      <c r="F9" s="161" t="s">
        <v>2914</v>
      </c>
      <c r="G9" s="162">
        <v>45902.0</v>
      </c>
      <c r="H9" s="161" t="s">
        <v>2854</v>
      </c>
      <c r="I9" s="161" t="s">
        <v>2915</v>
      </c>
      <c r="J9" s="161" t="s">
        <v>2916</v>
      </c>
      <c r="K9" s="161" t="s">
        <v>2929</v>
      </c>
      <c r="L9" s="161" t="s">
        <v>4774</v>
      </c>
    </row>
    <row r="10" ht="22.5" customHeight="1">
      <c r="A10" s="160" t="s">
        <v>2937</v>
      </c>
      <c r="B10" s="161">
        <v>2.0</v>
      </c>
      <c r="C10" s="161" t="s">
        <v>2938</v>
      </c>
      <c r="D10" s="161" t="s">
        <v>2939</v>
      </c>
      <c r="E10" s="161" t="s">
        <v>2940</v>
      </c>
      <c r="F10" s="161" t="s">
        <v>2941</v>
      </c>
      <c r="G10" s="162">
        <v>45908.0</v>
      </c>
      <c r="H10" s="161" t="s">
        <v>2943</v>
      </c>
      <c r="I10" s="161" t="s">
        <v>2888</v>
      </c>
      <c r="J10" s="161" t="s">
        <v>2889</v>
      </c>
      <c r="K10" s="161" t="s">
        <v>2944</v>
      </c>
      <c r="L10" s="161" t="s">
        <v>4775</v>
      </c>
    </row>
    <row r="11" ht="22.5" customHeight="1">
      <c r="A11" s="160" t="s">
        <v>2953</v>
      </c>
      <c r="B11" s="161">
        <v>2.0</v>
      </c>
      <c r="C11" s="161" t="s">
        <v>2954</v>
      </c>
      <c r="D11" s="161" t="s">
        <v>2955</v>
      </c>
      <c r="E11" s="161" t="s">
        <v>2956</v>
      </c>
      <c r="F11" s="161" t="s">
        <v>2957</v>
      </c>
      <c r="G11" s="162">
        <v>45904.0</v>
      </c>
      <c r="H11" s="161" t="s">
        <v>2959</v>
      </c>
      <c r="I11" s="161" t="s">
        <v>3000</v>
      </c>
      <c r="J11" s="161" t="s">
        <v>2889</v>
      </c>
      <c r="K11" s="161" t="s">
        <v>2960</v>
      </c>
      <c r="L11" s="161" t="s">
        <v>4776</v>
      </c>
    </row>
    <row r="12" ht="22.5" customHeight="1">
      <c r="A12" s="160" t="s">
        <v>2969</v>
      </c>
      <c r="B12" s="161">
        <v>2.0</v>
      </c>
      <c r="C12" s="161" t="s">
        <v>2970</v>
      </c>
      <c r="D12" s="161" t="s">
        <v>2971</v>
      </c>
      <c r="E12" s="161" t="s">
        <v>2956</v>
      </c>
      <c r="F12" s="161" t="s">
        <v>2957</v>
      </c>
      <c r="G12" s="162">
        <v>45906.0</v>
      </c>
      <c r="H12" s="161" t="s">
        <v>2887</v>
      </c>
      <c r="I12" s="161" t="s">
        <v>2972</v>
      </c>
      <c r="J12" s="161" t="s">
        <v>2973</v>
      </c>
      <c r="K12" s="161" t="s">
        <v>2974</v>
      </c>
      <c r="L12" s="161" t="s">
        <v>4777</v>
      </c>
    </row>
    <row r="13" ht="22.5" customHeight="1">
      <c r="A13" s="160" t="s">
        <v>2982</v>
      </c>
      <c r="B13" s="161">
        <v>2.0</v>
      </c>
      <c r="C13" s="161" t="s">
        <v>2983</v>
      </c>
      <c r="D13" s="161" t="s">
        <v>2984</v>
      </c>
      <c r="E13" s="161" t="s">
        <v>2985</v>
      </c>
      <c r="F13" s="161" t="s">
        <v>2986</v>
      </c>
      <c r="G13" s="162">
        <v>45902.0</v>
      </c>
      <c r="H13" s="161" t="s">
        <v>2854</v>
      </c>
      <c r="I13" s="161" t="s">
        <v>2915</v>
      </c>
      <c r="J13" s="161" t="s">
        <v>2916</v>
      </c>
      <c r="K13" s="161" t="s">
        <v>2987</v>
      </c>
      <c r="L13" s="161" t="s">
        <v>4778</v>
      </c>
    </row>
    <row r="14" ht="22.5" customHeight="1">
      <c r="A14" s="160" t="s">
        <v>2995</v>
      </c>
      <c r="B14" s="161">
        <v>2.0</v>
      </c>
      <c r="C14" s="161" t="s">
        <v>2996</v>
      </c>
      <c r="D14" s="161" t="s">
        <v>2997</v>
      </c>
      <c r="E14" s="161" t="s">
        <v>2998</v>
      </c>
      <c r="F14" s="161" t="s">
        <v>2999</v>
      </c>
      <c r="G14" s="162">
        <v>45907.0</v>
      </c>
      <c r="H14" s="161" t="s">
        <v>2871</v>
      </c>
      <c r="I14" s="161" t="s">
        <v>2839</v>
      </c>
      <c r="J14" s="161" t="s">
        <v>3001</v>
      </c>
      <c r="K14" s="161" t="s">
        <v>3002</v>
      </c>
      <c r="L14" s="161" t="s">
        <v>4779</v>
      </c>
    </row>
    <row r="15" ht="22.5" customHeight="1">
      <c r="A15" s="160" t="s">
        <v>3010</v>
      </c>
      <c r="B15" s="161">
        <v>3.0</v>
      </c>
      <c r="C15" s="161" t="s">
        <v>3011</v>
      </c>
      <c r="D15" s="161" t="s">
        <v>3012</v>
      </c>
      <c r="E15" s="161" t="s">
        <v>2998</v>
      </c>
      <c r="F15" s="161" t="s">
        <v>2999</v>
      </c>
      <c r="G15" s="162">
        <v>45907.0</v>
      </c>
      <c r="H15" s="161" t="s">
        <v>2871</v>
      </c>
      <c r="I15" s="161" t="s">
        <v>2839</v>
      </c>
      <c r="J15" s="161" t="s">
        <v>3001</v>
      </c>
      <c r="K15" s="161" t="s">
        <v>3013</v>
      </c>
      <c r="L15" s="161" t="s">
        <v>4780</v>
      </c>
    </row>
    <row r="16" ht="22.5" customHeight="1">
      <c r="A16" s="160" t="s">
        <v>3021</v>
      </c>
      <c r="B16" s="161">
        <v>2.0</v>
      </c>
      <c r="C16" s="161" t="s">
        <v>3022</v>
      </c>
      <c r="D16" s="161" t="s">
        <v>3023</v>
      </c>
      <c r="E16" s="161" t="s">
        <v>3024</v>
      </c>
      <c r="F16" s="161" t="s">
        <v>3025</v>
      </c>
      <c r="G16" s="162">
        <v>45902.0</v>
      </c>
      <c r="H16" s="161" t="s">
        <v>2854</v>
      </c>
      <c r="I16" s="161" t="s">
        <v>2855</v>
      </c>
      <c r="J16" s="161" t="s">
        <v>2836</v>
      </c>
      <c r="K16" s="161" t="s">
        <v>3027</v>
      </c>
      <c r="L16" s="161" t="s">
        <v>4781</v>
      </c>
    </row>
    <row r="17" ht="22.5" customHeight="1">
      <c r="A17" s="160" t="s">
        <v>3036</v>
      </c>
      <c r="B17" s="161">
        <v>2.0</v>
      </c>
      <c r="C17" s="161" t="s">
        <v>3037</v>
      </c>
      <c r="D17" s="161" t="s">
        <v>3038</v>
      </c>
      <c r="E17" s="161" t="s">
        <v>3039</v>
      </c>
      <c r="F17" s="161" t="s">
        <v>3040</v>
      </c>
      <c r="G17" s="162">
        <v>45902.0</v>
      </c>
      <c r="H17" s="161" t="s">
        <v>2854</v>
      </c>
      <c r="I17" s="161" t="s">
        <v>2888</v>
      </c>
      <c r="J17" s="161" t="s">
        <v>2889</v>
      </c>
      <c r="K17" s="161" t="s">
        <v>3041</v>
      </c>
      <c r="L17" s="161" t="s">
        <v>4782</v>
      </c>
    </row>
    <row r="18" ht="22.5" customHeight="1">
      <c r="A18" s="160" t="s">
        <v>3049</v>
      </c>
      <c r="B18" s="161">
        <v>2.0</v>
      </c>
      <c r="C18" s="161" t="s">
        <v>3050</v>
      </c>
      <c r="D18" s="161" t="s">
        <v>3051</v>
      </c>
      <c r="E18" s="161" t="s">
        <v>3052</v>
      </c>
      <c r="F18" s="161" t="s">
        <v>3053</v>
      </c>
      <c r="G18" s="162">
        <v>45904.0</v>
      </c>
      <c r="H18" s="161" t="s">
        <v>2959</v>
      </c>
      <c r="I18" s="161" t="s">
        <v>2972</v>
      </c>
      <c r="J18" s="161" t="s">
        <v>2973</v>
      </c>
      <c r="K18" s="161" t="s">
        <v>3054</v>
      </c>
      <c r="L18" s="161" t="s">
        <v>4783</v>
      </c>
    </row>
    <row r="19" ht="22.5" customHeight="1">
      <c r="A19" s="160" t="s">
        <v>3062</v>
      </c>
      <c r="B19" s="161">
        <v>2.0</v>
      </c>
      <c r="C19" s="161" t="s">
        <v>3063</v>
      </c>
      <c r="D19" s="161" t="s">
        <v>3064</v>
      </c>
      <c r="E19" s="161" t="s">
        <v>3052</v>
      </c>
      <c r="F19" s="161" t="s">
        <v>3053</v>
      </c>
      <c r="G19" s="162">
        <v>45906.0</v>
      </c>
      <c r="H19" s="161" t="s">
        <v>2887</v>
      </c>
      <c r="I19" s="161" t="s">
        <v>2972</v>
      </c>
      <c r="J19" s="161" t="s">
        <v>2973</v>
      </c>
      <c r="K19" s="161" t="s">
        <v>3065</v>
      </c>
      <c r="L19" s="161" t="s">
        <v>4784</v>
      </c>
    </row>
    <row r="20" ht="22.5" customHeight="1">
      <c r="A20" s="160" t="s">
        <v>3073</v>
      </c>
      <c r="B20" s="161">
        <v>2.0</v>
      </c>
      <c r="C20" s="161" t="s">
        <v>3074</v>
      </c>
      <c r="D20" s="161" t="s">
        <v>3075</v>
      </c>
      <c r="E20" s="161" t="s">
        <v>3052</v>
      </c>
      <c r="F20" s="161" t="s">
        <v>3053</v>
      </c>
      <c r="G20" s="162">
        <v>45904.0</v>
      </c>
      <c r="H20" s="161" t="s">
        <v>2959</v>
      </c>
      <c r="I20" s="161" t="s">
        <v>2972</v>
      </c>
      <c r="J20" s="161" t="s">
        <v>2973</v>
      </c>
      <c r="K20" s="161" t="s">
        <v>3076</v>
      </c>
      <c r="L20" s="161" t="s">
        <v>4785</v>
      </c>
    </row>
    <row r="21" ht="22.5" customHeight="1">
      <c r="A21" s="160" t="s">
        <v>3084</v>
      </c>
      <c r="B21" s="161">
        <v>2.0</v>
      </c>
      <c r="C21" s="161" t="s">
        <v>3085</v>
      </c>
      <c r="D21" s="161" t="s">
        <v>3086</v>
      </c>
      <c r="E21" s="161" t="s">
        <v>3087</v>
      </c>
      <c r="F21" s="161" t="s">
        <v>3088</v>
      </c>
      <c r="G21" s="162">
        <v>45906.0</v>
      </c>
      <c r="H21" s="161" t="s">
        <v>2887</v>
      </c>
      <c r="I21" s="161" t="s">
        <v>2888</v>
      </c>
      <c r="J21" s="161" t="s">
        <v>2889</v>
      </c>
      <c r="K21" s="161" t="s">
        <v>3089</v>
      </c>
      <c r="L21" s="161" t="s">
        <v>4786</v>
      </c>
    </row>
    <row r="22" ht="22.5" customHeight="1">
      <c r="A22" s="160" t="s">
        <v>3097</v>
      </c>
      <c r="B22" s="161">
        <v>2.0</v>
      </c>
      <c r="C22" s="161" t="s">
        <v>3098</v>
      </c>
      <c r="D22" s="161" t="s">
        <v>3099</v>
      </c>
      <c r="E22" s="161" t="s">
        <v>3087</v>
      </c>
      <c r="F22" s="161" t="s">
        <v>3088</v>
      </c>
      <c r="G22" s="162">
        <v>45908.0</v>
      </c>
      <c r="H22" s="161" t="s">
        <v>2943</v>
      </c>
      <c r="I22" s="161" t="s">
        <v>2888</v>
      </c>
      <c r="J22" s="161" t="s">
        <v>2889</v>
      </c>
      <c r="K22" s="161" t="s">
        <v>3100</v>
      </c>
      <c r="L22" s="161" t="s">
        <v>4787</v>
      </c>
    </row>
    <row r="23" ht="22.5" customHeight="1">
      <c r="A23" s="160" t="s">
        <v>3108</v>
      </c>
      <c r="B23" s="161">
        <v>3.0</v>
      </c>
      <c r="C23" s="161" t="s">
        <v>3109</v>
      </c>
      <c r="D23" s="161" t="s">
        <v>3110</v>
      </c>
      <c r="E23" s="161" t="s">
        <v>3111</v>
      </c>
      <c r="F23" s="161" t="s">
        <v>3112</v>
      </c>
      <c r="G23" s="162">
        <v>45905.0</v>
      </c>
      <c r="H23" s="161" t="s">
        <v>3114</v>
      </c>
      <c r="I23" s="161" t="s">
        <v>2888</v>
      </c>
      <c r="J23" s="161" t="s">
        <v>2889</v>
      </c>
      <c r="K23" s="161" t="s">
        <v>3115</v>
      </c>
      <c r="L23" s="161" t="s">
        <v>4788</v>
      </c>
    </row>
    <row r="24" ht="22.5" customHeight="1">
      <c r="A24" s="160" t="s">
        <v>3123</v>
      </c>
      <c r="B24" s="161">
        <v>2.0</v>
      </c>
      <c r="C24" s="161" t="s">
        <v>3124</v>
      </c>
      <c r="D24" s="161" t="s">
        <v>3125</v>
      </c>
      <c r="E24" s="161" t="s">
        <v>3126</v>
      </c>
      <c r="F24" s="161" t="s">
        <v>3127</v>
      </c>
      <c r="G24" s="162">
        <v>45902.0</v>
      </c>
      <c r="H24" s="161" t="s">
        <v>2854</v>
      </c>
      <c r="I24" s="161" t="s">
        <v>2972</v>
      </c>
      <c r="J24" s="161" t="s">
        <v>2973</v>
      </c>
      <c r="K24" s="161" t="s">
        <v>3128</v>
      </c>
      <c r="L24" s="161" t="s">
        <v>4789</v>
      </c>
    </row>
    <row r="25" ht="22.5" customHeight="1">
      <c r="A25" s="160" t="s">
        <v>3138</v>
      </c>
      <c r="B25" s="161">
        <v>2.0</v>
      </c>
      <c r="C25" s="161" t="s">
        <v>3139</v>
      </c>
      <c r="D25" s="161" t="s">
        <v>3140</v>
      </c>
      <c r="E25" s="161" t="s">
        <v>3141</v>
      </c>
      <c r="F25" s="161" t="s">
        <v>3142</v>
      </c>
      <c r="G25" s="162">
        <v>45902.0</v>
      </c>
      <c r="H25" s="161" t="s">
        <v>2854</v>
      </c>
      <c r="I25" s="161" t="s">
        <v>2855</v>
      </c>
      <c r="J25" s="161" t="s">
        <v>2856</v>
      </c>
      <c r="K25" s="161" t="s">
        <v>3143</v>
      </c>
      <c r="L25" s="161" t="s">
        <v>4790</v>
      </c>
    </row>
    <row r="26" ht="22.5" customHeight="1">
      <c r="A26" s="160" t="s">
        <v>3151</v>
      </c>
      <c r="B26" s="161">
        <v>2.0</v>
      </c>
      <c r="C26" s="161" t="s">
        <v>3152</v>
      </c>
      <c r="D26" s="161" t="s">
        <v>3153</v>
      </c>
      <c r="E26" s="161" t="s">
        <v>3141</v>
      </c>
      <c r="F26" s="161" t="s">
        <v>3142</v>
      </c>
      <c r="G26" s="162">
        <v>45904.0</v>
      </c>
      <c r="H26" s="161" t="s">
        <v>2959</v>
      </c>
      <c r="I26" s="161" t="s">
        <v>2839</v>
      </c>
      <c r="J26" s="161" t="s">
        <v>2840</v>
      </c>
      <c r="K26" s="161" t="s">
        <v>3154</v>
      </c>
      <c r="L26" s="161" t="s">
        <v>4791</v>
      </c>
    </row>
    <row r="27" ht="22.5" customHeight="1">
      <c r="A27" s="160" t="s">
        <v>3163</v>
      </c>
      <c r="B27" s="161">
        <v>2.0</v>
      </c>
      <c r="C27" s="161" t="s">
        <v>3164</v>
      </c>
      <c r="D27" s="161" t="s">
        <v>3165</v>
      </c>
      <c r="E27" s="161" t="s">
        <v>3166</v>
      </c>
      <c r="F27" s="161" t="s">
        <v>3167</v>
      </c>
      <c r="G27" s="162">
        <v>45906.0</v>
      </c>
      <c r="H27" s="161" t="s">
        <v>2887</v>
      </c>
      <c r="I27" s="161" t="s">
        <v>2839</v>
      </c>
      <c r="J27" s="161" t="s">
        <v>2840</v>
      </c>
      <c r="K27" s="161" t="s">
        <v>3168</v>
      </c>
      <c r="L27" s="161" t="s">
        <v>4792</v>
      </c>
    </row>
    <row r="28" ht="22.5" customHeight="1">
      <c r="A28" s="160" t="s">
        <v>3176</v>
      </c>
      <c r="B28" s="161">
        <v>2.0</v>
      </c>
      <c r="C28" s="161" t="s">
        <v>3177</v>
      </c>
      <c r="D28" s="161" t="s">
        <v>3178</v>
      </c>
      <c r="E28" s="161" t="s">
        <v>3179</v>
      </c>
      <c r="F28" s="161" t="s">
        <v>3180</v>
      </c>
      <c r="G28" s="162">
        <v>45902.0</v>
      </c>
      <c r="H28" s="161" t="s">
        <v>2854</v>
      </c>
      <c r="I28" s="161" t="s">
        <v>3000</v>
      </c>
      <c r="J28" s="161" t="s">
        <v>3001</v>
      </c>
      <c r="K28" s="161" t="s">
        <v>3181</v>
      </c>
      <c r="L28" s="161" t="s">
        <v>4793</v>
      </c>
    </row>
    <row r="29" ht="22.5" customHeight="1">
      <c r="A29" s="160" t="s">
        <v>3189</v>
      </c>
      <c r="B29" s="161">
        <v>2.0</v>
      </c>
      <c r="C29" s="161" t="s">
        <v>3190</v>
      </c>
      <c r="D29" s="161" t="s">
        <v>3191</v>
      </c>
      <c r="E29" s="161" t="s">
        <v>3179</v>
      </c>
      <c r="F29" s="161" t="s">
        <v>3180</v>
      </c>
      <c r="G29" s="162">
        <v>45906.0</v>
      </c>
      <c r="H29" s="161" t="s">
        <v>2887</v>
      </c>
      <c r="I29" s="161" t="s">
        <v>2839</v>
      </c>
      <c r="J29" s="161" t="s">
        <v>2840</v>
      </c>
      <c r="K29" s="161" t="s">
        <v>3192</v>
      </c>
      <c r="L29" s="161" t="s">
        <v>4794</v>
      </c>
    </row>
    <row r="30" ht="22.5" customHeight="1">
      <c r="A30" s="160" t="s">
        <v>3200</v>
      </c>
      <c r="B30" s="161">
        <v>2.0</v>
      </c>
      <c r="C30" s="161" t="s">
        <v>3201</v>
      </c>
      <c r="D30" s="161" t="s">
        <v>3202</v>
      </c>
      <c r="E30" s="161" t="s">
        <v>3203</v>
      </c>
      <c r="F30" s="161" t="s">
        <v>3204</v>
      </c>
      <c r="G30" s="162">
        <v>45904.0</v>
      </c>
      <c r="H30" s="161" t="s">
        <v>2959</v>
      </c>
      <c r="I30" s="161" t="s">
        <v>2972</v>
      </c>
      <c r="J30" s="161" t="s">
        <v>2973</v>
      </c>
      <c r="K30" s="161" t="s">
        <v>3205</v>
      </c>
      <c r="L30" s="161" t="s">
        <v>4795</v>
      </c>
    </row>
    <row r="31" ht="22.5" customHeight="1">
      <c r="A31" s="160" t="s">
        <v>3213</v>
      </c>
      <c r="B31" s="161">
        <v>2.0</v>
      </c>
      <c r="C31" s="161" t="s">
        <v>3214</v>
      </c>
      <c r="D31" s="161" t="s">
        <v>3215</v>
      </c>
      <c r="E31" s="161" t="s">
        <v>3216</v>
      </c>
      <c r="F31" s="161" t="s">
        <v>3217</v>
      </c>
      <c r="G31" s="162">
        <v>45902.0</v>
      </c>
      <c r="H31" s="161" t="s">
        <v>2854</v>
      </c>
      <c r="I31" s="161" t="s">
        <v>2915</v>
      </c>
      <c r="J31" s="161" t="s">
        <v>2916</v>
      </c>
      <c r="K31" s="161" t="s">
        <v>3218</v>
      </c>
      <c r="L31" s="161" t="s">
        <v>4796</v>
      </c>
    </row>
    <row r="32" ht="22.5" customHeight="1">
      <c r="A32" s="160" t="s">
        <v>3226</v>
      </c>
      <c r="B32" s="161">
        <v>2.0</v>
      </c>
      <c r="C32" s="161" t="s">
        <v>3227</v>
      </c>
      <c r="D32" s="161" t="s">
        <v>3228</v>
      </c>
      <c r="E32" s="161" t="s">
        <v>3216</v>
      </c>
      <c r="F32" s="161" t="s">
        <v>3217</v>
      </c>
      <c r="G32" s="162">
        <v>45903.0</v>
      </c>
      <c r="H32" s="161" t="s">
        <v>2838</v>
      </c>
      <c r="I32" s="161" t="s">
        <v>2888</v>
      </c>
      <c r="J32" s="161" t="s">
        <v>2889</v>
      </c>
      <c r="K32" s="161" t="s">
        <v>3229</v>
      </c>
      <c r="L32" s="161" t="s">
        <v>4797</v>
      </c>
    </row>
    <row r="33" ht="22.5" customHeight="1">
      <c r="A33" s="160" t="s">
        <v>3237</v>
      </c>
      <c r="B33" s="161">
        <v>2.0</v>
      </c>
      <c r="C33" s="161" t="s">
        <v>3238</v>
      </c>
      <c r="D33" s="161" t="s">
        <v>3239</v>
      </c>
      <c r="E33" s="161" t="s">
        <v>3240</v>
      </c>
      <c r="F33" s="161" t="s">
        <v>3241</v>
      </c>
      <c r="G33" s="162">
        <v>45902.0</v>
      </c>
      <c r="H33" s="161" t="s">
        <v>2854</v>
      </c>
      <c r="I33" s="161" t="s">
        <v>2855</v>
      </c>
      <c r="J33" s="161" t="s">
        <v>2856</v>
      </c>
      <c r="K33" s="161" t="s">
        <v>3242</v>
      </c>
      <c r="L33" s="161" t="s">
        <v>4798</v>
      </c>
    </row>
    <row r="34" ht="22.5" customHeight="1">
      <c r="A34" s="160" t="s">
        <v>3250</v>
      </c>
      <c r="B34" s="161">
        <v>2.0</v>
      </c>
      <c r="C34" s="161" t="s">
        <v>3251</v>
      </c>
      <c r="D34" s="161" t="s">
        <v>3252</v>
      </c>
      <c r="E34" s="161" t="s">
        <v>3253</v>
      </c>
      <c r="F34" s="161" t="s">
        <v>3254</v>
      </c>
      <c r="G34" s="162">
        <v>45906.0</v>
      </c>
      <c r="H34" s="161" t="s">
        <v>2887</v>
      </c>
      <c r="I34" s="161" t="s">
        <v>2888</v>
      </c>
      <c r="J34" s="161" t="s">
        <v>2889</v>
      </c>
      <c r="K34" s="161" t="s">
        <v>3255</v>
      </c>
      <c r="L34" s="161" t="s">
        <v>4799</v>
      </c>
    </row>
    <row r="35" ht="22.5" customHeight="1">
      <c r="A35" s="160" t="s">
        <v>3263</v>
      </c>
      <c r="B35" s="161">
        <v>2.0</v>
      </c>
      <c r="C35" s="161" t="s">
        <v>3264</v>
      </c>
      <c r="D35" s="161" t="s">
        <v>3265</v>
      </c>
      <c r="E35" s="161" t="s">
        <v>3266</v>
      </c>
      <c r="F35" s="161" t="s">
        <v>3267</v>
      </c>
      <c r="G35" s="162">
        <v>45904.0</v>
      </c>
      <c r="H35" s="161" t="s">
        <v>2959</v>
      </c>
      <c r="I35" s="161" t="s">
        <v>2972</v>
      </c>
      <c r="J35" s="161" t="s">
        <v>2973</v>
      </c>
      <c r="K35" s="161" t="s">
        <v>3268</v>
      </c>
      <c r="L35" s="161" t="s">
        <v>4800</v>
      </c>
    </row>
    <row r="36" ht="22.5" customHeight="1">
      <c r="A36" s="160" t="s">
        <v>3276</v>
      </c>
      <c r="B36" s="161">
        <v>2.0</v>
      </c>
      <c r="C36" s="161" t="s">
        <v>3277</v>
      </c>
      <c r="D36" s="161" t="s">
        <v>3278</v>
      </c>
      <c r="E36" s="161" t="s">
        <v>3279</v>
      </c>
      <c r="F36" s="161" t="s">
        <v>3280</v>
      </c>
      <c r="G36" s="162">
        <v>45906.0</v>
      </c>
      <c r="H36" s="161" t="s">
        <v>2887</v>
      </c>
      <c r="I36" s="161" t="s">
        <v>2888</v>
      </c>
      <c r="J36" s="161" t="s">
        <v>2889</v>
      </c>
      <c r="K36" s="161" t="s">
        <v>3281</v>
      </c>
      <c r="L36" s="161" t="s">
        <v>4801</v>
      </c>
    </row>
    <row r="37" ht="22.5" customHeight="1">
      <c r="A37" s="160" t="s">
        <v>3290</v>
      </c>
      <c r="B37" s="161">
        <v>2.0</v>
      </c>
      <c r="C37" s="161" t="s">
        <v>3291</v>
      </c>
      <c r="D37" s="161" t="s">
        <v>3292</v>
      </c>
      <c r="E37" s="161" t="s">
        <v>3279</v>
      </c>
      <c r="F37" s="161" t="s">
        <v>3280</v>
      </c>
      <c r="G37" s="162">
        <v>45907.0</v>
      </c>
      <c r="H37" s="161" t="s">
        <v>2871</v>
      </c>
      <c r="I37" s="161" t="s">
        <v>2888</v>
      </c>
      <c r="J37" s="161" t="s">
        <v>2889</v>
      </c>
      <c r="K37" s="161" t="s">
        <v>3293</v>
      </c>
      <c r="L37" s="161" t="s">
        <v>4802</v>
      </c>
    </row>
    <row r="38" ht="22.5" customHeight="1">
      <c r="A38" s="160" t="s">
        <v>3301</v>
      </c>
      <c r="B38" s="161">
        <v>2.0</v>
      </c>
      <c r="C38" s="161" t="s">
        <v>3302</v>
      </c>
      <c r="D38" s="161" t="s">
        <v>3303</v>
      </c>
      <c r="E38" s="161" t="s">
        <v>3304</v>
      </c>
      <c r="F38" s="161" t="s">
        <v>3305</v>
      </c>
      <c r="G38" s="162">
        <v>45901.0</v>
      </c>
      <c r="H38" s="161" t="s">
        <v>3307</v>
      </c>
      <c r="I38" s="161" t="s">
        <v>3000</v>
      </c>
      <c r="J38" s="161" t="s">
        <v>3001</v>
      </c>
      <c r="K38" s="161" t="s">
        <v>3308</v>
      </c>
      <c r="L38" s="161" t="s">
        <v>4803</v>
      </c>
    </row>
    <row r="39" ht="22.5" customHeight="1">
      <c r="A39" s="160" t="s">
        <v>3316</v>
      </c>
      <c r="B39" s="161">
        <v>2.0</v>
      </c>
      <c r="C39" s="161" t="s">
        <v>2096</v>
      </c>
      <c r="D39" s="161" t="s">
        <v>3317</v>
      </c>
      <c r="E39" s="161" t="s">
        <v>3318</v>
      </c>
      <c r="F39" s="161" t="s">
        <v>3319</v>
      </c>
      <c r="G39" s="162">
        <v>45902.0</v>
      </c>
      <c r="H39" s="161" t="s">
        <v>2854</v>
      </c>
      <c r="I39" s="161" t="s">
        <v>2839</v>
      </c>
      <c r="J39" s="161" t="s">
        <v>2840</v>
      </c>
      <c r="K39" s="161" t="s">
        <v>3320</v>
      </c>
      <c r="L39" s="161" t="s">
        <v>4804</v>
      </c>
    </row>
    <row r="40" ht="22.5" customHeight="1">
      <c r="A40" s="160" t="s">
        <v>3329</v>
      </c>
      <c r="B40" s="161">
        <v>2.0</v>
      </c>
      <c r="C40" s="161" t="s">
        <v>2203</v>
      </c>
      <c r="D40" s="161" t="s">
        <v>3330</v>
      </c>
      <c r="E40" s="161" t="s">
        <v>3318</v>
      </c>
      <c r="F40" s="161" t="s">
        <v>3319</v>
      </c>
      <c r="G40" s="162">
        <v>45904.0</v>
      </c>
      <c r="H40" s="161" t="s">
        <v>2959</v>
      </c>
      <c r="I40" s="161" t="s">
        <v>2972</v>
      </c>
      <c r="J40" s="161" t="s">
        <v>2973</v>
      </c>
      <c r="K40" s="161" t="s">
        <v>3331</v>
      </c>
      <c r="L40" s="161" t="s">
        <v>4805</v>
      </c>
    </row>
    <row r="41" ht="22.5" customHeight="1">
      <c r="A41" s="160" t="s">
        <v>3339</v>
      </c>
      <c r="B41" s="161">
        <v>2.0</v>
      </c>
      <c r="C41" s="161" t="s">
        <v>3340</v>
      </c>
      <c r="D41" s="161" t="s">
        <v>3341</v>
      </c>
      <c r="E41" s="161" t="s">
        <v>3318</v>
      </c>
      <c r="F41" s="161" t="s">
        <v>3319</v>
      </c>
      <c r="G41" s="162">
        <v>45908.0</v>
      </c>
      <c r="H41" s="161" t="s">
        <v>2943</v>
      </c>
      <c r="I41" s="161" t="s">
        <v>2855</v>
      </c>
      <c r="J41" s="161" t="s">
        <v>2836</v>
      </c>
      <c r="K41" s="161" t="s">
        <v>3342</v>
      </c>
      <c r="L41" s="161" t="s">
        <v>4806</v>
      </c>
    </row>
    <row r="42" ht="22.5" customHeight="1">
      <c r="A42" s="160" t="s">
        <v>3351</v>
      </c>
      <c r="B42" s="161">
        <v>2.0</v>
      </c>
      <c r="C42" s="161" t="s">
        <v>2514</v>
      </c>
      <c r="D42" s="161" t="s">
        <v>3352</v>
      </c>
      <c r="E42" s="161" t="s">
        <v>3318</v>
      </c>
      <c r="F42" s="161" t="s">
        <v>3319</v>
      </c>
      <c r="G42" s="162">
        <v>45902.0</v>
      </c>
      <c r="H42" s="161" t="s">
        <v>2854</v>
      </c>
      <c r="I42" s="161" t="s">
        <v>2888</v>
      </c>
      <c r="J42" s="161" t="s">
        <v>2889</v>
      </c>
      <c r="K42" s="161" t="s">
        <v>3353</v>
      </c>
      <c r="L42" s="161" t="s">
        <v>4807</v>
      </c>
    </row>
    <row r="43" ht="22.5" customHeight="1">
      <c r="A43" s="160" t="s">
        <v>3361</v>
      </c>
      <c r="B43" s="161">
        <v>2.0</v>
      </c>
      <c r="C43" s="161" t="s">
        <v>2376</v>
      </c>
      <c r="D43" s="161" t="s">
        <v>3362</v>
      </c>
      <c r="E43" s="161" t="s">
        <v>3363</v>
      </c>
      <c r="F43" s="161" t="s">
        <v>57</v>
      </c>
      <c r="G43" s="162">
        <v>45902.0</v>
      </c>
      <c r="H43" s="161" t="s">
        <v>2854</v>
      </c>
      <c r="I43" s="161" t="s">
        <v>2915</v>
      </c>
      <c r="J43" s="161" t="s">
        <v>2916</v>
      </c>
      <c r="K43" s="161" t="s">
        <v>3364</v>
      </c>
      <c r="L43" s="161" t="s">
        <v>4808</v>
      </c>
    </row>
    <row r="44" ht="22.5" customHeight="1">
      <c r="A44" s="160" t="s">
        <v>3372</v>
      </c>
      <c r="B44" s="161">
        <v>3.0</v>
      </c>
      <c r="C44" s="161" t="s">
        <v>3373</v>
      </c>
      <c r="D44" s="161" t="s">
        <v>3374</v>
      </c>
      <c r="E44" s="161" t="s">
        <v>3363</v>
      </c>
      <c r="F44" s="161" t="s">
        <v>57</v>
      </c>
      <c r="G44" s="162">
        <v>45906.0</v>
      </c>
      <c r="H44" s="161" t="s">
        <v>2887</v>
      </c>
      <c r="I44" s="161" t="s">
        <v>2915</v>
      </c>
      <c r="J44" s="161" t="s">
        <v>2916</v>
      </c>
      <c r="K44" s="161" t="s">
        <v>3375</v>
      </c>
      <c r="L44" s="161" t="s">
        <v>4809</v>
      </c>
    </row>
    <row r="45" ht="22.5" customHeight="1">
      <c r="A45" s="160" t="s">
        <v>3383</v>
      </c>
      <c r="B45" s="161">
        <v>2.0</v>
      </c>
      <c r="C45" s="161" t="s">
        <v>2132</v>
      </c>
      <c r="D45" s="161" t="s">
        <v>3384</v>
      </c>
      <c r="E45" s="161" t="s">
        <v>3385</v>
      </c>
      <c r="F45" s="161" t="s">
        <v>3386</v>
      </c>
      <c r="G45" s="162">
        <v>45906.0</v>
      </c>
      <c r="H45" s="161" t="s">
        <v>2887</v>
      </c>
      <c r="I45" s="161" t="s">
        <v>2855</v>
      </c>
      <c r="J45" s="161" t="s">
        <v>2856</v>
      </c>
      <c r="K45" s="161" t="s">
        <v>3387</v>
      </c>
      <c r="L45" s="161" t="s">
        <v>4810</v>
      </c>
    </row>
    <row r="46" ht="22.5" customHeight="1">
      <c r="A46" s="160" t="s">
        <v>3395</v>
      </c>
      <c r="B46" s="161">
        <v>3.0</v>
      </c>
      <c r="C46" s="161" t="s">
        <v>2239</v>
      </c>
      <c r="D46" s="161" t="s">
        <v>3396</v>
      </c>
      <c r="E46" s="161" t="s">
        <v>3385</v>
      </c>
      <c r="F46" s="161" t="s">
        <v>3386</v>
      </c>
      <c r="G46" s="162">
        <v>45903.0</v>
      </c>
      <c r="H46" s="161" t="s">
        <v>2838</v>
      </c>
      <c r="I46" s="161" t="s">
        <v>3000</v>
      </c>
      <c r="J46" s="161" t="s">
        <v>3001</v>
      </c>
      <c r="K46" s="161" t="s">
        <v>3397</v>
      </c>
      <c r="L46" s="161" t="s">
        <v>4811</v>
      </c>
    </row>
    <row r="47" ht="22.5" customHeight="1">
      <c r="A47" s="160" t="s">
        <v>3405</v>
      </c>
      <c r="B47" s="161">
        <v>2.0</v>
      </c>
      <c r="C47" s="161" t="s">
        <v>2479</v>
      </c>
      <c r="D47" s="161" t="s">
        <v>3406</v>
      </c>
      <c r="E47" s="161" t="s">
        <v>3407</v>
      </c>
      <c r="F47" s="161" t="s">
        <v>3408</v>
      </c>
      <c r="G47" s="162">
        <v>45901.0</v>
      </c>
      <c r="H47" s="161" t="s">
        <v>3307</v>
      </c>
      <c r="I47" s="161" t="s">
        <v>2888</v>
      </c>
      <c r="J47" s="161" t="s">
        <v>2889</v>
      </c>
      <c r="K47" s="161" t="s">
        <v>3409</v>
      </c>
      <c r="L47" s="161" t="s">
        <v>4812</v>
      </c>
    </row>
    <row r="48" ht="22.5" customHeight="1">
      <c r="A48" s="160" t="s">
        <v>3418</v>
      </c>
      <c r="B48" s="161">
        <v>2.0</v>
      </c>
      <c r="C48" s="161" t="s">
        <v>3419</v>
      </c>
      <c r="D48" s="161" t="s">
        <v>3420</v>
      </c>
      <c r="E48" s="161" t="s">
        <v>3407</v>
      </c>
      <c r="F48" s="161" t="s">
        <v>3408</v>
      </c>
      <c r="G48" s="162">
        <v>45907.0</v>
      </c>
      <c r="H48" s="161" t="s">
        <v>2871</v>
      </c>
      <c r="I48" s="161" t="s">
        <v>2855</v>
      </c>
      <c r="J48" s="161" t="s">
        <v>2856</v>
      </c>
      <c r="K48" s="161" t="s">
        <v>3421</v>
      </c>
      <c r="L48" s="161" t="s">
        <v>4813</v>
      </c>
    </row>
    <row r="49" ht="22.5" customHeight="1">
      <c r="A49" s="160" t="s">
        <v>3429</v>
      </c>
      <c r="B49" s="161">
        <v>3.0</v>
      </c>
      <c r="C49" s="161" t="s">
        <v>2616</v>
      </c>
      <c r="D49" s="161" t="s">
        <v>3430</v>
      </c>
      <c r="E49" s="161" t="s">
        <v>3407</v>
      </c>
      <c r="F49" s="161" t="s">
        <v>3408</v>
      </c>
      <c r="G49" s="162">
        <v>45903.0</v>
      </c>
      <c r="H49" s="161" t="s">
        <v>2838</v>
      </c>
      <c r="I49" s="161" t="s">
        <v>2888</v>
      </c>
      <c r="J49" s="161" t="s">
        <v>2889</v>
      </c>
      <c r="K49" s="161" t="s">
        <v>3431</v>
      </c>
      <c r="L49" s="161" t="s">
        <v>4814</v>
      </c>
    </row>
    <row r="50" ht="22.5" customHeight="1">
      <c r="A50" s="160" t="s">
        <v>3439</v>
      </c>
      <c r="B50" s="161">
        <v>2.0</v>
      </c>
      <c r="C50" s="161" t="s">
        <v>2341</v>
      </c>
      <c r="D50" s="161" t="s">
        <v>3440</v>
      </c>
      <c r="E50" s="161" t="s">
        <v>3441</v>
      </c>
      <c r="F50" s="161" t="s">
        <v>3442</v>
      </c>
      <c r="G50" s="162">
        <v>45904.0</v>
      </c>
      <c r="H50" s="161" t="s">
        <v>2959</v>
      </c>
      <c r="I50" s="161" t="s">
        <v>2839</v>
      </c>
      <c r="J50" s="161" t="s">
        <v>2840</v>
      </c>
      <c r="K50" s="161" t="s">
        <v>3443</v>
      </c>
      <c r="L50" s="161" t="s">
        <v>4815</v>
      </c>
    </row>
    <row r="51" ht="22.5" customHeight="1">
      <c r="A51" s="160" t="s">
        <v>3452</v>
      </c>
      <c r="B51" s="161">
        <v>2.0</v>
      </c>
      <c r="C51" s="161" t="s">
        <v>3453</v>
      </c>
      <c r="D51" s="161" t="s">
        <v>3454</v>
      </c>
      <c r="E51" s="161" t="s">
        <v>3441</v>
      </c>
      <c r="F51" s="161" t="s">
        <v>3442</v>
      </c>
      <c r="G51" s="162">
        <v>45902.0</v>
      </c>
      <c r="H51" s="161" t="s">
        <v>2854</v>
      </c>
      <c r="I51" s="161" t="s">
        <v>2855</v>
      </c>
      <c r="J51" s="161" t="s">
        <v>2856</v>
      </c>
      <c r="K51" s="161" t="s">
        <v>3455</v>
      </c>
      <c r="L51" s="161" t="s">
        <v>4816</v>
      </c>
    </row>
    <row r="52" ht="22.5" customHeight="1">
      <c r="A52" s="160" t="s">
        <v>3463</v>
      </c>
      <c r="B52" s="161">
        <v>2.0</v>
      </c>
      <c r="C52" s="161" t="s">
        <v>2651</v>
      </c>
      <c r="D52" s="161" t="s">
        <v>3464</v>
      </c>
      <c r="E52" s="161" t="s">
        <v>3441</v>
      </c>
      <c r="F52" s="161" t="s">
        <v>3442</v>
      </c>
      <c r="G52" s="162">
        <v>45906.0</v>
      </c>
      <c r="H52" s="161" t="s">
        <v>2887</v>
      </c>
      <c r="I52" s="161" t="s">
        <v>2915</v>
      </c>
      <c r="J52" s="161" t="s">
        <v>2916</v>
      </c>
      <c r="K52" s="161" t="s">
        <v>3465</v>
      </c>
      <c r="L52" s="161" t="s">
        <v>4817</v>
      </c>
    </row>
    <row r="53" ht="22.5" customHeight="1">
      <c r="A53" s="160" t="s">
        <v>3474</v>
      </c>
      <c r="B53" s="161">
        <v>3.0</v>
      </c>
      <c r="C53" s="161" t="s">
        <v>2720</v>
      </c>
      <c r="D53" s="161" t="s">
        <v>3475</v>
      </c>
      <c r="E53" s="161" t="s">
        <v>3441</v>
      </c>
      <c r="F53" s="161" t="s">
        <v>3442</v>
      </c>
      <c r="G53" s="162">
        <v>45903.0</v>
      </c>
      <c r="H53" s="161" t="s">
        <v>2838</v>
      </c>
      <c r="I53" s="161" t="s">
        <v>2839</v>
      </c>
      <c r="J53" s="161" t="s">
        <v>2840</v>
      </c>
      <c r="K53" s="161" t="s">
        <v>3476</v>
      </c>
      <c r="L53" s="161" t="s">
        <v>4818</v>
      </c>
    </row>
    <row r="54" ht="22.5" customHeight="1">
      <c r="A54" s="160" t="s">
        <v>3485</v>
      </c>
      <c r="B54" s="161">
        <v>2.0</v>
      </c>
      <c r="C54" s="161" t="s">
        <v>3486</v>
      </c>
      <c r="D54" s="161" t="s">
        <v>3487</v>
      </c>
      <c r="E54" s="161" t="s">
        <v>3488</v>
      </c>
      <c r="F54" s="161" t="s">
        <v>3489</v>
      </c>
      <c r="G54" s="162">
        <v>45907.0</v>
      </c>
      <c r="H54" s="161" t="s">
        <v>2871</v>
      </c>
      <c r="I54" s="161" t="s">
        <v>2915</v>
      </c>
      <c r="J54" s="161" t="s">
        <v>2916</v>
      </c>
      <c r="K54" s="161" t="s">
        <v>3490</v>
      </c>
      <c r="L54" s="161" t="s">
        <v>4819</v>
      </c>
    </row>
    <row r="55" ht="22.5" customHeight="1">
      <c r="A55" s="160" t="s">
        <v>3498</v>
      </c>
      <c r="B55" s="161">
        <v>3.0</v>
      </c>
      <c r="C55" s="161" t="s">
        <v>3499</v>
      </c>
      <c r="D55" s="161" t="s">
        <v>3500</v>
      </c>
      <c r="E55" s="161" t="s">
        <v>3501</v>
      </c>
      <c r="F55" s="161" t="s">
        <v>3502</v>
      </c>
      <c r="G55" s="162">
        <v>45905.0</v>
      </c>
      <c r="H55" s="161" t="s">
        <v>3114</v>
      </c>
      <c r="I55" s="161" t="s">
        <v>2972</v>
      </c>
      <c r="J55" s="161" t="s">
        <v>2973</v>
      </c>
      <c r="K55" s="161" t="s">
        <v>3503</v>
      </c>
      <c r="L55" s="161" t="s">
        <v>4820</v>
      </c>
    </row>
    <row r="56" ht="22.5" customHeight="1">
      <c r="A56" s="160" t="s">
        <v>3512</v>
      </c>
      <c r="B56" s="161">
        <v>2.0</v>
      </c>
      <c r="C56" s="161" t="s">
        <v>3513</v>
      </c>
      <c r="D56" s="161" t="s">
        <v>3514</v>
      </c>
      <c r="E56" s="161" t="s">
        <v>3501</v>
      </c>
      <c r="F56" s="161" t="s">
        <v>3502</v>
      </c>
      <c r="G56" s="162">
        <v>45902.0</v>
      </c>
      <c r="H56" s="161" t="s">
        <v>2854</v>
      </c>
      <c r="I56" s="161" t="s">
        <v>2855</v>
      </c>
      <c r="J56" s="161" t="s">
        <v>2836</v>
      </c>
      <c r="K56" s="161" t="s">
        <v>3515</v>
      </c>
      <c r="L56" s="161" t="s">
        <v>4821</v>
      </c>
    </row>
    <row r="57" ht="22.5" customHeight="1">
      <c r="A57" s="160" t="s">
        <v>3523</v>
      </c>
      <c r="B57" s="161">
        <v>2.0</v>
      </c>
      <c r="C57" s="161" t="s">
        <v>3524</v>
      </c>
      <c r="D57" s="161" t="s">
        <v>3525</v>
      </c>
      <c r="E57" s="161" t="s">
        <v>3526</v>
      </c>
      <c r="F57" s="161" t="s">
        <v>3527</v>
      </c>
      <c r="G57" s="162">
        <v>45908.0</v>
      </c>
      <c r="H57" s="161" t="s">
        <v>2943</v>
      </c>
      <c r="I57" s="161" t="s">
        <v>2855</v>
      </c>
      <c r="J57" s="161" t="s">
        <v>2836</v>
      </c>
      <c r="K57" s="161" t="s">
        <v>3528</v>
      </c>
      <c r="L57" s="161" t="s">
        <v>4822</v>
      </c>
    </row>
    <row r="58" ht="22.5" customHeight="1">
      <c r="A58" s="160" t="s">
        <v>3536</v>
      </c>
      <c r="B58" s="161">
        <v>3.0</v>
      </c>
      <c r="C58" s="161" t="s">
        <v>3537</v>
      </c>
      <c r="D58" s="161" t="s">
        <v>3538</v>
      </c>
      <c r="E58" s="161" t="s">
        <v>3539</v>
      </c>
      <c r="F58" s="161" t="s">
        <v>3540</v>
      </c>
      <c r="G58" s="162">
        <v>45901.0</v>
      </c>
      <c r="H58" s="161" t="s">
        <v>3307</v>
      </c>
      <c r="I58" s="161" t="s">
        <v>2888</v>
      </c>
      <c r="J58" s="161" t="s">
        <v>2889</v>
      </c>
      <c r="K58" s="161" t="s">
        <v>3541</v>
      </c>
      <c r="L58" s="161" t="s">
        <v>4823</v>
      </c>
    </row>
    <row r="59" ht="22.5" customHeight="1">
      <c r="A59" s="160" t="s">
        <v>3550</v>
      </c>
      <c r="B59" s="161">
        <v>3.0</v>
      </c>
      <c r="C59" s="161" t="s">
        <v>3551</v>
      </c>
      <c r="D59" s="161" t="s">
        <v>3552</v>
      </c>
      <c r="E59" s="161" t="s">
        <v>3553</v>
      </c>
      <c r="F59" s="161" t="s">
        <v>3554</v>
      </c>
      <c r="G59" s="162">
        <v>45907.0</v>
      </c>
      <c r="H59" s="161" t="s">
        <v>2871</v>
      </c>
      <c r="I59" s="163"/>
      <c r="J59" s="163"/>
      <c r="K59" s="161" t="s">
        <v>3555</v>
      </c>
      <c r="L59" s="161" t="s">
        <v>4824</v>
      </c>
    </row>
    <row r="60" ht="22.5" customHeight="1">
      <c r="A60" s="160" t="s">
        <v>3564</v>
      </c>
      <c r="B60" s="161">
        <v>3.0</v>
      </c>
      <c r="C60" s="161" t="s">
        <v>3565</v>
      </c>
      <c r="D60" s="161" t="s">
        <v>3566</v>
      </c>
      <c r="E60" s="161" t="s">
        <v>3553</v>
      </c>
      <c r="F60" s="161" t="s">
        <v>3554</v>
      </c>
      <c r="G60" s="162">
        <v>45904.0</v>
      </c>
      <c r="H60" s="161" t="s">
        <v>2959</v>
      </c>
      <c r="I60" s="163"/>
      <c r="J60" s="163"/>
      <c r="K60" s="161" t="s">
        <v>3567</v>
      </c>
      <c r="L60" s="161" t="s">
        <v>4825</v>
      </c>
    </row>
    <row r="61" ht="22.5" customHeight="1">
      <c r="A61" s="160" t="s">
        <v>3576</v>
      </c>
      <c r="B61" s="161">
        <v>3.0</v>
      </c>
      <c r="C61" s="161" t="s">
        <v>3577</v>
      </c>
      <c r="D61" s="161" t="s">
        <v>3578</v>
      </c>
      <c r="E61" s="161" t="s">
        <v>3579</v>
      </c>
      <c r="F61" s="161" t="s">
        <v>3580</v>
      </c>
      <c r="G61" s="162">
        <v>45902.0</v>
      </c>
      <c r="H61" s="161" t="s">
        <v>2854</v>
      </c>
      <c r="I61" s="163"/>
      <c r="J61" s="163"/>
      <c r="K61" s="161" t="s">
        <v>3581</v>
      </c>
      <c r="L61" s="161" t="s">
        <v>4826</v>
      </c>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0" max="10" width="12.75"/>
  </cols>
  <sheetData>
    <row r="1" ht="22.5" customHeight="1">
      <c r="A1" s="27" t="s">
        <v>4827</v>
      </c>
      <c r="B1" s="27" t="s">
        <v>2788</v>
      </c>
      <c r="C1" s="27" t="s">
        <v>4828</v>
      </c>
      <c r="D1" s="27" t="s">
        <v>4829</v>
      </c>
      <c r="E1" s="27" t="s">
        <v>4830</v>
      </c>
      <c r="F1" s="27" t="s">
        <v>4831</v>
      </c>
      <c r="G1" s="27" t="s">
        <v>4832</v>
      </c>
      <c r="H1" s="27" t="s">
        <v>4833</v>
      </c>
      <c r="I1" s="27" t="s">
        <v>4834</v>
      </c>
      <c r="J1" s="27" t="s">
        <v>4835</v>
      </c>
    </row>
    <row r="2" ht="22.5" customHeight="1">
      <c r="A2" s="32" t="s">
        <v>4836</v>
      </c>
      <c r="B2" s="32" t="s">
        <v>4837</v>
      </c>
      <c r="C2" s="32" t="s">
        <v>4838</v>
      </c>
      <c r="D2" s="32" t="s">
        <v>4839</v>
      </c>
      <c r="E2" s="32" t="s">
        <v>4840</v>
      </c>
      <c r="F2" s="32" t="s">
        <v>4841</v>
      </c>
      <c r="G2" s="32" t="s">
        <v>4842</v>
      </c>
      <c r="H2" s="32" t="s">
        <v>4843</v>
      </c>
      <c r="I2" s="32" t="s">
        <v>4844</v>
      </c>
      <c r="J2" s="32" t="s">
        <v>4845</v>
      </c>
    </row>
    <row r="3" ht="22.5" customHeight="1">
      <c r="A3" s="164"/>
      <c r="B3" s="164"/>
      <c r="C3" s="164"/>
      <c r="D3" s="164"/>
      <c r="E3" s="164"/>
      <c r="F3" s="164"/>
      <c r="G3" s="164"/>
      <c r="H3" s="164"/>
      <c r="I3" s="164"/>
      <c r="J3" s="164"/>
    </row>
    <row r="4" ht="22.5" customHeight="1">
      <c r="A4" s="164"/>
      <c r="B4" s="164"/>
      <c r="C4" s="164"/>
      <c r="D4" s="164"/>
      <c r="E4" s="164"/>
      <c r="F4" s="164"/>
      <c r="G4" s="164"/>
      <c r="H4" s="164"/>
      <c r="I4" s="164"/>
      <c r="J4" s="164"/>
    </row>
    <row r="5" ht="22.5" customHeight="1">
      <c r="A5" s="164"/>
      <c r="B5" s="164"/>
      <c r="C5" s="164"/>
      <c r="D5" s="164"/>
      <c r="E5" s="164"/>
      <c r="F5" s="164"/>
      <c r="G5" s="164"/>
      <c r="H5" s="164"/>
      <c r="I5" s="164"/>
      <c r="J5" s="164"/>
    </row>
    <row r="6" ht="22.5" customHeight="1">
      <c r="A6" s="164"/>
      <c r="B6" s="164"/>
      <c r="C6" s="164"/>
      <c r="D6" s="164"/>
      <c r="E6" s="164"/>
      <c r="F6" s="164"/>
      <c r="G6" s="164"/>
      <c r="H6" s="164"/>
      <c r="I6" s="164"/>
      <c r="J6" s="164"/>
    </row>
    <row r="7" ht="22.5" customHeight="1">
      <c r="A7" s="164"/>
      <c r="B7" s="164"/>
      <c r="C7" s="164"/>
      <c r="D7" s="164"/>
      <c r="E7" s="164"/>
      <c r="F7" s="164"/>
      <c r="G7" s="164"/>
      <c r="H7" s="164"/>
      <c r="I7" s="164"/>
      <c r="J7" s="164"/>
    </row>
    <row r="8" ht="22.5" customHeight="1">
      <c r="A8" s="164"/>
      <c r="B8" s="164"/>
      <c r="C8" s="164"/>
      <c r="D8" s="164"/>
      <c r="E8" s="164"/>
      <c r="F8" s="164"/>
      <c r="G8" s="164"/>
      <c r="H8" s="164"/>
      <c r="I8" s="164"/>
      <c r="J8" s="164"/>
    </row>
    <row r="9" ht="22.5" customHeight="1">
      <c r="A9" s="164"/>
      <c r="B9" s="164"/>
      <c r="C9" s="164"/>
      <c r="D9" s="164"/>
      <c r="E9" s="164"/>
      <c r="F9" s="164"/>
      <c r="G9" s="164"/>
      <c r="H9" s="164"/>
      <c r="I9" s="164"/>
      <c r="J9" s="164"/>
    </row>
    <row r="10" ht="22.5" customHeight="1">
      <c r="A10" s="164"/>
      <c r="B10" s="164"/>
      <c r="C10" s="164"/>
      <c r="D10" s="164"/>
      <c r="E10" s="164"/>
      <c r="F10" s="164"/>
      <c r="G10" s="164"/>
      <c r="H10" s="164"/>
      <c r="I10" s="164"/>
      <c r="J10" s="164"/>
    </row>
    <row r="11" ht="22.5" customHeight="1">
      <c r="A11" s="164"/>
      <c r="B11" s="164"/>
      <c r="C11" s="164"/>
      <c r="D11" s="164"/>
      <c r="E11" s="164"/>
      <c r="F11" s="164"/>
      <c r="G11" s="164"/>
      <c r="H11" s="164"/>
      <c r="I11" s="164"/>
      <c r="J11" s="164"/>
    </row>
    <row r="12" ht="22.5" customHeight="1">
      <c r="A12" s="164"/>
      <c r="B12" s="164"/>
      <c r="C12" s="164"/>
      <c r="D12" s="164"/>
      <c r="E12" s="164"/>
      <c r="F12" s="164"/>
      <c r="G12" s="164"/>
      <c r="H12" s="164"/>
      <c r="I12" s="164"/>
      <c r="J12" s="164"/>
    </row>
    <row r="13" ht="22.5" customHeight="1">
      <c r="A13" s="164"/>
      <c r="B13" s="164"/>
      <c r="C13" s="164"/>
      <c r="D13" s="164"/>
      <c r="E13" s="164"/>
      <c r="F13" s="164"/>
      <c r="G13" s="164"/>
      <c r="H13" s="164"/>
      <c r="I13" s="164"/>
      <c r="J13" s="164"/>
    </row>
    <row r="14" ht="22.5" customHeight="1">
      <c r="A14" s="164"/>
      <c r="B14" s="164"/>
      <c r="C14" s="164"/>
      <c r="D14" s="164"/>
      <c r="E14" s="164"/>
      <c r="F14" s="164"/>
      <c r="G14" s="164"/>
      <c r="H14" s="164"/>
      <c r="I14" s="164"/>
      <c r="J14" s="164"/>
    </row>
    <row r="15" ht="22.5" customHeight="1">
      <c r="A15" s="164"/>
      <c r="B15" s="164"/>
      <c r="C15" s="164"/>
      <c r="D15" s="164"/>
      <c r="E15" s="164"/>
      <c r="F15" s="164"/>
      <c r="G15" s="164"/>
      <c r="H15" s="164"/>
      <c r="I15" s="164"/>
      <c r="J15" s="164"/>
    </row>
    <row r="16" ht="22.5" customHeight="1">
      <c r="A16" s="164"/>
      <c r="B16" s="164"/>
      <c r="C16" s="164"/>
      <c r="D16" s="164"/>
      <c r="E16" s="164"/>
      <c r="F16" s="164"/>
      <c r="G16" s="164"/>
      <c r="H16" s="164"/>
      <c r="I16" s="164"/>
      <c r="J16" s="164"/>
    </row>
    <row r="17" ht="22.5" customHeight="1">
      <c r="A17" s="164"/>
      <c r="B17" s="164"/>
      <c r="C17" s="164"/>
      <c r="D17" s="164"/>
      <c r="E17" s="164"/>
      <c r="F17" s="164"/>
      <c r="G17" s="164"/>
      <c r="H17" s="164"/>
      <c r="I17" s="164"/>
      <c r="J17" s="164"/>
    </row>
    <row r="18" ht="22.5" customHeight="1">
      <c r="A18" s="164"/>
      <c r="B18" s="164"/>
      <c r="C18" s="164"/>
      <c r="D18" s="164"/>
      <c r="E18" s="164"/>
      <c r="F18" s="164"/>
      <c r="G18" s="164"/>
      <c r="H18" s="164"/>
      <c r="I18" s="164"/>
      <c r="J18" s="164"/>
    </row>
    <row r="19" ht="22.5" customHeight="1">
      <c r="A19" s="164"/>
      <c r="B19" s="164"/>
      <c r="C19" s="164"/>
      <c r="D19" s="164"/>
      <c r="E19" s="164"/>
      <c r="F19" s="164"/>
      <c r="G19" s="164"/>
      <c r="H19" s="164"/>
      <c r="I19" s="164"/>
      <c r="J19" s="164"/>
    </row>
    <row r="20" ht="22.5" customHeight="1">
      <c r="A20" s="164"/>
      <c r="B20" s="164"/>
      <c r="C20" s="164"/>
      <c r="D20" s="164"/>
      <c r="E20" s="164"/>
      <c r="F20" s="164"/>
      <c r="G20" s="164"/>
      <c r="H20" s="164"/>
      <c r="I20" s="164"/>
      <c r="J20" s="164"/>
    </row>
    <row r="21" ht="22.5" customHeight="1">
      <c r="A21" s="164"/>
      <c r="B21" s="164"/>
      <c r="C21" s="164"/>
      <c r="D21" s="164"/>
      <c r="E21" s="164"/>
      <c r="F21" s="164"/>
      <c r="G21" s="164"/>
      <c r="H21" s="164"/>
      <c r="I21" s="164"/>
      <c r="J21" s="164"/>
    </row>
    <row r="22" ht="22.5" customHeight="1">
      <c r="A22" s="164"/>
      <c r="B22" s="164"/>
      <c r="C22" s="164"/>
      <c r="D22" s="164"/>
      <c r="E22" s="164"/>
      <c r="F22" s="164"/>
      <c r="G22" s="164"/>
      <c r="H22" s="164"/>
      <c r="I22" s="164"/>
      <c r="J22" s="164"/>
    </row>
    <row r="23" ht="22.5" customHeight="1">
      <c r="A23" s="164"/>
      <c r="B23" s="164"/>
      <c r="C23" s="164"/>
      <c r="D23" s="164"/>
      <c r="E23" s="164"/>
      <c r="F23" s="164"/>
      <c r="G23" s="164"/>
      <c r="H23" s="164"/>
      <c r="I23" s="164"/>
      <c r="J23" s="164"/>
    </row>
    <row r="24" ht="22.5" customHeight="1">
      <c r="A24" s="164"/>
      <c r="B24" s="164"/>
      <c r="C24" s="164"/>
      <c r="D24" s="164"/>
      <c r="E24" s="164"/>
      <c r="F24" s="164"/>
      <c r="G24" s="164"/>
      <c r="H24" s="164"/>
      <c r="I24" s="164"/>
      <c r="J24" s="164"/>
    </row>
    <row r="25" ht="22.5" customHeight="1">
      <c r="A25" s="164"/>
      <c r="B25" s="164"/>
      <c r="C25" s="164"/>
      <c r="D25" s="164"/>
      <c r="E25" s="164"/>
      <c r="F25" s="164"/>
      <c r="G25" s="164"/>
      <c r="H25" s="164"/>
      <c r="I25" s="164"/>
      <c r="J25" s="164"/>
    </row>
    <row r="26" ht="22.5" customHeight="1">
      <c r="A26" s="164"/>
      <c r="B26" s="164"/>
      <c r="C26" s="164"/>
      <c r="D26" s="164"/>
      <c r="E26" s="164"/>
      <c r="F26" s="164"/>
      <c r="G26" s="164"/>
      <c r="H26" s="164"/>
      <c r="I26" s="164"/>
      <c r="J26" s="164"/>
    </row>
    <row r="27" ht="22.5" customHeight="1">
      <c r="A27" s="164"/>
      <c r="B27" s="164"/>
      <c r="C27" s="164"/>
      <c r="D27" s="164"/>
      <c r="E27" s="164"/>
      <c r="F27" s="164"/>
      <c r="G27" s="164"/>
      <c r="H27" s="164"/>
      <c r="I27" s="164"/>
      <c r="J27" s="164"/>
    </row>
    <row r="28" ht="22.5" customHeight="1">
      <c r="A28" s="164"/>
      <c r="B28" s="164"/>
      <c r="C28" s="164"/>
      <c r="D28" s="164"/>
      <c r="E28" s="164"/>
      <c r="F28" s="164"/>
      <c r="G28" s="164"/>
      <c r="H28" s="164"/>
      <c r="I28" s="164"/>
      <c r="J28" s="164"/>
    </row>
    <row r="29" ht="22.5" customHeight="1">
      <c r="A29" s="164"/>
      <c r="B29" s="164"/>
      <c r="C29" s="164"/>
      <c r="D29" s="164"/>
      <c r="E29" s="164"/>
      <c r="F29" s="164"/>
      <c r="G29" s="164"/>
      <c r="H29" s="164"/>
      <c r="I29" s="164"/>
      <c r="J29" s="164"/>
    </row>
    <row r="30" ht="22.5" customHeight="1">
      <c r="A30" s="164"/>
      <c r="B30" s="164"/>
      <c r="C30" s="164"/>
      <c r="D30" s="164"/>
      <c r="E30" s="164"/>
      <c r="F30" s="164"/>
      <c r="G30" s="164"/>
      <c r="H30" s="164"/>
      <c r="I30" s="164"/>
      <c r="J30" s="164"/>
    </row>
    <row r="31" ht="22.5" customHeight="1">
      <c r="A31" s="164"/>
      <c r="B31" s="164"/>
      <c r="C31" s="164"/>
      <c r="D31" s="164"/>
      <c r="E31" s="164"/>
      <c r="F31" s="164"/>
      <c r="G31" s="164"/>
      <c r="H31" s="164"/>
      <c r="I31" s="164"/>
      <c r="J31" s="164"/>
    </row>
    <row r="32" ht="22.5" customHeight="1">
      <c r="A32" s="164"/>
      <c r="B32" s="164"/>
      <c r="C32" s="164"/>
      <c r="D32" s="164"/>
      <c r="E32" s="164"/>
      <c r="F32" s="164"/>
      <c r="G32" s="164"/>
      <c r="H32" s="164"/>
      <c r="I32" s="164"/>
      <c r="J32" s="164"/>
    </row>
    <row r="33" ht="22.5" customHeight="1">
      <c r="A33" s="164"/>
      <c r="B33" s="164"/>
      <c r="C33" s="164"/>
      <c r="D33" s="164"/>
      <c r="E33" s="164"/>
      <c r="F33" s="164"/>
      <c r="G33" s="164"/>
      <c r="H33" s="164"/>
      <c r="I33" s="164"/>
      <c r="J33" s="164"/>
    </row>
    <row r="34" ht="22.5" customHeight="1">
      <c r="A34" s="164"/>
      <c r="B34" s="164"/>
      <c r="C34" s="164"/>
      <c r="D34" s="164"/>
      <c r="E34" s="164"/>
      <c r="F34" s="164"/>
      <c r="G34" s="164"/>
      <c r="H34" s="164"/>
      <c r="I34" s="164"/>
      <c r="J34" s="164"/>
    </row>
    <row r="35" ht="22.5" customHeight="1">
      <c r="A35" s="164"/>
      <c r="B35" s="164"/>
      <c r="C35" s="164"/>
      <c r="D35" s="164"/>
      <c r="E35" s="164"/>
      <c r="F35" s="164"/>
      <c r="G35" s="164"/>
      <c r="H35" s="164"/>
      <c r="I35" s="164"/>
      <c r="J35" s="164"/>
    </row>
    <row r="36" ht="22.5" customHeight="1">
      <c r="A36" s="164"/>
      <c r="B36" s="164"/>
      <c r="C36" s="164"/>
      <c r="D36" s="164"/>
      <c r="E36" s="164"/>
      <c r="F36" s="164"/>
      <c r="G36" s="164"/>
      <c r="H36" s="164"/>
      <c r="I36" s="164"/>
      <c r="J36" s="164"/>
    </row>
    <row r="37" ht="22.5" customHeight="1">
      <c r="A37" s="164"/>
      <c r="B37" s="164"/>
      <c r="C37" s="164"/>
      <c r="D37" s="164"/>
      <c r="E37" s="164"/>
      <c r="F37" s="164"/>
      <c r="G37" s="164"/>
      <c r="H37" s="164"/>
      <c r="I37" s="164"/>
      <c r="J37" s="164"/>
    </row>
    <row r="38" ht="22.5" customHeight="1">
      <c r="A38" s="164"/>
      <c r="B38" s="164"/>
      <c r="C38" s="164"/>
      <c r="D38" s="164"/>
      <c r="E38" s="164"/>
      <c r="F38" s="164"/>
      <c r="G38" s="164"/>
      <c r="H38" s="164"/>
      <c r="I38" s="164"/>
      <c r="J38" s="164"/>
    </row>
    <row r="39" ht="22.5" customHeight="1">
      <c r="A39" s="164"/>
      <c r="B39" s="164"/>
      <c r="C39" s="164"/>
      <c r="D39" s="164"/>
      <c r="E39" s="164"/>
      <c r="F39" s="164"/>
      <c r="G39" s="164"/>
      <c r="H39" s="164"/>
      <c r="I39" s="164"/>
      <c r="J39" s="164"/>
    </row>
    <row r="40" ht="22.5" customHeight="1">
      <c r="A40" s="164"/>
      <c r="B40" s="164"/>
      <c r="C40" s="164"/>
      <c r="D40" s="164"/>
      <c r="E40" s="164"/>
      <c r="F40" s="164"/>
      <c r="G40" s="164"/>
      <c r="H40" s="164"/>
      <c r="I40" s="164"/>
      <c r="J40" s="164"/>
    </row>
    <row r="41" ht="22.5" customHeight="1">
      <c r="A41" s="164"/>
      <c r="B41" s="164"/>
      <c r="C41" s="164"/>
      <c r="D41" s="164"/>
      <c r="E41" s="164"/>
      <c r="F41" s="164"/>
      <c r="G41" s="164"/>
      <c r="H41" s="164"/>
      <c r="I41" s="164"/>
      <c r="J41" s="164"/>
    </row>
    <row r="42" ht="22.5" customHeight="1">
      <c r="A42" s="164"/>
      <c r="B42" s="164"/>
      <c r="C42" s="164"/>
      <c r="D42" s="164"/>
      <c r="E42" s="164"/>
      <c r="F42" s="164"/>
      <c r="G42" s="164"/>
      <c r="H42" s="164"/>
      <c r="I42" s="164"/>
      <c r="J42" s="164"/>
    </row>
    <row r="43" ht="22.5" customHeight="1">
      <c r="A43" s="164"/>
      <c r="B43" s="164"/>
      <c r="C43" s="164"/>
      <c r="D43" s="164"/>
      <c r="E43" s="164"/>
      <c r="F43" s="164"/>
      <c r="G43" s="164"/>
      <c r="H43" s="164"/>
      <c r="I43" s="164"/>
      <c r="J43" s="164"/>
    </row>
    <row r="44" ht="22.5" customHeight="1">
      <c r="A44" s="164"/>
      <c r="B44" s="164"/>
      <c r="C44" s="164"/>
      <c r="D44" s="164"/>
      <c r="E44" s="164"/>
      <c r="F44" s="164"/>
      <c r="G44" s="164"/>
      <c r="H44" s="164"/>
      <c r="I44" s="164"/>
      <c r="J44" s="164"/>
    </row>
    <row r="45" ht="22.5" customHeight="1">
      <c r="A45" s="164"/>
      <c r="B45" s="164"/>
      <c r="C45" s="164"/>
      <c r="D45" s="164"/>
      <c r="E45" s="164"/>
      <c r="F45" s="164"/>
      <c r="G45" s="164"/>
      <c r="H45" s="164"/>
      <c r="I45" s="164"/>
      <c r="J45" s="164"/>
    </row>
    <row r="46" ht="22.5" customHeight="1">
      <c r="A46" s="164"/>
      <c r="B46" s="164"/>
      <c r="C46" s="164"/>
      <c r="D46" s="164"/>
      <c r="E46" s="164"/>
      <c r="F46" s="164"/>
      <c r="G46" s="164"/>
      <c r="H46" s="164"/>
      <c r="I46" s="164"/>
      <c r="J46" s="164"/>
    </row>
    <row r="47" ht="22.5" customHeight="1">
      <c r="A47" s="164"/>
      <c r="B47" s="164"/>
      <c r="C47" s="164"/>
      <c r="D47" s="164"/>
      <c r="E47" s="164"/>
      <c r="F47" s="164"/>
      <c r="G47" s="164"/>
      <c r="H47" s="164"/>
      <c r="I47" s="164"/>
      <c r="J47" s="164"/>
    </row>
    <row r="48" ht="22.5" customHeight="1">
      <c r="A48" s="164"/>
      <c r="B48" s="164"/>
      <c r="C48" s="164"/>
      <c r="D48" s="164"/>
      <c r="E48" s="164"/>
      <c r="F48" s="164"/>
      <c r="G48" s="164"/>
      <c r="H48" s="164"/>
      <c r="I48" s="164"/>
      <c r="J48" s="164"/>
    </row>
    <row r="49" ht="22.5" customHeight="1">
      <c r="A49" s="164"/>
      <c r="B49" s="164"/>
      <c r="C49" s="164"/>
      <c r="D49" s="164"/>
      <c r="E49" s="164"/>
      <c r="F49" s="164"/>
      <c r="G49" s="164"/>
      <c r="H49" s="164"/>
      <c r="I49" s="164"/>
      <c r="J49" s="164"/>
    </row>
    <row r="50" ht="22.5" customHeight="1">
      <c r="A50" s="164"/>
      <c r="B50" s="164"/>
      <c r="C50" s="164"/>
      <c r="D50" s="164"/>
      <c r="E50" s="164"/>
      <c r="F50" s="164"/>
      <c r="G50" s="164"/>
      <c r="H50" s="164"/>
      <c r="I50" s="164"/>
      <c r="J50" s="164"/>
    </row>
    <row r="51" ht="22.5" customHeight="1">
      <c r="A51" s="164"/>
      <c r="B51" s="164"/>
      <c r="C51" s="164"/>
      <c r="D51" s="164"/>
      <c r="E51" s="164"/>
      <c r="F51" s="164"/>
      <c r="G51" s="164"/>
      <c r="H51" s="164"/>
      <c r="I51" s="164"/>
      <c r="J51" s="164"/>
    </row>
    <row r="52" ht="22.5" customHeight="1">
      <c r="A52" s="164"/>
      <c r="B52" s="164"/>
      <c r="C52" s="164"/>
      <c r="D52" s="164"/>
      <c r="E52" s="164"/>
      <c r="F52" s="164"/>
      <c r="G52" s="164"/>
      <c r="H52" s="164"/>
      <c r="I52" s="164"/>
      <c r="J52" s="164"/>
    </row>
    <row r="53" ht="22.5" customHeight="1">
      <c r="A53" s="164"/>
      <c r="B53" s="164"/>
      <c r="C53" s="164"/>
      <c r="D53" s="164"/>
      <c r="E53" s="164"/>
      <c r="F53" s="164"/>
      <c r="G53" s="164"/>
      <c r="H53" s="164"/>
      <c r="I53" s="164"/>
      <c r="J53" s="164"/>
    </row>
    <row r="54" ht="22.5" customHeight="1">
      <c r="A54" s="164"/>
      <c r="B54" s="164"/>
      <c r="C54" s="164"/>
      <c r="D54" s="164"/>
      <c r="E54" s="164"/>
      <c r="F54" s="164"/>
      <c r="G54" s="164"/>
      <c r="H54" s="164"/>
      <c r="I54" s="164"/>
      <c r="J54" s="164"/>
    </row>
    <row r="55" ht="22.5" customHeight="1">
      <c r="A55" s="164"/>
      <c r="B55" s="164"/>
      <c r="C55" s="164"/>
      <c r="D55" s="164"/>
      <c r="E55" s="164"/>
      <c r="F55" s="164"/>
      <c r="G55" s="164"/>
      <c r="H55" s="164"/>
      <c r="I55" s="164"/>
      <c r="J55" s="164"/>
    </row>
    <row r="56" ht="22.5" customHeight="1">
      <c r="A56" s="164"/>
      <c r="B56" s="164"/>
      <c r="C56" s="164"/>
      <c r="D56" s="164"/>
      <c r="E56" s="164"/>
      <c r="F56" s="164"/>
      <c r="G56" s="164"/>
      <c r="H56" s="164"/>
      <c r="I56" s="164"/>
      <c r="J56" s="164"/>
    </row>
    <row r="57" ht="22.5" customHeight="1">
      <c r="A57" s="164"/>
      <c r="B57" s="164"/>
      <c r="C57" s="164"/>
      <c r="D57" s="164"/>
      <c r="E57" s="164"/>
      <c r="F57" s="164"/>
      <c r="G57" s="164"/>
      <c r="H57" s="164"/>
      <c r="I57" s="164"/>
      <c r="J57" s="164"/>
    </row>
    <row r="58" ht="22.5" customHeight="1">
      <c r="A58" s="164"/>
      <c r="B58" s="164"/>
      <c r="C58" s="164"/>
      <c r="D58" s="164"/>
      <c r="E58" s="164"/>
      <c r="F58" s="164"/>
      <c r="G58" s="164"/>
      <c r="H58" s="164"/>
      <c r="I58" s="164"/>
      <c r="J58" s="164"/>
    </row>
    <row r="59" ht="22.5" customHeight="1">
      <c r="A59" s="164"/>
      <c r="B59" s="164"/>
      <c r="C59" s="164"/>
      <c r="D59" s="164"/>
      <c r="E59" s="164"/>
      <c r="F59" s="164"/>
      <c r="G59" s="164"/>
      <c r="H59" s="164"/>
      <c r="I59" s="164"/>
      <c r="J59" s="164"/>
    </row>
    <row r="60" ht="22.5" customHeight="1">
      <c r="A60" s="164"/>
      <c r="B60" s="164"/>
      <c r="C60" s="164"/>
      <c r="D60" s="164"/>
      <c r="E60" s="164"/>
      <c r="F60" s="164"/>
      <c r="G60" s="164"/>
      <c r="H60" s="164"/>
      <c r="I60" s="164"/>
      <c r="J60" s="164"/>
    </row>
    <row r="61" ht="22.5" customHeight="1">
      <c r="A61" s="164"/>
      <c r="B61" s="164"/>
      <c r="C61" s="164"/>
      <c r="D61" s="164"/>
      <c r="E61" s="164"/>
      <c r="F61" s="164"/>
      <c r="G61" s="164"/>
      <c r="H61" s="164"/>
      <c r="I61" s="164"/>
      <c r="J61" s="164"/>
    </row>
    <row r="62" ht="22.5" customHeight="1">
      <c r="A62" s="164"/>
      <c r="B62" s="164"/>
      <c r="C62" s="164"/>
      <c r="D62" s="164"/>
      <c r="E62" s="164"/>
      <c r="F62" s="164"/>
      <c r="G62" s="164"/>
      <c r="H62" s="164"/>
      <c r="I62" s="164"/>
      <c r="J62" s="164"/>
    </row>
    <row r="63" ht="22.5" customHeight="1">
      <c r="A63" s="164"/>
      <c r="B63" s="164"/>
      <c r="C63" s="164"/>
      <c r="D63" s="164"/>
      <c r="E63" s="164"/>
      <c r="F63" s="164"/>
      <c r="G63" s="164"/>
      <c r="H63" s="164"/>
      <c r="I63" s="164"/>
      <c r="J63" s="164"/>
    </row>
    <row r="64" ht="22.5" customHeight="1">
      <c r="A64" s="164"/>
      <c r="B64" s="164"/>
      <c r="C64" s="164"/>
      <c r="D64" s="164"/>
      <c r="E64" s="164"/>
      <c r="F64" s="164"/>
      <c r="G64" s="164"/>
      <c r="H64" s="164"/>
      <c r="I64" s="164"/>
      <c r="J64" s="164"/>
    </row>
    <row r="65" ht="22.5" customHeight="1">
      <c r="A65" s="164"/>
      <c r="B65" s="164"/>
      <c r="C65" s="164"/>
      <c r="D65" s="164"/>
      <c r="E65" s="164"/>
      <c r="F65" s="164"/>
      <c r="G65" s="164"/>
      <c r="H65" s="164"/>
      <c r="I65" s="164"/>
      <c r="J65" s="164"/>
    </row>
    <row r="66" ht="22.5" customHeight="1">
      <c r="A66" s="164"/>
      <c r="B66" s="164"/>
      <c r="C66" s="164"/>
      <c r="D66" s="164"/>
      <c r="E66" s="164"/>
      <c r="F66" s="164"/>
      <c r="G66" s="164"/>
      <c r="H66" s="164"/>
      <c r="I66" s="164"/>
      <c r="J66" s="164"/>
    </row>
    <row r="67" ht="22.5" customHeight="1">
      <c r="A67" s="164"/>
      <c r="B67" s="164"/>
      <c r="C67" s="164"/>
      <c r="D67" s="164"/>
      <c r="E67" s="164"/>
      <c r="F67" s="164"/>
      <c r="G67" s="164"/>
      <c r="H67" s="164"/>
      <c r="I67" s="164"/>
      <c r="J67" s="164"/>
    </row>
    <row r="68" ht="22.5" customHeight="1">
      <c r="A68" s="164"/>
      <c r="B68" s="164"/>
      <c r="C68" s="164"/>
      <c r="D68" s="164"/>
      <c r="E68" s="164"/>
      <c r="F68" s="164"/>
      <c r="G68" s="164"/>
      <c r="H68" s="164"/>
      <c r="I68" s="164"/>
      <c r="J68" s="164"/>
    </row>
    <row r="69" ht="22.5" customHeight="1">
      <c r="A69" s="164"/>
      <c r="B69" s="164"/>
      <c r="C69" s="164"/>
      <c r="D69" s="164"/>
      <c r="E69" s="164"/>
      <c r="F69" s="164"/>
      <c r="G69" s="164"/>
      <c r="H69" s="164"/>
      <c r="I69" s="164"/>
      <c r="J69" s="164"/>
    </row>
    <row r="70" ht="22.5" customHeight="1">
      <c r="A70" s="164"/>
      <c r="B70" s="164"/>
      <c r="C70" s="164"/>
      <c r="D70" s="164"/>
      <c r="E70" s="164"/>
      <c r="F70" s="164"/>
      <c r="G70" s="164"/>
      <c r="H70" s="164"/>
      <c r="I70" s="164"/>
      <c r="J70" s="164"/>
    </row>
    <row r="71" ht="22.5" customHeight="1">
      <c r="A71" s="164"/>
      <c r="B71" s="164"/>
      <c r="C71" s="164"/>
      <c r="D71" s="164"/>
      <c r="E71" s="164"/>
      <c r="F71" s="164"/>
      <c r="G71" s="164"/>
      <c r="H71" s="164"/>
      <c r="I71" s="164"/>
      <c r="J71" s="164"/>
    </row>
    <row r="72" ht="22.5" customHeight="1">
      <c r="A72" s="164"/>
      <c r="B72" s="164"/>
      <c r="C72" s="164"/>
      <c r="D72" s="164"/>
      <c r="E72" s="164"/>
      <c r="F72" s="164"/>
      <c r="G72" s="164"/>
      <c r="H72" s="164"/>
      <c r="I72" s="164"/>
      <c r="J72" s="164"/>
    </row>
    <row r="73" ht="22.5" customHeight="1">
      <c r="A73" s="164"/>
      <c r="B73" s="164"/>
      <c r="C73" s="164"/>
      <c r="D73" s="164"/>
      <c r="E73" s="164"/>
      <c r="F73" s="164"/>
      <c r="G73" s="164"/>
      <c r="H73" s="164"/>
      <c r="I73" s="164"/>
      <c r="J73" s="164"/>
    </row>
    <row r="74" ht="22.5" customHeight="1">
      <c r="A74" s="164"/>
      <c r="B74" s="164"/>
      <c r="C74" s="164"/>
      <c r="D74" s="164"/>
      <c r="E74" s="164"/>
      <c r="F74" s="164"/>
      <c r="G74" s="164"/>
      <c r="H74" s="164"/>
      <c r="I74" s="164"/>
      <c r="J74" s="164"/>
    </row>
    <row r="75" ht="22.5" customHeight="1">
      <c r="A75" s="164"/>
      <c r="B75" s="164"/>
      <c r="C75" s="164"/>
      <c r="D75" s="164"/>
      <c r="E75" s="164"/>
      <c r="F75" s="164"/>
      <c r="G75" s="164"/>
      <c r="H75" s="164"/>
      <c r="I75" s="164"/>
      <c r="J75" s="164"/>
    </row>
    <row r="76" ht="22.5" customHeight="1">
      <c r="A76" s="164"/>
      <c r="B76" s="164"/>
      <c r="C76" s="164"/>
      <c r="D76" s="164"/>
      <c r="E76" s="164"/>
      <c r="F76" s="164"/>
      <c r="G76" s="164"/>
      <c r="H76" s="164"/>
      <c r="I76" s="164"/>
      <c r="J76" s="164"/>
    </row>
    <row r="77" ht="22.5" customHeight="1">
      <c r="A77" s="164"/>
      <c r="B77" s="164"/>
      <c r="C77" s="164"/>
      <c r="D77" s="164"/>
      <c r="E77" s="164"/>
      <c r="F77" s="164"/>
      <c r="G77" s="164"/>
      <c r="H77" s="164"/>
      <c r="I77" s="164"/>
      <c r="J77" s="164"/>
    </row>
    <row r="78" ht="22.5" customHeight="1">
      <c r="A78" s="164"/>
      <c r="B78" s="164"/>
      <c r="C78" s="164"/>
      <c r="D78" s="164"/>
      <c r="E78" s="164"/>
      <c r="F78" s="164"/>
      <c r="G78" s="164"/>
      <c r="H78" s="164"/>
      <c r="I78" s="164"/>
      <c r="J78" s="164"/>
    </row>
    <row r="79" ht="22.5" customHeight="1">
      <c r="A79" s="164"/>
      <c r="B79" s="164"/>
      <c r="C79" s="164"/>
      <c r="D79" s="164"/>
      <c r="E79" s="164"/>
      <c r="F79" s="164"/>
      <c r="G79" s="164"/>
      <c r="H79" s="164"/>
      <c r="I79" s="164"/>
      <c r="J79" s="164"/>
    </row>
    <row r="80" ht="22.5" customHeight="1">
      <c r="A80" s="164"/>
      <c r="B80" s="164"/>
      <c r="C80" s="164"/>
      <c r="D80" s="164"/>
      <c r="E80" s="164"/>
      <c r="F80" s="164"/>
      <c r="G80" s="164"/>
      <c r="H80" s="164"/>
      <c r="I80" s="164"/>
      <c r="J80" s="164"/>
    </row>
    <row r="81" ht="22.5" customHeight="1">
      <c r="A81" s="164"/>
      <c r="B81" s="164"/>
      <c r="C81" s="164"/>
      <c r="D81" s="164"/>
      <c r="E81" s="164"/>
      <c r="F81" s="164"/>
      <c r="G81" s="164"/>
      <c r="H81" s="164"/>
      <c r="I81" s="164"/>
      <c r="J81" s="164"/>
    </row>
    <row r="82" ht="22.5" customHeight="1">
      <c r="A82" s="164"/>
      <c r="B82" s="164"/>
      <c r="C82" s="164"/>
      <c r="D82" s="164"/>
      <c r="E82" s="164"/>
      <c r="F82" s="164"/>
      <c r="G82" s="164"/>
      <c r="H82" s="164"/>
      <c r="I82" s="164"/>
      <c r="J82" s="164"/>
    </row>
    <row r="83" ht="22.5" customHeight="1">
      <c r="A83" s="164"/>
      <c r="B83" s="164"/>
      <c r="C83" s="164"/>
      <c r="D83" s="164"/>
      <c r="E83" s="164"/>
      <c r="F83" s="164"/>
      <c r="G83" s="164"/>
      <c r="H83" s="164"/>
      <c r="I83" s="164"/>
      <c r="J83" s="164"/>
    </row>
    <row r="84" ht="22.5" customHeight="1">
      <c r="A84" s="164"/>
      <c r="B84" s="164"/>
      <c r="C84" s="164"/>
      <c r="D84" s="164"/>
      <c r="E84" s="164"/>
      <c r="F84" s="164"/>
      <c r="G84" s="164"/>
      <c r="H84" s="164"/>
      <c r="I84" s="164"/>
      <c r="J84" s="164"/>
    </row>
    <row r="85" ht="22.5" customHeight="1">
      <c r="A85" s="164"/>
      <c r="B85" s="164"/>
      <c r="C85" s="164"/>
      <c r="D85" s="164"/>
      <c r="E85" s="164"/>
      <c r="F85" s="164"/>
      <c r="G85" s="164"/>
      <c r="H85" s="164"/>
      <c r="I85" s="164"/>
      <c r="J85" s="164"/>
    </row>
    <row r="86" ht="22.5" customHeight="1">
      <c r="A86" s="164"/>
      <c r="B86" s="164"/>
      <c r="C86" s="164"/>
      <c r="D86" s="164"/>
      <c r="E86" s="164"/>
      <c r="F86" s="164"/>
      <c r="G86" s="164"/>
      <c r="H86" s="164"/>
      <c r="I86" s="164"/>
      <c r="J86" s="164"/>
    </row>
    <row r="87" ht="22.5" customHeight="1">
      <c r="A87" s="164"/>
      <c r="B87" s="164"/>
      <c r="C87" s="164"/>
      <c r="D87" s="164"/>
      <c r="E87" s="164"/>
      <c r="F87" s="164"/>
      <c r="G87" s="164"/>
      <c r="H87" s="164"/>
      <c r="I87" s="164"/>
      <c r="J87" s="164"/>
    </row>
    <row r="88" ht="22.5" customHeight="1">
      <c r="A88" s="164"/>
      <c r="B88" s="164"/>
      <c r="C88" s="164"/>
      <c r="D88" s="164"/>
      <c r="E88" s="164"/>
      <c r="F88" s="164"/>
      <c r="G88" s="164"/>
      <c r="H88" s="164"/>
      <c r="I88" s="164"/>
      <c r="J88" s="164"/>
    </row>
    <row r="89" ht="22.5" customHeight="1">
      <c r="A89" s="164"/>
      <c r="B89" s="164"/>
      <c r="C89" s="164"/>
      <c r="D89" s="164"/>
      <c r="E89" s="164"/>
      <c r="F89" s="164"/>
      <c r="G89" s="164"/>
      <c r="H89" s="164"/>
      <c r="I89" s="164"/>
      <c r="J89" s="164"/>
    </row>
    <row r="90" ht="22.5" customHeight="1">
      <c r="A90" s="164"/>
      <c r="B90" s="164"/>
      <c r="C90" s="164"/>
      <c r="D90" s="164"/>
      <c r="E90" s="164"/>
      <c r="F90" s="164"/>
      <c r="G90" s="164"/>
      <c r="H90" s="164"/>
      <c r="I90" s="164"/>
      <c r="J90" s="164"/>
    </row>
    <row r="91" ht="22.5" customHeight="1">
      <c r="A91" s="164"/>
      <c r="B91" s="164"/>
      <c r="C91" s="164"/>
      <c r="D91" s="164"/>
      <c r="E91" s="164"/>
      <c r="F91" s="164"/>
      <c r="G91" s="164"/>
      <c r="H91" s="164"/>
      <c r="I91" s="164"/>
      <c r="J91" s="164"/>
    </row>
    <row r="92" ht="22.5" customHeight="1">
      <c r="A92" s="164"/>
      <c r="B92" s="164"/>
      <c r="C92" s="164"/>
      <c r="D92" s="164"/>
      <c r="E92" s="164"/>
      <c r="F92" s="164"/>
      <c r="G92" s="164"/>
      <c r="H92" s="164"/>
      <c r="I92" s="164"/>
      <c r="J92" s="164"/>
    </row>
    <row r="93" ht="22.5" customHeight="1">
      <c r="A93" s="164"/>
      <c r="B93" s="164"/>
      <c r="C93" s="164"/>
      <c r="D93" s="164"/>
      <c r="E93" s="164"/>
      <c r="F93" s="164"/>
      <c r="G93" s="164"/>
      <c r="H93" s="164"/>
      <c r="I93" s="164"/>
      <c r="J93" s="164"/>
    </row>
    <row r="94" ht="22.5" customHeight="1">
      <c r="A94" s="164"/>
      <c r="B94" s="164"/>
      <c r="C94" s="164"/>
      <c r="D94" s="164"/>
      <c r="E94" s="164"/>
      <c r="F94" s="164"/>
      <c r="G94" s="164"/>
      <c r="H94" s="164"/>
      <c r="I94" s="164"/>
      <c r="J94" s="164"/>
    </row>
    <row r="95" ht="22.5" customHeight="1">
      <c r="A95" s="164"/>
      <c r="B95" s="164"/>
      <c r="C95" s="164"/>
      <c r="D95" s="164"/>
      <c r="E95" s="164"/>
      <c r="F95" s="164"/>
      <c r="G95" s="164"/>
      <c r="H95" s="164"/>
      <c r="I95" s="164"/>
      <c r="J95" s="164"/>
    </row>
    <row r="96" ht="22.5" customHeight="1">
      <c r="A96" s="164"/>
      <c r="B96" s="164"/>
      <c r="C96" s="164"/>
      <c r="D96" s="164"/>
      <c r="E96" s="164"/>
      <c r="F96" s="164"/>
      <c r="G96" s="164"/>
      <c r="H96" s="164"/>
      <c r="I96" s="164"/>
      <c r="J96" s="164"/>
    </row>
    <row r="97" ht="22.5" customHeight="1">
      <c r="A97" s="164"/>
      <c r="B97" s="164"/>
      <c r="C97" s="164"/>
      <c r="D97" s="164"/>
      <c r="E97" s="164"/>
      <c r="F97" s="164"/>
      <c r="G97" s="164"/>
      <c r="H97" s="164"/>
      <c r="I97" s="164"/>
      <c r="J97" s="164"/>
    </row>
    <row r="98" ht="22.5" customHeight="1">
      <c r="A98" s="164"/>
      <c r="B98" s="164"/>
      <c r="C98" s="164"/>
      <c r="D98" s="164"/>
      <c r="E98" s="164"/>
      <c r="F98" s="164"/>
      <c r="G98" s="164"/>
      <c r="H98" s="164"/>
      <c r="I98" s="164"/>
      <c r="J98" s="164"/>
    </row>
    <row r="99" ht="22.5" customHeight="1">
      <c r="A99" s="164"/>
      <c r="B99" s="164"/>
      <c r="C99" s="164"/>
      <c r="D99" s="164"/>
      <c r="E99" s="164"/>
      <c r="F99" s="164"/>
      <c r="G99" s="164"/>
      <c r="H99" s="164"/>
      <c r="I99" s="164"/>
      <c r="J99" s="164"/>
    </row>
    <row r="100" ht="22.5" customHeight="1">
      <c r="A100" s="164"/>
      <c r="B100" s="164"/>
      <c r="C100" s="164"/>
      <c r="D100" s="164"/>
      <c r="E100" s="164"/>
      <c r="F100" s="164"/>
      <c r="G100" s="164"/>
      <c r="H100" s="164"/>
      <c r="I100" s="164"/>
      <c r="J100" s="164"/>
    </row>
    <row r="101" ht="22.5" customHeight="1">
      <c r="A101" s="164"/>
      <c r="B101" s="164"/>
      <c r="C101" s="164"/>
      <c r="D101" s="164"/>
      <c r="E101" s="164"/>
      <c r="F101" s="164"/>
      <c r="G101" s="164"/>
      <c r="H101" s="164"/>
      <c r="I101" s="164"/>
      <c r="J101" s="164"/>
    </row>
    <row r="102" ht="22.5" customHeight="1">
      <c r="A102" s="164"/>
      <c r="B102" s="164"/>
      <c r="C102" s="164"/>
      <c r="D102" s="164"/>
      <c r="E102" s="164"/>
      <c r="F102" s="164"/>
      <c r="G102" s="164"/>
      <c r="H102" s="164"/>
      <c r="I102" s="164"/>
      <c r="J102" s="164"/>
    </row>
    <row r="103" ht="22.5" customHeight="1">
      <c r="A103" s="164"/>
      <c r="B103" s="164"/>
      <c r="C103" s="164"/>
      <c r="D103" s="164"/>
      <c r="E103" s="164"/>
      <c r="F103" s="164"/>
      <c r="G103" s="164"/>
      <c r="H103" s="164"/>
      <c r="I103" s="164"/>
      <c r="J103" s="164"/>
    </row>
    <row r="104" ht="22.5" customHeight="1">
      <c r="A104" s="164"/>
      <c r="B104" s="164"/>
      <c r="C104" s="164"/>
      <c r="D104" s="164"/>
      <c r="E104" s="164"/>
      <c r="F104" s="164"/>
      <c r="G104" s="164"/>
      <c r="H104" s="164"/>
      <c r="I104" s="164"/>
      <c r="J104" s="164"/>
    </row>
    <row r="105" ht="22.5" customHeight="1">
      <c r="A105" s="164"/>
      <c r="B105" s="164"/>
      <c r="C105" s="164"/>
      <c r="D105" s="164"/>
      <c r="E105" s="164"/>
      <c r="F105" s="164"/>
      <c r="G105" s="164"/>
      <c r="H105" s="164"/>
      <c r="I105" s="164"/>
      <c r="J105" s="164"/>
    </row>
    <row r="106" ht="22.5" customHeight="1">
      <c r="A106" s="164"/>
      <c r="B106" s="164"/>
      <c r="C106" s="164"/>
      <c r="D106" s="164"/>
      <c r="E106" s="164"/>
      <c r="F106" s="164"/>
      <c r="G106" s="164"/>
      <c r="H106" s="164"/>
      <c r="I106" s="164"/>
      <c r="J106" s="164"/>
    </row>
    <row r="107" ht="22.5" customHeight="1">
      <c r="A107" s="164"/>
      <c r="B107" s="164"/>
      <c r="C107" s="164"/>
      <c r="D107" s="164"/>
      <c r="E107" s="164"/>
      <c r="F107" s="164"/>
      <c r="G107" s="164"/>
      <c r="H107" s="164"/>
      <c r="I107" s="164"/>
      <c r="J107" s="164"/>
    </row>
    <row r="108" ht="22.5" customHeight="1">
      <c r="A108" s="164"/>
      <c r="B108" s="164"/>
      <c r="C108" s="164"/>
      <c r="D108" s="164"/>
      <c r="E108" s="164"/>
      <c r="F108" s="164"/>
      <c r="G108" s="164"/>
      <c r="H108" s="164"/>
      <c r="I108" s="164"/>
      <c r="J108" s="164"/>
    </row>
    <row r="109" ht="22.5" customHeight="1">
      <c r="A109" s="164"/>
      <c r="B109" s="164"/>
      <c r="C109" s="164"/>
      <c r="D109" s="164"/>
      <c r="E109" s="164"/>
      <c r="F109" s="164"/>
      <c r="G109" s="164"/>
      <c r="H109" s="164"/>
      <c r="I109" s="164"/>
      <c r="J109" s="164"/>
    </row>
    <row r="110" ht="22.5" customHeight="1">
      <c r="A110" s="164"/>
      <c r="B110" s="164"/>
      <c r="C110" s="164"/>
      <c r="D110" s="164"/>
      <c r="E110" s="164"/>
      <c r="F110" s="164"/>
      <c r="G110" s="164"/>
      <c r="H110" s="164"/>
      <c r="I110" s="164"/>
      <c r="J110" s="164"/>
    </row>
    <row r="111" ht="22.5" customHeight="1">
      <c r="A111" s="164"/>
      <c r="B111" s="164"/>
      <c r="C111" s="164"/>
      <c r="D111" s="164"/>
      <c r="E111" s="164"/>
      <c r="F111" s="164"/>
      <c r="G111" s="164"/>
      <c r="H111" s="164"/>
      <c r="I111" s="164"/>
      <c r="J111" s="164"/>
    </row>
    <row r="112" ht="22.5" customHeight="1">
      <c r="A112" s="164"/>
      <c r="B112" s="164"/>
      <c r="C112" s="164"/>
      <c r="D112" s="164"/>
      <c r="E112" s="164"/>
      <c r="F112" s="164"/>
      <c r="G112" s="164"/>
      <c r="H112" s="164"/>
      <c r="I112" s="164"/>
      <c r="J112" s="164"/>
    </row>
    <row r="113" ht="22.5" customHeight="1">
      <c r="A113" s="164"/>
      <c r="B113" s="164"/>
      <c r="C113" s="164"/>
      <c r="D113" s="164"/>
      <c r="E113" s="164"/>
      <c r="F113" s="164"/>
      <c r="G113" s="164"/>
      <c r="H113" s="164"/>
      <c r="I113" s="164"/>
      <c r="J113" s="164"/>
    </row>
    <row r="114" ht="22.5" customHeight="1">
      <c r="A114" s="164"/>
      <c r="B114" s="164"/>
      <c r="C114" s="164"/>
      <c r="D114" s="164"/>
      <c r="E114" s="164"/>
      <c r="F114" s="164"/>
      <c r="G114" s="164"/>
      <c r="H114" s="164"/>
      <c r="I114" s="164"/>
      <c r="J114" s="164"/>
    </row>
    <row r="115" ht="22.5" customHeight="1">
      <c r="A115" s="164"/>
      <c r="B115" s="164"/>
      <c r="C115" s="164"/>
      <c r="D115" s="164"/>
      <c r="E115" s="164"/>
      <c r="F115" s="164"/>
      <c r="G115" s="164"/>
      <c r="H115" s="164"/>
      <c r="I115" s="164"/>
      <c r="J115" s="164"/>
    </row>
    <row r="116" ht="22.5" customHeight="1">
      <c r="A116" s="164"/>
      <c r="B116" s="164"/>
      <c r="C116" s="164"/>
      <c r="D116" s="164"/>
      <c r="E116" s="164"/>
      <c r="F116" s="164"/>
      <c r="G116" s="164"/>
      <c r="H116" s="164"/>
      <c r="I116" s="164"/>
      <c r="J116" s="164"/>
    </row>
    <row r="117" ht="22.5" customHeight="1">
      <c r="A117" s="164"/>
      <c r="B117" s="164"/>
      <c r="C117" s="164"/>
      <c r="D117" s="164"/>
      <c r="E117" s="164"/>
      <c r="F117" s="164"/>
      <c r="G117" s="164"/>
      <c r="H117" s="164"/>
      <c r="I117" s="164"/>
      <c r="J117" s="164"/>
    </row>
    <row r="118" ht="22.5" customHeight="1">
      <c r="A118" s="164"/>
      <c r="B118" s="164"/>
      <c r="C118" s="164"/>
      <c r="D118" s="164"/>
      <c r="E118" s="164"/>
      <c r="F118" s="164"/>
      <c r="G118" s="164"/>
      <c r="H118" s="164"/>
      <c r="I118" s="164"/>
      <c r="J118" s="164"/>
    </row>
    <row r="119" ht="22.5" customHeight="1">
      <c r="A119" s="164"/>
      <c r="B119" s="164"/>
      <c r="C119" s="164"/>
      <c r="D119" s="164"/>
      <c r="E119" s="164"/>
      <c r="F119" s="164"/>
      <c r="G119" s="164"/>
      <c r="H119" s="164"/>
      <c r="I119" s="164"/>
      <c r="J119" s="164"/>
    </row>
    <row r="120" ht="22.5" customHeight="1">
      <c r="A120" s="164"/>
      <c r="B120" s="164"/>
      <c r="C120" s="164"/>
      <c r="D120" s="164"/>
      <c r="E120" s="164"/>
      <c r="F120" s="164"/>
      <c r="G120" s="164"/>
      <c r="H120" s="164"/>
      <c r="I120" s="164"/>
      <c r="J120" s="164"/>
    </row>
    <row r="121" ht="22.5" customHeight="1">
      <c r="A121" s="164"/>
      <c r="B121" s="164"/>
      <c r="C121" s="164"/>
      <c r="D121" s="164"/>
      <c r="E121" s="164"/>
      <c r="F121" s="164"/>
      <c r="G121" s="164"/>
      <c r="H121" s="164"/>
      <c r="I121" s="164"/>
      <c r="J121" s="164"/>
    </row>
    <row r="122" ht="22.5" customHeight="1">
      <c r="A122" s="164"/>
      <c r="B122" s="164"/>
      <c r="C122" s="164"/>
      <c r="D122" s="164"/>
      <c r="E122" s="164"/>
      <c r="F122" s="164"/>
      <c r="G122" s="164"/>
      <c r="H122" s="164"/>
      <c r="I122" s="164"/>
      <c r="J122" s="164"/>
    </row>
    <row r="123" ht="22.5" customHeight="1">
      <c r="A123" s="164"/>
      <c r="B123" s="164"/>
      <c r="C123" s="164"/>
      <c r="D123" s="164"/>
      <c r="E123" s="164"/>
      <c r="F123" s="164"/>
      <c r="G123" s="164"/>
      <c r="H123" s="164"/>
      <c r="I123" s="164"/>
      <c r="J123" s="164"/>
    </row>
    <row r="124" ht="22.5" customHeight="1">
      <c r="A124" s="164"/>
      <c r="B124" s="164"/>
      <c r="C124" s="164"/>
      <c r="D124" s="164"/>
      <c r="E124" s="164"/>
      <c r="F124" s="164"/>
      <c r="G124" s="164"/>
      <c r="H124" s="164"/>
      <c r="I124" s="164"/>
      <c r="J124" s="164"/>
    </row>
    <row r="125" ht="22.5" customHeight="1">
      <c r="A125" s="164"/>
      <c r="B125" s="164"/>
      <c r="C125" s="164"/>
      <c r="D125" s="164"/>
      <c r="E125" s="164"/>
      <c r="F125" s="164"/>
      <c r="G125" s="164"/>
      <c r="H125" s="164"/>
      <c r="I125" s="164"/>
      <c r="J125" s="164"/>
    </row>
    <row r="126" ht="22.5" customHeight="1">
      <c r="A126" s="164"/>
      <c r="B126" s="164"/>
      <c r="C126" s="164"/>
      <c r="D126" s="164"/>
      <c r="E126" s="164"/>
      <c r="F126" s="164"/>
      <c r="G126" s="164"/>
      <c r="H126" s="164"/>
      <c r="I126" s="164"/>
      <c r="J126" s="164"/>
    </row>
    <row r="127" ht="22.5" customHeight="1">
      <c r="A127" s="164"/>
      <c r="B127" s="164"/>
      <c r="C127" s="164"/>
      <c r="D127" s="164"/>
      <c r="E127" s="164"/>
      <c r="F127" s="164"/>
      <c r="G127" s="164"/>
      <c r="H127" s="164"/>
      <c r="I127" s="164"/>
      <c r="J127" s="164"/>
    </row>
    <row r="128" ht="22.5" customHeight="1">
      <c r="A128" s="164"/>
      <c r="B128" s="164"/>
      <c r="C128" s="164"/>
      <c r="D128" s="164"/>
      <c r="E128" s="164"/>
      <c r="F128" s="164"/>
      <c r="G128" s="164"/>
      <c r="H128" s="164"/>
      <c r="I128" s="164"/>
      <c r="J128" s="164"/>
    </row>
    <row r="129" ht="22.5" customHeight="1">
      <c r="A129" s="164"/>
      <c r="B129" s="164"/>
      <c r="C129" s="164"/>
      <c r="D129" s="164"/>
      <c r="E129" s="164"/>
      <c r="F129" s="164"/>
      <c r="G129" s="164"/>
      <c r="H129" s="164"/>
      <c r="I129" s="164"/>
      <c r="J129" s="164"/>
    </row>
    <row r="130" ht="22.5" customHeight="1">
      <c r="A130" s="164"/>
      <c r="B130" s="164"/>
      <c r="C130" s="164"/>
      <c r="D130" s="164"/>
      <c r="E130" s="164"/>
      <c r="F130" s="164"/>
      <c r="G130" s="164"/>
      <c r="H130" s="164"/>
      <c r="I130" s="164"/>
      <c r="J130" s="164"/>
    </row>
    <row r="131" ht="22.5" customHeight="1">
      <c r="A131" s="164"/>
      <c r="B131" s="164"/>
      <c r="C131" s="164"/>
      <c r="D131" s="164"/>
      <c r="E131" s="164"/>
      <c r="F131" s="164"/>
      <c r="G131" s="164"/>
      <c r="H131" s="164"/>
      <c r="I131" s="164"/>
      <c r="J131" s="164"/>
    </row>
    <row r="132" ht="22.5" customHeight="1">
      <c r="A132" s="164"/>
      <c r="B132" s="164"/>
      <c r="C132" s="164"/>
      <c r="D132" s="164"/>
      <c r="E132" s="164"/>
      <c r="F132" s="164"/>
      <c r="G132" s="164"/>
      <c r="H132" s="164"/>
      <c r="I132" s="164"/>
      <c r="J132" s="164"/>
    </row>
    <row r="133" ht="22.5" customHeight="1">
      <c r="A133" s="164"/>
      <c r="B133" s="164"/>
      <c r="C133" s="164"/>
      <c r="D133" s="164"/>
      <c r="E133" s="164"/>
      <c r="F133" s="164"/>
      <c r="G133" s="164"/>
      <c r="H133" s="164"/>
      <c r="I133" s="164"/>
      <c r="J133" s="164"/>
    </row>
    <row r="134" ht="22.5" customHeight="1">
      <c r="A134" s="164"/>
      <c r="B134" s="164"/>
      <c r="C134" s="164"/>
      <c r="D134" s="164"/>
      <c r="E134" s="164"/>
      <c r="F134" s="164"/>
      <c r="G134" s="164"/>
      <c r="H134" s="164"/>
      <c r="I134" s="164"/>
      <c r="J134" s="164"/>
    </row>
    <row r="135" ht="22.5" customHeight="1">
      <c r="A135" s="164"/>
      <c r="B135" s="164"/>
      <c r="C135" s="164"/>
      <c r="D135" s="164"/>
      <c r="E135" s="164"/>
      <c r="F135" s="164"/>
      <c r="G135" s="164"/>
      <c r="H135" s="164"/>
      <c r="I135" s="164"/>
      <c r="J135" s="164"/>
    </row>
    <row r="136" ht="22.5" customHeight="1">
      <c r="A136" s="164"/>
      <c r="B136" s="164"/>
      <c r="C136" s="164"/>
      <c r="D136" s="164"/>
      <c r="E136" s="164"/>
      <c r="F136" s="164"/>
      <c r="G136" s="164"/>
      <c r="H136" s="164"/>
      <c r="I136" s="164"/>
      <c r="J136" s="164"/>
    </row>
    <row r="137" ht="22.5" customHeight="1">
      <c r="A137" s="164"/>
      <c r="B137" s="164"/>
      <c r="C137" s="164"/>
      <c r="D137" s="164"/>
      <c r="E137" s="164"/>
      <c r="F137" s="164"/>
      <c r="G137" s="164"/>
      <c r="H137" s="164"/>
      <c r="I137" s="164"/>
      <c r="J137" s="164"/>
    </row>
    <row r="138" ht="22.5" customHeight="1">
      <c r="A138" s="164"/>
      <c r="B138" s="164"/>
      <c r="C138" s="164"/>
      <c r="D138" s="164"/>
      <c r="E138" s="164"/>
      <c r="F138" s="164"/>
      <c r="G138" s="164"/>
      <c r="H138" s="164"/>
      <c r="I138" s="164"/>
      <c r="J138" s="164"/>
    </row>
    <row r="139" ht="22.5" customHeight="1">
      <c r="A139" s="164"/>
      <c r="B139" s="164"/>
      <c r="C139" s="164"/>
      <c r="D139" s="164"/>
      <c r="E139" s="164"/>
      <c r="F139" s="164"/>
      <c r="G139" s="164"/>
      <c r="H139" s="164"/>
      <c r="I139" s="164"/>
      <c r="J139" s="164"/>
    </row>
    <row r="140" ht="22.5" customHeight="1">
      <c r="A140" s="164"/>
      <c r="B140" s="164"/>
      <c r="C140" s="164"/>
      <c r="D140" s="164"/>
      <c r="E140" s="164"/>
      <c r="F140" s="164"/>
      <c r="G140" s="164"/>
      <c r="H140" s="164"/>
      <c r="I140" s="164"/>
      <c r="J140" s="164"/>
    </row>
    <row r="141" ht="22.5" customHeight="1">
      <c r="A141" s="164"/>
      <c r="B141" s="164"/>
      <c r="C141" s="164"/>
      <c r="D141" s="164"/>
      <c r="E141" s="164"/>
      <c r="F141" s="164"/>
      <c r="G141" s="164"/>
      <c r="H141" s="164"/>
      <c r="I141" s="164"/>
      <c r="J141" s="164"/>
    </row>
    <row r="142" ht="22.5" customHeight="1">
      <c r="A142" s="164"/>
      <c r="B142" s="164"/>
      <c r="C142" s="164"/>
      <c r="D142" s="164"/>
      <c r="E142" s="164"/>
      <c r="F142" s="164"/>
      <c r="G142" s="164"/>
      <c r="H142" s="164"/>
      <c r="I142" s="164"/>
      <c r="J142" s="164"/>
    </row>
    <row r="143" ht="22.5" customHeight="1">
      <c r="A143" s="164"/>
      <c r="B143" s="164"/>
      <c r="C143" s="164"/>
      <c r="D143" s="164"/>
      <c r="E143" s="164"/>
      <c r="F143" s="164"/>
      <c r="G143" s="164"/>
      <c r="H143" s="164"/>
      <c r="I143" s="164"/>
      <c r="J143" s="164"/>
    </row>
    <row r="144" ht="22.5" customHeight="1">
      <c r="A144" s="164"/>
      <c r="B144" s="164"/>
      <c r="C144" s="164"/>
      <c r="D144" s="164"/>
      <c r="E144" s="164"/>
      <c r="F144" s="164"/>
      <c r="G144" s="164"/>
      <c r="H144" s="164"/>
      <c r="I144" s="164"/>
      <c r="J144" s="164"/>
    </row>
    <row r="145" ht="22.5" customHeight="1">
      <c r="A145" s="164"/>
      <c r="B145" s="164"/>
      <c r="C145" s="164"/>
      <c r="D145" s="164"/>
      <c r="E145" s="164"/>
      <c r="F145" s="164"/>
      <c r="G145" s="164"/>
      <c r="H145" s="164"/>
      <c r="I145" s="164"/>
      <c r="J145" s="164"/>
    </row>
    <row r="146" ht="22.5" customHeight="1">
      <c r="A146" s="164"/>
      <c r="B146" s="164"/>
      <c r="C146" s="164"/>
      <c r="D146" s="164"/>
      <c r="E146" s="164"/>
      <c r="F146" s="164"/>
      <c r="G146" s="164"/>
      <c r="H146" s="164"/>
      <c r="I146" s="164"/>
      <c r="J146" s="164"/>
    </row>
    <row r="147" ht="22.5" customHeight="1">
      <c r="A147" s="164"/>
      <c r="B147" s="164"/>
      <c r="C147" s="164"/>
      <c r="D147" s="164"/>
      <c r="E147" s="164"/>
      <c r="F147" s="164"/>
      <c r="G147" s="164"/>
      <c r="H147" s="164"/>
      <c r="I147" s="164"/>
      <c r="J147" s="164"/>
    </row>
    <row r="148" ht="22.5" customHeight="1">
      <c r="A148" s="164"/>
      <c r="B148" s="164"/>
      <c r="C148" s="164"/>
      <c r="D148" s="164"/>
      <c r="E148" s="164"/>
      <c r="F148" s="164"/>
      <c r="G148" s="164"/>
      <c r="H148" s="164"/>
      <c r="I148" s="164"/>
      <c r="J148" s="164"/>
    </row>
    <row r="149" ht="22.5" customHeight="1">
      <c r="A149" s="164"/>
      <c r="B149" s="164"/>
      <c r="C149" s="164"/>
      <c r="D149" s="164"/>
      <c r="E149" s="164"/>
      <c r="F149" s="164"/>
      <c r="G149" s="164"/>
      <c r="H149" s="164"/>
      <c r="I149" s="164"/>
      <c r="J149" s="164"/>
    </row>
    <row r="150" ht="22.5" customHeight="1">
      <c r="A150" s="164"/>
      <c r="B150" s="164"/>
      <c r="C150" s="164"/>
      <c r="D150" s="164"/>
      <c r="E150" s="164"/>
      <c r="F150" s="164"/>
      <c r="G150" s="164"/>
      <c r="H150" s="164"/>
      <c r="I150" s="164"/>
      <c r="J150" s="164"/>
    </row>
    <row r="151" ht="22.5" customHeight="1">
      <c r="A151" s="164"/>
      <c r="B151" s="164"/>
      <c r="C151" s="164"/>
      <c r="D151" s="164"/>
      <c r="E151" s="164"/>
      <c r="F151" s="164"/>
      <c r="G151" s="164"/>
      <c r="H151" s="164"/>
      <c r="I151" s="164"/>
      <c r="J151" s="164"/>
    </row>
    <row r="152" ht="22.5" customHeight="1">
      <c r="A152" s="164"/>
      <c r="B152" s="164"/>
      <c r="C152" s="164"/>
      <c r="D152" s="164"/>
      <c r="E152" s="164"/>
      <c r="F152" s="164"/>
      <c r="G152" s="164"/>
      <c r="H152" s="164"/>
      <c r="I152" s="164"/>
      <c r="J152" s="164"/>
    </row>
    <row r="153" ht="22.5" customHeight="1">
      <c r="A153" s="164"/>
      <c r="B153" s="164"/>
      <c r="C153" s="164"/>
      <c r="D153" s="164"/>
      <c r="E153" s="164"/>
      <c r="F153" s="164"/>
      <c r="G153" s="164"/>
      <c r="H153" s="164"/>
      <c r="I153" s="164"/>
      <c r="J153" s="164"/>
    </row>
    <row r="154" ht="22.5" customHeight="1">
      <c r="A154" s="164"/>
      <c r="B154" s="164"/>
      <c r="C154" s="164"/>
      <c r="D154" s="164"/>
      <c r="E154" s="164"/>
      <c r="F154" s="164"/>
      <c r="G154" s="164"/>
      <c r="H154" s="164"/>
      <c r="I154" s="164"/>
      <c r="J154" s="164"/>
    </row>
    <row r="155" ht="22.5" customHeight="1">
      <c r="A155" s="164"/>
      <c r="B155" s="164"/>
      <c r="C155" s="164"/>
      <c r="D155" s="164"/>
      <c r="E155" s="164"/>
      <c r="F155" s="164"/>
      <c r="G155" s="164"/>
      <c r="H155" s="164"/>
      <c r="I155" s="164"/>
      <c r="J155" s="164"/>
    </row>
    <row r="156" ht="22.5" customHeight="1">
      <c r="A156" s="164"/>
      <c r="B156" s="164"/>
      <c r="C156" s="164"/>
      <c r="D156" s="164"/>
      <c r="E156" s="164"/>
      <c r="F156" s="164"/>
      <c r="G156" s="164"/>
      <c r="H156" s="164"/>
      <c r="I156" s="164"/>
      <c r="J156" s="164"/>
    </row>
    <row r="157" ht="22.5" customHeight="1">
      <c r="A157" s="164"/>
      <c r="B157" s="164"/>
      <c r="C157" s="164"/>
      <c r="D157" s="164"/>
      <c r="E157" s="164"/>
      <c r="F157" s="164"/>
      <c r="G157" s="164"/>
      <c r="H157" s="164"/>
      <c r="I157" s="164"/>
      <c r="J157" s="164"/>
    </row>
    <row r="158" ht="22.5" customHeight="1">
      <c r="A158" s="164"/>
      <c r="B158" s="164"/>
      <c r="C158" s="164"/>
      <c r="D158" s="164"/>
      <c r="E158" s="164"/>
      <c r="F158" s="164"/>
      <c r="G158" s="164"/>
      <c r="H158" s="164"/>
      <c r="I158" s="164"/>
      <c r="J158" s="164"/>
    </row>
    <row r="159" ht="22.5" customHeight="1">
      <c r="A159" s="164"/>
      <c r="B159" s="164"/>
      <c r="C159" s="164"/>
      <c r="D159" s="164"/>
      <c r="E159" s="164"/>
      <c r="F159" s="164"/>
      <c r="G159" s="164"/>
      <c r="H159" s="164"/>
      <c r="I159" s="164"/>
      <c r="J159" s="164"/>
    </row>
    <row r="160" ht="22.5" customHeight="1">
      <c r="A160" s="164"/>
      <c r="B160" s="164"/>
      <c r="C160" s="164"/>
      <c r="D160" s="164"/>
      <c r="E160" s="164"/>
      <c r="F160" s="164"/>
      <c r="G160" s="164"/>
      <c r="H160" s="164"/>
      <c r="I160" s="164"/>
      <c r="J160" s="164"/>
    </row>
    <row r="161" ht="22.5" customHeight="1">
      <c r="A161" s="164"/>
      <c r="B161" s="164"/>
      <c r="C161" s="164"/>
      <c r="D161" s="164"/>
      <c r="E161" s="164"/>
      <c r="F161" s="164"/>
      <c r="G161" s="164"/>
      <c r="H161" s="164"/>
      <c r="I161" s="164"/>
      <c r="J161" s="164"/>
    </row>
    <row r="162" ht="22.5" customHeight="1">
      <c r="A162" s="164"/>
      <c r="B162" s="164"/>
      <c r="C162" s="164"/>
      <c r="D162" s="164"/>
      <c r="E162" s="164"/>
      <c r="F162" s="164"/>
      <c r="G162" s="164"/>
      <c r="H162" s="164"/>
      <c r="I162" s="164"/>
      <c r="J162" s="164"/>
    </row>
    <row r="163" ht="22.5" customHeight="1">
      <c r="A163" s="164"/>
      <c r="B163" s="164"/>
      <c r="C163" s="164"/>
      <c r="D163" s="164"/>
      <c r="E163" s="164"/>
      <c r="F163" s="164"/>
      <c r="G163" s="164"/>
      <c r="H163" s="164"/>
      <c r="I163" s="164"/>
      <c r="J163" s="164"/>
    </row>
    <row r="164" ht="22.5" customHeight="1">
      <c r="A164" s="164"/>
      <c r="B164" s="164"/>
      <c r="C164" s="164"/>
      <c r="D164" s="164"/>
      <c r="E164" s="164"/>
      <c r="F164" s="164"/>
      <c r="G164" s="164"/>
      <c r="H164" s="164"/>
      <c r="I164" s="164"/>
      <c r="J164" s="164"/>
    </row>
    <row r="165" ht="22.5" customHeight="1">
      <c r="A165" s="164"/>
      <c r="B165" s="164"/>
      <c r="C165" s="164"/>
      <c r="D165" s="164"/>
      <c r="E165" s="164"/>
      <c r="F165" s="164"/>
      <c r="G165" s="164"/>
      <c r="H165" s="164"/>
      <c r="I165" s="164"/>
      <c r="J165" s="164"/>
    </row>
    <row r="166" ht="22.5" customHeight="1">
      <c r="A166" s="164"/>
      <c r="B166" s="164"/>
      <c r="C166" s="164"/>
      <c r="D166" s="164"/>
      <c r="E166" s="164"/>
      <c r="F166" s="164"/>
      <c r="G166" s="164"/>
      <c r="H166" s="164"/>
      <c r="I166" s="164"/>
      <c r="J166" s="164"/>
    </row>
    <row r="167" ht="22.5" customHeight="1">
      <c r="A167" s="164"/>
      <c r="B167" s="164"/>
      <c r="C167" s="164"/>
      <c r="D167" s="164"/>
      <c r="E167" s="164"/>
      <c r="F167" s="164"/>
      <c r="G167" s="164"/>
      <c r="H167" s="164"/>
      <c r="I167" s="164"/>
      <c r="J167" s="164"/>
    </row>
    <row r="168" ht="22.5" customHeight="1">
      <c r="A168" s="164"/>
      <c r="B168" s="164"/>
      <c r="C168" s="164"/>
      <c r="D168" s="164"/>
      <c r="E168" s="164"/>
      <c r="F168" s="164"/>
      <c r="G168" s="164"/>
      <c r="H168" s="164"/>
      <c r="I168" s="164"/>
      <c r="J168" s="164"/>
    </row>
    <row r="169" ht="22.5" customHeight="1">
      <c r="A169" s="164"/>
      <c r="B169" s="164"/>
      <c r="C169" s="164"/>
      <c r="D169" s="164"/>
      <c r="E169" s="164"/>
      <c r="F169" s="164"/>
      <c r="G169" s="164"/>
      <c r="H169" s="164"/>
      <c r="I169" s="164"/>
      <c r="J169" s="164"/>
    </row>
    <row r="170" ht="22.5" customHeight="1">
      <c r="A170" s="164"/>
      <c r="B170" s="164"/>
      <c r="C170" s="164"/>
      <c r="D170" s="164"/>
      <c r="E170" s="164"/>
      <c r="F170" s="164"/>
      <c r="G170" s="164"/>
      <c r="H170" s="164"/>
      <c r="I170" s="164"/>
      <c r="J170" s="164"/>
    </row>
    <row r="171" ht="22.5" customHeight="1">
      <c r="A171" s="164"/>
      <c r="B171" s="164"/>
      <c r="C171" s="164"/>
      <c r="D171" s="164"/>
      <c r="E171" s="164"/>
      <c r="F171" s="164"/>
      <c r="G171" s="164"/>
      <c r="H171" s="164"/>
      <c r="I171" s="164"/>
      <c r="J171" s="164"/>
    </row>
    <row r="172" ht="22.5" customHeight="1">
      <c r="A172" s="164"/>
      <c r="B172" s="164"/>
      <c r="C172" s="164"/>
      <c r="D172" s="164"/>
      <c r="E172" s="164"/>
      <c r="F172" s="164"/>
      <c r="G172" s="164"/>
      <c r="H172" s="164"/>
      <c r="I172" s="164"/>
      <c r="J172" s="164"/>
    </row>
    <row r="173" ht="22.5" customHeight="1">
      <c r="A173" s="164"/>
      <c r="B173" s="164"/>
      <c r="C173" s="164"/>
      <c r="D173" s="164"/>
      <c r="E173" s="164"/>
      <c r="F173" s="164"/>
      <c r="G173" s="164"/>
      <c r="H173" s="164"/>
      <c r="I173" s="164"/>
      <c r="J173" s="164"/>
    </row>
    <row r="174" ht="22.5" customHeight="1">
      <c r="A174" s="164"/>
      <c r="B174" s="164"/>
      <c r="C174" s="164"/>
      <c r="D174" s="164"/>
      <c r="E174" s="164"/>
      <c r="F174" s="164"/>
      <c r="G174" s="164"/>
      <c r="H174" s="164"/>
      <c r="I174" s="164"/>
      <c r="J174" s="164"/>
    </row>
    <row r="175" ht="22.5" customHeight="1">
      <c r="A175" s="164"/>
      <c r="B175" s="164"/>
      <c r="C175" s="164"/>
      <c r="D175" s="164"/>
      <c r="E175" s="164"/>
      <c r="F175" s="164"/>
      <c r="G175" s="164"/>
      <c r="H175" s="164"/>
      <c r="I175" s="164"/>
      <c r="J175" s="164"/>
    </row>
    <row r="176" ht="22.5" customHeight="1">
      <c r="A176" s="164"/>
      <c r="B176" s="164"/>
      <c r="C176" s="164"/>
      <c r="D176" s="164"/>
      <c r="E176" s="164"/>
      <c r="F176" s="164"/>
      <c r="G176" s="164"/>
      <c r="H176" s="164"/>
      <c r="I176" s="164"/>
      <c r="J176" s="164"/>
    </row>
    <row r="177" ht="22.5" customHeight="1">
      <c r="A177" s="164"/>
      <c r="B177" s="164"/>
      <c r="C177" s="164"/>
      <c r="D177" s="164"/>
      <c r="E177" s="164"/>
      <c r="F177" s="164"/>
      <c r="G177" s="164"/>
      <c r="H177" s="164"/>
      <c r="I177" s="164"/>
      <c r="J177" s="164"/>
    </row>
    <row r="178" ht="22.5" customHeight="1">
      <c r="A178" s="164"/>
      <c r="B178" s="164"/>
      <c r="C178" s="164"/>
      <c r="D178" s="164"/>
      <c r="E178" s="164"/>
      <c r="F178" s="164"/>
      <c r="G178" s="164"/>
      <c r="H178" s="164"/>
      <c r="I178" s="164"/>
      <c r="J178" s="164"/>
    </row>
    <row r="179" ht="22.5" customHeight="1">
      <c r="A179" s="164"/>
      <c r="B179" s="164"/>
      <c r="C179" s="164"/>
      <c r="D179" s="164"/>
      <c r="E179" s="164"/>
      <c r="F179" s="164"/>
      <c r="G179" s="164"/>
      <c r="H179" s="164"/>
      <c r="I179" s="164"/>
      <c r="J179" s="164"/>
    </row>
    <row r="180" ht="22.5" customHeight="1">
      <c r="A180" s="164"/>
      <c r="B180" s="164"/>
      <c r="C180" s="164"/>
      <c r="D180" s="164"/>
      <c r="E180" s="164"/>
      <c r="F180" s="164"/>
      <c r="G180" s="164"/>
      <c r="H180" s="164"/>
      <c r="I180" s="164"/>
      <c r="J180" s="164"/>
    </row>
    <row r="181" ht="22.5" customHeight="1">
      <c r="A181" s="164"/>
      <c r="B181" s="164"/>
      <c r="C181" s="164"/>
      <c r="D181" s="164"/>
      <c r="E181" s="164"/>
      <c r="F181" s="164"/>
      <c r="G181" s="164"/>
      <c r="H181" s="164"/>
      <c r="I181" s="164"/>
      <c r="J181" s="164"/>
    </row>
    <row r="182" ht="22.5" customHeight="1">
      <c r="A182" s="164"/>
      <c r="B182" s="164"/>
      <c r="C182" s="164"/>
      <c r="D182" s="164"/>
      <c r="E182" s="164"/>
      <c r="F182" s="164"/>
      <c r="G182" s="164"/>
      <c r="H182" s="164"/>
      <c r="I182" s="164"/>
      <c r="J182" s="164"/>
    </row>
    <row r="183" ht="22.5" customHeight="1">
      <c r="A183" s="164"/>
      <c r="B183" s="164"/>
      <c r="C183" s="164"/>
      <c r="D183" s="164"/>
      <c r="E183" s="164"/>
      <c r="F183" s="164"/>
      <c r="G183" s="164"/>
      <c r="H183" s="164"/>
      <c r="I183" s="164"/>
      <c r="J183" s="164"/>
    </row>
    <row r="184" ht="22.5" customHeight="1">
      <c r="A184" s="164"/>
      <c r="B184" s="164"/>
      <c r="C184" s="164"/>
      <c r="D184" s="164"/>
      <c r="E184" s="164"/>
      <c r="F184" s="164"/>
      <c r="G184" s="164"/>
      <c r="H184" s="164"/>
      <c r="I184" s="164"/>
      <c r="J184" s="164"/>
    </row>
    <row r="185" ht="22.5" customHeight="1">
      <c r="A185" s="164"/>
      <c r="B185" s="164"/>
      <c r="C185" s="164"/>
      <c r="D185" s="164"/>
      <c r="E185" s="164"/>
      <c r="F185" s="164"/>
      <c r="G185" s="164"/>
      <c r="H185" s="164"/>
      <c r="I185" s="164"/>
      <c r="J185" s="164"/>
    </row>
    <row r="186" ht="22.5" customHeight="1">
      <c r="A186" s="164"/>
      <c r="B186" s="164"/>
      <c r="C186" s="164"/>
      <c r="D186" s="164"/>
      <c r="E186" s="164"/>
      <c r="F186" s="164"/>
      <c r="G186" s="164"/>
      <c r="H186" s="164"/>
      <c r="I186" s="164"/>
      <c r="J186" s="164"/>
    </row>
    <row r="187" ht="22.5" customHeight="1">
      <c r="A187" s="164"/>
      <c r="B187" s="164"/>
      <c r="C187" s="164"/>
      <c r="D187" s="164"/>
      <c r="E187" s="164"/>
      <c r="F187" s="164"/>
      <c r="G187" s="164"/>
      <c r="H187" s="164"/>
      <c r="I187" s="164"/>
      <c r="J187" s="164"/>
    </row>
    <row r="188" ht="22.5" customHeight="1">
      <c r="A188" s="164"/>
      <c r="B188" s="164"/>
      <c r="C188" s="164"/>
      <c r="D188" s="164"/>
      <c r="E188" s="164"/>
      <c r="F188" s="164"/>
      <c r="G188" s="164"/>
      <c r="H188" s="164"/>
      <c r="I188" s="164"/>
      <c r="J188" s="164"/>
    </row>
    <row r="189" ht="22.5" customHeight="1">
      <c r="A189" s="164"/>
      <c r="B189" s="164"/>
      <c r="C189" s="164"/>
      <c r="D189" s="164"/>
      <c r="E189" s="164"/>
      <c r="F189" s="164"/>
      <c r="G189" s="164"/>
      <c r="H189" s="164"/>
      <c r="I189" s="164"/>
      <c r="J189" s="164"/>
    </row>
    <row r="190" ht="22.5" customHeight="1">
      <c r="A190" s="164"/>
      <c r="B190" s="164"/>
      <c r="C190" s="164"/>
      <c r="D190" s="164"/>
      <c r="E190" s="164"/>
      <c r="F190" s="164"/>
      <c r="G190" s="164"/>
      <c r="H190" s="164"/>
      <c r="I190" s="164"/>
      <c r="J190" s="164"/>
    </row>
    <row r="191" ht="22.5" customHeight="1">
      <c r="A191" s="164"/>
      <c r="B191" s="164"/>
      <c r="C191" s="164"/>
      <c r="D191" s="164"/>
      <c r="E191" s="164"/>
      <c r="F191" s="164"/>
      <c r="G191" s="164"/>
      <c r="H191" s="164"/>
      <c r="I191" s="164"/>
      <c r="J191" s="164"/>
    </row>
    <row r="192" ht="22.5" customHeight="1">
      <c r="A192" s="164"/>
      <c r="B192" s="164"/>
      <c r="C192" s="164"/>
      <c r="D192" s="164"/>
      <c r="E192" s="164"/>
      <c r="F192" s="164"/>
      <c r="G192" s="164"/>
      <c r="H192" s="164"/>
      <c r="I192" s="164"/>
      <c r="J192" s="164"/>
    </row>
    <row r="193" ht="22.5" customHeight="1">
      <c r="A193" s="164"/>
      <c r="B193" s="164"/>
      <c r="C193" s="164"/>
      <c r="D193" s="164"/>
      <c r="E193" s="164"/>
      <c r="F193" s="164"/>
      <c r="G193" s="164"/>
      <c r="H193" s="164"/>
      <c r="I193" s="164"/>
      <c r="J193" s="164"/>
    </row>
    <row r="194" ht="22.5" customHeight="1">
      <c r="A194" s="164"/>
      <c r="B194" s="164"/>
      <c r="C194" s="164"/>
      <c r="D194" s="164"/>
      <c r="E194" s="164"/>
      <c r="F194" s="164"/>
      <c r="G194" s="164"/>
      <c r="H194" s="164"/>
      <c r="I194" s="164"/>
      <c r="J194" s="164"/>
    </row>
    <row r="195" ht="22.5" customHeight="1">
      <c r="A195" s="164"/>
      <c r="B195" s="164"/>
      <c r="C195" s="164"/>
      <c r="D195" s="164"/>
      <c r="E195" s="164"/>
      <c r="F195" s="164"/>
      <c r="G195" s="164"/>
      <c r="H195" s="164"/>
      <c r="I195" s="164"/>
      <c r="J195" s="164"/>
    </row>
    <row r="196" ht="22.5" customHeight="1">
      <c r="A196" s="164"/>
      <c r="B196" s="164"/>
      <c r="C196" s="164"/>
      <c r="D196" s="164"/>
      <c r="E196" s="164"/>
      <c r="F196" s="164"/>
      <c r="G196" s="164"/>
      <c r="H196" s="164"/>
      <c r="I196" s="164"/>
      <c r="J196" s="164"/>
    </row>
    <row r="197" ht="22.5" customHeight="1">
      <c r="A197" s="164"/>
      <c r="B197" s="164"/>
      <c r="C197" s="164"/>
      <c r="D197" s="164"/>
      <c r="E197" s="164"/>
      <c r="F197" s="164"/>
      <c r="G197" s="164"/>
      <c r="H197" s="164"/>
      <c r="I197" s="164"/>
      <c r="J197" s="164"/>
    </row>
    <row r="198" ht="22.5" customHeight="1">
      <c r="A198" s="164"/>
      <c r="B198" s="164"/>
      <c r="C198" s="164"/>
      <c r="D198" s="164"/>
      <c r="E198" s="164"/>
      <c r="F198" s="164"/>
      <c r="G198" s="164"/>
      <c r="H198" s="164"/>
      <c r="I198" s="164"/>
      <c r="J198" s="164"/>
    </row>
    <row r="199" ht="22.5" customHeight="1">
      <c r="A199" s="164"/>
      <c r="B199" s="164"/>
      <c r="C199" s="164"/>
      <c r="D199" s="164"/>
      <c r="E199" s="164"/>
      <c r="F199" s="164"/>
      <c r="G199" s="164"/>
      <c r="H199" s="164"/>
      <c r="I199" s="164"/>
      <c r="J199" s="164"/>
    </row>
    <row r="200" ht="22.5" customHeight="1">
      <c r="A200" s="164"/>
      <c r="B200" s="164"/>
      <c r="C200" s="164"/>
      <c r="D200" s="164"/>
      <c r="E200" s="164"/>
      <c r="F200" s="164"/>
      <c r="G200" s="164"/>
      <c r="H200" s="164"/>
      <c r="I200" s="164"/>
      <c r="J200" s="164"/>
    </row>
    <row r="201" ht="22.5" customHeight="1">
      <c r="A201" s="164"/>
      <c r="B201" s="164"/>
      <c r="C201" s="164"/>
      <c r="D201" s="164"/>
      <c r="E201" s="164"/>
      <c r="F201" s="164"/>
      <c r="G201" s="164"/>
      <c r="H201" s="164"/>
      <c r="I201" s="164"/>
      <c r="J201" s="164"/>
    </row>
    <row r="202" ht="22.5" customHeight="1">
      <c r="A202" s="164"/>
      <c r="B202" s="164"/>
      <c r="C202" s="164"/>
      <c r="D202" s="164"/>
      <c r="E202" s="164"/>
      <c r="F202" s="164"/>
      <c r="G202" s="164"/>
      <c r="H202" s="164"/>
      <c r="I202" s="164"/>
      <c r="J202" s="164"/>
    </row>
    <row r="203" ht="22.5" customHeight="1">
      <c r="A203" s="164"/>
      <c r="B203" s="164"/>
      <c r="C203" s="164"/>
      <c r="D203" s="164"/>
      <c r="E203" s="164"/>
      <c r="F203" s="164"/>
      <c r="G203" s="164"/>
      <c r="H203" s="164"/>
      <c r="I203" s="164"/>
      <c r="J203" s="164"/>
    </row>
    <row r="204" ht="22.5" customHeight="1">
      <c r="A204" s="164"/>
      <c r="B204" s="164"/>
      <c r="C204" s="164"/>
      <c r="D204" s="164"/>
      <c r="E204" s="164"/>
      <c r="F204" s="164"/>
      <c r="G204" s="164"/>
      <c r="H204" s="164"/>
      <c r="I204" s="164"/>
      <c r="J204" s="164"/>
    </row>
    <row r="205" ht="22.5" customHeight="1">
      <c r="A205" s="164"/>
      <c r="B205" s="164"/>
      <c r="C205" s="164"/>
      <c r="D205" s="164"/>
      <c r="E205" s="164"/>
      <c r="F205" s="164"/>
      <c r="G205" s="164"/>
      <c r="H205" s="164"/>
      <c r="I205" s="164"/>
      <c r="J205" s="164"/>
    </row>
    <row r="206" ht="22.5" customHeight="1">
      <c r="A206" s="164"/>
      <c r="B206" s="164"/>
      <c r="C206" s="164"/>
      <c r="D206" s="164"/>
      <c r="E206" s="164"/>
      <c r="F206" s="164"/>
      <c r="G206" s="164"/>
      <c r="H206" s="164"/>
      <c r="I206" s="164"/>
      <c r="J206" s="164"/>
    </row>
    <row r="207" ht="22.5" customHeight="1">
      <c r="A207" s="164"/>
      <c r="B207" s="164"/>
      <c r="C207" s="164"/>
      <c r="D207" s="164"/>
      <c r="E207" s="164"/>
      <c r="F207" s="164"/>
      <c r="G207" s="164"/>
      <c r="H207" s="164"/>
      <c r="I207" s="164"/>
      <c r="J207" s="164"/>
    </row>
    <row r="208" ht="22.5" customHeight="1">
      <c r="A208" s="164"/>
      <c r="B208" s="164"/>
      <c r="C208" s="164"/>
      <c r="D208" s="164"/>
      <c r="E208" s="164"/>
      <c r="F208" s="164"/>
      <c r="G208" s="164"/>
      <c r="H208" s="164"/>
      <c r="I208" s="164"/>
      <c r="J208" s="164"/>
    </row>
    <row r="209" ht="22.5" customHeight="1">
      <c r="A209" s="164"/>
      <c r="B209" s="164"/>
      <c r="C209" s="164"/>
      <c r="D209" s="164"/>
      <c r="E209" s="164"/>
      <c r="F209" s="164"/>
      <c r="G209" s="164"/>
      <c r="H209" s="164"/>
      <c r="I209" s="164"/>
      <c r="J209" s="164"/>
    </row>
    <row r="210" ht="22.5" customHeight="1">
      <c r="A210" s="164"/>
      <c r="B210" s="164"/>
      <c r="C210" s="164"/>
      <c r="D210" s="164"/>
      <c r="E210" s="164"/>
      <c r="F210" s="164"/>
      <c r="G210" s="164"/>
      <c r="H210" s="164"/>
      <c r="I210" s="164"/>
      <c r="J210" s="164"/>
    </row>
    <row r="211" ht="22.5" customHeight="1">
      <c r="A211" s="164"/>
      <c r="B211" s="164"/>
      <c r="C211" s="164"/>
      <c r="D211" s="164"/>
      <c r="E211" s="164"/>
      <c r="F211" s="164"/>
      <c r="G211" s="164"/>
      <c r="H211" s="164"/>
      <c r="I211" s="164"/>
      <c r="J211" s="164"/>
    </row>
    <row r="212" ht="22.5" customHeight="1">
      <c r="A212" s="164"/>
      <c r="B212" s="164"/>
      <c r="C212" s="164"/>
      <c r="D212" s="164"/>
      <c r="E212" s="164"/>
      <c r="F212" s="164"/>
      <c r="G212" s="164"/>
      <c r="H212" s="164"/>
      <c r="I212" s="164"/>
      <c r="J212" s="164"/>
    </row>
    <row r="213" ht="22.5" customHeight="1">
      <c r="A213" s="164"/>
      <c r="B213" s="164"/>
      <c r="C213" s="164"/>
      <c r="D213" s="164"/>
      <c r="E213" s="164"/>
      <c r="F213" s="164"/>
      <c r="G213" s="164"/>
      <c r="H213" s="164"/>
      <c r="I213" s="164"/>
      <c r="J213" s="164"/>
    </row>
    <row r="214" ht="22.5" customHeight="1">
      <c r="A214" s="164"/>
      <c r="B214" s="164"/>
      <c r="C214" s="164"/>
      <c r="D214" s="164"/>
      <c r="E214" s="164"/>
      <c r="F214" s="164"/>
      <c r="G214" s="164"/>
      <c r="H214" s="164"/>
      <c r="I214" s="164"/>
      <c r="J214" s="164"/>
    </row>
    <row r="215" ht="22.5" customHeight="1">
      <c r="A215" s="164"/>
      <c r="B215" s="164"/>
      <c r="C215" s="164"/>
      <c r="D215" s="164"/>
      <c r="E215" s="164"/>
      <c r="F215" s="164"/>
      <c r="G215" s="164"/>
      <c r="H215" s="164"/>
      <c r="I215" s="164"/>
      <c r="J215" s="164"/>
    </row>
    <row r="216" ht="22.5" customHeight="1">
      <c r="A216" s="164"/>
      <c r="B216" s="164"/>
      <c r="C216" s="164"/>
      <c r="D216" s="164"/>
      <c r="E216" s="164"/>
      <c r="F216" s="164"/>
      <c r="G216" s="164"/>
      <c r="H216" s="164"/>
      <c r="I216" s="164"/>
      <c r="J216" s="164"/>
    </row>
    <row r="217" ht="22.5" customHeight="1">
      <c r="A217" s="164"/>
      <c r="B217" s="164"/>
      <c r="C217" s="164"/>
      <c r="D217" s="164"/>
      <c r="E217" s="164"/>
      <c r="F217" s="164"/>
      <c r="G217" s="164"/>
      <c r="H217" s="164"/>
      <c r="I217" s="164"/>
      <c r="J217" s="164"/>
    </row>
    <row r="218" ht="22.5" customHeight="1">
      <c r="A218" s="164"/>
      <c r="B218" s="164"/>
      <c r="C218" s="164"/>
      <c r="D218" s="164"/>
      <c r="E218" s="164"/>
      <c r="F218" s="164"/>
      <c r="G218" s="164"/>
      <c r="H218" s="164"/>
      <c r="I218" s="164"/>
      <c r="J218" s="164"/>
    </row>
    <row r="219" ht="22.5" customHeight="1">
      <c r="A219" s="164"/>
      <c r="B219" s="164"/>
      <c r="C219" s="164"/>
      <c r="D219" s="164"/>
      <c r="E219" s="164"/>
      <c r="F219" s="164"/>
      <c r="G219" s="164"/>
      <c r="H219" s="164"/>
      <c r="I219" s="164"/>
      <c r="J219" s="164"/>
    </row>
    <row r="220" ht="22.5" customHeight="1">
      <c r="A220" s="164"/>
      <c r="B220" s="164"/>
      <c r="C220" s="164"/>
      <c r="D220" s="164"/>
      <c r="E220" s="164"/>
      <c r="F220" s="164"/>
      <c r="G220" s="164"/>
      <c r="H220" s="164"/>
      <c r="I220" s="164"/>
      <c r="J220" s="164"/>
    </row>
    <row r="221" ht="22.5" customHeight="1">
      <c r="A221" s="164"/>
      <c r="B221" s="164"/>
      <c r="C221" s="164"/>
      <c r="D221" s="164"/>
      <c r="E221" s="164"/>
      <c r="F221" s="164"/>
      <c r="G221" s="164"/>
      <c r="H221" s="164"/>
      <c r="I221" s="164"/>
      <c r="J221" s="164"/>
    </row>
    <row r="222" ht="22.5" customHeight="1">
      <c r="A222" s="164"/>
      <c r="B222" s="164"/>
      <c r="C222" s="164"/>
      <c r="D222" s="164"/>
      <c r="E222" s="164"/>
      <c r="F222" s="164"/>
      <c r="G222" s="164"/>
      <c r="H222" s="164"/>
      <c r="I222" s="164"/>
      <c r="J222" s="164"/>
    </row>
    <row r="223" ht="22.5" customHeight="1">
      <c r="A223" s="164"/>
      <c r="B223" s="164"/>
      <c r="C223" s="164"/>
      <c r="D223" s="164"/>
      <c r="E223" s="164"/>
      <c r="F223" s="164"/>
      <c r="G223" s="164"/>
      <c r="H223" s="164"/>
      <c r="I223" s="164"/>
      <c r="J223" s="164"/>
    </row>
    <row r="224" ht="22.5" customHeight="1">
      <c r="A224" s="164"/>
      <c r="B224" s="164"/>
      <c r="C224" s="164"/>
      <c r="D224" s="164"/>
      <c r="E224" s="164"/>
      <c r="F224" s="164"/>
      <c r="G224" s="164"/>
      <c r="H224" s="164"/>
      <c r="I224" s="164"/>
      <c r="J224" s="164"/>
    </row>
    <row r="225" ht="22.5" customHeight="1">
      <c r="A225" s="164"/>
      <c r="B225" s="164"/>
      <c r="C225" s="164"/>
      <c r="D225" s="164"/>
      <c r="E225" s="164"/>
      <c r="F225" s="164"/>
      <c r="G225" s="164"/>
      <c r="H225" s="164"/>
      <c r="I225" s="164"/>
      <c r="J225" s="164"/>
    </row>
    <row r="226" ht="22.5" customHeight="1">
      <c r="A226" s="164"/>
      <c r="B226" s="164"/>
      <c r="C226" s="164"/>
      <c r="D226" s="164"/>
      <c r="E226" s="164"/>
      <c r="F226" s="164"/>
      <c r="G226" s="164"/>
      <c r="H226" s="164"/>
      <c r="I226" s="164"/>
      <c r="J226" s="164"/>
    </row>
    <row r="227" ht="22.5" customHeight="1">
      <c r="A227" s="164"/>
      <c r="B227" s="164"/>
      <c r="C227" s="164"/>
      <c r="D227" s="164"/>
      <c r="E227" s="164"/>
      <c r="F227" s="164"/>
      <c r="G227" s="164"/>
      <c r="H227" s="164"/>
      <c r="I227" s="164"/>
      <c r="J227" s="164"/>
    </row>
    <row r="228" ht="22.5" customHeight="1">
      <c r="A228" s="164"/>
      <c r="B228" s="164"/>
      <c r="C228" s="164"/>
      <c r="D228" s="164"/>
      <c r="E228" s="164"/>
      <c r="F228" s="164"/>
      <c r="G228" s="164"/>
      <c r="H228" s="164"/>
      <c r="I228" s="164"/>
      <c r="J228" s="164"/>
    </row>
    <row r="229" ht="22.5" customHeight="1">
      <c r="A229" s="164"/>
      <c r="B229" s="164"/>
      <c r="C229" s="164"/>
      <c r="D229" s="164"/>
      <c r="E229" s="164"/>
      <c r="F229" s="164"/>
      <c r="G229" s="164"/>
      <c r="H229" s="164"/>
      <c r="I229" s="164"/>
      <c r="J229" s="164"/>
    </row>
    <row r="230" ht="22.5" customHeight="1">
      <c r="A230" s="164"/>
      <c r="B230" s="164"/>
      <c r="C230" s="164"/>
      <c r="D230" s="164"/>
      <c r="E230" s="164"/>
      <c r="F230" s="164"/>
      <c r="G230" s="164"/>
      <c r="H230" s="164"/>
      <c r="I230" s="164"/>
      <c r="J230" s="164"/>
    </row>
    <row r="231" ht="22.5" customHeight="1">
      <c r="A231" s="164"/>
      <c r="B231" s="164"/>
      <c r="C231" s="164"/>
      <c r="D231" s="164"/>
      <c r="E231" s="164"/>
      <c r="F231" s="164"/>
      <c r="G231" s="164"/>
      <c r="H231" s="164"/>
      <c r="I231" s="164"/>
      <c r="J231" s="164"/>
    </row>
    <row r="232" ht="22.5" customHeight="1">
      <c r="A232" s="164"/>
      <c r="B232" s="164"/>
      <c r="C232" s="164"/>
      <c r="D232" s="164"/>
      <c r="E232" s="164"/>
      <c r="F232" s="164"/>
      <c r="G232" s="164"/>
      <c r="H232" s="164"/>
      <c r="I232" s="164"/>
      <c r="J232" s="164"/>
    </row>
    <row r="233" ht="22.5" customHeight="1">
      <c r="A233" s="164"/>
      <c r="B233" s="164"/>
      <c r="C233" s="164"/>
      <c r="D233" s="164"/>
      <c r="E233" s="164"/>
      <c r="F233" s="164"/>
      <c r="G233" s="164"/>
      <c r="H233" s="164"/>
      <c r="I233" s="164"/>
      <c r="J233" s="164"/>
    </row>
    <row r="234" ht="22.5" customHeight="1">
      <c r="A234" s="164"/>
      <c r="B234" s="164"/>
      <c r="C234" s="164"/>
      <c r="D234" s="164"/>
      <c r="E234" s="164"/>
      <c r="F234" s="164"/>
      <c r="G234" s="164"/>
      <c r="H234" s="164"/>
      <c r="I234" s="164"/>
      <c r="J234" s="164"/>
    </row>
    <row r="235" ht="22.5" customHeight="1">
      <c r="A235" s="164"/>
      <c r="B235" s="164"/>
      <c r="C235" s="164"/>
      <c r="D235" s="164"/>
      <c r="E235" s="164"/>
      <c r="F235" s="164"/>
      <c r="G235" s="164"/>
      <c r="H235" s="164"/>
      <c r="I235" s="164"/>
      <c r="J235" s="164"/>
    </row>
    <row r="236" ht="22.5" customHeight="1">
      <c r="A236" s="164"/>
      <c r="B236" s="164"/>
      <c r="C236" s="164"/>
      <c r="D236" s="164"/>
      <c r="E236" s="164"/>
      <c r="F236" s="164"/>
      <c r="G236" s="164"/>
      <c r="H236" s="164"/>
      <c r="I236" s="164"/>
      <c r="J236" s="164"/>
    </row>
    <row r="237" ht="22.5" customHeight="1">
      <c r="A237" s="164"/>
      <c r="B237" s="164"/>
      <c r="C237" s="164"/>
      <c r="D237" s="164"/>
      <c r="E237" s="164"/>
      <c r="F237" s="164"/>
      <c r="G237" s="164"/>
      <c r="H237" s="164"/>
      <c r="I237" s="164"/>
      <c r="J237" s="164"/>
    </row>
    <row r="238" ht="22.5" customHeight="1">
      <c r="A238" s="164"/>
      <c r="B238" s="164"/>
      <c r="C238" s="164"/>
      <c r="D238" s="164"/>
      <c r="E238" s="164"/>
      <c r="F238" s="164"/>
      <c r="G238" s="164"/>
      <c r="H238" s="164"/>
      <c r="I238" s="164"/>
      <c r="J238" s="164"/>
    </row>
    <row r="239" ht="22.5" customHeight="1">
      <c r="A239" s="164"/>
      <c r="B239" s="164"/>
      <c r="C239" s="164"/>
      <c r="D239" s="164"/>
      <c r="E239" s="164"/>
      <c r="F239" s="164"/>
      <c r="G239" s="164"/>
      <c r="H239" s="164"/>
      <c r="I239" s="164"/>
      <c r="J239" s="164"/>
    </row>
    <row r="240" ht="22.5" customHeight="1">
      <c r="A240" s="164"/>
      <c r="B240" s="164"/>
      <c r="C240" s="164"/>
      <c r="D240" s="164"/>
      <c r="E240" s="164"/>
      <c r="F240" s="164"/>
      <c r="G240" s="164"/>
      <c r="H240" s="164"/>
      <c r="I240" s="164"/>
      <c r="J240" s="164"/>
    </row>
    <row r="241" ht="22.5" customHeight="1">
      <c r="A241" s="164"/>
      <c r="B241" s="164"/>
      <c r="C241" s="164"/>
      <c r="D241" s="164"/>
      <c r="E241" s="164"/>
      <c r="F241" s="164"/>
      <c r="G241" s="164"/>
      <c r="H241" s="164"/>
      <c r="I241" s="164"/>
      <c r="J241" s="164"/>
    </row>
    <row r="242" ht="22.5" customHeight="1">
      <c r="A242" s="164"/>
      <c r="B242" s="164"/>
      <c r="C242" s="164"/>
      <c r="D242" s="164"/>
      <c r="E242" s="164"/>
      <c r="F242" s="164"/>
      <c r="G242" s="164"/>
      <c r="H242" s="164"/>
      <c r="I242" s="164"/>
      <c r="J242" s="164"/>
    </row>
    <row r="243" ht="22.5" customHeight="1">
      <c r="A243" s="164"/>
      <c r="B243" s="164"/>
      <c r="C243" s="164"/>
      <c r="D243" s="164"/>
      <c r="E243" s="164"/>
      <c r="F243" s="164"/>
      <c r="G243" s="164"/>
      <c r="H243" s="164"/>
      <c r="I243" s="164"/>
      <c r="J243" s="164"/>
    </row>
    <row r="244" ht="22.5" customHeight="1">
      <c r="A244" s="164"/>
      <c r="B244" s="164"/>
      <c r="C244" s="164"/>
      <c r="D244" s="164"/>
      <c r="E244" s="164"/>
      <c r="F244" s="164"/>
      <c r="G244" s="164"/>
      <c r="H244" s="164"/>
      <c r="I244" s="164"/>
      <c r="J244" s="164"/>
    </row>
    <row r="245" ht="22.5" customHeight="1">
      <c r="A245" s="164"/>
      <c r="B245" s="164"/>
      <c r="C245" s="164"/>
      <c r="D245" s="164"/>
      <c r="E245" s="164"/>
      <c r="F245" s="164"/>
      <c r="G245" s="164"/>
      <c r="H245" s="164"/>
      <c r="I245" s="164"/>
      <c r="J245" s="164"/>
    </row>
    <row r="246" ht="22.5" customHeight="1">
      <c r="A246" s="164"/>
      <c r="B246" s="164"/>
      <c r="C246" s="164"/>
      <c r="D246" s="164"/>
      <c r="E246" s="164"/>
      <c r="F246" s="164"/>
      <c r="G246" s="164"/>
      <c r="H246" s="164"/>
      <c r="I246" s="164"/>
      <c r="J246" s="164"/>
    </row>
    <row r="247" ht="22.5" customHeight="1">
      <c r="A247" s="164"/>
      <c r="B247" s="164"/>
      <c r="C247" s="164"/>
      <c r="D247" s="164"/>
      <c r="E247" s="164"/>
      <c r="F247" s="164"/>
      <c r="G247" s="164"/>
      <c r="H247" s="164"/>
      <c r="I247" s="164"/>
      <c r="J247" s="164"/>
    </row>
    <row r="248" ht="22.5" customHeight="1">
      <c r="A248" s="164"/>
      <c r="B248" s="164"/>
      <c r="C248" s="164"/>
      <c r="D248" s="164"/>
      <c r="E248" s="164"/>
      <c r="F248" s="164"/>
      <c r="G248" s="164"/>
      <c r="H248" s="164"/>
      <c r="I248" s="164"/>
      <c r="J248" s="164"/>
    </row>
    <row r="249" ht="22.5" customHeight="1">
      <c r="A249" s="164"/>
      <c r="B249" s="164"/>
      <c r="C249" s="164"/>
      <c r="D249" s="164"/>
      <c r="E249" s="164"/>
      <c r="F249" s="164"/>
      <c r="G249" s="164"/>
      <c r="H249" s="164"/>
      <c r="I249" s="164"/>
      <c r="J249" s="164"/>
    </row>
    <row r="250" ht="22.5" customHeight="1">
      <c r="A250" s="164"/>
      <c r="B250" s="164"/>
      <c r="C250" s="164"/>
      <c r="D250" s="164"/>
      <c r="E250" s="164"/>
      <c r="F250" s="164"/>
      <c r="G250" s="164"/>
      <c r="H250" s="164"/>
      <c r="I250" s="164"/>
      <c r="J250" s="164"/>
    </row>
    <row r="251" ht="22.5" customHeight="1">
      <c r="A251" s="164"/>
      <c r="B251" s="164"/>
      <c r="C251" s="164"/>
      <c r="D251" s="164"/>
      <c r="E251" s="164"/>
      <c r="F251" s="164"/>
      <c r="G251" s="164"/>
      <c r="H251" s="164"/>
      <c r="I251" s="164"/>
      <c r="J251" s="164"/>
    </row>
    <row r="252" ht="22.5" customHeight="1">
      <c r="A252" s="164"/>
      <c r="B252" s="164"/>
      <c r="C252" s="164"/>
      <c r="D252" s="164"/>
      <c r="E252" s="164"/>
      <c r="F252" s="164"/>
      <c r="G252" s="164"/>
      <c r="H252" s="164"/>
      <c r="I252" s="164"/>
      <c r="J252" s="164"/>
    </row>
    <row r="253" ht="22.5" customHeight="1">
      <c r="A253" s="164"/>
      <c r="B253" s="164"/>
      <c r="C253" s="164"/>
      <c r="D253" s="164"/>
      <c r="E253" s="164"/>
      <c r="F253" s="164"/>
      <c r="G253" s="164"/>
      <c r="H253" s="164"/>
      <c r="I253" s="164"/>
      <c r="J253" s="164"/>
    </row>
    <row r="254" ht="22.5" customHeight="1">
      <c r="A254" s="164"/>
      <c r="B254" s="164"/>
      <c r="C254" s="164"/>
      <c r="D254" s="164"/>
      <c r="E254" s="164"/>
      <c r="F254" s="164"/>
      <c r="G254" s="164"/>
      <c r="H254" s="164"/>
      <c r="I254" s="164"/>
      <c r="J254" s="164"/>
    </row>
    <row r="255" ht="22.5" customHeight="1">
      <c r="A255" s="164"/>
      <c r="B255" s="164"/>
      <c r="C255" s="164"/>
      <c r="D255" s="164"/>
      <c r="E255" s="164"/>
      <c r="F255" s="164"/>
      <c r="G255" s="164"/>
      <c r="H255" s="164"/>
      <c r="I255" s="164"/>
      <c r="J255" s="164"/>
    </row>
    <row r="256" ht="22.5" customHeight="1">
      <c r="A256" s="164"/>
      <c r="B256" s="164"/>
      <c r="C256" s="164"/>
      <c r="D256" s="164"/>
      <c r="E256" s="164"/>
      <c r="F256" s="164"/>
      <c r="G256" s="164"/>
      <c r="H256" s="164"/>
      <c r="I256" s="164"/>
      <c r="J256" s="164"/>
    </row>
    <row r="257" ht="22.5" customHeight="1">
      <c r="A257" s="164"/>
      <c r="B257" s="164"/>
      <c r="C257" s="164"/>
      <c r="D257" s="164"/>
      <c r="E257" s="164"/>
      <c r="F257" s="164"/>
      <c r="G257" s="164"/>
      <c r="H257" s="164"/>
      <c r="I257" s="164"/>
      <c r="J257" s="164"/>
    </row>
    <row r="258" ht="22.5" customHeight="1">
      <c r="A258" s="164"/>
      <c r="B258" s="164"/>
      <c r="C258" s="164"/>
      <c r="D258" s="164"/>
      <c r="E258" s="164"/>
      <c r="F258" s="164"/>
      <c r="G258" s="164"/>
      <c r="H258" s="164"/>
      <c r="I258" s="164"/>
      <c r="J258" s="164"/>
    </row>
    <row r="259" ht="22.5" customHeight="1">
      <c r="A259" s="164"/>
      <c r="B259" s="164"/>
      <c r="C259" s="164"/>
      <c r="D259" s="164"/>
      <c r="E259" s="164"/>
      <c r="F259" s="164"/>
      <c r="G259" s="164"/>
      <c r="H259" s="164"/>
      <c r="I259" s="164"/>
      <c r="J259" s="164"/>
    </row>
    <row r="260" ht="22.5" customHeight="1">
      <c r="A260" s="164"/>
      <c r="B260" s="164"/>
      <c r="C260" s="164"/>
      <c r="D260" s="164"/>
      <c r="E260" s="164"/>
      <c r="F260" s="164"/>
      <c r="G260" s="164"/>
      <c r="H260" s="164"/>
      <c r="I260" s="164"/>
      <c r="J260" s="164"/>
    </row>
    <row r="261" ht="22.5" customHeight="1">
      <c r="A261" s="164"/>
      <c r="B261" s="164"/>
      <c r="C261" s="164"/>
      <c r="D261" s="164"/>
      <c r="E261" s="164"/>
      <c r="F261" s="164"/>
      <c r="G261" s="164"/>
      <c r="H261" s="164"/>
      <c r="I261" s="164"/>
      <c r="J261" s="164"/>
    </row>
    <row r="262" ht="22.5" customHeight="1">
      <c r="A262" s="164"/>
      <c r="B262" s="164"/>
      <c r="C262" s="164"/>
      <c r="D262" s="164"/>
      <c r="E262" s="164"/>
      <c r="F262" s="164"/>
      <c r="G262" s="164"/>
      <c r="H262" s="164"/>
      <c r="I262" s="164"/>
      <c r="J262" s="164"/>
    </row>
    <row r="263" ht="22.5" customHeight="1">
      <c r="A263" s="164"/>
      <c r="B263" s="164"/>
      <c r="C263" s="164"/>
      <c r="D263" s="164"/>
      <c r="E263" s="164"/>
      <c r="F263" s="164"/>
      <c r="G263" s="164"/>
      <c r="H263" s="164"/>
      <c r="I263" s="164"/>
      <c r="J263" s="164"/>
    </row>
    <row r="264" ht="22.5" customHeight="1">
      <c r="A264" s="164"/>
      <c r="B264" s="164"/>
      <c r="C264" s="164"/>
      <c r="D264" s="164"/>
      <c r="E264" s="164"/>
      <c r="F264" s="164"/>
      <c r="G264" s="164"/>
      <c r="H264" s="164"/>
      <c r="I264" s="164"/>
      <c r="J264" s="164"/>
    </row>
    <row r="265" ht="22.5" customHeight="1">
      <c r="A265" s="164"/>
      <c r="B265" s="164"/>
      <c r="C265" s="164"/>
      <c r="D265" s="164"/>
      <c r="E265" s="164"/>
      <c r="F265" s="164"/>
      <c r="G265" s="164"/>
      <c r="H265" s="164"/>
      <c r="I265" s="164"/>
      <c r="J265" s="164"/>
    </row>
    <row r="266" ht="22.5" customHeight="1">
      <c r="A266" s="164"/>
      <c r="B266" s="164"/>
      <c r="C266" s="164"/>
      <c r="D266" s="164"/>
      <c r="E266" s="164"/>
      <c r="F266" s="164"/>
      <c r="G266" s="164"/>
      <c r="H266" s="164"/>
      <c r="I266" s="164"/>
      <c r="J266" s="164"/>
    </row>
    <row r="267" ht="22.5" customHeight="1">
      <c r="A267" s="164"/>
      <c r="B267" s="164"/>
      <c r="C267" s="164"/>
      <c r="D267" s="164"/>
      <c r="E267" s="164"/>
      <c r="F267" s="164"/>
      <c r="G267" s="164"/>
      <c r="H267" s="164"/>
      <c r="I267" s="164"/>
      <c r="J267" s="164"/>
    </row>
    <row r="268" ht="22.5" customHeight="1">
      <c r="A268" s="164"/>
      <c r="B268" s="164"/>
      <c r="C268" s="164"/>
      <c r="D268" s="164"/>
      <c r="E268" s="164"/>
      <c r="F268" s="164"/>
      <c r="G268" s="164"/>
      <c r="H268" s="164"/>
      <c r="I268" s="164"/>
      <c r="J268" s="164"/>
    </row>
    <row r="269" ht="22.5" customHeight="1">
      <c r="A269" s="164"/>
      <c r="B269" s="164"/>
      <c r="C269" s="164"/>
      <c r="D269" s="164"/>
      <c r="E269" s="164"/>
      <c r="F269" s="164"/>
      <c r="G269" s="164"/>
      <c r="H269" s="164"/>
      <c r="I269" s="164"/>
      <c r="J269" s="164"/>
    </row>
    <row r="270" ht="22.5" customHeight="1">
      <c r="A270" s="164"/>
      <c r="B270" s="164"/>
      <c r="C270" s="164"/>
      <c r="D270" s="164"/>
      <c r="E270" s="164"/>
      <c r="F270" s="164"/>
      <c r="G270" s="164"/>
      <c r="H270" s="164"/>
      <c r="I270" s="164"/>
      <c r="J270" s="164"/>
    </row>
    <row r="271" ht="22.5" customHeight="1">
      <c r="A271" s="164"/>
      <c r="B271" s="164"/>
      <c r="C271" s="164"/>
      <c r="D271" s="164"/>
      <c r="E271" s="164"/>
      <c r="F271" s="164"/>
      <c r="G271" s="164"/>
      <c r="H271" s="164"/>
      <c r="I271" s="164"/>
      <c r="J271" s="164"/>
    </row>
    <row r="272" ht="22.5" customHeight="1">
      <c r="A272" s="164"/>
      <c r="B272" s="164"/>
      <c r="C272" s="164"/>
      <c r="D272" s="164"/>
      <c r="E272" s="164"/>
      <c r="F272" s="164"/>
      <c r="G272" s="164"/>
      <c r="H272" s="164"/>
      <c r="I272" s="164"/>
      <c r="J272" s="164"/>
    </row>
    <row r="273" ht="22.5" customHeight="1">
      <c r="A273" s="164"/>
      <c r="B273" s="164"/>
      <c r="C273" s="164"/>
      <c r="D273" s="164"/>
      <c r="E273" s="164"/>
      <c r="F273" s="164"/>
      <c r="G273" s="164"/>
      <c r="H273" s="164"/>
      <c r="I273" s="164"/>
      <c r="J273" s="164"/>
    </row>
    <row r="274" ht="22.5" customHeight="1">
      <c r="A274" s="164"/>
      <c r="B274" s="164"/>
      <c r="C274" s="164"/>
      <c r="D274" s="164"/>
      <c r="E274" s="164"/>
      <c r="F274" s="164"/>
      <c r="G274" s="164"/>
      <c r="H274" s="164"/>
      <c r="I274" s="164"/>
      <c r="J274" s="164"/>
    </row>
    <row r="275" ht="22.5" customHeight="1">
      <c r="A275" s="164"/>
      <c r="B275" s="164"/>
      <c r="C275" s="164"/>
      <c r="D275" s="164"/>
      <c r="E275" s="164"/>
      <c r="F275" s="164"/>
      <c r="G275" s="164"/>
      <c r="H275" s="164"/>
      <c r="I275" s="164"/>
      <c r="J275" s="164"/>
    </row>
    <row r="276" ht="22.5" customHeight="1">
      <c r="A276" s="164"/>
      <c r="B276" s="164"/>
      <c r="C276" s="164"/>
      <c r="D276" s="164"/>
      <c r="E276" s="164"/>
      <c r="F276" s="164"/>
      <c r="G276" s="164"/>
      <c r="H276" s="164"/>
      <c r="I276" s="164"/>
      <c r="J276" s="164"/>
    </row>
    <row r="277" ht="22.5" customHeight="1">
      <c r="A277" s="164"/>
      <c r="B277" s="164"/>
      <c r="C277" s="164"/>
      <c r="D277" s="164"/>
      <c r="E277" s="164"/>
      <c r="F277" s="164"/>
      <c r="G277" s="164"/>
      <c r="H277" s="164"/>
      <c r="I277" s="164"/>
      <c r="J277" s="164"/>
    </row>
    <row r="278" ht="22.5" customHeight="1">
      <c r="A278" s="164"/>
      <c r="B278" s="164"/>
      <c r="C278" s="164"/>
      <c r="D278" s="164"/>
      <c r="E278" s="164"/>
      <c r="F278" s="164"/>
      <c r="G278" s="164"/>
      <c r="H278" s="164"/>
      <c r="I278" s="164"/>
      <c r="J278" s="164"/>
    </row>
    <row r="279" ht="22.5" customHeight="1">
      <c r="A279" s="164"/>
      <c r="B279" s="164"/>
      <c r="C279" s="164"/>
      <c r="D279" s="164"/>
      <c r="E279" s="164"/>
      <c r="F279" s="164"/>
      <c r="G279" s="164"/>
      <c r="H279" s="164"/>
      <c r="I279" s="164"/>
      <c r="J279" s="164"/>
    </row>
    <row r="280" ht="22.5" customHeight="1">
      <c r="A280" s="164"/>
      <c r="B280" s="164"/>
      <c r="C280" s="164"/>
      <c r="D280" s="164"/>
      <c r="E280" s="164"/>
      <c r="F280" s="164"/>
      <c r="G280" s="164"/>
      <c r="H280" s="164"/>
      <c r="I280" s="164"/>
      <c r="J280" s="164"/>
    </row>
    <row r="281" ht="22.5" customHeight="1">
      <c r="A281" s="164"/>
      <c r="B281" s="164"/>
      <c r="C281" s="164"/>
      <c r="D281" s="164"/>
      <c r="E281" s="164"/>
      <c r="F281" s="164"/>
      <c r="G281" s="164"/>
      <c r="H281" s="164"/>
      <c r="I281" s="164"/>
      <c r="J281" s="164"/>
    </row>
    <row r="282" ht="22.5" customHeight="1">
      <c r="A282" s="164"/>
      <c r="B282" s="164"/>
      <c r="C282" s="164"/>
      <c r="D282" s="164"/>
      <c r="E282" s="164"/>
      <c r="F282" s="164"/>
      <c r="G282" s="164"/>
      <c r="H282" s="164"/>
      <c r="I282" s="164"/>
      <c r="J282" s="164"/>
    </row>
    <row r="283" ht="22.5" customHeight="1">
      <c r="A283" s="164"/>
      <c r="B283" s="164"/>
      <c r="C283" s="164"/>
      <c r="D283" s="164"/>
      <c r="E283" s="164"/>
      <c r="F283" s="164"/>
      <c r="G283" s="164"/>
      <c r="H283" s="164"/>
      <c r="I283" s="164"/>
      <c r="J283" s="164"/>
    </row>
    <row r="284" ht="22.5" customHeight="1">
      <c r="A284" s="164"/>
      <c r="B284" s="164"/>
      <c r="C284" s="164"/>
      <c r="D284" s="164"/>
      <c r="E284" s="164"/>
      <c r="F284" s="164"/>
      <c r="G284" s="164"/>
      <c r="H284" s="164"/>
      <c r="I284" s="164"/>
      <c r="J284" s="164"/>
    </row>
    <row r="285" ht="22.5" customHeight="1">
      <c r="A285" s="164"/>
      <c r="B285" s="164"/>
      <c r="C285" s="164"/>
      <c r="D285" s="164"/>
      <c r="E285" s="164"/>
      <c r="F285" s="164"/>
      <c r="G285" s="164"/>
      <c r="H285" s="164"/>
      <c r="I285" s="164"/>
      <c r="J285" s="164"/>
    </row>
    <row r="286" ht="22.5" customHeight="1">
      <c r="A286" s="164"/>
      <c r="B286" s="164"/>
      <c r="C286" s="164"/>
      <c r="D286" s="164"/>
      <c r="E286" s="164"/>
      <c r="F286" s="164"/>
      <c r="G286" s="164"/>
      <c r="H286" s="164"/>
      <c r="I286" s="164"/>
      <c r="J286" s="164"/>
    </row>
    <row r="287" ht="22.5" customHeight="1">
      <c r="A287" s="164"/>
      <c r="B287" s="164"/>
      <c r="C287" s="164"/>
      <c r="D287" s="164"/>
      <c r="E287" s="164"/>
      <c r="F287" s="164"/>
      <c r="G287" s="164"/>
      <c r="H287" s="164"/>
      <c r="I287" s="164"/>
      <c r="J287" s="164"/>
    </row>
    <row r="288" ht="22.5" customHeight="1">
      <c r="A288" s="164"/>
      <c r="B288" s="164"/>
      <c r="C288" s="164"/>
      <c r="D288" s="164"/>
      <c r="E288" s="164"/>
      <c r="F288" s="164"/>
      <c r="G288" s="164"/>
      <c r="H288" s="164"/>
      <c r="I288" s="164"/>
      <c r="J288" s="164"/>
    </row>
    <row r="289" ht="22.5" customHeight="1">
      <c r="A289" s="164"/>
      <c r="B289" s="164"/>
      <c r="C289" s="164"/>
      <c r="D289" s="164"/>
      <c r="E289" s="164"/>
      <c r="F289" s="164"/>
      <c r="G289" s="164"/>
      <c r="H289" s="164"/>
      <c r="I289" s="164"/>
      <c r="J289" s="164"/>
    </row>
    <row r="290" ht="22.5" customHeight="1">
      <c r="A290" s="164"/>
      <c r="B290" s="164"/>
      <c r="C290" s="164"/>
      <c r="D290" s="164"/>
      <c r="E290" s="164"/>
      <c r="F290" s="164"/>
      <c r="G290" s="164"/>
      <c r="H290" s="164"/>
      <c r="I290" s="164"/>
      <c r="J290" s="164"/>
    </row>
    <row r="291" ht="22.5" customHeight="1">
      <c r="A291" s="164"/>
      <c r="B291" s="164"/>
      <c r="C291" s="164"/>
      <c r="D291" s="164"/>
      <c r="E291" s="164"/>
      <c r="F291" s="164"/>
      <c r="G291" s="164"/>
      <c r="H291" s="164"/>
      <c r="I291" s="164"/>
      <c r="J291" s="164"/>
    </row>
    <row r="292" ht="22.5" customHeight="1">
      <c r="A292" s="164"/>
      <c r="B292" s="164"/>
      <c r="C292" s="164"/>
      <c r="D292" s="164"/>
      <c r="E292" s="164"/>
      <c r="F292" s="164"/>
      <c r="G292" s="164"/>
      <c r="H292" s="164"/>
      <c r="I292" s="164"/>
      <c r="J292" s="164"/>
    </row>
    <row r="293" ht="22.5" customHeight="1">
      <c r="A293" s="164"/>
      <c r="B293" s="164"/>
      <c r="C293" s="164"/>
      <c r="D293" s="164"/>
      <c r="E293" s="164"/>
      <c r="F293" s="164"/>
      <c r="G293" s="164"/>
      <c r="H293" s="164"/>
      <c r="I293" s="164"/>
      <c r="J293" s="164"/>
    </row>
    <row r="294" ht="22.5" customHeight="1">
      <c r="A294" s="164"/>
      <c r="B294" s="164"/>
      <c r="C294" s="164"/>
      <c r="D294" s="164"/>
      <c r="E294" s="164"/>
      <c r="F294" s="164"/>
      <c r="G294" s="164"/>
      <c r="H294" s="164"/>
      <c r="I294" s="164"/>
      <c r="J294" s="164"/>
    </row>
    <row r="295" ht="22.5" customHeight="1">
      <c r="A295" s="164"/>
      <c r="B295" s="164"/>
      <c r="C295" s="164"/>
      <c r="D295" s="164"/>
      <c r="E295" s="164"/>
      <c r="F295" s="164"/>
      <c r="G295" s="164"/>
      <c r="H295" s="164"/>
      <c r="I295" s="164"/>
      <c r="J295" s="164"/>
    </row>
    <row r="296" ht="22.5" customHeight="1">
      <c r="A296" s="164"/>
      <c r="B296" s="164"/>
      <c r="C296" s="164"/>
      <c r="D296" s="164"/>
      <c r="E296" s="164"/>
      <c r="F296" s="164"/>
      <c r="G296" s="164"/>
      <c r="H296" s="164"/>
      <c r="I296" s="164"/>
      <c r="J296" s="164"/>
    </row>
    <row r="297" ht="22.5" customHeight="1">
      <c r="A297" s="164"/>
      <c r="B297" s="164"/>
      <c r="C297" s="164"/>
      <c r="D297" s="164"/>
      <c r="E297" s="164"/>
      <c r="F297" s="164"/>
      <c r="G297" s="164"/>
      <c r="H297" s="164"/>
      <c r="I297" s="164"/>
      <c r="J297" s="164"/>
    </row>
    <row r="298" ht="22.5" customHeight="1">
      <c r="A298" s="164"/>
      <c r="B298" s="164"/>
      <c r="C298" s="164"/>
      <c r="D298" s="164"/>
      <c r="E298" s="164"/>
      <c r="F298" s="164"/>
      <c r="G298" s="164"/>
      <c r="H298" s="164"/>
      <c r="I298" s="164"/>
      <c r="J298" s="164"/>
    </row>
    <row r="299" ht="22.5" customHeight="1">
      <c r="A299" s="164"/>
      <c r="B299" s="164"/>
      <c r="C299" s="164"/>
      <c r="D299" s="164"/>
      <c r="E299" s="164"/>
      <c r="F299" s="164"/>
      <c r="G299" s="164"/>
      <c r="H299" s="164"/>
      <c r="I299" s="164"/>
      <c r="J299" s="164"/>
    </row>
    <row r="300" ht="22.5" customHeight="1">
      <c r="A300" s="164"/>
      <c r="B300" s="164"/>
      <c r="C300" s="164"/>
      <c r="D300" s="164"/>
      <c r="E300" s="164"/>
      <c r="F300" s="164"/>
      <c r="G300" s="164"/>
      <c r="H300" s="164"/>
      <c r="I300" s="164"/>
      <c r="J300" s="164"/>
    </row>
    <row r="301" ht="22.5" customHeight="1">
      <c r="A301" s="164"/>
      <c r="B301" s="164"/>
      <c r="C301" s="164"/>
      <c r="D301" s="164"/>
      <c r="E301" s="164"/>
      <c r="F301" s="164"/>
      <c r="G301" s="164"/>
      <c r="H301" s="164"/>
      <c r="I301" s="164"/>
      <c r="J301" s="164"/>
    </row>
    <row r="302" ht="22.5" customHeight="1">
      <c r="A302" s="164"/>
      <c r="B302" s="164"/>
      <c r="C302" s="164"/>
      <c r="D302" s="164"/>
      <c r="E302" s="164"/>
      <c r="F302" s="164"/>
      <c r="G302" s="164"/>
      <c r="H302" s="164"/>
      <c r="I302" s="164"/>
      <c r="J302" s="164"/>
    </row>
    <row r="303" ht="22.5" customHeight="1">
      <c r="A303" s="164"/>
      <c r="B303" s="164"/>
      <c r="C303" s="164"/>
      <c r="D303" s="164"/>
      <c r="E303" s="164"/>
      <c r="F303" s="164"/>
      <c r="G303" s="164"/>
      <c r="H303" s="164"/>
      <c r="I303" s="164"/>
      <c r="J303" s="164"/>
    </row>
    <row r="304" ht="22.5" customHeight="1">
      <c r="A304" s="164"/>
      <c r="B304" s="164"/>
      <c r="C304" s="164"/>
      <c r="D304" s="164"/>
      <c r="E304" s="164"/>
      <c r="F304" s="164"/>
      <c r="G304" s="164"/>
      <c r="H304" s="164"/>
      <c r="I304" s="164"/>
      <c r="J304" s="164"/>
    </row>
    <row r="305" ht="22.5" customHeight="1">
      <c r="A305" s="164"/>
      <c r="B305" s="164"/>
      <c r="C305" s="164"/>
      <c r="D305" s="164"/>
      <c r="E305" s="164"/>
      <c r="F305" s="164"/>
      <c r="G305" s="164"/>
      <c r="H305" s="164"/>
      <c r="I305" s="164"/>
      <c r="J305" s="164"/>
    </row>
    <row r="306" ht="22.5" customHeight="1">
      <c r="A306" s="164"/>
      <c r="B306" s="164"/>
      <c r="C306" s="164"/>
      <c r="D306" s="164"/>
      <c r="E306" s="164"/>
      <c r="F306" s="164"/>
      <c r="G306" s="164"/>
      <c r="H306" s="164"/>
      <c r="I306" s="164"/>
      <c r="J306" s="164"/>
    </row>
    <row r="307" ht="22.5" customHeight="1">
      <c r="A307" s="164"/>
      <c r="B307" s="164"/>
      <c r="C307" s="164"/>
      <c r="D307" s="164"/>
      <c r="E307" s="164"/>
      <c r="F307" s="164"/>
      <c r="G307" s="164"/>
      <c r="H307" s="164"/>
      <c r="I307" s="164"/>
      <c r="J307" s="164"/>
    </row>
    <row r="308" ht="22.5" customHeight="1">
      <c r="A308" s="164"/>
      <c r="B308" s="164"/>
      <c r="C308" s="164"/>
      <c r="D308" s="164"/>
      <c r="E308" s="164"/>
      <c r="F308" s="164"/>
      <c r="G308" s="164"/>
      <c r="H308" s="164"/>
      <c r="I308" s="164"/>
      <c r="J308" s="164"/>
    </row>
    <row r="309" ht="22.5" customHeight="1">
      <c r="A309" s="164"/>
      <c r="B309" s="164"/>
      <c r="C309" s="164"/>
      <c r="D309" s="164"/>
      <c r="E309" s="164"/>
      <c r="F309" s="164"/>
      <c r="G309" s="164"/>
      <c r="H309" s="164"/>
      <c r="I309" s="164"/>
      <c r="J309" s="164"/>
    </row>
    <row r="310" ht="22.5" customHeight="1">
      <c r="A310" s="164"/>
      <c r="B310" s="164"/>
      <c r="C310" s="164"/>
      <c r="D310" s="164"/>
      <c r="E310" s="164"/>
      <c r="F310" s="164"/>
      <c r="G310" s="164"/>
      <c r="H310" s="164"/>
      <c r="I310" s="164"/>
      <c r="J310" s="164"/>
    </row>
    <row r="311" ht="22.5" customHeight="1">
      <c r="A311" s="164"/>
      <c r="B311" s="164"/>
      <c r="C311" s="164"/>
      <c r="D311" s="164"/>
      <c r="E311" s="164"/>
      <c r="F311" s="164"/>
      <c r="G311" s="164"/>
      <c r="H311" s="164"/>
      <c r="I311" s="164"/>
      <c r="J311" s="164"/>
    </row>
    <row r="312" ht="22.5" customHeight="1">
      <c r="A312" s="164"/>
      <c r="B312" s="164"/>
      <c r="C312" s="164"/>
      <c r="D312" s="164"/>
      <c r="E312" s="164"/>
      <c r="F312" s="164"/>
      <c r="G312" s="164"/>
      <c r="H312" s="164"/>
      <c r="I312" s="164"/>
      <c r="J312" s="164"/>
    </row>
    <row r="313" ht="22.5" customHeight="1">
      <c r="A313" s="164"/>
      <c r="B313" s="164"/>
      <c r="C313" s="164"/>
      <c r="D313" s="164"/>
      <c r="E313" s="164"/>
      <c r="F313" s="164"/>
      <c r="G313" s="164"/>
      <c r="H313" s="164"/>
      <c r="I313" s="164"/>
      <c r="J313" s="164"/>
    </row>
    <row r="314" ht="22.5" customHeight="1">
      <c r="A314" s="164"/>
      <c r="B314" s="164"/>
      <c r="C314" s="164"/>
      <c r="D314" s="164"/>
      <c r="E314" s="164"/>
      <c r="F314" s="164"/>
      <c r="G314" s="164"/>
      <c r="H314" s="164"/>
      <c r="I314" s="164"/>
      <c r="J314" s="164"/>
    </row>
    <row r="315" ht="22.5" customHeight="1">
      <c r="A315" s="164"/>
      <c r="B315" s="164"/>
      <c r="C315" s="164"/>
      <c r="D315" s="164"/>
      <c r="E315" s="164"/>
      <c r="F315" s="164"/>
      <c r="G315" s="164"/>
      <c r="H315" s="164"/>
      <c r="I315" s="164"/>
      <c r="J315" s="164"/>
    </row>
    <row r="316" ht="22.5" customHeight="1">
      <c r="A316" s="164"/>
      <c r="B316" s="164"/>
      <c r="C316" s="164"/>
      <c r="D316" s="164"/>
      <c r="E316" s="164"/>
      <c r="F316" s="164"/>
      <c r="G316" s="164"/>
      <c r="H316" s="164"/>
      <c r="I316" s="164"/>
      <c r="J316" s="164"/>
    </row>
    <row r="317" ht="22.5" customHeight="1">
      <c r="A317" s="164"/>
      <c r="B317" s="164"/>
      <c r="C317" s="164"/>
      <c r="D317" s="164"/>
      <c r="E317" s="164"/>
      <c r="F317" s="164"/>
      <c r="G317" s="164"/>
      <c r="H317" s="164"/>
      <c r="I317" s="164"/>
      <c r="J317" s="164"/>
    </row>
    <row r="318" ht="22.5" customHeight="1">
      <c r="A318" s="164"/>
      <c r="B318" s="164"/>
      <c r="C318" s="164"/>
      <c r="D318" s="164"/>
      <c r="E318" s="164"/>
      <c r="F318" s="164"/>
      <c r="G318" s="164"/>
      <c r="H318" s="164"/>
      <c r="I318" s="164"/>
      <c r="J318" s="164"/>
    </row>
    <row r="319" ht="22.5" customHeight="1">
      <c r="A319" s="164"/>
      <c r="B319" s="164"/>
      <c r="C319" s="164"/>
      <c r="D319" s="164"/>
      <c r="E319" s="164"/>
      <c r="F319" s="164"/>
      <c r="G319" s="164"/>
      <c r="H319" s="164"/>
      <c r="I319" s="164"/>
      <c r="J319" s="164"/>
    </row>
    <row r="320" ht="22.5" customHeight="1">
      <c r="A320" s="164"/>
      <c r="B320" s="164"/>
      <c r="C320" s="164"/>
      <c r="D320" s="164"/>
      <c r="E320" s="164"/>
      <c r="F320" s="164"/>
      <c r="G320" s="164"/>
      <c r="H320" s="164"/>
      <c r="I320" s="164"/>
      <c r="J320" s="164"/>
    </row>
    <row r="321" ht="22.5" customHeight="1">
      <c r="A321" s="164"/>
      <c r="B321" s="164"/>
      <c r="C321" s="164"/>
      <c r="D321" s="164"/>
      <c r="E321" s="164"/>
      <c r="F321" s="164"/>
      <c r="G321" s="164"/>
      <c r="H321" s="164"/>
      <c r="I321" s="164"/>
      <c r="J321" s="164"/>
    </row>
    <row r="322" ht="22.5" customHeight="1">
      <c r="A322" s="164"/>
      <c r="B322" s="164"/>
      <c r="C322" s="164"/>
      <c r="D322" s="164"/>
      <c r="E322" s="164"/>
      <c r="F322" s="164"/>
      <c r="G322" s="164"/>
      <c r="H322" s="164"/>
      <c r="I322" s="164"/>
      <c r="J322" s="164"/>
    </row>
    <row r="323" ht="22.5" customHeight="1">
      <c r="A323" s="164"/>
      <c r="B323" s="164"/>
      <c r="C323" s="164"/>
      <c r="D323" s="164"/>
      <c r="E323" s="164"/>
      <c r="F323" s="164"/>
      <c r="G323" s="164"/>
      <c r="H323" s="164"/>
      <c r="I323" s="164"/>
      <c r="J323" s="164"/>
    </row>
    <row r="324" ht="22.5" customHeight="1">
      <c r="A324" s="164"/>
      <c r="B324" s="164"/>
      <c r="C324" s="164"/>
      <c r="D324" s="164"/>
      <c r="E324" s="164"/>
      <c r="F324" s="164"/>
      <c r="G324" s="164"/>
      <c r="H324" s="164"/>
      <c r="I324" s="164"/>
      <c r="J324" s="164"/>
    </row>
    <row r="325" ht="22.5" customHeight="1">
      <c r="A325" s="164"/>
      <c r="B325" s="164"/>
      <c r="C325" s="164"/>
      <c r="D325" s="164"/>
      <c r="E325" s="164"/>
      <c r="F325" s="164"/>
      <c r="G325" s="164"/>
      <c r="H325" s="164"/>
      <c r="I325" s="164"/>
      <c r="J325" s="164"/>
    </row>
    <row r="326" ht="22.5" customHeight="1">
      <c r="A326" s="164"/>
      <c r="B326" s="164"/>
      <c r="C326" s="164"/>
      <c r="D326" s="164"/>
      <c r="E326" s="164"/>
      <c r="F326" s="164"/>
      <c r="G326" s="164"/>
      <c r="H326" s="164"/>
      <c r="I326" s="164"/>
      <c r="J326" s="164"/>
    </row>
    <row r="327" ht="22.5" customHeight="1">
      <c r="A327" s="164"/>
      <c r="B327" s="164"/>
      <c r="C327" s="164"/>
      <c r="D327" s="164"/>
      <c r="E327" s="164"/>
      <c r="F327" s="164"/>
      <c r="G327" s="164"/>
      <c r="H327" s="164"/>
      <c r="I327" s="164"/>
      <c r="J327" s="164"/>
    </row>
    <row r="328" ht="22.5" customHeight="1">
      <c r="A328" s="164"/>
      <c r="B328" s="164"/>
      <c r="C328" s="164"/>
      <c r="D328" s="164"/>
      <c r="E328" s="164"/>
      <c r="F328" s="164"/>
      <c r="G328" s="164"/>
      <c r="H328" s="164"/>
      <c r="I328" s="164"/>
      <c r="J328" s="164"/>
    </row>
    <row r="329" ht="22.5" customHeight="1">
      <c r="A329" s="164"/>
      <c r="B329" s="164"/>
      <c r="C329" s="164"/>
      <c r="D329" s="164"/>
      <c r="E329" s="164"/>
      <c r="F329" s="164"/>
      <c r="G329" s="164"/>
      <c r="H329" s="164"/>
      <c r="I329" s="164"/>
      <c r="J329" s="164"/>
    </row>
    <row r="330" ht="22.5" customHeight="1">
      <c r="A330" s="164"/>
      <c r="B330" s="164"/>
      <c r="C330" s="164"/>
      <c r="D330" s="164"/>
      <c r="E330" s="164"/>
      <c r="F330" s="164"/>
      <c r="G330" s="164"/>
      <c r="H330" s="164"/>
      <c r="I330" s="164"/>
      <c r="J330" s="164"/>
    </row>
    <row r="331" ht="22.5" customHeight="1">
      <c r="A331" s="164"/>
      <c r="B331" s="164"/>
      <c r="C331" s="164"/>
      <c r="D331" s="164"/>
      <c r="E331" s="164"/>
      <c r="F331" s="164"/>
      <c r="G331" s="164"/>
      <c r="H331" s="164"/>
      <c r="I331" s="164"/>
      <c r="J331" s="164"/>
    </row>
    <row r="332" ht="22.5" customHeight="1">
      <c r="A332" s="164"/>
      <c r="B332" s="164"/>
      <c r="C332" s="164"/>
      <c r="D332" s="164"/>
      <c r="E332" s="164"/>
      <c r="F332" s="164"/>
      <c r="G332" s="164"/>
      <c r="H332" s="164"/>
      <c r="I332" s="164"/>
      <c r="J332" s="164"/>
    </row>
    <row r="333" ht="22.5" customHeight="1">
      <c r="A333" s="164"/>
      <c r="B333" s="164"/>
      <c r="C333" s="164"/>
      <c r="D333" s="164"/>
      <c r="E333" s="164"/>
      <c r="F333" s="164"/>
      <c r="G333" s="164"/>
      <c r="H333" s="164"/>
      <c r="I333" s="164"/>
      <c r="J333" s="164"/>
    </row>
    <row r="334" ht="22.5" customHeight="1">
      <c r="A334" s="164"/>
      <c r="B334" s="164"/>
      <c r="C334" s="164"/>
      <c r="D334" s="164"/>
      <c r="E334" s="164"/>
      <c r="F334" s="164"/>
      <c r="G334" s="164"/>
      <c r="H334" s="164"/>
      <c r="I334" s="164"/>
      <c r="J334" s="164"/>
    </row>
    <row r="335" ht="22.5" customHeight="1">
      <c r="A335" s="164"/>
      <c r="B335" s="164"/>
      <c r="C335" s="164"/>
      <c r="D335" s="164"/>
      <c r="E335" s="164"/>
      <c r="F335" s="164"/>
      <c r="G335" s="164"/>
      <c r="H335" s="164"/>
      <c r="I335" s="164"/>
      <c r="J335" s="164"/>
    </row>
    <row r="336" ht="22.5" customHeight="1">
      <c r="A336" s="164"/>
      <c r="B336" s="164"/>
      <c r="C336" s="164"/>
      <c r="D336" s="164"/>
      <c r="E336" s="164"/>
      <c r="F336" s="164"/>
      <c r="G336" s="164"/>
      <c r="H336" s="164"/>
      <c r="I336" s="164"/>
      <c r="J336" s="164"/>
    </row>
    <row r="337" ht="22.5" customHeight="1">
      <c r="A337" s="164"/>
      <c r="B337" s="164"/>
      <c r="C337" s="164"/>
      <c r="D337" s="164"/>
      <c r="E337" s="164"/>
      <c r="F337" s="164"/>
      <c r="G337" s="164"/>
      <c r="H337" s="164"/>
      <c r="I337" s="164"/>
      <c r="J337" s="164"/>
    </row>
    <row r="338" ht="22.5" customHeight="1">
      <c r="A338" s="164"/>
      <c r="B338" s="164"/>
      <c r="C338" s="164"/>
      <c r="D338" s="164"/>
      <c r="E338" s="164"/>
      <c r="F338" s="164"/>
      <c r="G338" s="164"/>
      <c r="H338" s="164"/>
      <c r="I338" s="164"/>
      <c r="J338" s="164"/>
    </row>
    <row r="339" ht="22.5" customHeight="1">
      <c r="A339" s="164"/>
      <c r="B339" s="164"/>
      <c r="C339" s="164"/>
      <c r="D339" s="164"/>
      <c r="E339" s="164"/>
      <c r="F339" s="164"/>
      <c r="G339" s="164"/>
      <c r="H339" s="164"/>
      <c r="I339" s="164"/>
      <c r="J339" s="164"/>
    </row>
    <row r="340" ht="22.5" customHeight="1">
      <c r="A340" s="164"/>
      <c r="B340" s="164"/>
      <c r="C340" s="164"/>
      <c r="D340" s="164"/>
      <c r="E340" s="164"/>
      <c r="F340" s="164"/>
      <c r="G340" s="164"/>
      <c r="H340" s="164"/>
      <c r="I340" s="164"/>
      <c r="J340" s="164"/>
    </row>
    <row r="341" ht="22.5" customHeight="1">
      <c r="A341" s="164"/>
      <c r="B341" s="164"/>
      <c r="C341" s="164"/>
      <c r="D341" s="164"/>
      <c r="E341" s="164"/>
      <c r="F341" s="164"/>
      <c r="G341" s="164"/>
      <c r="H341" s="164"/>
      <c r="I341" s="164"/>
      <c r="J341" s="164"/>
    </row>
    <row r="342" ht="22.5" customHeight="1">
      <c r="A342" s="164"/>
      <c r="B342" s="164"/>
      <c r="C342" s="164"/>
      <c r="D342" s="164"/>
      <c r="E342" s="164"/>
      <c r="F342" s="164"/>
      <c r="G342" s="164"/>
      <c r="H342" s="164"/>
      <c r="I342" s="164"/>
      <c r="J342" s="164"/>
    </row>
    <row r="343" ht="22.5" customHeight="1">
      <c r="A343" s="164"/>
      <c r="B343" s="164"/>
      <c r="C343" s="164"/>
      <c r="D343" s="164"/>
      <c r="E343" s="164"/>
      <c r="F343" s="164"/>
      <c r="G343" s="164"/>
      <c r="H343" s="164"/>
      <c r="I343" s="164"/>
      <c r="J343" s="164"/>
    </row>
    <row r="344" ht="22.5" customHeight="1">
      <c r="A344" s="164"/>
      <c r="B344" s="164"/>
      <c r="C344" s="164"/>
      <c r="D344" s="164"/>
      <c r="E344" s="164"/>
      <c r="F344" s="164"/>
      <c r="G344" s="164"/>
      <c r="H344" s="164"/>
      <c r="I344" s="164"/>
      <c r="J344" s="164"/>
    </row>
    <row r="345" ht="22.5" customHeight="1">
      <c r="A345" s="164"/>
      <c r="B345" s="164"/>
      <c r="C345" s="164"/>
      <c r="D345" s="164"/>
      <c r="E345" s="164"/>
      <c r="F345" s="164"/>
      <c r="G345" s="164"/>
      <c r="H345" s="164"/>
      <c r="I345" s="164"/>
      <c r="J345" s="164"/>
    </row>
    <row r="346" ht="22.5" customHeight="1">
      <c r="A346" s="164"/>
      <c r="B346" s="164"/>
      <c r="C346" s="164"/>
      <c r="D346" s="164"/>
      <c r="E346" s="164"/>
      <c r="F346" s="164"/>
      <c r="G346" s="164"/>
      <c r="H346" s="164"/>
      <c r="I346" s="164"/>
      <c r="J346" s="164"/>
    </row>
    <row r="347" ht="22.5" customHeight="1">
      <c r="A347" s="164"/>
      <c r="B347" s="164"/>
      <c r="C347" s="164"/>
      <c r="D347" s="164"/>
      <c r="E347" s="164"/>
      <c r="F347" s="164"/>
      <c r="G347" s="164"/>
      <c r="H347" s="164"/>
      <c r="I347" s="164"/>
      <c r="J347" s="164"/>
    </row>
    <row r="348" ht="22.5" customHeight="1">
      <c r="A348" s="164"/>
      <c r="B348" s="164"/>
      <c r="C348" s="164"/>
      <c r="D348" s="164"/>
      <c r="E348" s="164"/>
      <c r="F348" s="164"/>
      <c r="G348" s="164"/>
      <c r="H348" s="164"/>
      <c r="I348" s="164"/>
      <c r="J348" s="164"/>
    </row>
    <row r="349" ht="22.5" customHeight="1">
      <c r="A349" s="164"/>
      <c r="B349" s="164"/>
      <c r="C349" s="164"/>
      <c r="D349" s="164"/>
      <c r="E349" s="164"/>
      <c r="F349" s="164"/>
      <c r="G349" s="164"/>
      <c r="H349" s="164"/>
      <c r="I349" s="164"/>
      <c r="J349" s="164"/>
    </row>
    <row r="350" ht="22.5" customHeight="1">
      <c r="A350" s="164"/>
      <c r="B350" s="164"/>
      <c r="C350" s="164"/>
      <c r="D350" s="164"/>
      <c r="E350" s="164"/>
      <c r="F350" s="164"/>
      <c r="G350" s="164"/>
      <c r="H350" s="164"/>
      <c r="I350" s="164"/>
      <c r="J350" s="164"/>
    </row>
    <row r="351" ht="22.5" customHeight="1">
      <c r="A351" s="164"/>
      <c r="B351" s="164"/>
      <c r="C351" s="164"/>
      <c r="D351" s="164"/>
      <c r="E351" s="164"/>
      <c r="F351" s="164"/>
      <c r="G351" s="164"/>
      <c r="H351" s="164"/>
      <c r="I351" s="164"/>
      <c r="J351" s="164"/>
    </row>
    <row r="352" ht="22.5" customHeight="1">
      <c r="A352" s="164"/>
      <c r="B352" s="164"/>
      <c r="C352" s="164"/>
      <c r="D352" s="164"/>
      <c r="E352" s="164"/>
      <c r="F352" s="164"/>
      <c r="G352" s="164"/>
      <c r="H352" s="164"/>
      <c r="I352" s="164"/>
      <c r="J352" s="164"/>
    </row>
    <row r="353" ht="22.5" customHeight="1">
      <c r="A353" s="164"/>
      <c r="B353" s="164"/>
      <c r="C353" s="164"/>
      <c r="D353" s="164"/>
      <c r="E353" s="164"/>
      <c r="F353" s="164"/>
      <c r="G353" s="164"/>
      <c r="H353" s="164"/>
      <c r="I353" s="164"/>
      <c r="J353" s="164"/>
    </row>
    <row r="354" ht="22.5" customHeight="1">
      <c r="A354" s="164"/>
      <c r="B354" s="164"/>
      <c r="C354" s="164"/>
      <c r="D354" s="164"/>
      <c r="E354" s="164"/>
      <c r="F354" s="164"/>
      <c r="G354" s="164"/>
      <c r="H354" s="164"/>
      <c r="I354" s="164"/>
      <c r="J354" s="164"/>
    </row>
    <row r="355" ht="22.5" customHeight="1">
      <c r="A355" s="164"/>
      <c r="B355" s="164"/>
      <c r="C355" s="164"/>
      <c r="D355" s="164"/>
      <c r="E355" s="164"/>
      <c r="F355" s="164"/>
      <c r="G355" s="164"/>
      <c r="H355" s="164"/>
      <c r="I355" s="164"/>
      <c r="J355" s="164"/>
    </row>
    <row r="356" ht="22.5" customHeight="1">
      <c r="A356" s="164"/>
      <c r="B356" s="164"/>
      <c r="C356" s="164"/>
      <c r="D356" s="164"/>
      <c r="E356" s="164"/>
      <c r="F356" s="164"/>
      <c r="G356" s="164"/>
      <c r="H356" s="164"/>
      <c r="I356" s="164"/>
      <c r="J356" s="164"/>
    </row>
    <row r="357" ht="22.5" customHeight="1">
      <c r="A357" s="164"/>
      <c r="B357" s="164"/>
      <c r="C357" s="164"/>
      <c r="D357" s="164"/>
      <c r="E357" s="164"/>
      <c r="F357" s="164"/>
      <c r="G357" s="164"/>
      <c r="H357" s="164"/>
      <c r="I357" s="164"/>
      <c r="J357" s="164"/>
    </row>
    <row r="358" ht="22.5" customHeight="1">
      <c r="A358" s="164"/>
      <c r="B358" s="164"/>
      <c r="C358" s="164"/>
      <c r="D358" s="164"/>
      <c r="E358" s="164"/>
      <c r="F358" s="164"/>
      <c r="G358" s="164"/>
      <c r="H358" s="164"/>
      <c r="I358" s="164"/>
      <c r="J358" s="164"/>
    </row>
    <row r="359" ht="22.5" customHeight="1">
      <c r="A359" s="164"/>
      <c r="B359" s="164"/>
      <c r="C359" s="164"/>
      <c r="D359" s="164"/>
      <c r="E359" s="164"/>
      <c r="F359" s="164"/>
      <c r="G359" s="164"/>
      <c r="H359" s="164"/>
      <c r="I359" s="164"/>
      <c r="J359" s="164"/>
    </row>
    <row r="360" ht="22.5" customHeight="1">
      <c r="A360" s="164"/>
      <c r="B360" s="164"/>
      <c r="C360" s="164"/>
      <c r="D360" s="164"/>
      <c r="E360" s="164"/>
      <c r="F360" s="164"/>
      <c r="G360" s="164"/>
      <c r="H360" s="164"/>
      <c r="I360" s="164"/>
      <c r="J360" s="164"/>
    </row>
    <row r="361" ht="22.5" customHeight="1">
      <c r="A361" s="164"/>
      <c r="B361" s="164"/>
      <c r="C361" s="164"/>
      <c r="D361" s="164"/>
      <c r="E361" s="164"/>
      <c r="F361" s="164"/>
      <c r="G361" s="164"/>
      <c r="H361" s="164"/>
      <c r="I361" s="164"/>
      <c r="J361" s="164"/>
    </row>
    <row r="362" ht="22.5" customHeight="1">
      <c r="A362" s="164"/>
      <c r="B362" s="164"/>
      <c r="C362" s="164"/>
      <c r="D362" s="164"/>
      <c r="E362" s="164"/>
      <c r="F362" s="164"/>
      <c r="G362" s="164"/>
      <c r="H362" s="164"/>
      <c r="I362" s="164"/>
      <c r="J362" s="164"/>
    </row>
    <row r="363" ht="22.5" customHeight="1">
      <c r="A363" s="164"/>
      <c r="B363" s="164"/>
      <c r="C363" s="164"/>
      <c r="D363" s="164"/>
      <c r="E363" s="164"/>
      <c r="F363" s="164"/>
      <c r="G363" s="164"/>
      <c r="H363" s="164"/>
      <c r="I363" s="164"/>
      <c r="J363" s="164"/>
    </row>
    <row r="364" ht="22.5" customHeight="1">
      <c r="A364" s="164"/>
      <c r="B364" s="164"/>
      <c r="C364" s="164"/>
      <c r="D364" s="164"/>
      <c r="E364" s="164"/>
      <c r="F364" s="164"/>
      <c r="G364" s="164"/>
      <c r="H364" s="164"/>
      <c r="I364" s="164"/>
      <c r="J364" s="164"/>
    </row>
    <row r="365" ht="22.5" customHeight="1">
      <c r="A365" s="164"/>
      <c r="B365" s="164"/>
      <c r="C365" s="164"/>
      <c r="D365" s="164"/>
      <c r="E365" s="164"/>
      <c r="F365" s="164"/>
      <c r="G365" s="164"/>
      <c r="H365" s="164"/>
      <c r="I365" s="164"/>
      <c r="J365" s="164"/>
    </row>
    <row r="366" ht="22.5" customHeight="1">
      <c r="A366" s="164"/>
      <c r="B366" s="164"/>
      <c r="C366" s="164"/>
      <c r="D366" s="164"/>
      <c r="E366" s="164"/>
      <c r="F366" s="164"/>
      <c r="G366" s="164"/>
      <c r="H366" s="164"/>
      <c r="I366" s="164"/>
      <c r="J366" s="164"/>
    </row>
    <row r="367" ht="22.5" customHeight="1">
      <c r="A367" s="164"/>
      <c r="B367" s="164"/>
      <c r="C367" s="164"/>
      <c r="D367" s="164"/>
      <c r="E367" s="164"/>
      <c r="F367" s="164"/>
      <c r="G367" s="164"/>
      <c r="H367" s="164"/>
      <c r="I367" s="164"/>
      <c r="J367" s="164"/>
    </row>
    <row r="368" ht="22.5" customHeight="1">
      <c r="A368" s="164"/>
      <c r="B368" s="164"/>
      <c r="C368" s="164"/>
      <c r="D368" s="164"/>
      <c r="E368" s="164"/>
      <c r="F368" s="164"/>
      <c r="G368" s="164"/>
      <c r="H368" s="164"/>
      <c r="I368" s="164"/>
      <c r="J368" s="164"/>
    </row>
    <row r="369" ht="22.5" customHeight="1">
      <c r="A369" s="164"/>
      <c r="B369" s="164"/>
      <c r="C369" s="164"/>
      <c r="D369" s="164"/>
      <c r="E369" s="164"/>
      <c r="F369" s="164"/>
      <c r="G369" s="164"/>
      <c r="H369" s="164"/>
      <c r="I369" s="164"/>
      <c r="J369" s="164"/>
    </row>
    <row r="370" ht="22.5" customHeight="1">
      <c r="A370" s="164"/>
      <c r="B370" s="164"/>
      <c r="C370" s="164"/>
      <c r="D370" s="164"/>
      <c r="E370" s="164"/>
      <c r="F370" s="164"/>
      <c r="G370" s="164"/>
      <c r="H370" s="164"/>
      <c r="I370" s="164"/>
      <c r="J370" s="164"/>
    </row>
    <row r="371" ht="22.5" customHeight="1">
      <c r="A371" s="164"/>
      <c r="B371" s="164"/>
      <c r="C371" s="164"/>
      <c r="D371" s="164"/>
      <c r="E371" s="164"/>
      <c r="F371" s="164"/>
      <c r="G371" s="164"/>
      <c r="H371" s="164"/>
      <c r="I371" s="164"/>
      <c r="J371" s="164"/>
    </row>
    <row r="372" ht="22.5" customHeight="1">
      <c r="A372" s="164"/>
      <c r="B372" s="164"/>
      <c r="C372" s="164"/>
      <c r="D372" s="164"/>
      <c r="E372" s="164"/>
      <c r="F372" s="164"/>
      <c r="G372" s="164"/>
      <c r="H372" s="164"/>
      <c r="I372" s="164"/>
      <c r="J372" s="164"/>
    </row>
    <row r="373" ht="22.5" customHeight="1">
      <c r="A373" s="164"/>
      <c r="B373" s="164"/>
      <c r="C373" s="164"/>
      <c r="D373" s="164"/>
      <c r="E373" s="164"/>
      <c r="F373" s="164"/>
      <c r="G373" s="164"/>
      <c r="H373" s="164"/>
      <c r="I373" s="164"/>
      <c r="J373" s="164"/>
    </row>
    <row r="374" ht="22.5" customHeight="1">
      <c r="A374" s="164"/>
      <c r="B374" s="164"/>
      <c r="C374" s="164"/>
      <c r="D374" s="164"/>
      <c r="E374" s="164"/>
      <c r="F374" s="164"/>
      <c r="G374" s="164"/>
      <c r="H374" s="164"/>
      <c r="I374" s="164"/>
      <c r="J374" s="164"/>
    </row>
    <row r="375" ht="22.5" customHeight="1">
      <c r="A375" s="164"/>
      <c r="B375" s="164"/>
      <c r="C375" s="164"/>
      <c r="D375" s="164"/>
      <c r="E375" s="164"/>
      <c r="F375" s="164"/>
      <c r="G375" s="164"/>
      <c r="H375" s="164"/>
      <c r="I375" s="164"/>
      <c r="J375" s="164"/>
    </row>
    <row r="376" ht="22.5" customHeight="1">
      <c r="A376" s="164"/>
      <c r="B376" s="164"/>
      <c r="C376" s="164"/>
      <c r="D376" s="164"/>
      <c r="E376" s="164"/>
      <c r="F376" s="164"/>
      <c r="G376" s="164"/>
      <c r="H376" s="164"/>
      <c r="I376" s="164"/>
      <c r="J376" s="164"/>
    </row>
    <row r="377" ht="22.5" customHeight="1">
      <c r="A377" s="164"/>
      <c r="B377" s="164"/>
      <c r="C377" s="164"/>
      <c r="D377" s="164"/>
      <c r="E377" s="164"/>
      <c r="F377" s="164"/>
      <c r="G377" s="164"/>
      <c r="H377" s="164"/>
      <c r="I377" s="164"/>
      <c r="J377" s="164"/>
    </row>
    <row r="378" ht="22.5" customHeight="1">
      <c r="A378" s="164"/>
      <c r="B378" s="164"/>
      <c r="C378" s="164"/>
      <c r="D378" s="164"/>
      <c r="E378" s="164"/>
      <c r="F378" s="164"/>
      <c r="G378" s="164"/>
      <c r="H378" s="164"/>
      <c r="I378" s="164"/>
      <c r="J378" s="164"/>
    </row>
    <row r="379" ht="22.5" customHeight="1">
      <c r="A379" s="164"/>
      <c r="B379" s="164"/>
      <c r="C379" s="164"/>
      <c r="D379" s="164"/>
      <c r="E379" s="164"/>
      <c r="F379" s="164"/>
      <c r="G379" s="164"/>
      <c r="H379" s="164"/>
      <c r="I379" s="164"/>
      <c r="J379" s="164"/>
    </row>
    <row r="380" ht="22.5" customHeight="1">
      <c r="A380" s="164"/>
      <c r="B380" s="164"/>
      <c r="C380" s="164"/>
      <c r="D380" s="164"/>
      <c r="E380" s="164"/>
      <c r="F380" s="164"/>
      <c r="G380" s="164"/>
      <c r="H380" s="164"/>
      <c r="I380" s="164"/>
      <c r="J380" s="164"/>
    </row>
    <row r="381" ht="22.5" customHeight="1">
      <c r="A381" s="164"/>
      <c r="B381" s="164"/>
      <c r="C381" s="164"/>
      <c r="D381" s="164"/>
      <c r="E381" s="164"/>
      <c r="F381" s="164"/>
      <c r="G381" s="164"/>
      <c r="H381" s="164"/>
      <c r="I381" s="164"/>
      <c r="J381" s="164"/>
    </row>
    <row r="382" ht="22.5" customHeight="1">
      <c r="A382" s="164"/>
      <c r="B382" s="164"/>
      <c r="C382" s="164"/>
      <c r="D382" s="164"/>
      <c r="E382" s="164"/>
      <c r="F382" s="164"/>
      <c r="G382" s="164"/>
      <c r="H382" s="164"/>
      <c r="I382" s="164"/>
      <c r="J382" s="164"/>
    </row>
    <row r="383" ht="22.5" customHeight="1">
      <c r="A383" s="164"/>
      <c r="B383" s="164"/>
      <c r="C383" s="164"/>
      <c r="D383" s="164"/>
      <c r="E383" s="164"/>
      <c r="F383" s="164"/>
      <c r="G383" s="164"/>
      <c r="H383" s="164"/>
      <c r="I383" s="164"/>
      <c r="J383" s="164"/>
    </row>
    <row r="384" ht="22.5" customHeight="1">
      <c r="A384" s="164"/>
      <c r="B384" s="164"/>
      <c r="C384" s="164"/>
      <c r="D384" s="164"/>
      <c r="E384" s="164"/>
      <c r="F384" s="164"/>
      <c r="G384" s="164"/>
      <c r="H384" s="164"/>
      <c r="I384" s="164"/>
      <c r="J384" s="164"/>
    </row>
    <row r="385" ht="22.5" customHeight="1">
      <c r="A385" s="164"/>
      <c r="B385" s="164"/>
      <c r="C385" s="164"/>
      <c r="D385" s="164"/>
      <c r="E385" s="164"/>
      <c r="F385" s="164"/>
      <c r="G385" s="164"/>
      <c r="H385" s="164"/>
      <c r="I385" s="164"/>
      <c r="J385" s="164"/>
    </row>
    <row r="386" ht="22.5" customHeight="1">
      <c r="A386" s="164"/>
      <c r="B386" s="164"/>
      <c r="C386" s="164"/>
      <c r="D386" s="164"/>
      <c r="E386" s="164"/>
      <c r="F386" s="164"/>
      <c r="G386" s="164"/>
      <c r="H386" s="164"/>
      <c r="I386" s="164"/>
      <c r="J386" s="164"/>
    </row>
    <row r="387" ht="22.5" customHeight="1">
      <c r="A387" s="164"/>
      <c r="B387" s="164"/>
      <c r="C387" s="164"/>
      <c r="D387" s="164"/>
      <c r="E387" s="164"/>
      <c r="F387" s="164"/>
      <c r="G387" s="164"/>
      <c r="H387" s="164"/>
      <c r="I387" s="164"/>
      <c r="J387" s="164"/>
    </row>
    <row r="388" ht="22.5" customHeight="1">
      <c r="A388" s="164"/>
      <c r="B388" s="164"/>
      <c r="C388" s="164"/>
      <c r="D388" s="164"/>
      <c r="E388" s="164"/>
      <c r="F388" s="164"/>
      <c r="G388" s="164"/>
      <c r="H388" s="164"/>
      <c r="I388" s="164"/>
      <c r="J388" s="164"/>
    </row>
    <row r="389" ht="22.5" customHeight="1">
      <c r="A389" s="164"/>
      <c r="B389" s="164"/>
      <c r="C389" s="164"/>
      <c r="D389" s="164"/>
      <c r="E389" s="164"/>
      <c r="F389" s="164"/>
      <c r="G389" s="164"/>
      <c r="H389" s="164"/>
      <c r="I389" s="164"/>
      <c r="J389" s="164"/>
    </row>
    <row r="390" ht="22.5" customHeight="1">
      <c r="A390" s="164"/>
      <c r="B390" s="164"/>
      <c r="C390" s="164"/>
      <c r="D390" s="164"/>
      <c r="E390" s="164"/>
      <c r="F390" s="164"/>
      <c r="G390" s="164"/>
      <c r="H390" s="164"/>
      <c r="I390" s="164"/>
      <c r="J390" s="164"/>
    </row>
    <row r="391" ht="22.5" customHeight="1">
      <c r="A391" s="164"/>
      <c r="B391" s="164"/>
      <c r="C391" s="164"/>
      <c r="D391" s="164"/>
      <c r="E391" s="164"/>
      <c r="F391" s="164"/>
      <c r="G391" s="164"/>
      <c r="H391" s="164"/>
      <c r="I391" s="164"/>
      <c r="J391" s="164"/>
    </row>
    <row r="392" ht="22.5" customHeight="1">
      <c r="A392" s="164"/>
      <c r="B392" s="164"/>
      <c r="C392" s="164"/>
      <c r="D392" s="164"/>
      <c r="E392" s="164"/>
      <c r="F392" s="164"/>
      <c r="G392" s="164"/>
      <c r="H392" s="164"/>
      <c r="I392" s="164"/>
      <c r="J392" s="164"/>
    </row>
    <row r="393" ht="22.5" customHeight="1">
      <c r="A393" s="164"/>
      <c r="B393" s="164"/>
      <c r="C393" s="164"/>
      <c r="D393" s="164"/>
      <c r="E393" s="164"/>
      <c r="F393" s="164"/>
      <c r="G393" s="164"/>
      <c r="H393" s="164"/>
      <c r="I393" s="164"/>
      <c r="J393" s="164"/>
    </row>
    <row r="394" ht="22.5" customHeight="1">
      <c r="A394" s="164"/>
      <c r="B394" s="164"/>
      <c r="C394" s="164"/>
      <c r="D394" s="164"/>
      <c r="E394" s="164"/>
      <c r="F394" s="164"/>
      <c r="G394" s="164"/>
      <c r="H394" s="164"/>
      <c r="I394" s="164"/>
      <c r="J394" s="164"/>
    </row>
    <row r="395" ht="22.5" customHeight="1">
      <c r="A395" s="164"/>
      <c r="B395" s="164"/>
      <c r="C395" s="164"/>
      <c r="D395" s="164"/>
      <c r="E395" s="164"/>
      <c r="F395" s="164"/>
      <c r="G395" s="164"/>
      <c r="H395" s="164"/>
      <c r="I395" s="164"/>
      <c r="J395" s="164"/>
    </row>
    <row r="396" ht="22.5" customHeight="1">
      <c r="A396" s="164"/>
      <c r="B396" s="164"/>
      <c r="C396" s="164"/>
      <c r="D396" s="164"/>
      <c r="E396" s="164"/>
      <c r="F396" s="164"/>
      <c r="G396" s="164"/>
      <c r="H396" s="164"/>
      <c r="I396" s="164"/>
      <c r="J396" s="164"/>
    </row>
    <row r="397" ht="22.5" customHeight="1">
      <c r="A397" s="164"/>
      <c r="B397" s="164"/>
      <c r="C397" s="164"/>
      <c r="D397" s="164"/>
      <c r="E397" s="164"/>
      <c r="F397" s="164"/>
      <c r="G397" s="164"/>
      <c r="H397" s="164"/>
      <c r="I397" s="164"/>
      <c r="J397" s="164"/>
    </row>
    <row r="398" ht="22.5" customHeight="1">
      <c r="A398" s="164"/>
      <c r="B398" s="164"/>
      <c r="C398" s="164"/>
      <c r="D398" s="164"/>
      <c r="E398" s="164"/>
      <c r="F398" s="164"/>
      <c r="G398" s="164"/>
      <c r="H398" s="164"/>
      <c r="I398" s="164"/>
      <c r="J398" s="164"/>
    </row>
    <row r="399" ht="22.5" customHeight="1">
      <c r="A399" s="164"/>
      <c r="B399" s="164"/>
      <c r="C399" s="164"/>
      <c r="D399" s="164"/>
      <c r="E399" s="164"/>
      <c r="F399" s="164"/>
      <c r="G399" s="164"/>
      <c r="H399" s="164"/>
      <c r="I399" s="164"/>
      <c r="J399" s="164"/>
    </row>
    <row r="400" ht="22.5" customHeight="1">
      <c r="A400" s="164"/>
      <c r="B400" s="164"/>
      <c r="C400" s="164"/>
      <c r="D400" s="164"/>
      <c r="E400" s="164"/>
      <c r="F400" s="164"/>
      <c r="G400" s="164"/>
      <c r="H400" s="164"/>
      <c r="I400" s="164"/>
      <c r="J400" s="164"/>
    </row>
    <row r="401" ht="22.5" customHeight="1">
      <c r="A401" s="164"/>
      <c r="B401" s="164"/>
      <c r="C401" s="164"/>
      <c r="D401" s="164"/>
      <c r="E401" s="164"/>
      <c r="F401" s="164"/>
      <c r="G401" s="164"/>
      <c r="H401" s="164"/>
      <c r="I401" s="164"/>
      <c r="J401" s="164"/>
    </row>
    <row r="402" ht="22.5" customHeight="1">
      <c r="A402" s="164"/>
      <c r="B402" s="164"/>
      <c r="C402" s="164"/>
      <c r="D402" s="164"/>
      <c r="E402" s="164"/>
      <c r="F402" s="164"/>
      <c r="G402" s="164"/>
      <c r="H402" s="164"/>
      <c r="I402" s="164"/>
      <c r="J402" s="164"/>
    </row>
    <row r="403" ht="22.5" customHeight="1">
      <c r="A403" s="164"/>
      <c r="B403" s="164"/>
      <c r="C403" s="164"/>
      <c r="D403" s="164"/>
      <c r="E403" s="164"/>
      <c r="F403" s="164"/>
      <c r="G403" s="164"/>
      <c r="H403" s="164"/>
      <c r="I403" s="164"/>
      <c r="J403" s="164"/>
    </row>
    <row r="404" ht="22.5" customHeight="1">
      <c r="A404" s="164"/>
      <c r="B404" s="164"/>
      <c r="C404" s="164"/>
      <c r="D404" s="164"/>
      <c r="E404" s="164"/>
      <c r="F404" s="164"/>
      <c r="G404" s="164"/>
      <c r="H404" s="164"/>
      <c r="I404" s="164"/>
      <c r="J404" s="164"/>
    </row>
    <row r="405" ht="22.5" customHeight="1">
      <c r="A405" s="164"/>
      <c r="B405" s="164"/>
      <c r="C405" s="164"/>
      <c r="D405" s="164"/>
      <c r="E405" s="164"/>
      <c r="F405" s="164"/>
      <c r="G405" s="164"/>
      <c r="H405" s="164"/>
      <c r="I405" s="164"/>
      <c r="J405" s="164"/>
    </row>
    <row r="406" ht="22.5" customHeight="1">
      <c r="A406" s="164"/>
      <c r="B406" s="164"/>
      <c r="C406" s="164"/>
      <c r="D406" s="164"/>
      <c r="E406" s="164"/>
      <c r="F406" s="164"/>
      <c r="G406" s="164"/>
      <c r="H406" s="164"/>
      <c r="I406" s="164"/>
      <c r="J406" s="164"/>
    </row>
    <row r="407" ht="22.5" customHeight="1">
      <c r="A407" s="164"/>
      <c r="B407" s="164"/>
      <c r="C407" s="164"/>
      <c r="D407" s="164"/>
      <c r="E407" s="164"/>
      <c r="F407" s="164"/>
      <c r="G407" s="164"/>
      <c r="H407" s="164"/>
      <c r="I407" s="164"/>
      <c r="J407" s="164"/>
    </row>
    <row r="408" ht="22.5" customHeight="1">
      <c r="A408" s="164"/>
      <c r="B408" s="164"/>
      <c r="C408" s="164"/>
      <c r="D408" s="164"/>
      <c r="E408" s="164"/>
      <c r="F408" s="164"/>
      <c r="G408" s="164"/>
      <c r="H408" s="164"/>
      <c r="I408" s="164"/>
      <c r="J408" s="164"/>
    </row>
    <row r="409" ht="22.5" customHeight="1">
      <c r="A409" s="164"/>
      <c r="B409" s="164"/>
      <c r="C409" s="164"/>
      <c r="D409" s="164"/>
      <c r="E409" s="164"/>
      <c r="F409" s="164"/>
      <c r="G409" s="164"/>
      <c r="H409" s="164"/>
      <c r="I409" s="164"/>
      <c r="J409" s="164"/>
    </row>
    <row r="410" ht="22.5" customHeight="1">
      <c r="A410" s="164"/>
      <c r="B410" s="164"/>
      <c r="C410" s="164"/>
      <c r="D410" s="164"/>
      <c r="E410" s="164"/>
      <c r="F410" s="164"/>
      <c r="G410" s="164"/>
      <c r="H410" s="164"/>
      <c r="I410" s="164"/>
      <c r="J410" s="164"/>
    </row>
    <row r="411" ht="22.5" customHeight="1">
      <c r="A411" s="164"/>
      <c r="B411" s="164"/>
      <c r="C411" s="164"/>
      <c r="D411" s="164"/>
      <c r="E411" s="164"/>
      <c r="F411" s="164"/>
      <c r="G411" s="164"/>
      <c r="H411" s="164"/>
      <c r="I411" s="164"/>
      <c r="J411" s="164"/>
    </row>
    <row r="412" ht="22.5" customHeight="1">
      <c r="A412" s="164"/>
      <c r="B412" s="164"/>
      <c r="C412" s="164"/>
      <c r="D412" s="164"/>
      <c r="E412" s="164"/>
      <c r="F412" s="164"/>
      <c r="G412" s="164"/>
      <c r="H412" s="164"/>
      <c r="I412" s="164"/>
      <c r="J412" s="164"/>
    </row>
    <row r="413" ht="22.5" customHeight="1">
      <c r="A413" s="164"/>
      <c r="B413" s="164"/>
      <c r="C413" s="164"/>
      <c r="D413" s="164"/>
      <c r="E413" s="164"/>
      <c r="F413" s="164"/>
      <c r="G413" s="164"/>
      <c r="H413" s="164"/>
      <c r="I413" s="164"/>
      <c r="J413" s="164"/>
    </row>
    <row r="414" ht="22.5" customHeight="1">
      <c r="A414" s="164"/>
      <c r="B414" s="164"/>
      <c r="C414" s="164"/>
      <c r="D414" s="164"/>
      <c r="E414" s="164"/>
      <c r="F414" s="164"/>
      <c r="G414" s="164"/>
      <c r="H414" s="164"/>
      <c r="I414" s="164"/>
      <c r="J414" s="164"/>
    </row>
    <row r="415" ht="22.5" customHeight="1">
      <c r="A415" s="164"/>
      <c r="B415" s="164"/>
      <c r="C415" s="164"/>
      <c r="D415" s="164"/>
      <c r="E415" s="164"/>
      <c r="F415" s="164"/>
      <c r="G415" s="164"/>
      <c r="H415" s="164"/>
      <c r="I415" s="164"/>
      <c r="J415" s="164"/>
    </row>
    <row r="416" ht="22.5" customHeight="1">
      <c r="A416" s="164"/>
      <c r="B416" s="164"/>
      <c r="C416" s="164"/>
      <c r="D416" s="164"/>
      <c r="E416" s="164"/>
      <c r="F416" s="164"/>
      <c r="G416" s="164"/>
      <c r="H416" s="164"/>
      <c r="I416" s="164"/>
      <c r="J416" s="164"/>
    </row>
    <row r="417" ht="22.5" customHeight="1">
      <c r="A417" s="164"/>
      <c r="B417" s="164"/>
      <c r="C417" s="164"/>
      <c r="D417" s="164"/>
      <c r="E417" s="164"/>
      <c r="F417" s="164"/>
      <c r="G417" s="164"/>
      <c r="H417" s="164"/>
      <c r="I417" s="164"/>
      <c r="J417" s="164"/>
    </row>
    <row r="418" ht="22.5" customHeight="1">
      <c r="A418" s="164"/>
      <c r="B418" s="164"/>
      <c r="C418" s="164"/>
      <c r="D418" s="164"/>
      <c r="E418" s="164"/>
      <c r="F418" s="164"/>
      <c r="G418" s="164"/>
      <c r="H418" s="164"/>
      <c r="I418" s="164"/>
      <c r="J418" s="164"/>
    </row>
    <row r="419" ht="22.5" customHeight="1">
      <c r="A419" s="164"/>
      <c r="B419" s="164"/>
      <c r="C419" s="164"/>
      <c r="D419" s="164"/>
      <c r="E419" s="164"/>
      <c r="F419" s="164"/>
      <c r="G419" s="164"/>
      <c r="H419" s="164"/>
      <c r="I419" s="164"/>
      <c r="J419" s="164"/>
    </row>
    <row r="420" ht="22.5" customHeight="1">
      <c r="A420" s="164"/>
      <c r="B420" s="164"/>
      <c r="C420" s="164"/>
      <c r="D420" s="164"/>
      <c r="E420" s="164"/>
      <c r="F420" s="164"/>
      <c r="G420" s="164"/>
      <c r="H420" s="164"/>
      <c r="I420" s="164"/>
      <c r="J420" s="164"/>
    </row>
    <row r="421" ht="22.5" customHeight="1">
      <c r="A421" s="164"/>
      <c r="B421" s="164"/>
      <c r="C421" s="164"/>
      <c r="D421" s="164"/>
      <c r="E421" s="164"/>
      <c r="F421" s="164"/>
      <c r="G421" s="164"/>
      <c r="H421" s="164"/>
      <c r="I421" s="164"/>
      <c r="J421" s="164"/>
    </row>
    <row r="422" ht="22.5" customHeight="1">
      <c r="A422" s="164"/>
      <c r="B422" s="164"/>
      <c r="C422" s="164"/>
      <c r="D422" s="164"/>
      <c r="E422" s="164"/>
      <c r="F422" s="164"/>
      <c r="G422" s="164"/>
      <c r="H422" s="164"/>
      <c r="I422" s="164"/>
      <c r="J422" s="164"/>
    </row>
    <row r="423" ht="22.5" customHeight="1">
      <c r="A423" s="164"/>
      <c r="B423" s="164"/>
      <c r="C423" s="164"/>
      <c r="D423" s="164"/>
      <c r="E423" s="164"/>
      <c r="F423" s="164"/>
      <c r="G423" s="164"/>
      <c r="H423" s="164"/>
      <c r="I423" s="164"/>
      <c r="J423" s="164"/>
    </row>
    <row r="424" ht="22.5" customHeight="1">
      <c r="A424" s="164"/>
      <c r="B424" s="164"/>
      <c r="C424" s="164"/>
      <c r="D424" s="164"/>
      <c r="E424" s="164"/>
      <c r="F424" s="164"/>
      <c r="G424" s="164"/>
      <c r="H424" s="164"/>
      <c r="I424" s="164"/>
      <c r="J424" s="164"/>
    </row>
    <row r="425" ht="22.5" customHeight="1">
      <c r="A425" s="164"/>
      <c r="B425" s="164"/>
      <c r="C425" s="164"/>
      <c r="D425" s="164"/>
      <c r="E425" s="164"/>
      <c r="F425" s="164"/>
      <c r="G425" s="164"/>
      <c r="H425" s="164"/>
      <c r="I425" s="164"/>
      <c r="J425" s="164"/>
    </row>
    <row r="426" ht="22.5" customHeight="1">
      <c r="A426" s="164"/>
      <c r="B426" s="164"/>
      <c r="C426" s="164"/>
      <c r="D426" s="164"/>
      <c r="E426" s="164"/>
      <c r="F426" s="164"/>
      <c r="G426" s="164"/>
      <c r="H426" s="164"/>
      <c r="I426" s="164"/>
      <c r="J426" s="164"/>
    </row>
    <row r="427" ht="22.5" customHeight="1">
      <c r="A427" s="164"/>
      <c r="B427" s="164"/>
      <c r="C427" s="164"/>
      <c r="D427" s="164"/>
      <c r="E427" s="164"/>
      <c r="F427" s="164"/>
      <c r="G427" s="164"/>
      <c r="H427" s="164"/>
      <c r="I427" s="164"/>
      <c r="J427" s="164"/>
    </row>
    <row r="428" ht="22.5" customHeight="1">
      <c r="A428" s="164"/>
      <c r="B428" s="164"/>
      <c r="C428" s="164"/>
      <c r="D428" s="164"/>
      <c r="E428" s="164"/>
      <c r="F428" s="164"/>
      <c r="G428" s="164"/>
      <c r="H428" s="164"/>
      <c r="I428" s="164"/>
      <c r="J428" s="164"/>
    </row>
    <row r="429" ht="22.5" customHeight="1">
      <c r="A429" s="164"/>
      <c r="B429" s="164"/>
      <c r="C429" s="164"/>
      <c r="D429" s="164"/>
      <c r="E429" s="164"/>
      <c r="F429" s="164"/>
      <c r="G429" s="164"/>
      <c r="H429" s="164"/>
      <c r="I429" s="164"/>
      <c r="J429" s="164"/>
    </row>
    <row r="430" ht="22.5" customHeight="1">
      <c r="A430" s="164"/>
      <c r="B430" s="164"/>
      <c r="C430" s="164"/>
      <c r="D430" s="164"/>
      <c r="E430" s="164"/>
      <c r="F430" s="164"/>
      <c r="G430" s="164"/>
      <c r="H430" s="164"/>
      <c r="I430" s="164"/>
      <c r="J430" s="164"/>
    </row>
    <row r="431" ht="22.5" customHeight="1">
      <c r="A431" s="164"/>
      <c r="B431" s="164"/>
      <c r="C431" s="164"/>
      <c r="D431" s="164"/>
      <c r="E431" s="164"/>
      <c r="F431" s="164"/>
      <c r="G431" s="164"/>
      <c r="H431" s="164"/>
      <c r="I431" s="164"/>
      <c r="J431" s="164"/>
    </row>
    <row r="432" ht="22.5" customHeight="1">
      <c r="A432" s="164"/>
      <c r="B432" s="164"/>
      <c r="C432" s="164"/>
      <c r="D432" s="164"/>
      <c r="E432" s="164"/>
      <c r="F432" s="164"/>
      <c r="G432" s="164"/>
      <c r="H432" s="164"/>
      <c r="I432" s="164"/>
      <c r="J432" s="164"/>
    </row>
    <row r="433" ht="22.5" customHeight="1">
      <c r="A433" s="164"/>
      <c r="B433" s="164"/>
      <c r="C433" s="164"/>
      <c r="D433" s="164"/>
      <c r="E433" s="164"/>
      <c r="F433" s="164"/>
      <c r="G433" s="164"/>
      <c r="H433" s="164"/>
      <c r="I433" s="164"/>
      <c r="J433" s="164"/>
    </row>
    <row r="434" ht="22.5" customHeight="1">
      <c r="A434" s="164"/>
      <c r="B434" s="164"/>
      <c r="C434" s="164"/>
      <c r="D434" s="164"/>
      <c r="E434" s="164"/>
      <c r="F434" s="164"/>
      <c r="G434" s="164"/>
      <c r="H434" s="164"/>
      <c r="I434" s="164"/>
      <c r="J434" s="164"/>
    </row>
    <row r="435" ht="22.5" customHeight="1">
      <c r="A435" s="164"/>
      <c r="B435" s="164"/>
      <c r="C435" s="164"/>
      <c r="D435" s="164"/>
      <c r="E435" s="164"/>
      <c r="F435" s="164"/>
      <c r="G435" s="164"/>
      <c r="H435" s="164"/>
      <c r="I435" s="164"/>
      <c r="J435" s="164"/>
    </row>
    <row r="436" ht="22.5" customHeight="1">
      <c r="A436" s="164"/>
      <c r="B436" s="164"/>
      <c r="C436" s="164"/>
      <c r="D436" s="164"/>
      <c r="E436" s="164"/>
      <c r="F436" s="164"/>
      <c r="G436" s="164"/>
      <c r="H436" s="164"/>
      <c r="I436" s="164"/>
      <c r="J436" s="164"/>
    </row>
    <row r="437" ht="22.5" customHeight="1">
      <c r="A437" s="164"/>
      <c r="B437" s="164"/>
      <c r="C437" s="164"/>
      <c r="D437" s="164"/>
      <c r="E437" s="164"/>
      <c r="F437" s="164"/>
      <c r="G437" s="164"/>
      <c r="H437" s="164"/>
      <c r="I437" s="164"/>
      <c r="J437" s="164"/>
    </row>
    <row r="438" ht="22.5" customHeight="1">
      <c r="A438" s="164"/>
      <c r="B438" s="164"/>
      <c r="C438" s="164"/>
      <c r="D438" s="164"/>
      <c r="E438" s="164"/>
      <c r="F438" s="164"/>
      <c r="G438" s="164"/>
      <c r="H438" s="164"/>
      <c r="I438" s="164"/>
      <c r="J438" s="164"/>
    </row>
    <row r="439" ht="22.5" customHeight="1">
      <c r="A439" s="164"/>
      <c r="B439" s="164"/>
      <c r="C439" s="164"/>
      <c r="D439" s="164"/>
      <c r="E439" s="164"/>
      <c r="F439" s="164"/>
      <c r="G439" s="164"/>
      <c r="H439" s="164"/>
      <c r="I439" s="164"/>
      <c r="J439" s="164"/>
    </row>
    <row r="440" ht="22.5" customHeight="1">
      <c r="A440" s="164"/>
      <c r="B440" s="164"/>
      <c r="C440" s="164"/>
      <c r="D440" s="164"/>
      <c r="E440" s="164"/>
      <c r="F440" s="164"/>
      <c r="G440" s="164"/>
      <c r="H440" s="164"/>
      <c r="I440" s="164"/>
      <c r="J440" s="164"/>
    </row>
    <row r="441" ht="22.5" customHeight="1">
      <c r="A441" s="164"/>
      <c r="B441" s="164"/>
      <c r="C441" s="164"/>
      <c r="D441" s="164"/>
      <c r="E441" s="164"/>
      <c r="F441" s="164"/>
      <c r="G441" s="164"/>
      <c r="H441" s="164"/>
      <c r="I441" s="164"/>
      <c r="J441" s="164"/>
    </row>
    <row r="442" ht="22.5" customHeight="1">
      <c r="A442" s="164"/>
      <c r="B442" s="164"/>
      <c r="C442" s="164"/>
      <c r="D442" s="164"/>
      <c r="E442" s="164"/>
      <c r="F442" s="164"/>
      <c r="G442" s="164"/>
      <c r="H442" s="164"/>
      <c r="I442" s="164"/>
      <c r="J442" s="164"/>
    </row>
    <row r="443" ht="22.5" customHeight="1">
      <c r="A443" s="164"/>
      <c r="B443" s="164"/>
      <c r="C443" s="164"/>
      <c r="D443" s="164"/>
      <c r="E443" s="164"/>
      <c r="F443" s="164"/>
      <c r="G443" s="164"/>
      <c r="H443" s="164"/>
      <c r="I443" s="164"/>
      <c r="J443" s="164"/>
    </row>
    <row r="444" ht="22.5" customHeight="1">
      <c r="A444" s="164"/>
      <c r="B444" s="164"/>
      <c r="C444" s="164"/>
      <c r="D444" s="164"/>
      <c r="E444" s="164"/>
      <c r="F444" s="164"/>
      <c r="G444" s="164"/>
      <c r="H444" s="164"/>
      <c r="I444" s="164"/>
      <c r="J444" s="164"/>
    </row>
    <row r="445" ht="22.5" customHeight="1">
      <c r="A445" s="164"/>
      <c r="B445" s="164"/>
      <c r="C445" s="164"/>
      <c r="D445" s="164"/>
      <c r="E445" s="164"/>
      <c r="F445" s="164"/>
      <c r="G445" s="164"/>
      <c r="H445" s="164"/>
      <c r="I445" s="164"/>
      <c r="J445" s="164"/>
    </row>
    <row r="446" ht="22.5" customHeight="1">
      <c r="A446" s="164"/>
      <c r="B446" s="164"/>
      <c r="C446" s="164"/>
      <c r="D446" s="164"/>
      <c r="E446" s="164"/>
      <c r="F446" s="164"/>
      <c r="G446" s="164"/>
      <c r="H446" s="164"/>
      <c r="I446" s="164"/>
      <c r="J446" s="164"/>
    </row>
    <row r="447" ht="22.5" customHeight="1">
      <c r="A447" s="164"/>
      <c r="B447" s="164"/>
      <c r="C447" s="164"/>
      <c r="D447" s="164"/>
      <c r="E447" s="164"/>
      <c r="F447" s="164"/>
      <c r="G447" s="164"/>
      <c r="H447" s="164"/>
      <c r="I447" s="164"/>
      <c r="J447" s="164"/>
    </row>
    <row r="448" ht="22.5" customHeight="1">
      <c r="A448" s="164"/>
      <c r="B448" s="164"/>
      <c r="C448" s="164"/>
      <c r="D448" s="164"/>
      <c r="E448" s="164"/>
      <c r="F448" s="164"/>
      <c r="G448" s="164"/>
      <c r="H448" s="164"/>
      <c r="I448" s="164"/>
      <c r="J448" s="164"/>
    </row>
    <row r="449" ht="22.5" customHeight="1">
      <c r="A449" s="164"/>
      <c r="B449" s="164"/>
      <c r="C449" s="164"/>
      <c r="D449" s="164"/>
      <c r="E449" s="164"/>
      <c r="F449" s="164"/>
      <c r="G449" s="164"/>
      <c r="H449" s="164"/>
      <c r="I449" s="164"/>
      <c r="J449" s="164"/>
    </row>
    <row r="450" ht="22.5" customHeight="1">
      <c r="A450" s="164"/>
      <c r="B450" s="164"/>
      <c r="C450" s="164"/>
      <c r="D450" s="164"/>
      <c r="E450" s="164"/>
      <c r="F450" s="164"/>
      <c r="G450" s="164"/>
      <c r="H450" s="164"/>
      <c r="I450" s="164"/>
      <c r="J450" s="164"/>
    </row>
    <row r="451" ht="22.5" customHeight="1">
      <c r="A451" s="164"/>
      <c r="B451" s="164"/>
      <c r="C451" s="164"/>
      <c r="D451" s="164"/>
      <c r="E451" s="164"/>
      <c r="F451" s="164"/>
      <c r="G451" s="164"/>
      <c r="H451" s="164"/>
      <c r="I451" s="164"/>
      <c r="J451" s="164"/>
    </row>
    <row r="452" ht="22.5" customHeight="1">
      <c r="A452" s="164"/>
      <c r="B452" s="164"/>
      <c r="C452" s="164"/>
      <c r="D452" s="164"/>
      <c r="E452" s="164"/>
      <c r="F452" s="164"/>
      <c r="G452" s="164"/>
      <c r="H452" s="164"/>
      <c r="I452" s="164"/>
      <c r="J452" s="164"/>
    </row>
    <row r="453" ht="22.5" customHeight="1">
      <c r="A453" s="164"/>
      <c r="B453" s="164"/>
      <c r="C453" s="164"/>
      <c r="D453" s="164"/>
      <c r="E453" s="164"/>
      <c r="F453" s="164"/>
      <c r="G453" s="164"/>
      <c r="H453" s="164"/>
      <c r="I453" s="164"/>
      <c r="J453" s="164"/>
    </row>
    <row r="454" ht="22.5" customHeight="1">
      <c r="A454" s="164"/>
      <c r="B454" s="164"/>
      <c r="C454" s="164"/>
      <c r="D454" s="164"/>
      <c r="E454" s="164"/>
      <c r="F454" s="164"/>
      <c r="G454" s="164"/>
      <c r="H454" s="164"/>
      <c r="I454" s="164"/>
      <c r="J454" s="164"/>
    </row>
    <row r="455" ht="22.5" customHeight="1">
      <c r="A455" s="164"/>
      <c r="B455" s="164"/>
      <c r="C455" s="164"/>
      <c r="D455" s="164"/>
      <c r="E455" s="164"/>
      <c r="F455" s="164"/>
      <c r="G455" s="164"/>
      <c r="H455" s="164"/>
      <c r="I455" s="164"/>
      <c r="J455" s="164"/>
    </row>
    <row r="456" ht="22.5" customHeight="1">
      <c r="A456" s="164"/>
      <c r="B456" s="164"/>
      <c r="C456" s="164"/>
      <c r="D456" s="164"/>
      <c r="E456" s="164"/>
      <c r="F456" s="164"/>
      <c r="G456" s="164"/>
      <c r="H456" s="164"/>
      <c r="I456" s="164"/>
      <c r="J456" s="164"/>
    </row>
    <row r="457" ht="22.5" customHeight="1">
      <c r="A457" s="164"/>
      <c r="B457" s="164"/>
      <c r="C457" s="164"/>
      <c r="D457" s="164"/>
      <c r="E457" s="164"/>
      <c r="F457" s="164"/>
      <c r="G457" s="164"/>
      <c r="H457" s="164"/>
      <c r="I457" s="164"/>
      <c r="J457" s="164"/>
    </row>
    <row r="458" ht="22.5" customHeight="1">
      <c r="A458" s="164"/>
      <c r="B458" s="164"/>
      <c r="C458" s="164"/>
      <c r="D458" s="164"/>
      <c r="E458" s="164"/>
      <c r="F458" s="164"/>
      <c r="G458" s="164"/>
      <c r="H458" s="164"/>
      <c r="I458" s="164"/>
      <c r="J458" s="164"/>
    </row>
    <row r="459" ht="22.5" customHeight="1">
      <c r="A459" s="164"/>
      <c r="B459" s="164"/>
      <c r="C459" s="164"/>
      <c r="D459" s="164"/>
      <c r="E459" s="164"/>
      <c r="F459" s="164"/>
      <c r="G459" s="164"/>
      <c r="H459" s="164"/>
      <c r="I459" s="164"/>
      <c r="J459" s="164"/>
    </row>
    <row r="460" ht="22.5" customHeight="1">
      <c r="A460" s="164"/>
      <c r="B460" s="164"/>
      <c r="C460" s="164"/>
      <c r="D460" s="164"/>
      <c r="E460" s="164"/>
      <c r="F460" s="164"/>
      <c r="G460" s="164"/>
      <c r="H460" s="164"/>
      <c r="I460" s="164"/>
      <c r="J460" s="164"/>
    </row>
    <row r="461" ht="22.5" customHeight="1">
      <c r="A461" s="164"/>
      <c r="B461" s="164"/>
      <c r="C461" s="164"/>
      <c r="D461" s="164"/>
      <c r="E461" s="164"/>
      <c r="F461" s="164"/>
      <c r="G461" s="164"/>
      <c r="H461" s="164"/>
      <c r="I461" s="164"/>
      <c r="J461" s="164"/>
    </row>
    <row r="462" ht="22.5" customHeight="1">
      <c r="A462" s="164"/>
      <c r="B462" s="164"/>
      <c r="C462" s="164"/>
      <c r="D462" s="164"/>
      <c r="E462" s="164"/>
      <c r="F462" s="164"/>
      <c r="G462" s="164"/>
      <c r="H462" s="164"/>
      <c r="I462" s="164"/>
      <c r="J462" s="164"/>
    </row>
    <row r="463" ht="22.5" customHeight="1">
      <c r="A463" s="164"/>
      <c r="B463" s="164"/>
      <c r="C463" s="164"/>
      <c r="D463" s="164"/>
      <c r="E463" s="164"/>
      <c r="F463" s="164"/>
      <c r="G463" s="164"/>
      <c r="H463" s="164"/>
      <c r="I463" s="164"/>
      <c r="J463" s="164"/>
    </row>
    <row r="464" ht="22.5" customHeight="1">
      <c r="A464" s="164"/>
      <c r="B464" s="164"/>
      <c r="C464" s="164"/>
      <c r="D464" s="164"/>
      <c r="E464" s="164"/>
      <c r="F464" s="164"/>
      <c r="G464" s="164"/>
      <c r="H464" s="164"/>
      <c r="I464" s="164"/>
      <c r="J464" s="164"/>
    </row>
    <row r="465" ht="22.5" customHeight="1">
      <c r="A465" s="164"/>
      <c r="B465" s="164"/>
      <c r="C465" s="164"/>
      <c r="D465" s="164"/>
      <c r="E465" s="164"/>
      <c r="F465" s="164"/>
      <c r="G465" s="164"/>
      <c r="H465" s="164"/>
      <c r="I465" s="164"/>
      <c r="J465" s="164"/>
    </row>
    <row r="466" ht="22.5" customHeight="1">
      <c r="A466" s="164"/>
      <c r="B466" s="164"/>
      <c r="C466" s="164"/>
      <c r="D466" s="164"/>
      <c r="E466" s="164"/>
      <c r="F466" s="164"/>
      <c r="G466" s="164"/>
      <c r="H466" s="164"/>
      <c r="I466" s="164"/>
      <c r="J466" s="164"/>
    </row>
    <row r="467" ht="22.5" customHeight="1">
      <c r="A467" s="164"/>
      <c r="B467" s="164"/>
      <c r="C467" s="164"/>
      <c r="D467" s="164"/>
      <c r="E467" s="164"/>
      <c r="F467" s="164"/>
      <c r="G467" s="164"/>
      <c r="H467" s="164"/>
      <c r="I467" s="164"/>
      <c r="J467" s="164"/>
    </row>
    <row r="468" ht="22.5" customHeight="1">
      <c r="A468" s="164"/>
      <c r="B468" s="164"/>
      <c r="C468" s="164"/>
      <c r="D468" s="164"/>
      <c r="E468" s="164"/>
      <c r="F468" s="164"/>
      <c r="G468" s="164"/>
      <c r="H468" s="164"/>
      <c r="I468" s="164"/>
      <c r="J468" s="164"/>
    </row>
    <row r="469" ht="22.5" customHeight="1">
      <c r="A469" s="164"/>
      <c r="B469" s="164"/>
      <c r="C469" s="164"/>
      <c r="D469" s="164"/>
      <c r="E469" s="164"/>
      <c r="F469" s="164"/>
      <c r="G469" s="164"/>
      <c r="H469" s="164"/>
      <c r="I469" s="164"/>
      <c r="J469" s="164"/>
    </row>
    <row r="470" ht="22.5" customHeight="1">
      <c r="A470" s="164"/>
      <c r="B470" s="164"/>
      <c r="C470" s="164"/>
      <c r="D470" s="164"/>
      <c r="E470" s="164"/>
      <c r="F470" s="164"/>
      <c r="G470" s="164"/>
      <c r="H470" s="164"/>
      <c r="I470" s="164"/>
      <c r="J470" s="164"/>
    </row>
    <row r="471" ht="22.5" customHeight="1">
      <c r="A471" s="164"/>
      <c r="B471" s="164"/>
      <c r="C471" s="164"/>
      <c r="D471" s="164"/>
      <c r="E471" s="164"/>
      <c r="F471" s="164"/>
      <c r="G471" s="164"/>
      <c r="H471" s="164"/>
      <c r="I471" s="164"/>
      <c r="J471" s="164"/>
    </row>
    <row r="472" ht="22.5" customHeight="1">
      <c r="A472" s="164"/>
      <c r="B472" s="164"/>
      <c r="C472" s="164"/>
      <c r="D472" s="164"/>
      <c r="E472" s="164"/>
      <c r="F472" s="164"/>
      <c r="G472" s="164"/>
      <c r="H472" s="164"/>
      <c r="I472" s="164"/>
      <c r="J472" s="164"/>
    </row>
    <row r="473" ht="22.5" customHeight="1">
      <c r="A473" s="164"/>
      <c r="B473" s="164"/>
      <c r="C473" s="164"/>
      <c r="D473" s="164"/>
      <c r="E473" s="164"/>
      <c r="F473" s="164"/>
      <c r="G473" s="164"/>
      <c r="H473" s="164"/>
      <c r="I473" s="164"/>
      <c r="J473" s="164"/>
    </row>
    <row r="474" ht="22.5" customHeight="1">
      <c r="A474" s="164"/>
      <c r="B474" s="164"/>
      <c r="C474" s="164"/>
      <c r="D474" s="164"/>
      <c r="E474" s="164"/>
      <c r="F474" s="164"/>
      <c r="G474" s="164"/>
      <c r="H474" s="164"/>
      <c r="I474" s="164"/>
      <c r="J474" s="164"/>
    </row>
    <row r="475" ht="22.5" customHeight="1">
      <c r="A475" s="164"/>
      <c r="B475" s="164"/>
      <c r="C475" s="164"/>
      <c r="D475" s="164"/>
      <c r="E475" s="164"/>
      <c r="F475" s="164"/>
      <c r="G475" s="164"/>
      <c r="H475" s="164"/>
      <c r="I475" s="164"/>
      <c r="J475" s="164"/>
    </row>
    <row r="476" ht="22.5" customHeight="1">
      <c r="A476" s="164"/>
      <c r="B476" s="164"/>
      <c r="C476" s="164"/>
      <c r="D476" s="164"/>
      <c r="E476" s="164"/>
      <c r="F476" s="164"/>
      <c r="G476" s="164"/>
      <c r="H476" s="164"/>
      <c r="I476" s="164"/>
      <c r="J476" s="164"/>
    </row>
    <row r="477" ht="22.5" customHeight="1">
      <c r="A477" s="164"/>
      <c r="B477" s="164"/>
      <c r="C477" s="164"/>
      <c r="D477" s="164"/>
      <c r="E477" s="164"/>
      <c r="F477" s="164"/>
      <c r="G477" s="164"/>
      <c r="H477" s="164"/>
      <c r="I477" s="164"/>
      <c r="J477" s="164"/>
    </row>
    <row r="478" ht="22.5" customHeight="1">
      <c r="A478" s="164"/>
      <c r="B478" s="164"/>
      <c r="C478" s="164"/>
      <c r="D478" s="164"/>
      <c r="E478" s="164"/>
      <c r="F478" s="164"/>
      <c r="G478" s="164"/>
      <c r="H478" s="164"/>
      <c r="I478" s="164"/>
      <c r="J478" s="164"/>
    </row>
    <row r="479" ht="22.5" customHeight="1">
      <c r="A479" s="164"/>
      <c r="B479" s="164"/>
      <c r="C479" s="164"/>
      <c r="D479" s="164"/>
      <c r="E479" s="164"/>
      <c r="F479" s="164"/>
      <c r="G479" s="164"/>
      <c r="H479" s="164"/>
      <c r="I479" s="164"/>
      <c r="J479" s="164"/>
    </row>
    <row r="480" ht="22.5" customHeight="1">
      <c r="A480" s="164"/>
      <c r="B480" s="164"/>
      <c r="C480" s="164"/>
      <c r="D480" s="164"/>
      <c r="E480" s="164"/>
      <c r="F480" s="164"/>
      <c r="G480" s="164"/>
      <c r="H480" s="164"/>
      <c r="I480" s="164"/>
      <c r="J480" s="164"/>
    </row>
    <row r="481" ht="22.5" customHeight="1">
      <c r="A481" s="164"/>
      <c r="B481" s="164"/>
      <c r="C481" s="164"/>
      <c r="D481" s="164"/>
      <c r="E481" s="164"/>
      <c r="F481" s="164"/>
      <c r="G481" s="164"/>
      <c r="H481" s="164"/>
      <c r="I481" s="164"/>
      <c r="J481" s="164"/>
    </row>
    <row r="482" ht="22.5" customHeight="1">
      <c r="A482" s="164"/>
      <c r="B482" s="164"/>
      <c r="C482" s="164"/>
      <c r="D482" s="164"/>
      <c r="E482" s="164"/>
      <c r="F482" s="164"/>
      <c r="G482" s="164"/>
      <c r="H482" s="164"/>
      <c r="I482" s="164"/>
      <c r="J482" s="164"/>
    </row>
    <row r="483" ht="22.5" customHeight="1">
      <c r="A483" s="164"/>
      <c r="B483" s="164"/>
      <c r="C483" s="164"/>
      <c r="D483" s="164"/>
      <c r="E483" s="164"/>
      <c r="F483" s="164"/>
      <c r="G483" s="164"/>
      <c r="H483" s="164"/>
      <c r="I483" s="164"/>
      <c r="J483" s="164"/>
    </row>
    <row r="484" ht="22.5" customHeight="1">
      <c r="A484" s="164"/>
      <c r="B484" s="164"/>
      <c r="C484" s="164"/>
      <c r="D484" s="164"/>
      <c r="E484" s="164"/>
      <c r="F484" s="164"/>
      <c r="G484" s="164"/>
      <c r="H484" s="164"/>
      <c r="I484" s="164"/>
      <c r="J484" s="164"/>
    </row>
    <row r="485" ht="22.5" customHeight="1">
      <c r="A485" s="164"/>
      <c r="B485" s="164"/>
      <c r="C485" s="164"/>
      <c r="D485" s="164"/>
      <c r="E485" s="164"/>
      <c r="F485" s="164"/>
      <c r="G485" s="164"/>
      <c r="H485" s="164"/>
      <c r="I485" s="164"/>
      <c r="J485" s="164"/>
    </row>
    <row r="486" ht="22.5" customHeight="1">
      <c r="A486" s="164"/>
      <c r="B486" s="164"/>
      <c r="C486" s="164"/>
      <c r="D486" s="164"/>
      <c r="E486" s="164"/>
      <c r="F486" s="164"/>
      <c r="G486" s="164"/>
      <c r="H486" s="164"/>
      <c r="I486" s="164"/>
      <c r="J486" s="164"/>
    </row>
    <row r="487" ht="22.5" customHeight="1">
      <c r="A487" s="164"/>
      <c r="B487" s="164"/>
      <c r="C487" s="164"/>
      <c r="D487" s="164"/>
      <c r="E487" s="164"/>
      <c r="F487" s="164"/>
      <c r="G487" s="164"/>
      <c r="H487" s="164"/>
      <c r="I487" s="164"/>
      <c r="J487" s="164"/>
    </row>
    <row r="488" ht="22.5" customHeight="1">
      <c r="A488" s="164"/>
      <c r="B488" s="164"/>
      <c r="C488" s="164"/>
      <c r="D488" s="164"/>
      <c r="E488" s="164"/>
      <c r="F488" s="164"/>
      <c r="G488" s="164"/>
      <c r="H488" s="164"/>
      <c r="I488" s="164"/>
      <c r="J488" s="164"/>
    </row>
    <row r="489" ht="22.5" customHeight="1">
      <c r="A489" s="164"/>
      <c r="B489" s="164"/>
      <c r="C489" s="164"/>
      <c r="D489" s="164"/>
      <c r="E489" s="164"/>
      <c r="F489" s="164"/>
      <c r="G489" s="164"/>
      <c r="H489" s="164"/>
      <c r="I489" s="164"/>
      <c r="J489" s="164"/>
    </row>
    <row r="490" ht="22.5" customHeight="1">
      <c r="A490" s="164"/>
      <c r="B490" s="164"/>
      <c r="C490" s="164"/>
      <c r="D490" s="164"/>
      <c r="E490" s="164"/>
      <c r="F490" s="164"/>
      <c r="G490" s="164"/>
      <c r="H490" s="164"/>
      <c r="I490" s="164"/>
      <c r="J490" s="164"/>
    </row>
    <row r="491" ht="22.5" customHeight="1">
      <c r="A491" s="164"/>
      <c r="B491" s="164"/>
      <c r="C491" s="164"/>
      <c r="D491" s="164"/>
      <c r="E491" s="164"/>
      <c r="F491" s="164"/>
      <c r="G491" s="164"/>
      <c r="H491" s="164"/>
      <c r="I491" s="164"/>
      <c r="J491" s="164"/>
    </row>
    <row r="492" ht="22.5" customHeight="1">
      <c r="A492" s="164"/>
      <c r="B492" s="164"/>
      <c r="C492" s="164"/>
      <c r="D492" s="164"/>
      <c r="E492" s="164"/>
      <c r="F492" s="164"/>
      <c r="G492" s="164"/>
      <c r="H492" s="164"/>
      <c r="I492" s="164"/>
      <c r="J492" s="164"/>
    </row>
    <row r="493" ht="22.5" customHeight="1">
      <c r="A493" s="164"/>
      <c r="B493" s="164"/>
      <c r="C493" s="164"/>
      <c r="D493" s="164"/>
      <c r="E493" s="164"/>
      <c r="F493" s="164"/>
      <c r="G493" s="164"/>
      <c r="H493" s="164"/>
      <c r="I493" s="164"/>
      <c r="J493" s="164"/>
    </row>
    <row r="494" ht="22.5" customHeight="1">
      <c r="A494" s="164"/>
      <c r="B494" s="164"/>
      <c r="C494" s="164"/>
      <c r="D494" s="164"/>
      <c r="E494" s="164"/>
      <c r="F494" s="164"/>
      <c r="G494" s="164"/>
      <c r="H494" s="164"/>
      <c r="I494" s="164"/>
      <c r="J494" s="164"/>
    </row>
    <row r="495" ht="22.5" customHeight="1">
      <c r="A495" s="164"/>
      <c r="B495" s="164"/>
      <c r="C495" s="164"/>
      <c r="D495" s="164"/>
      <c r="E495" s="164"/>
      <c r="F495" s="164"/>
      <c r="G495" s="164"/>
      <c r="H495" s="164"/>
      <c r="I495" s="164"/>
      <c r="J495" s="164"/>
    </row>
    <row r="496" ht="22.5" customHeight="1">
      <c r="A496" s="164"/>
      <c r="B496" s="164"/>
      <c r="C496" s="164"/>
      <c r="D496" s="164"/>
      <c r="E496" s="164"/>
      <c r="F496" s="164"/>
      <c r="G496" s="164"/>
      <c r="H496" s="164"/>
      <c r="I496" s="164"/>
      <c r="J496" s="164"/>
    </row>
    <row r="497" ht="22.5" customHeight="1">
      <c r="A497" s="164"/>
      <c r="B497" s="164"/>
      <c r="C497" s="164"/>
      <c r="D497" s="164"/>
      <c r="E497" s="164"/>
      <c r="F497" s="164"/>
      <c r="G497" s="164"/>
      <c r="H497" s="164"/>
      <c r="I497" s="164"/>
      <c r="J497" s="164"/>
    </row>
    <row r="498" ht="22.5" customHeight="1">
      <c r="A498" s="164"/>
      <c r="B498" s="164"/>
      <c r="C498" s="164"/>
      <c r="D498" s="164"/>
      <c r="E498" s="164"/>
      <c r="F498" s="164"/>
      <c r="G498" s="164"/>
      <c r="H498" s="164"/>
      <c r="I498" s="164"/>
      <c r="J498" s="164"/>
    </row>
    <row r="499" ht="22.5" customHeight="1">
      <c r="A499" s="164"/>
      <c r="B499" s="164"/>
      <c r="C499" s="164"/>
      <c r="D499" s="164"/>
      <c r="E499" s="164"/>
      <c r="F499" s="164"/>
      <c r="G499" s="164"/>
      <c r="H499" s="164"/>
      <c r="I499" s="164"/>
      <c r="J499" s="164"/>
    </row>
    <row r="500" ht="22.5" customHeight="1">
      <c r="A500" s="164"/>
      <c r="B500" s="164"/>
      <c r="C500" s="164"/>
      <c r="D500" s="164"/>
      <c r="E500" s="164"/>
      <c r="F500" s="164"/>
      <c r="G500" s="164"/>
      <c r="H500" s="164"/>
      <c r="I500" s="164"/>
      <c r="J500" s="164"/>
    </row>
    <row r="501" ht="22.5" customHeight="1">
      <c r="A501" s="164"/>
      <c r="B501" s="164"/>
      <c r="C501" s="164"/>
      <c r="D501" s="164"/>
      <c r="E501" s="164"/>
      <c r="F501" s="164"/>
      <c r="G501" s="164"/>
      <c r="H501" s="164"/>
      <c r="I501" s="164"/>
      <c r="J501" s="164"/>
    </row>
    <row r="502" ht="22.5" customHeight="1">
      <c r="A502" s="164"/>
      <c r="B502" s="164"/>
      <c r="C502" s="164"/>
      <c r="D502" s="164"/>
      <c r="E502" s="164"/>
      <c r="F502" s="164"/>
      <c r="G502" s="164"/>
      <c r="H502" s="164"/>
      <c r="I502" s="164"/>
      <c r="J502" s="164"/>
    </row>
    <row r="503" ht="22.5" customHeight="1">
      <c r="A503" s="164"/>
      <c r="B503" s="164"/>
      <c r="C503" s="164"/>
      <c r="D503" s="164"/>
      <c r="E503" s="164"/>
      <c r="F503" s="164"/>
      <c r="G503" s="164"/>
      <c r="H503" s="164"/>
      <c r="I503" s="164"/>
      <c r="J503" s="164"/>
    </row>
    <row r="504" ht="22.5" customHeight="1">
      <c r="A504" s="164"/>
      <c r="B504" s="164"/>
      <c r="C504" s="164"/>
      <c r="D504" s="164"/>
      <c r="E504" s="164"/>
      <c r="F504" s="164"/>
      <c r="G504" s="164"/>
      <c r="H504" s="164"/>
      <c r="I504" s="164"/>
      <c r="J504" s="164"/>
    </row>
    <row r="505" ht="22.5" customHeight="1">
      <c r="A505" s="164"/>
      <c r="B505" s="164"/>
      <c r="C505" s="164"/>
      <c r="D505" s="164"/>
      <c r="E505" s="164"/>
      <c r="F505" s="164"/>
      <c r="G505" s="164"/>
      <c r="H505" s="164"/>
      <c r="I505" s="164"/>
      <c r="J505" s="164"/>
    </row>
    <row r="506" ht="22.5" customHeight="1">
      <c r="A506" s="164"/>
      <c r="B506" s="164"/>
      <c r="C506" s="164"/>
      <c r="D506" s="164"/>
      <c r="E506" s="164"/>
      <c r="F506" s="164"/>
      <c r="G506" s="164"/>
      <c r="H506" s="164"/>
      <c r="I506" s="164"/>
      <c r="J506" s="164"/>
    </row>
    <row r="507" ht="22.5" customHeight="1">
      <c r="A507" s="164"/>
      <c r="B507" s="164"/>
      <c r="C507" s="164"/>
      <c r="D507" s="164"/>
      <c r="E507" s="164"/>
      <c r="F507" s="164"/>
      <c r="G507" s="164"/>
      <c r="H507" s="164"/>
      <c r="I507" s="164"/>
      <c r="J507" s="164"/>
    </row>
    <row r="508" ht="22.5" customHeight="1">
      <c r="A508" s="164"/>
      <c r="B508" s="164"/>
      <c r="C508" s="164"/>
      <c r="D508" s="164"/>
      <c r="E508" s="164"/>
      <c r="F508" s="164"/>
      <c r="G508" s="164"/>
      <c r="H508" s="164"/>
      <c r="I508" s="164"/>
      <c r="J508" s="164"/>
    </row>
    <row r="509" ht="22.5" customHeight="1">
      <c r="A509" s="164"/>
      <c r="B509" s="164"/>
      <c r="C509" s="164"/>
      <c r="D509" s="164"/>
      <c r="E509" s="164"/>
      <c r="F509" s="164"/>
      <c r="G509" s="164"/>
      <c r="H509" s="164"/>
      <c r="I509" s="164"/>
      <c r="J509" s="164"/>
    </row>
    <row r="510" ht="22.5" customHeight="1">
      <c r="A510" s="164"/>
      <c r="B510" s="164"/>
      <c r="C510" s="164"/>
      <c r="D510" s="164"/>
      <c r="E510" s="164"/>
      <c r="F510" s="164"/>
      <c r="G510" s="164"/>
      <c r="H510" s="164"/>
      <c r="I510" s="164"/>
      <c r="J510" s="164"/>
    </row>
    <row r="511" ht="22.5" customHeight="1">
      <c r="A511" s="164"/>
      <c r="B511" s="164"/>
      <c r="C511" s="164"/>
      <c r="D511" s="164"/>
      <c r="E511" s="164"/>
      <c r="F511" s="164"/>
      <c r="G511" s="164"/>
      <c r="H511" s="164"/>
      <c r="I511" s="164"/>
      <c r="J511" s="164"/>
    </row>
    <row r="512" ht="22.5" customHeight="1">
      <c r="A512" s="164"/>
      <c r="B512" s="164"/>
      <c r="C512" s="164"/>
      <c r="D512" s="164"/>
      <c r="E512" s="164"/>
      <c r="F512" s="164"/>
      <c r="G512" s="164"/>
      <c r="H512" s="164"/>
      <c r="I512" s="164"/>
      <c r="J512" s="164"/>
    </row>
    <row r="513" ht="22.5" customHeight="1">
      <c r="A513" s="164"/>
      <c r="B513" s="164"/>
      <c r="C513" s="164"/>
      <c r="D513" s="164"/>
      <c r="E513" s="164"/>
      <c r="F513" s="164"/>
      <c r="G513" s="164"/>
      <c r="H513" s="164"/>
      <c r="I513" s="164"/>
      <c r="J513" s="164"/>
    </row>
    <row r="514" ht="22.5" customHeight="1">
      <c r="A514" s="164"/>
      <c r="B514" s="164"/>
      <c r="C514" s="164"/>
      <c r="D514" s="164"/>
      <c r="E514" s="164"/>
      <c r="F514" s="164"/>
      <c r="G514" s="164"/>
      <c r="H514" s="164"/>
      <c r="I514" s="164"/>
      <c r="J514" s="164"/>
    </row>
    <row r="515" ht="22.5" customHeight="1">
      <c r="A515" s="164"/>
      <c r="B515" s="164"/>
      <c r="C515" s="164"/>
      <c r="D515" s="164"/>
      <c r="E515" s="164"/>
      <c r="F515" s="164"/>
      <c r="G515" s="164"/>
      <c r="H515" s="164"/>
      <c r="I515" s="164"/>
      <c r="J515" s="164"/>
    </row>
    <row r="516" ht="22.5" customHeight="1">
      <c r="A516" s="164"/>
      <c r="B516" s="164"/>
      <c r="C516" s="164"/>
      <c r="D516" s="164"/>
      <c r="E516" s="164"/>
      <c r="F516" s="164"/>
      <c r="G516" s="164"/>
      <c r="H516" s="164"/>
      <c r="I516" s="164"/>
      <c r="J516" s="164"/>
    </row>
    <row r="517" ht="22.5" customHeight="1">
      <c r="A517" s="164"/>
      <c r="B517" s="164"/>
      <c r="C517" s="164"/>
      <c r="D517" s="164"/>
      <c r="E517" s="164"/>
      <c r="F517" s="164"/>
      <c r="G517" s="164"/>
      <c r="H517" s="164"/>
      <c r="I517" s="164"/>
      <c r="J517" s="164"/>
    </row>
    <row r="518" ht="22.5" customHeight="1">
      <c r="A518" s="164"/>
      <c r="B518" s="164"/>
      <c r="C518" s="164"/>
      <c r="D518" s="164"/>
      <c r="E518" s="164"/>
      <c r="F518" s="164"/>
      <c r="G518" s="164"/>
      <c r="H518" s="164"/>
      <c r="I518" s="164"/>
      <c r="J518" s="164"/>
    </row>
    <row r="519" ht="22.5" customHeight="1">
      <c r="A519" s="164"/>
      <c r="B519" s="164"/>
      <c r="C519" s="164"/>
      <c r="D519" s="164"/>
      <c r="E519" s="164"/>
      <c r="F519" s="164"/>
      <c r="G519" s="164"/>
      <c r="H519" s="164"/>
      <c r="I519" s="164"/>
      <c r="J519" s="164"/>
    </row>
    <row r="520" ht="22.5" customHeight="1">
      <c r="A520" s="164"/>
      <c r="B520" s="164"/>
      <c r="C520" s="164"/>
      <c r="D520" s="164"/>
      <c r="E520" s="164"/>
      <c r="F520" s="164"/>
      <c r="G520" s="164"/>
      <c r="H520" s="164"/>
      <c r="I520" s="164"/>
      <c r="J520" s="164"/>
    </row>
    <row r="521" ht="22.5" customHeight="1">
      <c r="A521" s="164"/>
      <c r="B521" s="164"/>
      <c r="C521" s="164"/>
      <c r="D521" s="164"/>
      <c r="E521" s="164"/>
      <c r="F521" s="164"/>
      <c r="G521" s="164"/>
      <c r="H521" s="164"/>
      <c r="I521" s="164"/>
      <c r="J521" s="164"/>
    </row>
    <row r="522" ht="22.5" customHeight="1">
      <c r="A522" s="164"/>
      <c r="B522" s="164"/>
      <c r="C522" s="164"/>
      <c r="D522" s="164"/>
      <c r="E522" s="164"/>
      <c r="F522" s="164"/>
      <c r="G522" s="164"/>
      <c r="H522" s="164"/>
      <c r="I522" s="164"/>
      <c r="J522" s="164"/>
    </row>
    <row r="523" ht="22.5" customHeight="1">
      <c r="A523" s="164"/>
      <c r="B523" s="164"/>
      <c r="C523" s="164"/>
      <c r="D523" s="164"/>
      <c r="E523" s="164"/>
      <c r="F523" s="164"/>
      <c r="G523" s="164"/>
      <c r="H523" s="164"/>
      <c r="I523" s="164"/>
      <c r="J523" s="164"/>
    </row>
    <row r="524" ht="22.5" customHeight="1">
      <c r="A524" s="164"/>
      <c r="B524" s="164"/>
      <c r="C524" s="164"/>
      <c r="D524" s="164"/>
      <c r="E524" s="164"/>
      <c r="F524" s="164"/>
      <c r="G524" s="164"/>
      <c r="H524" s="164"/>
      <c r="I524" s="164"/>
      <c r="J524" s="164"/>
    </row>
    <row r="525" ht="22.5" customHeight="1">
      <c r="A525" s="164"/>
      <c r="B525" s="164"/>
      <c r="C525" s="164"/>
      <c r="D525" s="164"/>
      <c r="E525" s="164"/>
      <c r="F525" s="164"/>
      <c r="G525" s="164"/>
      <c r="H525" s="164"/>
      <c r="I525" s="164"/>
      <c r="J525" s="164"/>
    </row>
    <row r="526" ht="22.5" customHeight="1">
      <c r="A526" s="164"/>
      <c r="B526" s="164"/>
      <c r="C526" s="164"/>
      <c r="D526" s="164"/>
      <c r="E526" s="164"/>
      <c r="F526" s="164"/>
      <c r="G526" s="164"/>
      <c r="H526" s="164"/>
      <c r="I526" s="164"/>
      <c r="J526" s="164"/>
    </row>
    <row r="527" ht="22.5" customHeight="1">
      <c r="A527" s="164"/>
      <c r="B527" s="164"/>
      <c r="C527" s="164"/>
      <c r="D527" s="164"/>
      <c r="E527" s="164"/>
      <c r="F527" s="164"/>
      <c r="G527" s="164"/>
      <c r="H527" s="164"/>
      <c r="I527" s="164"/>
      <c r="J527" s="164"/>
    </row>
    <row r="528" ht="22.5" customHeight="1">
      <c r="A528" s="164"/>
      <c r="B528" s="164"/>
      <c r="C528" s="164"/>
      <c r="D528" s="164"/>
      <c r="E528" s="164"/>
      <c r="F528" s="164"/>
      <c r="G528" s="164"/>
      <c r="H528" s="164"/>
      <c r="I528" s="164"/>
      <c r="J528" s="164"/>
    </row>
    <row r="529" ht="22.5" customHeight="1">
      <c r="A529" s="164"/>
      <c r="B529" s="164"/>
      <c r="C529" s="164"/>
      <c r="D529" s="164"/>
      <c r="E529" s="164"/>
      <c r="F529" s="164"/>
      <c r="G529" s="164"/>
      <c r="H529" s="164"/>
      <c r="I529" s="164"/>
      <c r="J529" s="164"/>
    </row>
    <row r="530" ht="22.5" customHeight="1">
      <c r="A530" s="164"/>
      <c r="B530" s="164"/>
      <c r="C530" s="164"/>
      <c r="D530" s="164"/>
      <c r="E530" s="164"/>
      <c r="F530" s="164"/>
      <c r="G530" s="164"/>
      <c r="H530" s="164"/>
      <c r="I530" s="164"/>
      <c r="J530" s="164"/>
    </row>
    <row r="531" ht="22.5" customHeight="1">
      <c r="A531" s="164"/>
      <c r="B531" s="164"/>
      <c r="C531" s="164"/>
      <c r="D531" s="164"/>
      <c r="E531" s="164"/>
      <c r="F531" s="164"/>
      <c r="G531" s="164"/>
      <c r="H531" s="164"/>
      <c r="I531" s="164"/>
      <c r="J531" s="164"/>
    </row>
    <row r="532" ht="22.5" customHeight="1">
      <c r="A532" s="164"/>
      <c r="B532" s="164"/>
      <c r="C532" s="164"/>
      <c r="D532" s="164"/>
      <c r="E532" s="164"/>
      <c r="F532" s="164"/>
      <c r="G532" s="164"/>
      <c r="H532" s="164"/>
      <c r="I532" s="164"/>
      <c r="J532" s="164"/>
    </row>
    <row r="533" ht="22.5" customHeight="1">
      <c r="A533" s="164"/>
      <c r="B533" s="164"/>
      <c r="C533" s="164"/>
      <c r="D533" s="164"/>
      <c r="E533" s="164"/>
      <c r="F533" s="164"/>
      <c r="G533" s="164"/>
      <c r="H533" s="164"/>
      <c r="I533" s="164"/>
      <c r="J533" s="164"/>
    </row>
    <row r="534" ht="22.5" customHeight="1">
      <c r="A534" s="164"/>
      <c r="B534" s="164"/>
      <c r="C534" s="164"/>
      <c r="D534" s="164"/>
      <c r="E534" s="164"/>
      <c r="F534" s="164"/>
      <c r="G534" s="164"/>
      <c r="H534" s="164"/>
      <c r="I534" s="164"/>
      <c r="J534" s="164"/>
    </row>
    <row r="535" ht="22.5" customHeight="1">
      <c r="A535" s="164"/>
      <c r="B535" s="164"/>
      <c r="C535" s="164"/>
      <c r="D535" s="164"/>
      <c r="E535" s="164"/>
      <c r="F535" s="164"/>
      <c r="G535" s="164"/>
      <c r="H535" s="164"/>
      <c r="I535" s="164"/>
      <c r="J535" s="164"/>
    </row>
    <row r="536" ht="22.5" customHeight="1">
      <c r="A536" s="164"/>
      <c r="B536" s="164"/>
      <c r="C536" s="164"/>
      <c r="D536" s="164"/>
      <c r="E536" s="164"/>
      <c r="F536" s="164"/>
      <c r="G536" s="164"/>
      <c r="H536" s="164"/>
      <c r="I536" s="164"/>
      <c r="J536" s="164"/>
    </row>
    <row r="537" ht="22.5" customHeight="1">
      <c r="A537" s="164"/>
      <c r="B537" s="164"/>
      <c r="C537" s="164"/>
      <c r="D537" s="164"/>
      <c r="E537" s="164"/>
      <c r="F537" s="164"/>
      <c r="G537" s="164"/>
      <c r="H537" s="164"/>
      <c r="I537" s="164"/>
      <c r="J537" s="164"/>
    </row>
    <row r="538" ht="22.5" customHeight="1">
      <c r="A538" s="164"/>
      <c r="B538" s="164"/>
      <c r="C538" s="164"/>
      <c r="D538" s="164"/>
      <c r="E538" s="164"/>
      <c r="F538" s="164"/>
      <c r="G538" s="164"/>
      <c r="H538" s="164"/>
      <c r="I538" s="164"/>
      <c r="J538" s="164"/>
    </row>
    <row r="539" ht="22.5" customHeight="1">
      <c r="A539" s="164"/>
      <c r="B539" s="164"/>
      <c r="C539" s="164"/>
      <c r="D539" s="164"/>
      <c r="E539" s="164"/>
      <c r="F539" s="164"/>
      <c r="G539" s="164"/>
      <c r="H539" s="164"/>
      <c r="I539" s="164"/>
      <c r="J539" s="164"/>
    </row>
    <row r="540" ht="22.5" customHeight="1">
      <c r="A540" s="164"/>
      <c r="B540" s="164"/>
      <c r="C540" s="164"/>
      <c r="D540" s="164"/>
      <c r="E540" s="164"/>
      <c r="F540" s="164"/>
      <c r="G540" s="164"/>
      <c r="H540" s="164"/>
      <c r="I540" s="164"/>
      <c r="J540" s="164"/>
    </row>
    <row r="541" ht="22.5" customHeight="1">
      <c r="A541" s="164"/>
      <c r="B541" s="164"/>
      <c r="C541" s="164"/>
      <c r="D541" s="164"/>
      <c r="E541" s="164"/>
      <c r="F541" s="164"/>
      <c r="G541" s="164"/>
      <c r="H541" s="164"/>
      <c r="I541" s="164"/>
      <c r="J541" s="164"/>
    </row>
    <row r="542" ht="22.5" customHeight="1">
      <c r="A542" s="164"/>
      <c r="B542" s="164"/>
      <c r="C542" s="164"/>
      <c r="D542" s="164"/>
      <c r="E542" s="164"/>
      <c r="F542" s="164"/>
      <c r="G542" s="164"/>
      <c r="H542" s="164"/>
      <c r="I542" s="164"/>
      <c r="J542" s="164"/>
    </row>
    <row r="543" ht="22.5" customHeight="1">
      <c r="A543" s="164"/>
      <c r="B543" s="164"/>
      <c r="C543" s="164"/>
      <c r="D543" s="164"/>
      <c r="E543" s="164"/>
      <c r="F543" s="164"/>
      <c r="G543" s="164"/>
      <c r="H543" s="164"/>
      <c r="I543" s="164"/>
      <c r="J543" s="164"/>
    </row>
    <row r="544" ht="22.5" customHeight="1">
      <c r="A544" s="164"/>
      <c r="B544" s="164"/>
      <c r="C544" s="164"/>
      <c r="D544" s="164"/>
      <c r="E544" s="164"/>
      <c r="F544" s="164"/>
      <c r="G544" s="164"/>
      <c r="H544" s="164"/>
      <c r="I544" s="164"/>
      <c r="J544" s="164"/>
    </row>
    <row r="545" ht="22.5" customHeight="1">
      <c r="A545" s="164"/>
      <c r="B545" s="164"/>
      <c r="C545" s="164"/>
      <c r="D545" s="164"/>
      <c r="E545" s="164"/>
      <c r="F545" s="164"/>
      <c r="G545" s="164"/>
      <c r="H545" s="164"/>
      <c r="I545" s="164"/>
      <c r="J545" s="164"/>
    </row>
    <row r="546" ht="22.5" customHeight="1">
      <c r="A546" s="164"/>
      <c r="B546" s="164"/>
      <c r="C546" s="164"/>
      <c r="D546" s="164"/>
      <c r="E546" s="164"/>
      <c r="F546" s="164"/>
      <c r="G546" s="164"/>
      <c r="H546" s="164"/>
      <c r="I546" s="164"/>
      <c r="J546" s="164"/>
    </row>
    <row r="547" ht="22.5" customHeight="1">
      <c r="A547" s="164"/>
      <c r="B547" s="164"/>
      <c r="C547" s="164"/>
      <c r="D547" s="164"/>
      <c r="E547" s="164"/>
      <c r="F547" s="164"/>
      <c r="G547" s="164"/>
      <c r="H547" s="164"/>
      <c r="I547" s="164"/>
      <c r="J547" s="164"/>
    </row>
    <row r="548" ht="22.5" customHeight="1">
      <c r="A548" s="164"/>
      <c r="B548" s="164"/>
      <c r="C548" s="164"/>
      <c r="D548" s="164"/>
      <c r="E548" s="164"/>
      <c r="F548" s="164"/>
      <c r="G548" s="164"/>
      <c r="H548" s="164"/>
      <c r="I548" s="164"/>
      <c r="J548" s="164"/>
    </row>
    <row r="549" ht="22.5" customHeight="1">
      <c r="A549" s="164"/>
      <c r="B549" s="164"/>
      <c r="C549" s="164"/>
      <c r="D549" s="164"/>
      <c r="E549" s="164"/>
      <c r="F549" s="164"/>
      <c r="G549" s="164"/>
      <c r="H549" s="164"/>
      <c r="I549" s="164"/>
      <c r="J549" s="164"/>
    </row>
    <row r="550" ht="22.5" customHeight="1">
      <c r="A550" s="164"/>
      <c r="B550" s="164"/>
      <c r="C550" s="164"/>
      <c r="D550" s="164"/>
      <c r="E550" s="164"/>
      <c r="F550" s="164"/>
      <c r="G550" s="164"/>
      <c r="H550" s="164"/>
      <c r="I550" s="164"/>
      <c r="J550" s="164"/>
    </row>
    <row r="551" ht="22.5" customHeight="1">
      <c r="A551" s="164"/>
      <c r="B551" s="164"/>
      <c r="C551" s="164"/>
      <c r="D551" s="164"/>
      <c r="E551" s="164"/>
      <c r="F551" s="164"/>
      <c r="G551" s="164"/>
      <c r="H551" s="164"/>
      <c r="I551" s="164"/>
      <c r="J551" s="164"/>
    </row>
    <row r="552" ht="22.5" customHeight="1">
      <c r="A552" s="164"/>
      <c r="B552" s="164"/>
      <c r="C552" s="164"/>
      <c r="D552" s="164"/>
      <c r="E552" s="164"/>
      <c r="F552" s="164"/>
      <c r="G552" s="164"/>
      <c r="H552" s="164"/>
      <c r="I552" s="164"/>
      <c r="J552" s="164"/>
    </row>
    <row r="553" ht="22.5" customHeight="1">
      <c r="A553" s="164"/>
      <c r="B553" s="164"/>
      <c r="C553" s="164"/>
      <c r="D553" s="164"/>
      <c r="E553" s="164"/>
      <c r="F553" s="164"/>
      <c r="G553" s="164"/>
      <c r="H553" s="164"/>
      <c r="I553" s="164"/>
      <c r="J553" s="164"/>
    </row>
    <row r="554" ht="22.5" customHeight="1">
      <c r="A554" s="164"/>
      <c r="B554" s="164"/>
      <c r="C554" s="164"/>
      <c r="D554" s="164"/>
      <c r="E554" s="164"/>
      <c r="F554" s="164"/>
      <c r="G554" s="164"/>
      <c r="H554" s="164"/>
      <c r="I554" s="164"/>
      <c r="J554" s="164"/>
    </row>
    <row r="555" ht="22.5" customHeight="1">
      <c r="A555" s="164"/>
      <c r="B555" s="164"/>
      <c r="C555" s="164"/>
      <c r="D555" s="164"/>
      <c r="E555" s="164"/>
      <c r="F555" s="164"/>
      <c r="G555" s="164"/>
      <c r="H555" s="164"/>
      <c r="I555" s="164"/>
      <c r="J555" s="164"/>
    </row>
    <row r="556" ht="22.5" customHeight="1">
      <c r="A556" s="164"/>
      <c r="B556" s="164"/>
      <c r="C556" s="164"/>
      <c r="D556" s="164"/>
      <c r="E556" s="164"/>
      <c r="F556" s="164"/>
      <c r="G556" s="164"/>
      <c r="H556" s="164"/>
      <c r="I556" s="164"/>
      <c r="J556" s="164"/>
    </row>
    <row r="557" ht="22.5" customHeight="1">
      <c r="A557" s="164"/>
      <c r="B557" s="164"/>
      <c r="C557" s="164"/>
      <c r="D557" s="164"/>
      <c r="E557" s="164"/>
      <c r="F557" s="164"/>
      <c r="G557" s="164"/>
      <c r="H557" s="164"/>
      <c r="I557" s="164"/>
      <c r="J557" s="164"/>
    </row>
    <row r="558" ht="22.5" customHeight="1">
      <c r="A558" s="164"/>
      <c r="B558" s="164"/>
      <c r="C558" s="164"/>
      <c r="D558" s="164"/>
      <c r="E558" s="164"/>
      <c r="F558" s="164"/>
      <c r="G558" s="164"/>
      <c r="H558" s="164"/>
      <c r="I558" s="164"/>
      <c r="J558" s="164"/>
    </row>
    <row r="559" ht="22.5" customHeight="1">
      <c r="A559" s="164"/>
      <c r="B559" s="164"/>
      <c r="C559" s="164"/>
      <c r="D559" s="164"/>
      <c r="E559" s="164"/>
      <c r="F559" s="164"/>
      <c r="G559" s="164"/>
      <c r="H559" s="164"/>
      <c r="I559" s="164"/>
      <c r="J559" s="164"/>
    </row>
    <row r="560" ht="22.5" customHeight="1">
      <c r="A560" s="164"/>
      <c r="B560" s="164"/>
      <c r="C560" s="164"/>
      <c r="D560" s="164"/>
      <c r="E560" s="164"/>
      <c r="F560" s="164"/>
      <c r="G560" s="164"/>
      <c r="H560" s="164"/>
      <c r="I560" s="164"/>
      <c r="J560" s="164"/>
    </row>
    <row r="561" ht="22.5" customHeight="1">
      <c r="A561" s="164"/>
      <c r="B561" s="164"/>
      <c r="C561" s="164"/>
      <c r="D561" s="164"/>
      <c r="E561" s="164"/>
      <c r="F561" s="164"/>
      <c r="G561" s="164"/>
      <c r="H561" s="164"/>
      <c r="I561" s="164"/>
      <c r="J561" s="164"/>
    </row>
    <row r="562" ht="22.5" customHeight="1">
      <c r="A562" s="164"/>
      <c r="B562" s="164"/>
      <c r="C562" s="164"/>
      <c r="D562" s="164"/>
      <c r="E562" s="164"/>
      <c r="F562" s="164"/>
      <c r="G562" s="164"/>
      <c r="H562" s="164"/>
      <c r="I562" s="164"/>
      <c r="J562" s="164"/>
    </row>
    <row r="563" ht="22.5" customHeight="1">
      <c r="A563" s="164"/>
      <c r="B563" s="164"/>
      <c r="C563" s="164"/>
      <c r="D563" s="164"/>
      <c r="E563" s="164"/>
      <c r="F563" s="164"/>
      <c r="G563" s="164"/>
      <c r="H563" s="164"/>
      <c r="I563" s="164"/>
      <c r="J563" s="164"/>
    </row>
    <row r="564" ht="22.5" customHeight="1">
      <c r="A564" s="164"/>
      <c r="B564" s="164"/>
      <c r="C564" s="164"/>
      <c r="D564" s="164"/>
      <c r="E564" s="164"/>
      <c r="F564" s="164"/>
      <c r="G564" s="164"/>
      <c r="H564" s="164"/>
      <c r="I564" s="164"/>
      <c r="J564" s="164"/>
    </row>
    <row r="565" ht="22.5" customHeight="1">
      <c r="A565" s="164"/>
      <c r="B565" s="164"/>
      <c r="C565" s="164"/>
      <c r="D565" s="164"/>
      <c r="E565" s="164"/>
      <c r="F565" s="164"/>
      <c r="G565" s="164"/>
      <c r="H565" s="164"/>
      <c r="I565" s="164"/>
      <c r="J565" s="164"/>
    </row>
    <row r="566" ht="22.5" customHeight="1">
      <c r="A566" s="164"/>
      <c r="B566" s="164"/>
      <c r="C566" s="164"/>
      <c r="D566" s="164"/>
      <c r="E566" s="164"/>
      <c r="F566" s="164"/>
      <c r="G566" s="164"/>
      <c r="H566" s="164"/>
      <c r="I566" s="164"/>
      <c r="J566" s="164"/>
    </row>
    <row r="567" ht="22.5" customHeight="1">
      <c r="A567" s="164"/>
      <c r="B567" s="164"/>
      <c r="C567" s="164"/>
      <c r="D567" s="164"/>
      <c r="E567" s="164"/>
      <c r="F567" s="164"/>
      <c r="G567" s="164"/>
      <c r="H567" s="164"/>
      <c r="I567" s="164"/>
      <c r="J567" s="164"/>
    </row>
    <row r="568" ht="22.5" customHeight="1">
      <c r="A568" s="164"/>
      <c r="B568" s="164"/>
      <c r="C568" s="164"/>
      <c r="D568" s="164"/>
      <c r="E568" s="164"/>
      <c r="F568" s="164"/>
      <c r="G568" s="164"/>
      <c r="H568" s="164"/>
      <c r="I568" s="164"/>
      <c r="J568" s="164"/>
    </row>
    <row r="569" ht="22.5" customHeight="1">
      <c r="A569" s="164"/>
      <c r="B569" s="164"/>
      <c r="C569" s="164"/>
      <c r="D569" s="164"/>
      <c r="E569" s="164"/>
      <c r="F569" s="164"/>
      <c r="G569" s="164"/>
      <c r="H569" s="164"/>
      <c r="I569" s="164"/>
      <c r="J569" s="164"/>
    </row>
    <row r="570" ht="22.5" customHeight="1">
      <c r="A570" s="164"/>
      <c r="B570" s="164"/>
      <c r="C570" s="164"/>
      <c r="D570" s="164"/>
      <c r="E570" s="164"/>
      <c r="F570" s="164"/>
      <c r="G570" s="164"/>
      <c r="H570" s="164"/>
      <c r="I570" s="164"/>
      <c r="J570" s="164"/>
    </row>
    <row r="571" ht="22.5" customHeight="1">
      <c r="A571" s="164"/>
      <c r="B571" s="164"/>
      <c r="C571" s="164"/>
      <c r="D571" s="164"/>
      <c r="E571" s="164"/>
      <c r="F571" s="164"/>
      <c r="G571" s="164"/>
      <c r="H571" s="164"/>
      <c r="I571" s="164"/>
      <c r="J571" s="164"/>
    </row>
    <row r="572" ht="22.5" customHeight="1">
      <c r="A572" s="164"/>
      <c r="B572" s="164"/>
      <c r="C572" s="164"/>
      <c r="D572" s="164"/>
      <c r="E572" s="164"/>
      <c r="F572" s="164"/>
      <c r="G572" s="164"/>
      <c r="H572" s="164"/>
      <c r="I572" s="164"/>
      <c r="J572" s="164"/>
    </row>
    <row r="573" ht="22.5" customHeight="1">
      <c r="A573" s="164"/>
      <c r="B573" s="164"/>
      <c r="C573" s="164"/>
      <c r="D573" s="164"/>
      <c r="E573" s="164"/>
      <c r="F573" s="164"/>
      <c r="G573" s="164"/>
      <c r="H573" s="164"/>
      <c r="I573" s="164"/>
      <c r="J573" s="164"/>
    </row>
    <row r="574" ht="22.5" customHeight="1">
      <c r="A574" s="164"/>
      <c r="B574" s="164"/>
      <c r="C574" s="164"/>
      <c r="D574" s="164"/>
      <c r="E574" s="164"/>
      <c r="F574" s="164"/>
      <c r="G574" s="164"/>
      <c r="H574" s="164"/>
      <c r="I574" s="164"/>
      <c r="J574" s="164"/>
    </row>
    <row r="575" ht="22.5" customHeight="1">
      <c r="A575" s="164"/>
      <c r="B575" s="164"/>
      <c r="C575" s="164"/>
      <c r="D575" s="164"/>
      <c r="E575" s="164"/>
      <c r="F575" s="164"/>
      <c r="G575" s="164"/>
      <c r="H575" s="164"/>
      <c r="I575" s="164"/>
      <c r="J575" s="164"/>
    </row>
    <row r="576" ht="22.5" customHeight="1">
      <c r="A576" s="164"/>
      <c r="B576" s="164"/>
      <c r="C576" s="164"/>
      <c r="D576" s="164"/>
      <c r="E576" s="164"/>
      <c r="F576" s="164"/>
      <c r="G576" s="164"/>
      <c r="H576" s="164"/>
      <c r="I576" s="164"/>
      <c r="J576" s="164"/>
    </row>
    <row r="577" ht="22.5" customHeight="1">
      <c r="A577" s="164"/>
      <c r="B577" s="164"/>
      <c r="C577" s="164"/>
      <c r="D577" s="164"/>
      <c r="E577" s="164"/>
      <c r="F577" s="164"/>
      <c r="G577" s="164"/>
      <c r="H577" s="164"/>
      <c r="I577" s="164"/>
      <c r="J577" s="164"/>
    </row>
    <row r="578" ht="22.5" customHeight="1">
      <c r="A578" s="164"/>
      <c r="B578" s="164"/>
      <c r="C578" s="164"/>
      <c r="D578" s="164"/>
      <c r="E578" s="164"/>
      <c r="F578" s="164"/>
      <c r="G578" s="164"/>
      <c r="H578" s="164"/>
      <c r="I578" s="164"/>
      <c r="J578" s="164"/>
    </row>
    <row r="579" ht="22.5" customHeight="1">
      <c r="A579" s="164"/>
      <c r="B579" s="164"/>
      <c r="C579" s="164"/>
      <c r="D579" s="164"/>
      <c r="E579" s="164"/>
      <c r="F579" s="164"/>
      <c r="G579" s="164"/>
      <c r="H579" s="164"/>
      <c r="I579" s="164"/>
      <c r="J579" s="164"/>
    </row>
    <row r="580" ht="22.5" customHeight="1">
      <c r="A580" s="164"/>
      <c r="B580" s="164"/>
      <c r="C580" s="164"/>
      <c r="D580" s="164"/>
      <c r="E580" s="164"/>
      <c r="F580" s="164"/>
      <c r="G580" s="164"/>
      <c r="H580" s="164"/>
      <c r="I580" s="164"/>
      <c r="J580" s="164"/>
    </row>
    <row r="581" ht="22.5" customHeight="1">
      <c r="A581" s="164"/>
      <c r="B581" s="164"/>
      <c r="C581" s="164"/>
      <c r="D581" s="164"/>
      <c r="E581" s="164"/>
      <c r="F581" s="164"/>
      <c r="G581" s="164"/>
      <c r="H581" s="164"/>
      <c r="I581" s="164"/>
      <c r="J581" s="164"/>
    </row>
    <row r="582" ht="22.5" customHeight="1">
      <c r="A582" s="164"/>
      <c r="B582" s="164"/>
      <c r="C582" s="164"/>
      <c r="D582" s="164"/>
      <c r="E582" s="164"/>
      <c r="F582" s="164"/>
      <c r="G582" s="164"/>
      <c r="H582" s="164"/>
      <c r="I582" s="164"/>
      <c r="J582" s="164"/>
    </row>
    <row r="583" ht="22.5" customHeight="1">
      <c r="A583" s="164"/>
      <c r="B583" s="164"/>
      <c r="C583" s="164"/>
      <c r="D583" s="164"/>
      <c r="E583" s="164"/>
      <c r="F583" s="164"/>
      <c r="G583" s="164"/>
      <c r="H583" s="164"/>
      <c r="I583" s="164"/>
      <c r="J583" s="164"/>
    </row>
    <row r="584" ht="22.5" customHeight="1">
      <c r="A584" s="164"/>
      <c r="B584" s="164"/>
      <c r="C584" s="164"/>
      <c r="D584" s="164"/>
      <c r="E584" s="164"/>
      <c r="F584" s="164"/>
      <c r="G584" s="164"/>
      <c r="H584" s="164"/>
      <c r="I584" s="164"/>
      <c r="J584" s="164"/>
    </row>
    <row r="585" ht="22.5" customHeight="1">
      <c r="A585" s="164"/>
      <c r="B585" s="164"/>
      <c r="C585" s="164"/>
      <c r="D585" s="164"/>
      <c r="E585" s="164"/>
      <c r="F585" s="164"/>
      <c r="G585" s="164"/>
      <c r="H585" s="164"/>
      <c r="I585" s="164"/>
      <c r="J585" s="164"/>
    </row>
    <row r="586" ht="22.5" customHeight="1">
      <c r="A586" s="164"/>
      <c r="B586" s="164"/>
      <c r="C586" s="164"/>
      <c r="D586" s="164"/>
      <c r="E586" s="164"/>
      <c r="F586" s="164"/>
      <c r="G586" s="164"/>
      <c r="H586" s="164"/>
      <c r="I586" s="164"/>
      <c r="J586" s="164"/>
    </row>
    <row r="587" ht="22.5" customHeight="1">
      <c r="A587" s="164"/>
      <c r="B587" s="164"/>
      <c r="C587" s="164"/>
      <c r="D587" s="164"/>
      <c r="E587" s="164"/>
      <c r="F587" s="164"/>
      <c r="G587" s="164"/>
      <c r="H587" s="164"/>
      <c r="I587" s="164"/>
      <c r="J587" s="164"/>
    </row>
    <row r="588" ht="22.5" customHeight="1">
      <c r="A588" s="164"/>
      <c r="B588" s="164"/>
      <c r="C588" s="164"/>
      <c r="D588" s="164"/>
      <c r="E588" s="164"/>
      <c r="F588" s="164"/>
      <c r="G588" s="164"/>
      <c r="H588" s="164"/>
      <c r="I588" s="164"/>
      <c r="J588" s="164"/>
    </row>
    <row r="589" ht="22.5" customHeight="1">
      <c r="A589" s="164"/>
      <c r="B589" s="164"/>
      <c r="C589" s="164"/>
      <c r="D589" s="164"/>
      <c r="E589" s="164"/>
      <c r="F589" s="164"/>
      <c r="G589" s="164"/>
      <c r="H589" s="164"/>
      <c r="I589" s="164"/>
      <c r="J589" s="164"/>
    </row>
    <row r="590" ht="22.5" customHeight="1">
      <c r="A590" s="164"/>
      <c r="B590" s="164"/>
      <c r="C590" s="164"/>
      <c r="D590" s="164"/>
      <c r="E590" s="164"/>
      <c r="F590" s="164"/>
      <c r="G590" s="164"/>
      <c r="H590" s="164"/>
      <c r="I590" s="164"/>
      <c r="J590" s="164"/>
    </row>
    <row r="591" ht="22.5" customHeight="1">
      <c r="A591" s="164"/>
      <c r="B591" s="164"/>
      <c r="C591" s="164"/>
      <c r="D591" s="164"/>
      <c r="E591" s="164"/>
      <c r="F591" s="164"/>
      <c r="G591" s="164"/>
      <c r="H591" s="164"/>
      <c r="I591" s="164"/>
      <c r="J591" s="164"/>
    </row>
    <row r="592" ht="22.5" customHeight="1">
      <c r="A592" s="164"/>
      <c r="B592" s="164"/>
      <c r="C592" s="164"/>
      <c r="D592" s="164"/>
      <c r="E592" s="164"/>
      <c r="F592" s="164"/>
      <c r="G592" s="164"/>
      <c r="H592" s="164"/>
      <c r="I592" s="164"/>
      <c r="J592" s="164"/>
    </row>
    <row r="593" ht="22.5" customHeight="1">
      <c r="A593" s="164"/>
      <c r="B593" s="164"/>
      <c r="C593" s="164"/>
      <c r="D593" s="164"/>
      <c r="E593" s="164"/>
      <c r="F593" s="164"/>
      <c r="G593" s="164"/>
      <c r="H593" s="164"/>
      <c r="I593" s="164"/>
      <c r="J593" s="164"/>
    </row>
    <row r="594" ht="22.5" customHeight="1">
      <c r="A594" s="164"/>
      <c r="B594" s="164"/>
      <c r="C594" s="164"/>
      <c r="D594" s="164"/>
      <c r="E594" s="164"/>
      <c r="F594" s="164"/>
      <c r="G594" s="164"/>
      <c r="H594" s="164"/>
      <c r="I594" s="164"/>
      <c r="J594" s="164"/>
    </row>
    <row r="595" ht="22.5" customHeight="1">
      <c r="A595" s="164"/>
      <c r="B595" s="164"/>
      <c r="C595" s="164"/>
      <c r="D595" s="164"/>
      <c r="E595" s="164"/>
      <c r="F595" s="164"/>
      <c r="G595" s="164"/>
      <c r="H595" s="164"/>
      <c r="I595" s="164"/>
      <c r="J595" s="164"/>
    </row>
    <row r="596" ht="22.5" customHeight="1">
      <c r="A596" s="164"/>
      <c r="B596" s="164"/>
      <c r="C596" s="164"/>
      <c r="D596" s="164"/>
      <c r="E596" s="164"/>
      <c r="F596" s="164"/>
      <c r="G596" s="164"/>
      <c r="H596" s="164"/>
      <c r="I596" s="164"/>
      <c r="J596" s="164"/>
    </row>
    <row r="597" ht="22.5" customHeight="1">
      <c r="A597" s="164"/>
      <c r="B597" s="164"/>
      <c r="C597" s="164"/>
      <c r="D597" s="164"/>
      <c r="E597" s="164"/>
      <c r="F597" s="164"/>
      <c r="G597" s="164"/>
      <c r="H597" s="164"/>
      <c r="I597" s="164"/>
      <c r="J597" s="164"/>
    </row>
    <row r="598" ht="22.5" customHeight="1">
      <c r="A598" s="164"/>
      <c r="B598" s="164"/>
      <c r="C598" s="164"/>
      <c r="D598" s="164"/>
      <c r="E598" s="164"/>
      <c r="F598" s="164"/>
      <c r="G598" s="164"/>
      <c r="H598" s="164"/>
      <c r="I598" s="164"/>
      <c r="J598" s="164"/>
    </row>
    <row r="599" ht="22.5" customHeight="1">
      <c r="A599" s="164"/>
      <c r="B599" s="164"/>
      <c r="C599" s="164"/>
      <c r="D599" s="164"/>
      <c r="E599" s="164"/>
      <c r="F599" s="164"/>
      <c r="G599" s="164"/>
      <c r="H599" s="164"/>
      <c r="I599" s="164"/>
      <c r="J599" s="164"/>
    </row>
    <row r="600" ht="22.5" customHeight="1">
      <c r="A600" s="164"/>
      <c r="B600" s="164"/>
      <c r="C600" s="164"/>
      <c r="D600" s="164"/>
      <c r="E600" s="164"/>
      <c r="F600" s="164"/>
      <c r="G600" s="164"/>
      <c r="H600" s="164"/>
      <c r="I600" s="164"/>
      <c r="J600" s="164"/>
    </row>
    <row r="601" ht="22.5" customHeight="1">
      <c r="A601" s="164"/>
      <c r="B601" s="164"/>
      <c r="C601" s="164"/>
      <c r="D601" s="164"/>
      <c r="E601" s="164"/>
      <c r="F601" s="164"/>
      <c r="G601" s="164"/>
      <c r="H601" s="164"/>
      <c r="I601" s="164"/>
      <c r="J601" s="164"/>
    </row>
    <row r="602" ht="22.5" customHeight="1">
      <c r="A602" s="164"/>
      <c r="B602" s="164"/>
      <c r="C602" s="164"/>
      <c r="D602" s="164"/>
      <c r="E602" s="164"/>
      <c r="F602" s="164"/>
      <c r="G602" s="164"/>
      <c r="H602" s="164"/>
      <c r="I602" s="164"/>
      <c r="J602" s="164"/>
    </row>
    <row r="603" ht="22.5" customHeight="1">
      <c r="A603" s="164"/>
      <c r="B603" s="164"/>
      <c r="C603" s="164"/>
      <c r="D603" s="164"/>
      <c r="E603" s="164"/>
      <c r="F603" s="164"/>
      <c r="G603" s="164"/>
      <c r="H603" s="164"/>
      <c r="I603" s="164"/>
      <c r="J603" s="164"/>
    </row>
    <row r="604" ht="22.5" customHeight="1">
      <c r="A604" s="164"/>
      <c r="B604" s="164"/>
      <c r="C604" s="164"/>
      <c r="D604" s="164"/>
      <c r="E604" s="164"/>
      <c r="F604" s="164"/>
      <c r="G604" s="164"/>
      <c r="H604" s="164"/>
      <c r="I604" s="164"/>
      <c r="J604" s="164"/>
    </row>
    <row r="605" ht="22.5" customHeight="1">
      <c r="A605" s="164"/>
      <c r="B605" s="164"/>
      <c r="C605" s="164"/>
      <c r="D605" s="164"/>
      <c r="E605" s="164"/>
      <c r="F605" s="164"/>
      <c r="G605" s="164"/>
      <c r="H605" s="164"/>
      <c r="I605" s="164"/>
      <c r="J605" s="164"/>
    </row>
    <row r="606" ht="22.5" customHeight="1">
      <c r="A606" s="164"/>
      <c r="B606" s="164"/>
      <c r="C606" s="164"/>
      <c r="D606" s="164"/>
      <c r="E606" s="164"/>
      <c r="F606" s="164"/>
      <c r="G606" s="164"/>
      <c r="H606" s="164"/>
      <c r="I606" s="164"/>
      <c r="J606" s="164"/>
    </row>
    <row r="607" ht="22.5" customHeight="1">
      <c r="A607" s="164"/>
      <c r="B607" s="164"/>
      <c r="C607" s="164"/>
      <c r="D607" s="164"/>
      <c r="E607" s="164"/>
      <c r="F607" s="164"/>
      <c r="G607" s="164"/>
      <c r="H607" s="164"/>
      <c r="I607" s="164"/>
      <c r="J607" s="164"/>
    </row>
    <row r="608" ht="22.5" customHeight="1">
      <c r="A608" s="164"/>
      <c r="B608" s="164"/>
      <c r="C608" s="164"/>
      <c r="D608" s="164"/>
      <c r="E608" s="164"/>
      <c r="F608" s="164"/>
      <c r="G608" s="164"/>
      <c r="H608" s="164"/>
      <c r="I608" s="164"/>
      <c r="J608" s="164"/>
    </row>
    <row r="609" ht="22.5" customHeight="1">
      <c r="A609" s="164"/>
      <c r="B609" s="164"/>
      <c r="C609" s="164"/>
      <c r="D609" s="164"/>
      <c r="E609" s="164"/>
      <c r="F609" s="164"/>
      <c r="G609" s="164"/>
      <c r="H609" s="164"/>
      <c r="I609" s="164"/>
      <c r="J609" s="164"/>
    </row>
    <row r="610" ht="22.5" customHeight="1">
      <c r="A610" s="164"/>
      <c r="B610" s="164"/>
      <c r="C610" s="164"/>
      <c r="D610" s="164"/>
      <c r="E610" s="164"/>
      <c r="F610" s="164"/>
      <c r="G610" s="164"/>
      <c r="H610" s="164"/>
      <c r="I610" s="164"/>
      <c r="J610" s="164"/>
    </row>
    <row r="611" ht="22.5" customHeight="1">
      <c r="A611" s="164"/>
      <c r="B611" s="164"/>
      <c r="C611" s="164"/>
      <c r="D611" s="164"/>
      <c r="E611" s="164"/>
      <c r="F611" s="164"/>
      <c r="G611" s="164"/>
      <c r="H611" s="164"/>
      <c r="I611" s="164"/>
      <c r="J611" s="164"/>
    </row>
    <row r="612" ht="22.5" customHeight="1">
      <c r="A612" s="164"/>
      <c r="B612" s="164"/>
      <c r="C612" s="164"/>
      <c r="D612" s="164"/>
      <c r="E612" s="164"/>
      <c r="F612" s="164"/>
      <c r="G612" s="164"/>
      <c r="H612" s="164"/>
      <c r="I612" s="164"/>
      <c r="J612" s="164"/>
    </row>
    <row r="613" ht="22.5" customHeight="1">
      <c r="A613" s="164"/>
      <c r="B613" s="164"/>
      <c r="C613" s="164"/>
      <c r="D613" s="164"/>
      <c r="E613" s="164"/>
      <c r="F613" s="164"/>
      <c r="G613" s="164"/>
      <c r="H613" s="164"/>
      <c r="I613" s="164"/>
      <c r="J613" s="164"/>
    </row>
    <row r="614" ht="22.5" customHeight="1">
      <c r="A614" s="164"/>
      <c r="B614" s="164"/>
      <c r="C614" s="164"/>
      <c r="D614" s="164"/>
      <c r="E614" s="164"/>
      <c r="F614" s="164"/>
      <c r="G614" s="164"/>
      <c r="H614" s="164"/>
      <c r="I614" s="164"/>
      <c r="J614" s="164"/>
    </row>
    <row r="615" ht="22.5" customHeight="1">
      <c r="A615" s="164"/>
      <c r="B615" s="164"/>
      <c r="C615" s="164"/>
      <c r="D615" s="164"/>
      <c r="E615" s="164"/>
      <c r="F615" s="164"/>
      <c r="G615" s="164"/>
      <c r="H615" s="164"/>
      <c r="I615" s="164"/>
      <c r="J615" s="164"/>
    </row>
    <row r="616" ht="22.5" customHeight="1">
      <c r="A616" s="164"/>
      <c r="B616" s="164"/>
      <c r="C616" s="164"/>
      <c r="D616" s="164"/>
      <c r="E616" s="164"/>
      <c r="F616" s="164"/>
      <c r="G616" s="164"/>
      <c r="H616" s="164"/>
      <c r="I616" s="164"/>
      <c r="J616" s="164"/>
    </row>
    <row r="617" ht="22.5" customHeight="1">
      <c r="A617" s="164"/>
      <c r="B617" s="164"/>
      <c r="C617" s="164"/>
      <c r="D617" s="164"/>
      <c r="E617" s="164"/>
      <c r="F617" s="164"/>
      <c r="G617" s="164"/>
      <c r="H617" s="164"/>
      <c r="I617" s="164"/>
      <c r="J617" s="164"/>
    </row>
    <row r="618" ht="22.5" customHeight="1">
      <c r="A618" s="164"/>
      <c r="B618" s="164"/>
      <c r="C618" s="164"/>
      <c r="D618" s="164"/>
      <c r="E618" s="164"/>
      <c r="F618" s="164"/>
      <c r="G618" s="164"/>
      <c r="H618" s="164"/>
      <c r="I618" s="164"/>
      <c r="J618" s="164"/>
    </row>
    <row r="619" ht="22.5" customHeight="1">
      <c r="A619" s="164"/>
      <c r="B619" s="164"/>
      <c r="C619" s="164"/>
      <c r="D619" s="164"/>
      <c r="E619" s="164"/>
      <c r="F619" s="164"/>
      <c r="G619" s="164"/>
      <c r="H619" s="164"/>
      <c r="I619" s="164"/>
      <c r="J619" s="164"/>
    </row>
    <row r="620" ht="22.5" customHeight="1">
      <c r="A620" s="164"/>
      <c r="B620" s="164"/>
      <c r="C620" s="164"/>
      <c r="D620" s="164"/>
      <c r="E620" s="164"/>
      <c r="F620" s="164"/>
      <c r="G620" s="164"/>
      <c r="H620" s="164"/>
      <c r="I620" s="164"/>
      <c r="J620" s="164"/>
    </row>
    <row r="621" ht="22.5" customHeight="1">
      <c r="A621" s="164"/>
      <c r="B621" s="164"/>
      <c r="C621" s="164"/>
      <c r="D621" s="164"/>
      <c r="E621" s="164"/>
      <c r="F621" s="164"/>
      <c r="G621" s="164"/>
      <c r="H621" s="164"/>
      <c r="I621" s="164"/>
      <c r="J621" s="164"/>
    </row>
    <row r="622" ht="22.5" customHeight="1">
      <c r="A622" s="164"/>
      <c r="B622" s="164"/>
      <c r="C622" s="164"/>
      <c r="D622" s="164"/>
      <c r="E622" s="164"/>
      <c r="F622" s="164"/>
      <c r="G622" s="164"/>
      <c r="H622" s="164"/>
      <c r="I622" s="164"/>
      <c r="J622" s="164"/>
    </row>
    <row r="623" ht="22.5" customHeight="1">
      <c r="A623" s="164"/>
      <c r="B623" s="164"/>
      <c r="C623" s="164"/>
      <c r="D623" s="164"/>
      <c r="E623" s="164"/>
      <c r="F623" s="164"/>
      <c r="G623" s="164"/>
      <c r="H623" s="164"/>
      <c r="I623" s="164"/>
      <c r="J623" s="164"/>
    </row>
    <row r="624" ht="22.5" customHeight="1">
      <c r="A624" s="164"/>
      <c r="B624" s="164"/>
      <c r="C624" s="164"/>
      <c r="D624" s="164"/>
      <c r="E624" s="164"/>
      <c r="F624" s="164"/>
      <c r="G624" s="164"/>
      <c r="H624" s="164"/>
      <c r="I624" s="164"/>
      <c r="J624" s="164"/>
    </row>
    <row r="625" ht="22.5" customHeight="1">
      <c r="A625" s="164"/>
      <c r="B625" s="164"/>
      <c r="C625" s="164"/>
      <c r="D625" s="164"/>
      <c r="E625" s="164"/>
      <c r="F625" s="164"/>
      <c r="G625" s="164"/>
      <c r="H625" s="164"/>
      <c r="I625" s="164"/>
      <c r="J625" s="164"/>
    </row>
    <row r="626" ht="22.5" customHeight="1">
      <c r="A626" s="164"/>
      <c r="B626" s="164"/>
      <c r="C626" s="164"/>
      <c r="D626" s="164"/>
      <c r="E626" s="164"/>
      <c r="F626" s="164"/>
      <c r="G626" s="164"/>
      <c r="H626" s="164"/>
      <c r="I626" s="164"/>
      <c r="J626" s="164"/>
    </row>
    <row r="627" ht="22.5" customHeight="1">
      <c r="A627" s="164"/>
      <c r="B627" s="164"/>
      <c r="C627" s="164"/>
      <c r="D627" s="164"/>
      <c r="E627" s="164"/>
      <c r="F627" s="164"/>
      <c r="G627" s="164"/>
      <c r="H627" s="164"/>
      <c r="I627" s="164"/>
      <c r="J627" s="164"/>
    </row>
    <row r="628" ht="22.5" customHeight="1">
      <c r="A628" s="164"/>
      <c r="B628" s="164"/>
      <c r="C628" s="164"/>
      <c r="D628" s="164"/>
      <c r="E628" s="164"/>
      <c r="F628" s="164"/>
      <c r="G628" s="164"/>
      <c r="H628" s="164"/>
      <c r="I628" s="164"/>
      <c r="J628" s="164"/>
    </row>
    <row r="629" ht="22.5" customHeight="1">
      <c r="A629" s="164"/>
      <c r="B629" s="164"/>
      <c r="C629" s="164"/>
      <c r="D629" s="164"/>
      <c r="E629" s="164"/>
      <c r="F629" s="164"/>
      <c r="G629" s="164"/>
      <c r="H629" s="164"/>
      <c r="I629" s="164"/>
      <c r="J629" s="164"/>
    </row>
    <row r="630" ht="22.5" customHeight="1">
      <c r="A630" s="164"/>
      <c r="B630" s="164"/>
      <c r="C630" s="164"/>
      <c r="D630" s="164"/>
      <c r="E630" s="164"/>
      <c r="F630" s="164"/>
      <c r="G630" s="164"/>
      <c r="H630" s="164"/>
      <c r="I630" s="164"/>
      <c r="J630" s="164"/>
    </row>
    <row r="631" ht="22.5" customHeight="1">
      <c r="A631" s="164"/>
      <c r="B631" s="164"/>
      <c r="C631" s="164"/>
      <c r="D631" s="164"/>
      <c r="E631" s="164"/>
      <c r="F631" s="164"/>
      <c r="G631" s="164"/>
      <c r="H631" s="164"/>
      <c r="I631" s="164"/>
      <c r="J631" s="164"/>
    </row>
    <row r="632" ht="22.5" customHeight="1">
      <c r="A632" s="164"/>
      <c r="B632" s="164"/>
      <c r="C632" s="164"/>
      <c r="D632" s="164"/>
      <c r="E632" s="164"/>
      <c r="F632" s="164"/>
      <c r="G632" s="164"/>
      <c r="H632" s="164"/>
      <c r="I632" s="164"/>
      <c r="J632" s="164"/>
    </row>
    <row r="633" ht="22.5" customHeight="1">
      <c r="A633" s="164"/>
      <c r="B633" s="164"/>
      <c r="C633" s="164"/>
      <c r="D633" s="164"/>
      <c r="E633" s="164"/>
      <c r="F633" s="164"/>
      <c r="G633" s="164"/>
      <c r="H633" s="164"/>
      <c r="I633" s="164"/>
      <c r="J633" s="164"/>
    </row>
    <row r="634" ht="22.5" customHeight="1">
      <c r="A634" s="164"/>
      <c r="B634" s="164"/>
      <c r="C634" s="164"/>
      <c r="D634" s="164"/>
      <c r="E634" s="164"/>
      <c r="F634" s="164"/>
      <c r="G634" s="164"/>
      <c r="H634" s="164"/>
      <c r="I634" s="164"/>
      <c r="J634" s="164"/>
    </row>
    <row r="635" ht="22.5" customHeight="1">
      <c r="A635" s="164"/>
      <c r="B635" s="164"/>
      <c r="C635" s="164"/>
      <c r="D635" s="164"/>
      <c r="E635" s="164"/>
      <c r="F635" s="164"/>
      <c r="G635" s="164"/>
      <c r="H635" s="164"/>
      <c r="I635" s="164"/>
      <c r="J635" s="164"/>
    </row>
    <row r="636" ht="22.5" customHeight="1">
      <c r="A636" s="164"/>
      <c r="B636" s="164"/>
      <c r="C636" s="164"/>
      <c r="D636" s="164"/>
      <c r="E636" s="164"/>
      <c r="F636" s="164"/>
      <c r="G636" s="164"/>
      <c r="H636" s="164"/>
      <c r="I636" s="164"/>
      <c r="J636" s="164"/>
    </row>
    <row r="637" ht="22.5" customHeight="1">
      <c r="A637" s="164"/>
      <c r="B637" s="164"/>
      <c r="C637" s="164"/>
      <c r="D637" s="164"/>
      <c r="E637" s="164"/>
      <c r="F637" s="164"/>
      <c r="G637" s="164"/>
      <c r="H637" s="164"/>
      <c r="I637" s="164"/>
      <c r="J637" s="164"/>
    </row>
    <row r="638" ht="22.5" customHeight="1">
      <c r="A638" s="164"/>
      <c r="B638" s="164"/>
      <c r="C638" s="164"/>
      <c r="D638" s="164"/>
      <c r="E638" s="164"/>
      <c r="F638" s="164"/>
      <c r="G638" s="164"/>
      <c r="H638" s="164"/>
      <c r="I638" s="164"/>
      <c r="J638" s="164"/>
    </row>
    <row r="639" ht="22.5" customHeight="1">
      <c r="A639" s="164"/>
      <c r="B639" s="164"/>
      <c r="C639" s="164"/>
      <c r="D639" s="164"/>
      <c r="E639" s="164"/>
      <c r="F639" s="164"/>
      <c r="G639" s="164"/>
      <c r="H639" s="164"/>
      <c r="I639" s="164"/>
      <c r="J639" s="164"/>
    </row>
    <row r="640" ht="22.5" customHeight="1">
      <c r="A640" s="164"/>
      <c r="B640" s="164"/>
      <c r="C640" s="164"/>
      <c r="D640" s="164"/>
      <c r="E640" s="164"/>
      <c r="F640" s="164"/>
      <c r="G640" s="164"/>
      <c r="H640" s="164"/>
      <c r="I640" s="164"/>
      <c r="J640" s="164"/>
    </row>
    <row r="641" ht="22.5" customHeight="1">
      <c r="A641" s="164"/>
      <c r="B641" s="164"/>
      <c r="C641" s="164"/>
      <c r="D641" s="164"/>
      <c r="E641" s="164"/>
      <c r="F641" s="164"/>
      <c r="G641" s="164"/>
      <c r="H641" s="164"/>
      <c r="I641" s="164"/>
      <c r="J641" s="164"/>
    </row>
    <row r="642" ht="22.5" customHeight="1">
      <c r="A642" s="164"/>
      <c r="B642" s="164"/>
      <c r="C642" s="164"/>
      <c r="D642" s="164"/>
      <c r="E642" s="164"/>
      <c r="F642" s="164"/>
      <c r="G642" s="164"/>
      <c r="H642" s="164"/>
      <c r="I642" s="164"/>
      <c r="J642" s="164"/>
    </row>
    <row r="643" ht="22.5" customHeight="1">
      <c r="A643" s="164"/>
      <c r="B643" s="164"/>
      <c r="C643" s="164"/>
      <c r="D643" s="164"/>
      <c r="E643" s="164"/>
      <c r="F643" s="164"/>
      <c r="G643" s="164"/>
      <c r="H643" s="164"/>
      <c r="I643" s="164"/>
      <c r="J643" s="164"/>
    </row>
    <row r="644" ht="22.5" customHeight="1">
      <c r="A644" s="164"/>
      <c r="B644" s="164"/>
      <c r="C644" s="164"/>
      <c r="D644" s="164"/>
      <c r="E644" s="164"/>
      <c r="F644" s="164"/>
      <c r="G644" s="164"/>
      <c r="H644" s="164"/>
      <c r="I644" s="164"/>
      <c r="J644" s="164"/>
    </row>
    <row r="645" ht="22.5" customHeight="1">
      <c r="A645" s="164"/>
      <c r="B645" s="164"/>
      <c r="C645" s="164"/>
      <c r="D645" s="164"/>
      <c r="E645" s="164"/>
      <c r="F645" s="164"/>
      <c r="G645" s="164"/>
      <c r="H645" s="164"/>
      <c r="I645" s="164"/>
      <c r="J645" s="164"/>
    </row>
    <row r="646" ht="22.5" customHeight="1">
      <c r="A646" s="164"/>
      <c r="B646" s="164"/>
      <c r="C646" s="164"/>
      <c r="D646" s="164"/>
      <c r="E646" s="164"/>
      <c r="F646" s="164"/>
      <c r="G646" s="164"/>
      <c r="H646" s="164"/>
      <c r="I646" s="164"/>
      <c r="J646" s="164"/>
    </row>
    <row r="647" ht="22.5" customHeight="1">
      <c r="A647" s="164"/>
      <c r="B647" s="164"/>
      <c r="C647" s="164"/>
      <c r="D647" s="164"/>
      <c r="E647" s="164"/>
      <c r="F647" s="164"/>
      <c r="G647" s="164"/>
      <c r="H647" s="164"/>
      <c r="I647" s="164"/>
      <c r="J647" s="164"/>
    </row>
    <row r="648" ht="22.5" customHeight="1">
      <c r="A648" s="164"/>
      <c r="B648" s="164"/>
      <c r="C648" s="164"/>
      <c r="D648" s="164"/>
      <c r="E648" s="164"/>
      <c r="F648" s="164"/>
      <c r="G648" s="164"/>
      <c r="H648" s="164"/>
      <c r="I648" s="164"/>
      <c r="J648" s="164"/>
    </row>
    <row r="649" ht="22.5" customHeight="1">
      <c r="A649" s="164"/>
      <c r="B649" s="164"/>
      <c r="C649" s="164"/>
      <c r="D649" s="164"/>
      <c r="E649" s="164"/>
      <c r="F649" s="164"/>
      <c r="G649" s="164"/>
      <c r="H649" s="164"/>
      <c r="I649" s="164"/>
      <c r="J649" s="164"/>
    </row>
    <row r="650" ht="22.5" customHeight="1">
      <c r="A650" s="164"/>
      <c r="B650" s="164"/>
      <c r="C650" s="164"/>
      <c r="D650" s="164"/>
      <c r="E650" s="164"/>
      <c r="F650" s="164"/>
      <c r="G650" s="164"/>
      <c r="H650" s="164"/>
      <c r="I650" s="164"/>
      <c r="J650" s="164"/>
    </row>
    <row r="651" ht="22.5" customHeight="1">
      <c r="A651" s="164"/>
      <c r="B651" s="164"/>
      <c r="C651" s="164"/>
      <c r="D651" s="164"/>
      <c r="E651" s="164"/>
      <c r="F651" s="164"/>
      <c r="G651" s="164"/>
      <c r="H651" s="164"/>
      <c r="I651" s="164"/>
      <c r="J651" s="164"/>
    </row>
    <row r="652" ht="22.5" customHeight="1">
      <c r="A652" s="164"/>
      <c r="B652" s="164"/>
      <c r="C652" s="164"/>
      <c r="D652" s="164"/>
      <c r="E652" s="164"/>
      <c r="F652" s="164"/>
      <c r="G652" s="164"/>
      <c r="H652" s="164"/>
      <c r="I652" s="164"/>
      <c r="J652" s="164"/>
    </row>
    <row r="653" ht="22.5" customHeight="1">
      <c r="A653" s="164"/>
      <c r="B653" s="164"/>
      <c r="C653" s="164"/>
      <c r="D653" s="164"/>
      <c r="E653" s="164"/>
      <c r="F653" s="164"/>
      <c r="G653" s="164"/>
      <c r="H653" s="164"/>
      <c r="I653" s="164"/>
      <c r="J653" s="164"/>
    </row>
    <row r="654" ht="22.5" customHeight="1">
      <c r="A654" s="164"/>
      <c r="B654" s="164"/>
      <c r="C654" s="164"/>
      <c r="D654" s="164"/>
      <c r="E654" s="164"/>
      <c r="F654" s="164"/>
      <c r="G654" s="164"/>
      <c r="H654" s="164"/>
      <c r="I654" s="164"/>
      <c r="J654" s="164"/>
    </row>
    <row r="655" ht="22.5" customHeight="1">
      <c r="A655" s="164"/>
      <c r="B655" s="164"/>
      <c r="C655" s="164"/>
      <c r="D655" s="164"/>
      <c r="E655" s="164"/>
      <c r="F655" s="164"/>
      <c r="G655" s="164"/>
      <c r="H655" s="164"/>
      <c r="I655" s="164"/>
      <c r="J655" s="164"/>
    </row>
    <row r="656" ht="22.5" customHeight="1">
      <c r="A656" s="164"/>
      <c r="B656" s="164"/>
      <c r="C656" s="164"/>
      <c r="D656" s="164"/>
      <c r="E656" s="164"/>
      <c r="F656" s="164"/>
      <c r="G656" s="164"/>
      <c r="H656" s="164"/>
      <c r="I656" s="164"/>
      <c r="J656" s="164"/>
    </row>
    <row r="657" ht="22.5" customHeight="1">
      <c r="A657" s="164"/>
      <c r="B657" s="164"/>
      <c r="C657" s="164"/>
      <c r="D657" s="164"/>
      <c r="E657" s="164"/>
      <c r="F657" s="164"/>
      <c r="G657" s="164"/>
      <c r="H657" s="164"/>
      <c r="I657" s="164"/>
      <c r="J657" s="164"/>
    </row>
    <row r="658" ht="22.5" customHeight="1">
      <c r="A658" s="164"/>
      <c r="B658" s="164"/>
      <c r="C658" s="164"/>
      <c r="D658" s="164"/>
      <c r="E658" s="164"/>
      <c r="F658" s="164"/>
      <c r="G658" s="164"/>
      <c r="H658" s="164"/>
      <c r="I658" s="164"/>
      <c r="J658" s="164"/>
    </row>
    <row r="659" ht="22.5" customHeight="1">
      <c r="A659" s="164"/>
      <c r="B659" s="164"/>
      <c r="C659" s="164"/>
      <c r="D659" s="164"/>
      <c r="E659" s="164"/>
      <c r="F659" s="164"/>
      <c r="G659" s="164"/>
      <c r="H659" s="164"/>
      <c r="I659" s="164"/>
      <c r="J659" s="164"/>
    </row>
    <row r="660" ht="22.5" customHeight="1">
      <c r="A660" s="164"/>
      <c r="B660" s="164"/>
      <c r="C660" s="164"/>
      <c r="D660" s="164"/>
      <c r="E660" s="164"/>
      <c r="F660" s="164"/>
      <c r="G660" s="164"/>
      <c r="H660" s="164"/>
      <c r="I660" s="164"/>
      <c r="J660" s="164"/>
    </row>
    <row r="661" ht="22.5" customHeight="1">
      <c r="A661" s="164"/>
      <c r="B661" s="164"/>
      <c r="C661" s="164"/>
      <c r="D661" s="164"/>
      <c r="E661" s="164"/>
      <c r="F661" s="164"/>
      <c r="G661" s="164"/>
      <c r="H661" s="164"/>
      <c r="I661" s="164"/>
      <c r="J661" s="164"/>
    </row>
    <row r="662" ht="22.5" customHeight="1">
      <c r="A662" s="164"/>
      <c r="B662" s="164"/>
      <c r="C662" s="164"/>
      <c r="D662" s="164"/>
      <c r="E662" s="164"/>
      <c r="F662" s="164"/>
      <c r="G662" s="164"/>
      <c r="H662" s="164"/>
      <c r="I662" s="164"/>
      <c r="J662" s="164"/>
    </row>
    <row r="663" ht="22.5" customHeight="1">
      <c r="A663" s="164"/>
      <c r="B663" s="164"/>
      <c r="C663" s="164"/>
      <c r="D663" s="164"/>
      <c r="E663" s="164"/>
      <c r="F663" s="164"/>
      <c r="G663" s="164"/>
      <c r="H663" s="164"/>
      <c r="I663" s="164"/>
      <c r="J663" s="164"/>
    </row>
    <row r="664" ht="22.5" customHeight="1">
      <c r="A664" s="164"/>
      <c r="B664" s="164"/>
      <c r="C664" s="164"/>
      <c r="D664" s="164"/>
      <c r="E664" s="164"/>
      <c r="F664" s="164"/>
      <c r="G664" s="164"/>
      <c r="H664" s="164"/>
      <c r="I664" s="164"/>
      <c r="J664" s="164"/>
    </row>
    <row r="665" ht="22.5" customHeight="1">
      <c r="A665" s="164"/>
      <c r="B665" s="164"/>
      <c r="C665" s="164"/>
      <c r="D665" s="164"/>
      <c r="E665" s="164"/>
      <c r="F665" s="164"/>
      <c r="G665" s="164"/>
      <c r="H665" s="164"/>
      <c r="I665" s="164"/>
      <c r="J665" s="164"/>
    </row>
    <row r="666" ht="22.5" customHeight="1">
      <c r="A666" s="164"/>
      <c r="B666" s="164"/>
      <c r="C666" s="164"/>
      <c r="D666" s="164"/>
      <c r="E666" s="164"/>
      <c r="F666" s="164"/>
      <c r="G666" s="164"/>
      <c r="H666" s="164"/>
      <c r="I666" s="164"/>
      <c r="J666" s="164"/>
    </row>
    <row r="667" ht="22.5" customHeight="1">
      <c r="A667" s="164"/>
      <c r="B667" s="164"/>
      <c r="C667" s="164"/>
      <c r="D667" s="164"/>
      <c r="E667" s="164"/>
      <c r="F667" s="164"/>
      <c r="G667" s="164"/>
      <c r="H667" s="164"/>
      <c r="I667" s="164"/>
      <c r="J667" s="164"/>
    </row>
    <row r="668" ht="22.5" customHeight="1">
      <c r="A668" s="164"/>
      <c r="B668" s="164"/>
      <c r="C668" s="164"/>
      <c r="D668" s="164"/>
      <c r="E668" s="164"/>
      <c r="F668" s="164"/>
      <c r="G668" s="164"/>
      <c r="H668" s="164"/>
      <c r="I668" s="164"/>
      <c r="J668" s="164"/>
    </row>
    <row r="669" ht="22.5" customHeight="1">
      <c r="A669" s="164"/>
      <c r="B669" s="164"/>
      <c r="C669" s="164"/>
      <c r="D669" s="164"/>
      <c r="E669" s="164"/>
      <c r="F669" s="164"/>
      <c r="G669" s="164"/>
      <c r="H669" s="164"/>
      <c r="I669" s="164"/>
      <c r="J669" s="164"/>
    </row>
    <row r="670" ht="22.5" customHeight="1">
      <c r="A670" s="164"/>
      <c r="B670" s="164"/>
      <c r="C670" s="164"/>
      <c r="D670" s="164"/>
      <c r="E670" s="164"/>
      <c r="F670" s="164"/>
      <c r="G670" s="164"/>
      <c r="H670" s="164"/>
      <c r="I670" s="164"/>
      <c r="J670" s="164"/>
    </row>
    <row r="671" ht="22.5" customHeight="1">
      <c r="A671" s="164"/>
      <c r="B671" s="164"/>
      <c r="C671" s="164"/>
      <c r="D671" s="164"/>
      <c r="E671" s="164"/>
      <c r="F671" s="164"/>
      <c r="G671" s="164"/>
      <c r="H671" s="164"/>
      <c r="I671" s="164"/>
      <c r="J671" s="164"/>
    </row>
    <row r="672" ht="22.5" customHeight="1">
      <c r="A672" s="164"/>
      <c r="B672" s="164"/>
      <c r="C672" s="164"/>
      <c r="D672" s="164"/>
      <c r="E672" s="164"/>
      <c r="F672" s="164"/>
      <c r="G672" s="164"/>
      <c r="H672" s="164"/>
      <c r="I672" s="164"/>
      <c r="J672" s="164"/>
    </row>
    <row r="673" ht="22.5" customHeight="1">
      <c r="A673" s="164"/>
      <c r="B673" s="164"/>
      <c r="C673" s="164"/>
      <c r="D673" s="164"/>
      <c r="E673" s="164"/>
      <c r="F673" s="164"/>
      <c r="G673" s="164"/>
      <c r="H673" s="164"/>
      <c r="I673" s="164"/>
      <c r="J673" s="164"/>
    </row>
    <row r="674" ht="22.5" customHeight="1">
      <c r="A674" s="164"/>
      <c r="B674" s="164"/>
      <c r="C674" s="164"/>
      <c r="D674" s="164"/>
      <c r="E674" s="164"/>
      <c r="F674" s="164"/>
      <c r="G674" s="164"/>
      <c r="H674" s="164"/>
      <c r="I674" s="164"/>
      <c r="J674" s="164"/>
    </row>
    <row r="675" ht="22.5" customHeight="1">
      <c r="A675" s="164"/>
      <c r="B675" s="164"/>
      <c r="C675" s="164"/>
      <c r="D675" s="164"/>
      <c r="E675" s="164"/>
      <c r="F675" s="164"/>
      <c r="G675" s="164"/>
      <c r="H675" s="164"/>
      <c r="I675" s="164"/>
      <c r="J675" s="164"/>
    </row>
    <row r="676" ht="22.5" customHeight="1">
      <c r="A676" s="164"/>
      <c r="B676" s="164"/>
      <c r="C676" s="164"/>
      <c r="D676" s="164"/>
      <c r="E676" s="164"/>
      <c r="F676" s="164"/>
      <c r="G676" s="164"/>
      <c r="H676" s="164"/>
      <c r="I676" s="164"/>
      <c r="J676" s="164"/>
    </row>
    <row r="677" ht="22.5" customHeight="1">
      <c r="A677" s="164"/>
      <c r="B677" s="164"/>
      <c r="C677" s="164"/>
      <c r="D677" s="164"/>
      <c r="E677" s="164"/>
      <c r="F677" s="164"/>
      <c r="G677" s="164"/>
      <c r="H677" s="164"/>
      <c r="I677" s="164"/>
      <c r="J677" s="164"/>
    </row>
    <row r="678" ht="22.5" customHeight="1">
      <c r="A678" s="164"/>
      <c r="B678" s="164"/>
      <c r="C678" s="164"/>
      <c r="D678" s="164"/>
      <c r="E678" s="164"/>
      <c r="F678" s="164"/>
      <c r="G678" s="164"/>
      <c r="H678" s="164"/>
      <c r="I678" s="164"/>
      <c r="J678" s="164"/>
    </row>
    <row r="679" ht="22.5" customHeight="1">
      <c r="A679" s="164"/>
      <c r="B679" s="164"/>
      <c r="C679" s="164"/>
      <c r="D679" s="164"/>
      <c r="E679" s="164"/>
      <c r="F679" s="164"/>
      <c r="G679" s="164"/>
      <c r="H679" s="164"/>
      <c r="I679" s="164"/>
      <c r="J679" s="164"/>
    </row>
    <row r="680" ht="22.5" customHeight="1">
      <c r="A680" s="164"/>
      <c r="B680" s="164"/>
      <c r="C680" s="164"/>
      <c r="D680" s="164"/>
      <c r="E680" s="164"/>
      <c r="F680" s="164"/>
      <c r="G680" s="164"/>
      <c r="H680" s="164"/>
      <c r="I680" s="164"/>
      <c r="J680" s="164"/>
    </row>
    <row r="681" ht="22.5" customHeight="1">
      <c r="A681" s="164"/>
      <c r="B681" s="164"/>
      <c r="C681" s="164"/>
      <c r="D681" s="164"/>
      <c r="E681" s="164"/>
      <c r="F681" s="164"/>
      <c r="G681" s="164"/>
      <c r="H681" s="164"/>
      <c r="I681" s="164"/>
      <c r="J681" s="164"/>
    </row>
    <row r="682" ht="22.5" customHeight="1">
      <c r="A682" s="164"/>
      <c r="B682" s="164"/>
      <c r="C682" s="164"/>
      <c r="D682" s="164"/>
      <c r="E682" s="164"/>
      <c r="F682" s="164"/>
      <c r="G682" s="164"/>
      <c r="H682" s="164"/>
      <c r="I682" s="164"/>
      <c r="J682" s="164"/>
    </row>
    <row r="683" ht="22.5" customHeight="1">
      <c r="A683" s="164"/>
      <c r="B683" s="164"/>
      <c r="C683" s="164"/>
      <c r="D683" s="164"/>
      <c r="E683" s="164"/>
      <c r="F683" s="164"/>
      <c r="G683" s="164"/>
      <c r="H683" s="164"/>
      <c r="I683" s="164"/>
      <c r="J683" s="164"/>
    </row>
    <row r="684" ht="22.5" customHeight="1">
      <c r="A684" s="164"/>
      <c r="B684" s="164"/>
      <c r="C684" s="164"/>
      <c r="D684" s="164"/>
      <c r="E684" s="164"/>
      <c r="F684" s="164"/>
      <c r="G684" s="164"/>
      <c r="H684" s="164"/>
      <c r="I684" s="164"/>
      <c r="J684" s="164"/>
    </row>
    <row r="685" ht="22.5" customHeight="1">
      <c r="A685" s="164"/>
      <c r="B685" s="164"/>
      <c r="C685" s="164"/>
      <c r="D685" s="164"/>
      <c r="E685" s="164"/>
      <c r="F685" s="164"/>
      <c r="G685" s="164"/>
      <c r="H685" s="164"/>
      <c r="I685" s="164"/>
      <c r="J685" s="164"/>
    </row>
    <row r="686" ht="22.5" customHeight="1">
      <c r="A686" s="164"/>
      <c r="B686" s="164"/>
      <c r="C686" s="164"/>
      <c r="D686" s="164"/>
      <c r="E686" s="164"/>
      <c r="F686" s="164"/>
      <c r="G686" s="164"/>
      <c r="H686" s="164"/>
      <c r="I686" s="164"/>
      <c r="J686" s="164"/>
    </row>
    <row r="687" ht="22.5" customHeight="1">
      <c r="A687" s="164"/>
      <c r="B687" s="164"/>
      <c r="C687" s="164"/>
      <c r="D687" s="164"/>
      <c r="E687" s="164"/>
      <c r="F687" s="164"/>
      <c r="G687" s="164"/>
      <c r="H687" s="164"/>
      <c r="I687" s="164"/>
      <c r="J687" s="164"/>
    </row>
    <row r="688" ht="22.5" customHeight="1">
      <c r="A688" s="164"/>
      <c r="B688" s="164"/>
      <c r="C688" s="164"/>
      <c r="D688" s="164"/>
      <c r="E688" s="164"/>
      <c r="F688" s="164"/>
      <c r="G688" s="164"/>
      <c r="H688" s="164"/>
      <c r="I688" s="164"/>
      <c r="J688" s="164"/>
    </row>
    <row r="689" ht="22.5" customHeight="1">
      <c r="A689" s="164"/>
      <c r="B689" s="164"/>
      <c r="C689" s="164"/>
      <c r="D689" s="164"/>
      <c r="E689" s="164"/>
      <c r="F689" s="164"/>
      <c r="G689" s="164"/>
      <c r="H689" s="164"/>
      <c r="I689" s="164"/>
      <c r="J689" s="164"/>
    </row>
    <row r="690" ht="22.5" customHeight="1">
      <c r="A690" s="164"/>
      <c r="B690" s="164"/>
      <c r="C690" s="164"/>
      <c r="D690" s="164"/>
      <c r="E690" s="164"/>
      <c r="F690" s="164"/>
      <c r="G690" s="164"/>
      <c r="H690" s="164"/>
      <c r="I690" s="164"/>
      <c r="J690" s="164"/>
    </row>
    <row r="691" ht="22.5" customHeight="1">
      <c r="A691" s="164"/>
      <c r="B691" s="164"/>
      <c r="C691" s="164"/>
      <c r="D691" s="164"/>
      <c r="E691" s="164"/>
      <c r="F691" s="164"/>
      <c r="G691" s="164"/>
      <c r="H691" s="164"/>
      <c r="I691" s="164"/>
      <c r="J691" s="164"/>
    </row>
    <row r="692" ht="22.5" customHeight="1">
      <c r="A692" s="164"/>
      <c r="B692" s="164"/>
      <c r="C692" s="164"/>
      <c r="D692" s="164"/>
      <c r="E692" s="164"/>
      <c r="F692" s="164"/>
      <c r="G692" s="164"/>
      <c r="H692" s="164"/>
      <c r="I692" s="164"/>
      <c r="J692" s="164"/>
    </row>
    <row r="693" ht="22.5" customHeight="1">
      <c r="A693" s="164"/>
      <c r="B693" s="164"/>
      <c r="C693" s="164"/>
      <c r="D693" s="164"/>
      <c r="E693" s="164"/>
      <c r="F693" s="164"/>
      <c r="G693" s="164"/>
      <c r="H693" s="164"/>
      <c r="I693" s="164"/>
      <c r="J693" s="164"/>
    </row>
    <row r="694" ht="22.5" customHeight="1">
      <c r="A694" s="164"/>
      <c r="B694" s="164"/>
      <c r="C694" s="164"/>
      <c r="D694" s="164"/>
      <c r="E694" s="164"/>
      <c r="F694" s="164"/>
      <c r="G694" s="164"/>
      <c r="H694" s="164"/>
      <c r="I694" s="164"/>
      <c r="J694" s="164"/>
    </row>
    <row r="695" ht="22.5" customHeight="1">
      <c r="A695" s="164"/>
      <c r="B695" s="164"/>
      <c r="C695" s="164"/>
      <c r="D695" s="164"/>
      <c r="E695" s="164"/>
      <c r="F695" s="164"/>
      <c r="G695" s="164"/>
      <c r="H695" s="164"/>
      <c r="I695" s="164"/>
      <c r="J695" s="164"/>
    </row>
    <row r="696" ht="22.5" customHeight="1">
      <c r="A696" s="164"/>
      <c r="B696" s="164"/>
      <c r="C696" s="164"/>
      <c r="D696" s="164"/>
      <c r="E696" s="164"/>
      <c r="F696" s="164"/>
      <c r="G696" s="164"/>
      <c r="H696" s="164"/>
      <c r="I696" s="164"/>
      <c r="J696" s="164"/>
    </row>
    <row r="697" ht="22.5" customHeight="1">
      <c r="A697" s="164"/>
      <c r="B697" s="164"/>
      <c r="C697" s="164"/>
      <c r="D697" s="164"/>
      <c r="E697" s="164"/>
      <c r="F697" s="164"/>
      <c r="G697" s="164"/>
      <c r="H697" s="164"/>
      <c r="I697" s="164"/>
      <c r="J697" s="164"/>
    </row>
    <row r="698" ht="22.5" customHeight="1">
      <c r="A698" s="164"/>
      <c r="B698" s="164"/>
      <c r="C698" s="164"/>
      <c r="D698" s="164"/>
      <c r="E698" s="164"/>
      <c r="F698" s="164"/>
      <c r="G698" s="164"/>
      <c r="H698" s="164"/>
      <c r="I698" s="164"/>
      <c r="J698" s="164"/>
    </row>
    <row r="699" ht="22.5" customHeight="1">
      <c r="A699" s="164"/>
      <c r="B699" s="164"/>
      <c r="C699" s="164"/>
      <c r="D699" s="164"/>
      <c r="E699" s="164"/>
      <c r="F699" s="164"/>
      <c r="G699" s="164"/>
      <c r="H699" s="164"/>
      <c r="I699" s="164"/>
      <c r="J699" s="164"/>
    </row>
    <row r="700" ht="22.5" customHeight="1">
      <c r="A700" s="164"/>
      <c r="B700" s="164"/>
      <c r="C700" s="164"/>
      <c r="D700" s="164"/>
      <c r="E700" s="164"/>
      <c r="F700" s="164"/>
      <c r="G700" s="164"/>
      <c r="H700" s="164"/>
      <c r="I700" s="164"/>
      <c r="J700" s="164"/>
    </row>
    <row r="701" ht="22.5" customHeight="1">
      <c r="A701" s="164"/>
      <c r="B701" s="164"/>
      <c r="C701" s="164"/>
      <c r="D701" s="164"/>
      <c r="E701" s="164"/>
      <c r="F701" s="164"/>
      <c r="G701" s="164"/>
      <c r="H701" s="164"/>
      <c r="I701" s="164"/>
      <c r="J701" s="164"/>
    </row>
    <row r="702" ht="22.5" customHeight="1">
      <c r="A702" s="164"/>
      <c r="B702" s="164"/>
      <c r="C702" s="164"/>
      <c r="D702" s="164"/>
      <c r="E702" s="164"/>
      <c r="F702" s="164"/>
      <c r="G702" s="164"/>
      <c r="H702" s="164"/>
      <c r="I702" s="164"/>
      <c r="J702" s="164"/>
    </row>
    <row r="703" ht="22.5" customHeight="1">
      <c r="A703" s="164"/>
      <c r="B703" s="164"/>
      <c r="C703" s="164"/>
      <c r="D703" s="164"/>
      <c r="E703" s="164"/>
      <c r="F703" s="164"/>
      <c r="G703" s="164"/>
      <c r="H703" s="164"/>
      <c r="I703" s="164"/>
      <c r="J703" s="164"/>
    </row>
    <row r="704" ht="22.5" customHeight="1">
      <c r="A704" s="164"/>
      <c r="B704" s="164"/>
      <c r="C704" s="164"/>
      <c r="D704" s="164"/>
      <c r="E704" s="164"/>
      <c r="F704" s="164"/>
      <c r="G704" s="164"/>
      <c r="H704" s="164"/>
      <c r="I704" s="164"/>
      <c r="J704" s="164"/>
    </row>
    <row r="705" ht="22.5" customHeight="1">
      <c r="A705" s="164"/>
      <c r="B705" s="164"/>
      <c r="C705" s="164"/>
      <c r="D705" s="164"/>
      <c r="E705" s="164"/>
      <c r="F705" s="164"/>
      <c r="G705" s="164"/>
      <c r="H705" s="164"/>
      <c r="I705" s="164"/>
      <c r="J705" s="164"/>
    </row>
    <row r="706" ht="22.5" customHeight="1">
      <c r="A706" s="164"/>
      <c r="B706" s="164"/>
      <c r="C706" s="164"/>
      <c r="D706" s="164"/>
      <c r="E706" s="164"/>
      <c r="F706" s="164"/>
      <c r="G706" s="164"/>
      <c r="H706" s="164"/>
      <c r="I706" s="164"/>
      <c r="J706" s="164"/>
    </row>
    <row r="707" ht="22.5" customHeight="1">
      <c r="A707" s="164"/>
      <c r="B707" s="164"/>
      <c r="C707" s="164"/>
      <c r="D707" s="164"/>
      <c r="E707" s="164"/>
      <c r="F707" s="164"/>
      <c r="G707" s="164"/>
      <c r="H707" s="164"/>
      <c r="I707" s="164"/>
      <c r="J707" s="164"/>
    </row>
    <row r="708" ht="22.5" customHeight="1">
      <c r="A708" s="164"/>
      <c r="B708" s="164"/>
      <c r="C708" s="164"/>
      <c r="D708" s="164"/>
      <c r="E708" s="164"/>
      <c r="F708" s="164"/>
      <c r="G708" s="164"/>
      <c r="H708" s="164"/>
      <c r="I708" s="164"/>
      <c r="J708" s="164"/>
    </row>
    <row r="709" ht="22.5" customHeight="1">
      <c r="A709" s="164"/>
      <c r="B709" s="164"/>
      <c r="C709" s="164"/>
      <c r="D709" s="164"/>
      <c r="E709" s="164"/>
      <c r="F709" s="164"/>
      <c r="G709" s="164"/>
      <c r="H709" s="164"/>
      <c r="I709" s="164"/>
      <c r="J709" s="164"/>
    </row>
    <row r="710" ht="22.5" customHeight="1">
      <c r="A710" s="164"/>
      <c r="B710" s="164"/>
      <c r="C710" s="164"/>
      <c r="D710" s="164"/>
      <c r="E710" s="164"/>
      <c r="F710" s="164"/>
      <c r="G710" s="164"/>
      <c r="H710" s="164"/>
      <c r="I710" s="164"/>
      <c r="J710" s="164"/>
    </row>
    <row r="711" ht="22.5" customHeight="1">
      <c r="A711" s="164"/>
      <c r="B711" s="164"/>
      <c r="C711" s="164"/>
      <c r="D711" s="164"/>
      <c r="E711" s="164"/>
      <c r="F711" s="164"/>
      <c r="G711" s="164"/>
      <c r="H711" s="164"/>
      <c r="I711" s="164"/>
      <c r="J711" s="164"/>
    </row>
    <row r="712" ht="22.5" customHeight="1">
      <c r="A712" s="164"/>
      <c r="B712" s="164"/>
      <c r="C712" s="164"/>
      <c r="D712" s="164"/>
      <c r="E712" s="164"/>
      <c r="F712" s="164"/>
      <c r="G712" s="164"/>
      <c r="H712" s="164"/>
      <c r="I712" s="164"/>
      <c r="J712" s="164"/>
    </row>
    <row r="713" ht="22.5" customHeight="1">
      <c r="A713" s="164"/>
      <c r="B713" s="164"/>
      <c r="C713" s="164"/>
      <c r="D713" s="164"/>
      <c r="E713" s="164"/>
      <c r="F713" s="164"/>
      <c r="G713" s="164"/>
      <c r="H713" s="164"/>
      <c r="I713" s="164"/>
      <c r="J713" s="164"/>
    </row>
    <row r="714" ht="22.5" customHeight="1">
      <c r="A714" s="164"/>
      <c r="B714" s="164"/>
      <c r="C714" s="164"/>
      <c r="D714" s="164"/>
      <c r="E714" s="164"/>
      <c r="F714" s="164"/>
      <c r="G714" s="164"/>
      <c r="H714" s="164"/>
      <c r="I714" s="164"/>
      <c r="J714" s="164"/>
    </row>
    <row r="715" ht="22.5" customHeight="1">
      <c r="A715" s="164"/>
      <c r="B715" s="164"/>
      <c r="C715" s="164"/>
      <c r="D715" s="164"/>
      <c r="E715" s="164"/>
      <c r="F715" s="164"/>
      <c r="G715" s="164"/>
      <c r="H715" s="164"/>
      <c r="I715" s="164"/>
      <c r="J715" s="164"/>
    </row>
    <row r="716" ht="22.5" customHeight="1">
      <c r="A716" s="164"/>
      <c r="B716" s="164"/>
      <c r="C716" s="164"/>
      <c r="D716" s="164"/>
      <c r="E716" s="164"/>
      <c r="F716" s="164"/>
      <c r="G716" s="164"/>
      <c r="H716" s="164"/>
      <c r="I716" s="164"/>
      <c r="J716" s="164"/>
    </row>
    <row r="717" ht="22.5" customHeight="1">
      <c r="A717" s="164"/>
      <c r="B717" s="164"/>
      <c r="C717" s="164"/>
      <c r="D717" s="164"/>
      <c r="E717" s="164"/>
      <c r="F717" s="164"/>
      <c r="G717" s="164"/>
      <c r="H717" s="164"/>
      <c r="I717" s="164"/>
      <c r="J717" s="164"/>
    </row>
    <row r="718" ht="22.5" customHeight="1">
      <c r="A718" s="164"/>
      <c r="B718" s="164"/>
      <c r="C718" s="164"/>
      <c r="D718" s="164"/>
      <c r="E718" s="164"/>
      <c r="F718" s="164"/>
      <c r="G718" s="164"/>
      <c r="H718" s="164"/>
      <c r="I718" s="164"/>
      <c r="J718" s="164"/>
    </row>
    <row r="719" ht="22.5" customHeight="1">
      <c r="A719" s="164"/>
      <c r="B719" s="164"/>
      <c r="C719" s="164"/>
      <c r="D719" s="164"/>
      <c r="E719" s="164"/>
      <c r="F719" s="164"/>
      <c r="G719" s="164"/>
      <c r="H719" s="164"/>
      <c r="I719" s="164"/>
      <c r="J719" s="164"/>
    </row>
    <row r="720" ht="22.5" customHeight="1">
      <c r="A720" s="164"/>
      <c r="B720" s="164"/>
      <c r="C720" s="164"/>
      <c r="D720" s="164"/>
      <c r="E720" s="164"/>
      <c r="F720" s="164"/>
      <c r="G720" s="164"/>
      <c r="H720" s="164"/>
      <c r="I720" s="164"/>
      <c r="J720" s="164"/>
    </row>
    <row r="721" ht="22.5" customHeight="1">
      <c r="A721" s="164"/>
      <c r="B721" s="164"/>
      <c r="C721" s="164"/>
      <c r="D721" s="164"/>
      <c r="E721" s="164"/>
      <c r="F721" s="164"/>
      <c r="G721" s="164"/>
      <c r="H721" s="164"/>
      <c r="I721" s="164"/>
      <c r="J721" s="164"/>
    </row>
    <row r="722" ht="22.5" customHeight="1">
      <c r="A722" s="164"/>
      <c r="B722" s="164"/>
      <c r="C722" s="164"/>
      <c r="D722" s="164"/>
      <c r="E722" s="164"/>
      <c r="F722" s="164"/>
      <c r="G722" s="164"/>
      <c r="H722" s="164"/>
      <c r="I722" s="164"/>
      <c r="J722" s="164"/>
    </row>
    <row r="723" ht="22.5" customHeight="1">
      <c r="A723" s="164"/>
      <c r="B723" s="164"/>
      <c r="C723" s="164"/>
      <c r="D723" s="164"/>
      <c r="E723" s="164"/>
      <c r="F723" s="164"/>
      <c r="G723" s="164"/>
      <c r="H723" s="164"/>
      <c r="I723" s="164"/>
      <c r="J723" s="164"/>
    </row>
    <row r="724" ht="22.5" customHeight="1">
      <c r="A724" s="164"/>
      <c r="B724" s="164"/>
      <c r="C724" s="164"/>
      <c r="D724" s="164"/>
      <c r="E724" s="164"/>
      <c r="F724" s="164"/>
      <c r="G724" s="164"/>
      <c r="H724" s="164"/>
      <c r="I724" s="164"/>
      <c r="J724" s="164"/>
    </row>
    <row r="725" ht="22.5" customHeight="1">
      <c r="A725" s="164"/>
      <c r="B725" s="164"/>
      <c r="C725" s="164"/>
      <c r="D725" s="164"/>
      <c r="E725" s="164"/>
      <c r="F725" s="164"/>
      <c r="G725" s="164"/>
      <c r="H725" s="164"/>
      <c r="I725" s="164"/>
      <c r="J725" s="164"/>
    </row>
    <row r="726" ht="22.5" customHeight="1">
      <c r="A726" s="164"/>
      <c r="B726" s="164"/>
      <c r="C726" s="164"/>
      <c r="D726" s="164"/>
      <c r="E726" s="164"/>
      <c r="F726" s="164"/>
      <c r="G726" s="164"/>
      <c r="H726" s="164"/>
      <c r="I726" s="164"/>
      <c r="J726" s="164"/>
    </row>
    <row r="727" ht="22.5" customHeight="1">
      <c r="A727" s="164"/>
      <c r="B727" s="164"/>
      <c r="C727" s="164"/>
      <c r="D727" s="164"/>
      <c r="E727" s="164"/>
      <c r="F727" s="164"/>
      <c r="G727" s="164"/>
      <c r="H727" s="164"/>
      <c r="I727" s="164"/>
      <c r="J727" s="164"/>
    </row>
    <row r="728" ht="22.5" customHeight="1">
      <c r="A728" s="164"/>
      <c r="B728" s="164"/>
      <c r="C728" s="164"/>
      <c r="D728" s="164"/>
      <c r="E728" s="164"/>
      <c r="F728" s="164"/>
      <c r="G728" s="164"/>
      <c r="H728" s="164"/>
      <c r="I728" s="164"/>
      <c r="J728" s="164"/>
    </row>
    <row r="729" ht="22.5" customHeight="1">
      <c r="A729" s="164"/>
      <c r="B729" s="164"/>
      <c r="C729" s="164"/>
      <c r="D729" s="164"/>
      <c r="E729" s="164"/>
      <c r="F729" s="164"/>
      <c r="G729" s="164"/>
      <c r="H729" s="164"/>
      <c r="I729" s="164"/>
      <c r="J729" s="164"/>
    </row>
    <row r="730" ht="22.5" customHeight="1">
      <c r="A730" s="164"/>
      <c r="B730" s="164"/>
      <c r="C730" s="164"/>
      <c r="D730" s="164"/>
      <c r="E730" s="164"/>
      <c r="F730" s="164"/>
      <c r="G730" s="164"/>
      <c r="H730" s="164"/>
      <c r="I730" s="164"/>
      <c r="J730" s="164"/>
    </row>
    <row r="731" ht="22.5" customHeight="1">
      <c r="A731" s="164"/>
      <c r="B731" s="164"/>
      <c r="C731" s="164"/>
      <c r="D731" s="164"/>
      <c r="E731" s="164"/>
      <c r="F731" s="164"/>
      <c r="G731" s="164"/>
      <c r="H731" s="164"/>
      <c r="I731" s="164"/>
      <c r="J731" s="164"/>
    </row>
    <row r="732" ht="22.5" customHeight="1">
      <c r="A732" s="164"/>
      <c r="B732" s="164"/>
      <c r="C732" s="164"/>
      <c r="D732" s="164"/>
      <c r="E732" s="164"/>
      <c r="F732" s="164"/>
      <c r="G732" s="164"/>
      <c r="H732" s="164"/>
      <c r="I732" s="164"/>
      <c r="J732" s="164"/>
    </row>
    <row r="733" ht="22.5" customHeight="1">
      <c r="A733" s="164"/>
      <c r="B733" s="164"/>
      <c r="C733" s="164"/>
      <c r="D733" s="164"/>
      <c r="E733" s="164"/>
      <c r="F733" s="164"/>
      <c r="G733" s="164"/>
      <c r="H733" s="164"/>
      <c r="I733" s="164"/>
      <c r="J733" s="164"/>
    </row>
    <row r="734" ht="22.5" customHeight="1">
      <c r="A734" s="164"/>
      <c r="B734" s="164"/>
      <c r="C734" s="164"/>
      <c r="D734" s="164"/>
      <c r="E734" s="164"/>
      <c r="F734" s="164"/>
      <c r="G734" s="164"/>
      <c r="H734" s="164"/>
      <c r="I734" s="164"/>
      <c r="J734" s="164"/>
    </row>
    <row r="735" ht="22.5" customHeight="1">
      <c r="A735" s="164"/>
      <c r="B735" s="164"/>
      <c r="C735" s="164"/>
      <c r="D735" s="164"/>
      <c r="E735" s="164"/>
      <c r="F735" s="164"/>
      <c r="G735" s="164"/>
      <c r="H735" s="164"/>
      <c r="I735" s="164"/>
      <c r="J735" s="164"/>
    </row>
    <row r="736" ht="22.5" customHeight="1">
      <c r="A736" s="164"/>
      <c r="B736" s="164"/>
      <c r="C736" s="164"/>
      <c r="D736" s="164"/>
      <c r="E736" s="164"/>
      <c r="F736" s="164"/>
      <c r="G736" s="164"/>
      <c r="H736" s="164"/>
      <c r="I736" s="164"/>
      <c r="J736" s="164"/>
    </row>
    <row r="737" ht="22.5" customHeight="1">
      <c r="A737" s="164"/>
      <c r="B737" s="164"/>
      <c r="C737" s="164"/>
      <c r="D737" s="164"/>
      <c r="E737" s="164"/>
      <c r="F737" s="164"/>
      <c r="G737" s="164"/>
      <c r="H737" s="164"/>
      <c r="I737" s="164"/>
      <c r="J737" s="164"/>
    </row>
    <row r="738" ht="22.5" customHeight="1">
      <c r="A738" s="164"/>
      <c r="B738" s="164"/>
      <c r="C738" s="164"/>
      <c r="D738" s="164"/>
      <c r="E738" s="164"/>
      <c r="F738" s="164"/>
      <c r="G738" s="164"/>
      <c r="H738" s="164"/>
      <c r="I738" s="164"/>
      <c r="J738" s="164"/>
    </row>
    <row r="739" ht="22.5" customHeight="1">
      <c r="A739" s="164"/>
      <c r="B739" s="164"/>
      <c r="C739" s="164"/>
      <c r="D739" s="164"/>
      <c r="E739" s="164"/>
      <c r="F739" s="164"/>
      <c r="G739" s="164"/>
      <c r="H739" s="164"/>
      <c r="I739" s="164"/>
      <c r="J739" s="164"/>
    </row>
    <row r="740" ht="22.5" customHeight="1">
      <c r="A740" s="164"/>
      <c r="B740" s="164"/>
      <c r="C740" s="164"/>
      <c r="D740" s="164"/>
      <c r="E740" s="164"/>
      <c r="F740" s="164"/>
      <c r="G740" s="164"/>
      <c r="H740" s="164"/>
      <c r="I740" s="164"/>
      <c r="J740" s="164"/>
    </row>
    <row r="741" ht="22.5" customHeight="1">
      <c r="A741" s="164"/>
      <c r="B741" s="164"/>
      <c r="C741" s="164"/>
      <c r="D741" s="164"/>
      <c r="E741" s="164"/>
      <c r="F741" s="164"/>
      <c r="G741" s="164"/>
      <c r="H741" s="164"/>
      <c r="I741" s="164"/>
      <c r="J741" s="164"/>
    </row>
    <row r="742" ht="22.5" customHeight="1">
      <c r="A742" s="164"/>
      <c r="B742" s="164"/>
      <c r="C742" s="164"/>
      <c r="D742" s="164"/>
      <c r="E742" s="164"/>
      <c r="F742" s="164"/>
      <c r="G742" s="164"/>
      <c r="H742" s="164"/>
      <c r="I742" s="164"/>
      <c r="J742" s="164"/>
    </row>
    <row r="743" ht="22.5" customHeight="1">
      <c r="A743" s="164"/>
      <c r="B743" s="164"/>
      <c r="C743" s="164"/>
      <c r="D743" s="164"/>
      <c r="E743" s="164"/>
      <c r="F743" s="164"/>
      <c r="G743" s="164"/>
      <c r="H743" s="164"/>
      <c r="I743" s="164"/>
      <c r="J743" s="164"/>
    </row>
    <row r="744" ht="22.5" customHeight="1">
      <c r="A744" s="164"/>
      <c r="B744" s="164"/>
      <c r="C744" s="164"/>
      <c r="D744" s="164"/>
      <c r="E744" s="164"/>
      <c r="F744" s="164"/>
      <c r="G744" s="164"/>
      <c r="H744" s="164"/>
      <c r="I744" s="164"/>
      <c r="J744" s="164"/>
    </row>
    <row r="745" ht="22.5" customHeight="1">
      <c r="A745" s="164"/>
      <c r="B745" s="164"/>
      <c r="C745" s="164"/>
      <c r="D745" s="164"/>
      <c r="E745" s="164"/>
      <c r="F745" s="164"/>
      <c r="G745" s="164"/>
      <c r="H745" s="164"/>
      <c r="I745" s="164"/>
      <c r="J745" s="164"/>
    </row>
    <row r="746" ht="22.5" customHeight="1">
      <c r="A746" s="164"/>
      <c r="B746" s="164"/>
      <c r="C746" s="164"/>
      <c r="D746" s="164"/>
      <c r="E746" s="164"/>
      <c r="F746" s="164"/>
      <c r="G746" s="164"/>
      <c r="H746" s="164"/>
      <c r="I746" s="164"/>
      <c r="J746" s="164"/>
    </row>
    <row r="747" ht="22.5" customHeight="1">
      <c r="A747" s="164"/>
      <c r="B747" s="164"/>
      <c r="C747" s="164"/>
      <c r="D747" s="164"/>
      <c r="E747" s="164"/>
      <c r="F747" s="164"/>
      <c r="G747" s="164"/>
      <c r="H747" s="164"/>
      <c r="I747" s="164"/>
      <c r="J747" s="164"/>
    </row>
    <row r="748" ht="22.5" customHeight="1">
      <c r="A748" s="164"/>
      <c r="B748" s="164"/>
      <c r="C748" s="164"/>
      <c r="D748" s="164"/>
      <c r="E748" s="164"/>
      <c r="F748" s="164"/>
      <c r="G748" s="164"/>
      <c r="H748" s="164"/>
      <c r="I748" s="164"/>
      <c r="J748" s="164"/>
    </row>
    <row r="749" ht="22.5" customHeight="1">
      <c r="A749" s="164"/>
      <c r="B749" s="164"/>
      <c r="C749" s="164"/>
      <c r="D749" s="164"/>
      <c r="E749" s="164"/>
      <c r="F749" s="164"/>
      <c r="G749" s="164"/>
      <c r="H749" s="164"/>
      <c r="I749" s="164"/>
      <c r="J749" s="164"/>
    </row>
    <row r="750" ht="22.5" customHeight="1">
      <c r="A750" s="164"/>
      <c r="B750" s="164"/>
      <c r="C750" s="164"/>
      <c r="D750" s="164"/>
      <c r="E750" s="164"/>
      <c r="F750" s="164"/>
      <c r="G750" s="164"/>
      <c r="H750" s="164"/>
      <c r="I750" s="164"/>
      <c r="J750" s="164"/>
    </row>
    <row r="751" ht="22.5" customHeight="1">
      <c r="A751" s="164"/>
      <c r="B751" s="164"/>
      <c r="C751" s="164"/>
      <c r="D751" s="164"/>
      <c r="E751" s="164"/>
      <c r="F751" s="164"/>
      <c r="G751" s="164"/>
      <c r="H751" s="164"/>
      <c r="I751" s="164"/>
      <c r="J751" s="164"/>
    </row>
    <row r="752" ht="22.5" customHeight="1">
      <c r="A752" s="164"/>
      <c r="B752" s="164"/>
      <c r="C752" s="164"/>
      <c r="D752" s="164"/>
      <c r="E752" s="164"/>
      <c r="F752" s="164"/>
      <c r="G752" s="164"/>
      <c r="H752" s="164"/>
      <c r="I752" s="164"/>
      <c r="J752" s="164"/>
    </row>
    <row r="753" ht="22.5" customHeight="1">
      <c r="A753" s="164"/>
      <c r="B753" s="164"/>
      <c r="C753" s="164"/>
      <c r="D753" s="164"/>
      <c r="E753" s="164"/>
      <c r="F753" s="164"/>
      <c r="G753" s="164"/>
      <c r="H753" s="164"/>
      <c r="I753" s="164"/>
      <c r="J753" s="164"/>
    </row>
    <row r="754" ht="22.5" customHeight="1">
      <c r="A754" s="164"/>
      <c r="B754" s="164"/>
      <c r="C754" s="164"/>
      <c r="D754" s="164"/>
      <c r="E754" s="164"/>
      <c r="F754" s="164"/>
      <c r="G754" s="164"/>
      <c r="H754" s="164"/>
      <c r="I754" s="164"/>
      <c r="J754" s="164"/>
    </row>
    <row r="755" ht="22.5" customHeight="1">
      <c r="A755" s="164"/>
      <c r="B755" s="164"/>
      <c r="C755" s="164"/>
      <c r="D755" s="164"/>
      <c r="E755" s="164"/>
      <c r="F755" s="164"/>
      <c r="G755" s="164"/>
      <c r="H755" s="164"/>
      <c r="I755" s="164"/>
      <c r="J755" s="164"/>
    </row>
    <row r="756" ht="22.5" customHeight="1">
      <c r="A756" s="164"/>
      <c r="B756" s="164"/>
      <c r="C756" s="164"/>
      <c r="D756" s="164"/>
      <c r="E756" s="164"/>
      <c r="F756" s="164"/>
      <c r="G756" s="164"/>
      <c r="H756" s="164"/>
      <c r="I756" s="164"/>
      <c r="J756" s="164"/>
    </row>
    <row r="757" ht="22.5" customHeight="1">
      <c r="A757" s="164"/>
      <c r="B757" s="164"/>
      <c r="C757" s="164"/>
      <c r="D757" s="164"/>
      <c r="E757" s="164"/>
      <c r="F757" s="164"/>
      <c r="G757" s="164"/>
      <c r="H757" s="164"/>
      <c r="I757" s="164"/>
      <c r="J757" s="164"/>
    </row>
    <row r="758" ht="22.5" customHeight="1">
      <c r="A758" s="164"/>
      <c r="B758" s="164"/>
      <c r="C758" s="164"/>
      <c r="D758" s="164"/>
      <c r="E758" s="164"/>
      <c r="F758" s="164"/>
      <c r="G758" s="164"/>
      <c r="H758" s="164"/>
      <c r="I758" s="164"/>
      <c r="J758" s="164"/>
    </row>
    <row r="759" ht="22.5" customHeight="1">
      <c r="A759" s="164"/>
      <c r="B759" s="164"/>
      <c r="C759" s="164"/>
      <c r="D759" s="164"/>
      <c r="E759" s="164"/>
      <c r="F759" s="164"/>
      <c r="G759" s="164"/>
      <c r="H759" s="164"/>
      <c r="I759" s="164"/>
      <c r="J759" s="164"/>
    </row>
    <row r="760" ht="22.5" customHeight="1">
      <c r="A760" s="164"/>
      <c r="B760" s="164"/>
      <c r="C760" s="164"/>
      <c r="D760" s="164"/>
      <c r="E760" s="164"/>
      <c r="F760" s="164"/>
      <c r="G760" s="164"/>
      <c r="H760" s="164"/>
      <c r="I760" s="164"/>
      <c r="J760" s="164"/>
    </row>
    <row r="761" ht="22.5" customHeight="1">
      <c r="A761" s="164"/>
      <c r="B761" s="164"/>
      <c r="C761" s="164"/>
      <c r="D761" s="164"/>
      <c r="E761" s="164"/>
      <c r="F761" s="164"/>
      <c r="G761" s="164"/>
      <c r="H761" s="164"/>
      <c r="I761" s="164"/>
      <c r="J761" s="164"/>
    </row>
    <row r="762" ht="22.5" customHeight="1">
      <c r="A762" s="164"/>
      <c r="B762" s="164"/>
      <c r="C762" s="164"/>
      <c r="D762" s="164"/>
      <c r="E762" s="164"/>
      <c r="F762" s="164"/>
      <c r="G762" s="164"/>
      <c r="H762" s="164"/>
      <c r="I762" s="164"/>
      <c r="J762" s="164"/>
    </row>
    <row r="763" ht="22.5" customHeight="1">
      <c r="A763" s="164"/>
      <c r="B763" s="164"/>
      <c r="C763" s="164"/>
      <c r="D763" s="164"/>
      <c r="E763" s="164"/>
      <c r="F763" s="164"/>
      <c r="G763" s="164"/>
      <c r="H763" s="164"/>
      <c r="I763" s="164"/>
      <c r="J763" s="164"/>
    </row>
    <row r="764" ht="22.5" customHeight="1">
      <c r="A764" s="164"/>
      <c r="B764" s="164"/>
      <c r="C764" s="164"/>
      <c r="D764" s="164"/>
      <c r="E764" s="164"/>
      <c r="F764" s="164"/>
      <c r="G764" s="164"/>
      <c r="H764" s="164"/>
      <c r="I764" s="164"/>
      <c r="J764" s="164"/>
    </row>
    <row r="765" ht="22.5" customHeight="1">
      <c r="A765" s="164"/>
      <c r="B765" s="164"/>
      <c r="C765" s="164"/>
      <c r="D765" s="164"/>
      <c r="E765" s="164"/>
      <c r="F765" s="164"/>
      <c r="G765" s="164"/>
      <c r="H765" s="164"/>
      <c r="I765" s="164"/>
      <c r="J765" s="164"/>
    </row>
    <row r="766" ht="22.5" customHeight="1">
      <c r="A766" s="164"/>
      <c r="B766" s="164"/>
      <c r="C766" s="164"/>
      <c r="D766" s="164"/>
      <c r="E766" s="164"/>
      <c r="F766" s="164"/>
      <c r="G766" s="164"/>
      <c r="H766" s="164"/>
      <c r="I766" s="164"/>
      <c r="J766" s="164"/>
    </row>
    <row r="767" ht="22.5" customHeight="1">
      <c r="A767" s="164"/>
      <c r="B767" s="164"/>
      <c r="C767" s="164"/>
      <c r="D767" s="164"/>
      <c r="E767" s="164"/>
      <c r="F767" s="164"/>
      <c r="G767" s="164"/>
      <c r="H767" s="164"/>
      <c r="I767" s="164"/>
      <c r="J767" s="164"/>
    </row>
    <row r="768" ht="22.5" customHeight="1">
      <c r="A768" s="164"/>
      <c r="B768" s="164"/>
      <c r="C768" s="164"/>
      <c r="D768" s="164"/>
      <c r="E768" s="164"/>
      <c r="F768" s="164"/>
      <c r="G768" s="164"/>
      <c r="H768" s="164"/>
      <c r="I768" s="164"/>
      <c r="J768" s="164"/>
    </row>
    <row r="769" ht="22.5" customHeight="1">
      <c r="A769" s="164"/>
      <c r="B769" s="164"/>
      <c r="C769" s="164"/>
      <c r="D769" s="164"/>
      <c r="E769" s="164"/>
      <c r="F769" s="164"/>
      <c r="G769" s="164"/>
      <c r="H769" s="164"/>
      <c r="I769" s="164"/>
      <c r="J769" s="164"/>
    </row>
    <row r="770" ht="22.5" customHeight="1">
      <c r="A770" s="164"/>
      <c r="B770" s="164"/>
      <c r="C770" s="164"/>
      <c r="D770" s="164"/>
      <c r="E770" s="164"/>
      <c r="F770" s="164"/>
      <c r="G770" s="164"/>
      <c r="H770" s="164"/>
      <c r="I770" s="164"/>
      <c r="J770" s="164"/>
    </row>
    <row r="771" ht="22.5" customHeight="1">
      <c r="A771" s="164"/>
      <c r="B771" s="164"/>
      <c r="C771" s="164"/>
      <c r="D771" s="164"/>
      <c r="E771" s="164"/>
      <c r="F771" s="164"/>
      <c r="G771" s="164"/>
      <c r="H771" s="164"/>
      <c r="I771" s="164"/>
      <c r="J771" s="164"/>
    </row>
    <row r="772" ht="22.5" customHeight="1">
      <c r="A772" s="164"/>
      <c r="B772" s="164"/>
      <c r="C772" s="164"/>
      <c r="D772" s="164"/>
      <c r="E772" s="164"/>
      <c r="F772" s="164"/>
      <c r="G772" s="164"/>
      <c r="H772" s="164"/>
      <c r="I772" s="164"/>
      <c r="J772" s="164"/>
    </row>
    <row r="773" ht="22.5" customHeight="1">
      <c r="A773" s="164"/>
      <c r="B773" s="164"/>
      <c r="C773" s="164"/>
      <c r="D773" s="164"/>
      <c r="E773" s="164"/>
      <c r="F773" s="164"/>
      <c r="G773" s="164"/>
      <c r="H773" s="164"/>
      <c r="I773" s="164"/>
      <c r="J773" s="164"/>
    </row>
    <row r="774" ht="22.5" customHeight="1">
      <c r="A774" s="164"/>
      <c r="B774" s="164"/>
      <c r="C774" s="164"/>
      <c r="D774" s="164"/>
      <c r="E774" s="164"/>
      <c r="F774" s="164"/>
      <c r="G774" s="164"/>
      <c r="H774" s="164"/>
      <c r="I774" s="164"/>
      <c r="J774" s="164"/>
    </row>
    <row r="775" ht="22.5" customHeight="1">
      <c r="A775" s="164"/>
      <c r="B775" s="164"/>
      <c r="C775" s="164"/>
      <c r="D775" s="164"/>
      <c r="E775" s="164"/>
      <c r="F775" s="164"/>
      <c r="G775" s="164"/>
      <c r="H775" s="164"/>
      <c r="I775" s="164"/>
      <c r="J775" s="164"/>
    </row>
    <row r="776" ht="22.5" customHeight="1">
      <c r="A776" s="164"/>
      <c r="B776" s="164"/>
      <c r="C776" s="164"/>
      <c r="D776" s="164"/>
      <c r="E776" s="164"/>
      <c r="F776" s="164"/>
      <c r="G776" s="164"/>
      <c r="H776" s="164"/>
      <c r="I776" s="164"/>
      <c r="J776" s="164"/>
    </row>
    <row r="777" ht="22.5" customHeight="1">
      <c r="A777" s="164"/>
      <c r="B777" s="164"/>
      <c r="C777" s="164"/>
      <c r="D777" s="164"/>
      <c r="E777" s="164"/>
      <c r="F777" s="164"/>
      <c r="G777" s="164"/>
      <c r="H777" s="164"/>
      <c r="I777" s="164"/>
      <c r="J777" s="164"/>
    </row>
    <row r="778" ht="22.5" customHeight="1">
      <c r="A778" s="164"/>
      <c r="B778" s="164"/>
      <c r="C778" s="164"/>
      <c r="D778" s="164"/>
      <c r="E778" s="164"/>
      <c r="F778" s="164"/>
      <c r="G778" s="164"/>
      <c r="H778" s="164"/>
      <c r="I778" s="164"/>
      <c r="J778" s="164"/>
    </row>
    <row r="779" ht="22.5" customHeight="1">
      <c r="A779" s="164"/>
      <c r="B779" s="164"/>
      <c r="C779" s="164"/>
      <c r="D779" s="164"/>
      <c r="E779" s="164"/>
      <c r="F779" s="164"/>
      <c r="G779" s="164"/>
      <c r="H779" s="164"/>
      <c r="I779" s="164"/>
      <c r="J779" s="164"/>
    </row>
    <row r="780" ht="22.5" customHeight="1">
      <c r="A780" s="164"/>
      <c r="B780" s="164"/>
      <c r="C780" s="164"/>
      <c r="D780" s="164"/>
      <c r="E780" s="164"/>
      <c r="F780" s="164"/>
      <c r="G780" s="164"/>
      <c r="H780" s="164"/>
      <c r="I780" s="164"/>
      <c r="J780" s="164"/>
    </row>
    <row r="781" ht="22.5" customHeight="1">
      <c r="A781" s="164"/>
      <c r="B781" s="164"/>
      <c r="C781" s="164"/>
      <c r="D781" s="164"/>
      <c r="E781" s="164"/>
      <c r="F781" s="164"/>
      <c r="G781" s="164"/>
      <c r="H781" s="164"/>
      <c r="I781" s="164"/>
      <c r="J781" s="164"/>
    </row>
    <row r="782" ht="22.5" customHeight="1">
      <c r="A782" s="164"/>
      <c r="B782" s="164"/>
      <c r="C782" s="164"/>
      <c r="D782" s="164"/>
      <c r="E782" s="164"/>
      <c r="F782" s="164"/>
      <c r="G782" s="164"/>
      <c r="H782" s="164"/>
      <c r="I782" s="164"/>
      <c r="J782" s="164"/>
    </row>
    <row r="783" ht="22.5" customHeight="1">
      <c r="A783" s="164"/>
      <c r="B783" s="164"/>
      <c r="C783" s="164"/>
      <c r="D783" s="164"/>
      <c r="E783" s="164"/>
      <c r="F783" s="164"/>
      <c r="G783" s="164"/>
      <c r="H783" s="164"/>
      <c r="I783" s="164"/>
      <c r="J783" s="164"/>
    </row>
    <row r="784" ht="22.5" customHeight="1">
      <c r="A784" s="164"/>
      <c r="B784" s="164"/>
      <c r="C784" s="164"/>
      <c r="D784" s="164"/>
      <c r="E784" s="164"/>
      <c r="F784" s="164"/>
      <c r="G784" s="164"/>
      <c r="H784" s="164"/>
      <c r="I784" s="164"/>
      <c r="J784" s="164"/>
    </row>
    <row r="785" ht="22.5" customHeight="1">
      <c r="A785" s="164"/>
      <c r="B785" s="164"/>
      <c r="C785" s="164"/>
      <c r="D785" s="164"/>
      <c r="E785" s="164"/>
      <c r="F785" s="164"/>
      <c r="G785" s="164"/>
      <c r="H785" s="164"/>
      <c r="I785" s="164"/>
      <c r="J785" s="164"/>
    </row>
    <row r="786" ht="22.5" customHeight="1">
      <c r="A786" s="164"/>
      <c r="B786" s="164"/>
      <c r="C786" s="164"/>
      <c r="D786" s="164"/>
      <c r="E786" s="164"/>
      <c r="F786" s="164"/>
      <c r="G786" s="164"/>
      <c r="H786" s="164"/>
      <c r="I786" s="164"/>
      <c r="J786" s="164"/>
    </row>
    <row r="787" ht="22.5" customHeight="1">
      <c r="A787" s="164"/>
      <c r="B787" s="164"/>
      <c r="C787" s="164"/>
      <c r="D787" s="164"/>
      <c r="E787" s="164"/>
      <c r="F787" s="164"/>
      <c r="G787" s="164"/>
      <c r="H787" s="164"/>
      <c r="I787" s="164"/>
      <c r="J787" s="164"/>
    </row>
    <row r="788" ht="22.5" customHeight="1">
      <c r="A788" s="164"/>
      <c r="B788" s="164"/>
      <c r="C788" s="164"/>
      <c r="D788" s="164"/>
      <c r="E788" s="164"/>
      <c r="F788" s="164"/>
      <c r="G788" s="164"/>
      <c r="H788" s="164"/>
      <c r="I788" s="164"/>
      <c r="J788" s="164"/>
    </row>
    <row r="789" ht="22.5" customHeight="1">
      <c r="A789" s="164"/>
      <c r="B789" s="164"/>
      <c r="C789" s="164"/>
      <c r="D789" s="164"/>
      <c r="E789" s="164"/>
      <c r="F789" s="164"/>
      <c r="G789" s="164"/>
      <c r="H789" s="164"/>
      <c r="I789" s="164"/>
      <c r="J789" s="164"/>
    </row>
    <row r="790" ht="22.5" customHeight="1">
      <c r="A790" s="164"/>
      <c r="B790" s="164"/>
      <c r="C790" s="164"/>
      <c r="D790" s="164"/>
      <c r="E790" s="164"/>
      <c r="F790" s="164"/>
      <c r="G790" s="164"/>
      <c r="H790" s="164"/>
      <c r="I790" s="164"/>
      <c r="J790" s="164"/>
    </row>
    <row r="791" ht="22.5" customHeight="1">
      <c r="A791" s="164"/>
      <c r="B791" s="164"/>
      <c r="C791" s="164"/>
      <c r="D791" s="164"/>
      <c r="E791" s="164"/>
      <c r="F791" s="164"/>
      <c r="G791" s="164"/>
      <c r="H791" s="164"/>
      <c r="I791" s="164"/>
      <c r="J791" s="164"/>
    </row>
    <row r="792" ht="22.5" customHeight="1">
      <c r="A792" s="164"/>
      <c r="B792" s="164"/>
      <c r="C792" s="164"/>
      <c r="D792" s="164"/>
      <c r="E792" s="164"/>
      <c r="F792" s="164"/>
      <c r="G792" s="164"/>
      <c r="H792" s="164"/>
      <c r="I792" s="164"/>
      <c r="J792" s="164"/>
    </row>
    <row r="793" ht="22.5" customHeight="1">
      <c r="A793" s="164"/>
      <c r="B793" s="164"/>
      <c r="C793" s="164"/>
      <c r="D793" s="164"/>
      <c r="E793" s="164"/>
      <c r="F793" s="164"/>
      <c r="G793" s="164"/>
      <c r="H793" s="164"/>
      <c r="I793" s="164"/>
      <c r="J793" s="164"/>
    </row>
    <row r="794" ht="22.5" customHeight="1">
      <c r="A794" s="164"/>
      <c r="B794" s="164"/>
      <c r="C794" s="164"/>
      <c r="D794" s="164"/>
      <c r="E794" s="164"/>
      <c r="F794" s="164"/>
      <c r="G794" s="164"/>
      <c r="H794" s="164"/>
      <c r="I794" s="164"/>
      <c r="J794" s="164"/>
    </row>
    <row r="795" ht="22.5" customHeight="1">
      <c r="A795" s="164"/>
      <c r="B795" s="164"/>
      <c r="C795" s="164"/>
      <c r="D795" s="164"/>
      <c r="E795" s="164"/>
      <c r="F795" s="164"/>
      <c r="G795" s="164"/>
      <c r="H795" s="164"/>
      <c r="I795" s="164"/>
      <c r="J795" s="164"/>
    </row>
    <row r="796" ht="22.5" customHeight="1">
      <c r="A796" s="164"/>
      <c r="B796" s="164"/>
      <c r="C796" s="164"/>
      <c r="D796" s="164"/>
      <c r="E796" s="164"/>
      <c r="F796" s="164"/>
      <c r="G796" s="164"/>
      <c r="H796" s="164"/>
      <c r="I796" s="164"/>
      <c r="J796" s="164"/>
    </row>
    <row r="797" ht="22.5" customHeight="1">
      <c r="A797" s="164"/>
      <c r="B797" s="164"/>
      <c r="C797" s="164"/>
      <c r="D797" s="164"/>
      <c r="E797" s="164"/>
      <c r="F797" s="164"/>
      <c r="G797" s="164"/>
      <c r="H797" s="164"/>
      <c r="I797" s="164"/>
      <c r="J797" s="164"/>
    </row>
    <row r="798" ht="22.5" customHeight="1">
      <c r="A798" s="164"/>
      <c r="B798" s="164"/>
      <c r="C798" s="164"/>
      <c r="D798" s="164"/>
      <c r="E798" s="164"/>
      <c r="F798" s="164"/>
      <c r="G798" s="164"/>
      <c r="H798" s="164"/>
      <c r="I798" s="164"/>
      <c r="J798" s="164"/>
    </row>
    <row r="799" ht="22.5" customHeight="1">
      <c r="A799" s="164"/>
      <c r="B799" s="164"/>
      <c r="C799" s="164"/>
      <c r="D799" s="164"/>
      <c r="E799" s="164"/>
      <c r="F799" s="164"/>
      <c r="G799" s="164"/>
      <c r="H799" s="164"/>
      <c r="I799" s="164"/>
      <c r="J799" s="164"/>
    </row>
    <row r="800" ht="22.5" customHeight="1">
      <c r="A800" s="164"/>
      <c r="B800" s="164"/>
      <c r="C800" s="164"/>
      <c r="D800" s="164"/>
      <c r="E800" s="164"/>
      <c r="F800" s="164"/>
      <c r="G800" s="164"/>
      <c r="H800" s="164"/>
      <c r="I800" s="164"/>
      <c r="J800" s="164"/>
    </row>
    <row r="801" ht="22.5" customHeight="1">
      <c r="A801" s="164"/>
      <c r="B801" s="164"/>
      <c r="C801" s="164"/>
      <c r="D801" s="164"/>
      <c r="E801" s="164"/>
      <c r="F801" s="164"/>
      <c r="G801" s="164"/>
      <c r="H801" s="164"/>
      <c r="I801" s="164"/>
      <c r="J801" s="164"/>
    </row>
    <row r="802" ht="22.5" customHeight="1">
      <c r="A802" s="164"/>
      <c r="B802" s="164"/>
      <c r="C802" s="164"/>
      <c r="D802" s="164"/>
      <c r="E802" s="164"/>
      <c r="F802" s="164"/>
      <c r="G802" s="164"/>
      <c r="H802" s="164"/>
      <c r="I802" s="164"/>
      <c r="J802" s="164"/>
    </row>
    <row r="803" ht="22.5" customHeight="1">
      <c r="A803" s="164"/>
      <c r="B803" s="164"/>
      <c r="C803" s="164"/>
      <c r="D803" s="164"/>
      <c r="E803" s="164"/>
      <c r="F803" s="164"/>
      <c r="G803" s="164"/>
      <c r="H803" s="164"/>
      <c r="I803" s="164"/>
      <c r="J803" s="164"/>
    </row>
    <row r="804" ht="22.5" customHeight="1">
      <c r="A804" s="164"/>
      <c r="B804" s="164"/>
      <c r="C804" s="164"/>
      <c r="D804" s="164"/>
      <c r="E804" s="164"/>
      <c r="F804" s="164"/>
      <c r="G804" s="164"/>
      <c r="H804" s="164"/>
      <c r="I804" s="164"/>
      <c r="J804" s="164"/>
    </row>
    <row r="805" ht="22.5" customHeight="1">
      <c r="A805" s="164"/>
      <c r="B805" s="164"/>
      <c r="C805" s="164"/>
      <c r="D805" s="164"/>
      <c r="E805" s="164"/>
      <c r="F805" s="164"/>
      <c r="G805" s="164"/>
      <c r="H805" s="164"/>
      <c r="I805" s="164"/>
      <c r="J805" s="164"/>
    </row>
    <row r="806" ht="22.5" customHeight="1">
      <c r="A806" s="164"/>
      <c r="B806" s="164"/>
      <c r="C806" s="164"/>
      <c r="D806" s="164"/>
      <c r="E806" s="164"/>
      <c r="F806" s="164"/>
      <c r="G806" s="164"/>
      <c r="H806" s="164"/>
      <c r="I806" s="164"/>
      <c r="J806" s="164"/>
    </row>
    <row r="807" ht="22.5" customHeight="1">
      <c r="A807" s="164"/>
      <c r="B807" s="164"/>
      <c r="C807" s="164"/>
      <c r="D807" s="164"/>
      <c r="E807" s="164"/>
      <c r="F807" s="164"/>
      <c r="G807" s="164"/>
      <c r="H807" s="164"/>
      <c r="I807" s="164"/>
      <c r="J807" s="164"/>
    </row>
    <row r="808" ht="22.5" customHeight="1">
      <c r="A808" s="164"/>
      <c r="B808" s="164"/>
      <c r="C808" s="164"/>
      <c r="D808" s="164"/>
      <c r="E808" s="164"/>
      <c r="F808" s="164"/>
      <c r="G808" s="164"/>
      <c r="H808" s="164"/>
      <c r="I808" s="164"/>
      <c r="J808" s="164"/>
    </row>
    <row r="809" ht="22.5" customHeight="1">
      <c r="A809" s="164"/>
      <c r="B809" s="164"/>
      <c r="C809" s="164"/>
      <c r="D809" s="164"/>
      <c r="E809" s="164"/>
      <c r="F809" s="164"/>
      <c r="G809" s="164"/>
      <c r="H809" s="164"/>
      <c r="I809" s="164"/>
      <c r="J809" s="164"/>
    </row>
    <row r="810" ht="22.5" customHeight="1">
      <c r="A810" s="164"/>
      <c r="B810" s="164"/>
      <c r="C810" s="164"/>
      <c r="D810" s="164"/>
      <c r="E810" s="164"/>
      <c r="F810" s="164"/>
      <c r="G810" s="164"/>
      <c r="H810" s="164"/>
      <c r="I810" s="164"/>
      <c r="J810" s="164"/>
    </row>
    <row r="811" ht="22.5" customHeight="1">
      <c r="A811" s="164"/>
      <c r="B811" s="164"/>
      <c r="C811" s="164"/>
      <c r="D811" s="164"/>
      <c r="E811" s="164"/>
      <c r="F811" s="164"/>
      <c r="G811" s="164"/>
      <c r="H811" s="164"/>
      <c r="I811" s="164"/>
      <c r="J811" s="164"/>
    </row>
    <row r="812" ht="22.5" customHeight="1">
      <c r="A812" s="164"/>
      <c r="B812" s="164"/>
      <c r="C812" s="164"/>
      <c r="D812" s="164"/>
      <c r="E812" s="164"/>
      <c r="F812" s="164"/>
      <c r="G812" s="164"/>
      <c r="H812" s="164"/>
      <c r="I812" s="164"/>
      <c r="J812" s="164"/>
    </row>
    <row r="813" ht="22.5" customHeight="1">
      <c r="A813" s="164"/>
      <c r="B813" s="164"/>
      <c r="C813" s="164"/>
      <c r="D813" s="164"/>
      <c r="E813" s="164"/>
      <c r="F813" s="164"/>
      <c r="G813" s="164"/>
      <c r="H813" s="164"/>
      <c r="I813" s="164"/>
      <c r="J813" s="164"/>
    </row>
    <row r="814" ht="22.5" customHeight="1">
      <c r="A814" s="164"/>
      <c r="B814" s="164"/>
      <c r="C814" s="164"/>
      <c r="D814" s="164"/>
      <c r="E814" s="164"/>
      <c r="F814" s="164"/>
      <c r="G814" s="164"/>
      <c r="H814" s="164"/>
      <c r="I814" s="164"/>
      <c r="J814" s="164"/>
    </row>
    <row r="815" ht="22.5" customHeight="1">
      <c r="A815" s="164"/>
      <c r="B815" s="164"/>
      <c r="C815" s="164"/>
      <c r="D815" s="164"/>
      <c r="E815" s="164"/>
      <c r="F815" s="164"/>
      <c r="G815" s="164"/>
      <c r="H815" s="164"/>
      <c r="I815" s="164"/>
      <c r="J815" s="164"/>
    </row>
    <row r="816" ht="22.5" customHeight="1">
      <c r="A816" s="164"/>
      <c r="B816" s="164"/>
      <c r="C816" s="164"/>
      <c r="D816" s="164"/>
      <c r="E816" s="164"/>
      <c r="F816" s="164"/>
      <c r="G816" s="164"/>
      <c r="H816" s="164"/>
      <c r="I816" s="164"/>
      <c r="J816" s="164"/>
    </row>
    <row r="817" ht="22.5" customHeight="1">
      <c r="A817" s="164"/>
      <c r="B817" s="164"/>
      <c r="C817" s="164"/>
      <c r="D817" s="164"/>
      <c r="E817" s="164"/>
      <c r="F817" s="164"/>
      <c r="G817" s="164"/>
      <c r="H817" s="164"/>
      <c r="I817" s="164"/>
      <c r="J817" s="164"/>
    </row>
    <row r="818" ht="22.5" customHeight="1">
      <c r="A818" s="164"/>
      <c r="B818" s="164"/>
      <c r="C818" s="164"/>
      <c r="D818" s="164"/>
      <c r="E818" s="164"/>
      <c r="F818" s="164"/>
      <c r="G818" s="164"/>
      <c r="H818" s="164"/>
      <c r="I818" s="164"/>
      <c r="J818" s="164"/>
    </row>
    <row r="819" ht="22.5" customHeight="1">
      <c r="A819" s="164"/>
      <c r="B819" s="164"/>
      <c r="C819" s="164"/>
      <c r="D819" s="164"/>
      <c r="E819" s="164"/>
      <c r="F819" s="164"/>
      <c r="G819" s="164"/>
      <c r="H819" s="164"/>
      <c r="I819" s="164"/>
      <c r="J819" s="164"/>
    </row>
    <row r="820" ht="22.5" customHeight="1">
      <c r="A820" s="164"/>
      <c r="B820" s="164"/>
      <c r="C820" s="164"/>
      <c r="D820" s="164"/>
      <c r="E820" s="164"/>
      <c r="F820" s="164"/>
      <c r="G820" s="164"/>
      <c r="H820" s="164"/>
      <c r="I820" s="164"/>
      <c r="J820" s="164"/>
    </row>
    <row r="821" ht="22.5" customHeight="1">
      <c r="A821" s="164"/>
      <c r="B821" s="164"/>
      <c r="C821" s="164"/>
      <c r="D821" s="164"/>
      <c r="E821" s="164"/>
      <c r="F821" s="164"/>
      <c r="G821" s="164"/>
      <c r="H821" s="164"/>
      <c r="I821" s="164"/>
      <c r="J821" s="164"/>
    </row>
    <row r="822" ht="22.5" customHeight="1">
      <c r="A822" s="164"/>
      <c r="B822" s="164"/>
      <c r="C822" s="164"/>
      <c r="D822" s="164"/>
      <c r="E822" s="164"/>
      <c r="F822" s="164"/>
      <c r="G822" s="164"/>
      <c r="H822" s="164"/>
      <c r="I822" s="164"/>
      <c r="J822" s="164"/>
    </row>
    <row r="823" ht="22.5" customHeight="1">
      <c r="A823" s="164"/>
      <c r="B823" s="164"/>
      <c r="C823" s="164"/>
      <c r="D823" s="164"/>
      <c r="E823" s="164"/>
      <c r="F823" s="164"/>
      <c r="G823" s="164"/>
      <c r="H823" s="164"/>
      <c r="I823" s="164"/>
      <c r="J823" s="164"/>
    </row>
    <row r="824" ht="22.5" customHeight="1">
      <c r="A824" s="164"/>
      <c r="B824" s="164"/>
      <c r="C824" s="164"/>
      <c r="D824" s="164"/>
      <c r="E824" s="164"/>
      <c r="F824" s="164"/>
      <c r="G824" s="164"/>
      <c r="H824" s="164"/>
      <c r="I824" s="164"/>
      <c r="J824" s="164"/>
    </row>
    <row r="825" ht="22.5" customHeight="1">
      <c r="A825" s="164"/>
      <c r="B825" s="164"/>
      <c r="C825" s="164"/>
      <c r="D825" s="164"/>
      <c r="E825" s="164"/>
      <c r="F825" s="164"/>
      <c r="G825" s="164"/>
      <c r="H825" s="164"/>
      <c r="I825" s="164"/>
      <c r="J825" s="164"/>
    </row>
    <row r="826" ht="22.5" customHeight="1">
      <c r="A826" s="164"/>
      <c r="B826" s="164"/>
      <c r="C826" s="164"/>
      <c r="D826" s="164"/>
      <c r="E826" s="164"/>
      <c r="F826" s="164"/>
      <c r="G826" s="164"/>
      <c r="H826" s="164"/>
      <c r="I826" s="164"/>
      <c r="J826" s="164"/>
    </row>
    <row r="827" ht="22.5" customHeight="1">
      <c r="A827" s="164"/>
      <c r="B827" s="164"/>
      <c r="C827" s="164"/>
      <c r="D827" s="164"/>
      <c r="E827" s="164"/>
      <c r="F827" s="164"/>
      <c r="G827" s="164"/>
      <c r="H827" s="164"/>
      <c r="I827" s="164"/>
      <c r="J827" s="164"/>
    </row>
    <row r="828" ht="22.5" customHeight="1">
      <c r="A828" s="164"/>
      <c r="B828" s="164"/>
      <c r="C828" s="164"/>
      <c r="D828" s="164"/>
      <c r="E828" s="164"/>
      <c r="F828" s="164"/>
      <c r="G828" s="164"/>
      <c r="H828" s="164"/>
      <c r="I828" s="164"/>
      <c r="J828" s="164"/>
    </row>
    <row r="829" ht="22.5" customHeight="1">
      <c r="A829" s="164"/>
      <c r="B829" s="164"/>
      <c r="C829" s="164"/>
      <c r="D829" s="164"/>
      <c r="E829" s="164"/>
      <c r="F829" s="164"/>
      <c r="G829" s="164"/>
      <c r="H829" s="164"/>
      <c r="I829" s="164"/>
      <c r="J829" s="164"/>
    </row>
    <row r="830" ht="22.5" customHeight="1">
      <c r="A830" s="164"/>
      <c r="B830" s="164"/>
      <c r="C830" s="164"/>
      <c r="D830" s="164"/>
      <c r="E830" s="164"/>
      <c r="F830" s="164"/>
      <c r="G830" s="164"/>
      <c r="H830" s="164"/>
      <c r="I830" s="164"/>
      <c r="J830" s="164"/>
    </row>
    <row r="831" ht="22.5" customHeight="1">
      <c r="A831" s="164"/>
      <c r="B831" s="164"/>
      <c r="C831" s="164"/>
      <c r="D831" s="164"/>
      <c r="E831" s="164"/>
      <c r="F831" s="164"/>
      <c r="G831" s="164"/>
      <c r="H831" s="164"/>
      <c r="I831" s="164"/>
      <c r="J831" s="164"/>
    </row>
    <row r="832" ht="22.5" customHeight="1">
      <c r="A832" s="164"/>
      <c r="B832" s="164"/>
      <c r="C832" s="164"/>
      <c r="D832" s="164"/>
      <c r="E832" s="164"/>
      <c r="F832" s="164"/>
      <c r="G832" s="164"/>
      <c r="H832" s="164"/>
      <c r="I832" s="164"/>
      <c r="J832" s="164"/>
    </row>
    <row r="833" ht="22.5" customHeight="1">
      <c r="A833" s="164"/>
      <c r="B833" s="164"/>
      <c r="C833" s="164"/>
      <c r="D833" s="164"/>
      <c r="E833" s="164"/>
      <c r="F833" s="164"/>
      <c r="G833" s="164"/>
      <c r="H833" s="164"/>
      <c r="I833" s="164"/>
      <c r="J833" s="164"/>
    </row>
    <row r="834" ht="22.5" customHeight="1">
      <c r="A834" s="164"/>
      <c r="B834" s="164"/>
      <c r="C834" s="164"/>
      <c r="D834" s="164"/>
      <c r="E834" s="164"/>
      <c r="F834" s="164"/>
      <c r="G834" s="164"/>
      <c r="H834" s="164"/>
      <c r="I834" s="164"/>
      <c r="J834" s="164"/>
    </row>
    <row r="835" ht="22.5" customHeight="1">
      <c r="A835" s="164"/>
      <c r="B835" s="164"/>
      <c r="C835" s="164"/>
      <c r="D835" s="164"/>
      <c r="E835" s="164"/>
      <c r="F835" s="164"/>
      <c r="G835" s="164"/>
      <c r="H835" s="164"/>
      <c r="I835" s="164"/>
      <c r="J835" s="164"/>
    </row>
    <row r="836" ht="22.5" customHeight="1">
      <c r="A836" s="164"/>
      <c r="B836" s="164"/>
      <c r="C836" s="164"/>
      <c r="D836" s="164"/>
      <c r="E836" s="164"/>
      <c r="F836" s="164"/>
      <c r="G836" s="164"/>
      <c r="H836" s="164"/>
      <c r="I836" s="164"/>
      <c r="J836" s="164"/>
    </row>
    <row r="837" ht="22.5" customHeight="1">
      <c r="A837" s="164"/>
      <c r="B837" s="164"/>
      <c r="C837" s="164"/>
      <c r="D837" s="164"/>
      <c r="E837" s="164"/>
      <c r="F837" s="164"/>
      <c r="G837" s="164"/>
      <c r="H837" s="164"/>
      <c r="I837" s="164"/>
      <c r="J837" s="164"/>
    </row>
    <row r="838" ht="22.5" customHeight="1">
      <c r="A838" s="164"/>
      <c r="B838" s="164"/>
      <c r="C838" s="164"/>
      <c r="D838" s="164"/>
      <c r="E838" s="164"/>
      <c r="F838" s="164"/>
      <c r="G838" s="164"/>
      <c r="H838" s="164"/>
      <c r="I838" s="164"/>
      <c r="J838" s="164"/>
    </row>
    <row r="839" ht="22.5" customHeight="1">
      <c r="A839" s="164"/>
      <c r="B839" s="164"/>
      <c r="C839" s="164"/>
      <c r="D839" s="164"/>
      <c r="E839" s="164"/>
      <c r="F839" s="164"/>
      <c r="G839" s="164"/>
      <c r="H839" s="164"/>
      <c r="I839" s="164"/>
      <c r="J839" s="164"/>
    </row>
    <row r="840" ht="22.5" customHeight="1">
      <c r="A840" s="164"/>
      <c r="B840" s="164"/>
      <c r="C840" s="164"/>
      <c r="D840" s="164"/>
      <c r="E840" s="164"/>
      <c r="F840" s="164"/>
      <c r="G840" s="164"/>
      <c r="H840" s="164"/>
      <c r="I840" s="164"/>
      <c r="J840" s="164"/>
    </row>
    <row r="841" ht="22.5" customHeight="1">
      <c r="A841" s="164"/>
      <c r="B841" s="164"/>
      <c r="C841" s="164"/>
      <c r="D841" s="164"/>
      <c r="E841" s="164"/>
      <c r="F841" s="164"/>
      <c r="G841" s="164"/>
      <c r="H841" s="164"/>
      <c r="I841" s="164"/>
      <c r="J841" s="164"/>
    </row>
    <row r="842" ht="22.5" customHeight="1">
      <c r="A842" s="164"/>
      <c r="B842" s="164"/>
      <c r="C842" s="164"/>
      <c r="D842" s="164"/>
      <c r="E842" s="164"/>
      <c r="F842" s="164"/>
      <c r="G842" s="164"/>
      <c r="H842" s="164"/>
      <c r="I842" s="164"/>
      <c r="J842" s="164"/>
    </row>
    <row r="843" ht="22.5" customHeight="1">
      <c r="A843" s="164"/>
      <c r="B843" s="164"/>
      <c r="C843" s="164"/>
      <c r="D843" s="164"/>
      <c r="E843" s="164"/>
      <c r="F843" s="164"/>
      <c r="G843" s="164"/>
      <c r="H843" s="164"/>
      <c r="I843" s="164"/>
      <c r="J843" s="164"/>
    </row>
    <row r="844" ht="22.5" customHeight="1">
      <c r="A844" s="164"/>
      <c r="B844" s="164"/>
      <c r="C844" s="164"/>
      <c r="D844" s="164"/>
      <c r="E844" s="164"/>
      <c r="F844" s="164"/>
      <c r="G844" s="164"/>
      <c r="H844" s="164"/>
      <c r="I844" s="164"/>
      <c r="J844" s="164"/>
    </row>
    <row r="845" ht="22.5" customHeight="1">
      <c r="A845" s="164"/>
      <c r="B845" s="164"/>
      <c r="C845" s="164"/>
      <c r="D845" s="164"/>
      <c r="E845" s="164"/>
      <c r="F845" s="164"/>
      <c r="G845" s="164"/>
      <c r="H845" s="164"/>
      <c r="I845" s="164"/>
      <c r="J845" s="164"/>
    </row>
    <row r="846" ht="22.5" customHeight="1">
      <c r="A846" s="164"/>
      <c r="B846" s="164"/>
      <c r="C846" s="164"/>
      <c r="D846" s="164"/>
      <c r="E846" s="164"/>
      <c r="F846" s="164"/>
      <c r="G846" s="164"/>
      <c r="H846" s="164"/>
      <c r="I846" s="164"/>
      <c r="J846" s="164"/>
    </row>
    <row r="847" ht="22.5" customHeight="1">
      <c r="A847" s="164"/>
      <c r="B847" s="164"/>
      <c r="C847" s="164"/>
      <c r="D847" s="164"/>
      <c r="E847" s="164"/>
      <c r="F847" s="164"/>
      <c r="G847" s="164"/>
      <c r="H847" s="164"/>
      <c r="I847" s="164"/>
      <c r="J847" s="164"/>
    </row>
    <row r="848" ht="22.5" customHeight="1">
      <c r="A848" s="164"/>
      <c r="B848" s="164"/>
      <c r="C848" s="164"/>
      <c r="D848" s="164"/>
      <c r="E848" s="164"/>
      <c r="F848" s="164"/>
      <c r="G848" s="164"/>
      <c r="H848" s="164"/>
      <c r="I848" s="164"/>
      <c r="J848" s="164"/>
    </row>
    <row r="849" ht="22.5" customHeight="1">
      <c r="A849" s="164"/>
      <c r="B849" s="164"/>
      <c r="C849" s="164"/>
      <c r="D849" s="164"/>
      <c r="E849" s="164"/>
      <c r="F849" s="164"/>
      <c r="G849" s="164"/>
      <c r="H849" s="164"/>
      <c r="I849" s="164"/>
      <c r="J849" s="164"/>
    </row>
    <row r="850" ht="22.5" customHeight="1">
      <c r="A850" s="164"/>
      <c r="B850" s="164"/>
      <c r="C850" s="164"/>
      <c r="D850" s="164"/>
      <c r="E850" s="164"/>
      <c r="F850" s="164"/>
      <c r="G850" s="164"/>
      <c r="H850" s="164"/>
      <c r="I850" s="164"/>
      <c r="J850" s="164"/>
    </row>
    <row r="851" ht="22.5" customHeight="1">
      <c r="A851" s="164"/>
      <c r="B851" s="164"/>
      <c r="C851" s="164"/>
      <c r="D851" s="164"/>
      <c r="E851" s="164"/>
      <c r="F851" s="164"/>
      <c r="G851" s="164"/>
      <c r="H851" s="164"/>
      <c r="I851" s="164"/>
      <c r="J851" s="164"/>
    </row>
    <row r="852" ht="22.5" customHeight="1">
      <c r="A852" s="164"/>
      <c r="B852" s="164"/>
      <c r="C852" s="164"/>
      <c r="D852" s="164"/>
      <c r="E852" s="164"/>
      <c r="F852" s="164"/>
      <c r="G852" s="164"/>
      <c r="H852" s="164"/>
      <c r="I852" s="164"/>
      <c r="J852" s="164"/>
    </row>
    <row r="853" ht="22.5" customHeight="1">
      <c r="A853" s="164"/>
      <c r="B853" s="164"/>
      <c r="C853" s="164"/>
      <c r="D853" s="164"/>
      <c r="E853" s="164"/>
      <c r="F853" s="164"/>
      <c r="G853" s="164"/>
      <c r="H853" s="164"/>
      <c r="I853" s="164"/>
      <c r="J853" s="164"/>
    </row>
    <row r="854" ht="22.5" customHeight="1">
      <c r="A854" s="164"/>
      <c r="B854" s="164"/>
      <c r="C854" s="164"/>
      <c r="D854" s="164"/>
      <c r="E854" s="164"/>
      <c r="F854" s="164"/>
      <c r="G854" s="164"/>
      <c r="H854" s="164"/>
      <c r="I854" s="164"/>
      <c r="J854" s="164"/>
    </row>
    <row r="855" ht="22.5" customHeight="1">
      <c r="A855" s="164"/>
      <c r="B855" s="164"/>
      <c r="C855" s="164"/>
      <c r="D855" s="164"/>
      <c r="E855" s="164"/>
      <c r="F855" s="164"/>
      <c r="G855" s="164"/>
      <c r="H855" s="164"/>
      <c r="I855" s="164"/>
      <c r="J855" s="164"/>
    </row>
    <row r="856" ht="22.5" customHeight="1">
      <c r="A856" s="164"/>
      <c r="B856" s="164"/>
      <c r="C856" s="164"/>
      <c r="D856" s="164"/>
      <c r="E856" s="164"/>
      <c r="F856" s="164"/>
      <c r="G856" s="164"/>
      <c r="H856" s="164"/>
      <c r="I856" s="164"/>
      <c r="J856" s="164"/>
    </row>
    <row r="857" ht="22.5" customHeight="1">
      <c r="A857" s="164"/>
      <c r="B857" s="164"/>
      <c r="C857" s="164"/>
      <c r="D857" s="164"/>
      <c r="E857" s="164"/>
      <c r="F857" s="164"/>
      <c r="G857" s="164"/>
      <c r="H857" s="164"/>
      <c r="I857" s="164"/>
      <c r="J857" s="164"/>
    </row>
    <row r="858" ht="22.5" customHeight="1">
      <c r="A858" s="164"/>
      <c r="B858" s="164"/>
      <c r="C858" s="164"/>
      <c r="D858" s="164"/>
      <c r="E858" s="164"/>
      <c r="F858" s="164"/>
      <c r="G858" s="164"/>
      <c r="H858" s="164"/>
      <c r="I858" s="164"/>
      <c r="J858" s="164"/>
    </row>
    <row r="859" ht="22.5" customHeight="1">
      <c r="A859" s="164"/>
      <c r="B859" s="164"/>
      <c r="C859" s="164"/>
      <c r="D859" s="164"/>
      <c r="E859" s="164"/>
      <c r="F859" s="164"/>
      <c r="G859" s="164"/>
      <c r="H859" s="164"/>
      <c r="I859" s="164"/>
      <c r="J859" s="164"/>
    </row>
    <row r="860" ht="22.5" customHeight="1">
      <c r="A860" s="164"/>
      <c r="B860" s="164"/>
      <c r="C860" s="164"/>
      <c r="D860" s="164"/>
      <c r="E860" s="164"/>
      <c r="F860" s="164"/>
      <c r="G860" s="164"/>
      <c r="H860" s="164"/>
      <c r="I860" s="164"/>
      <c r="J860" s="164"/>
    </row>
    <row r="861" ht="22.5" customHeight="1">
      <c r="A861" s="164"/>
      <c r="B861" s="164"/>
      <c r="C861" s="164"/>
      <c r="D861" s="164"/>
      <c r="E861" s="164"/>
      <c r="F861" s="164"/>
      <c r="G861" s="164"/>
      <c r="H861" s="164"/>
      <c r="I861" s="164"/>
      <c r="J861" s="164"/>
    </row>
    <row r="862" ht="22.5" customHeight="1">
      <c r="A862" s="164"/>
      <c r="B862" s="164"/>
      <c r="C862" s="164"/>
      <c r="D862" s="164"/>
      <c r="E862" s="164"/>
      <c r="F862" s="164"/>
      <c r="G862" s="164"/>
      <c r="H862" s="164"/>
      <c r="I862" s="164"/>
      <c r="J862" s="164"/>
    </row>
    <row r="863" ht="22.5" customHeight="1">
      <c r="A863" s="164"/>
      <c r="B863" s="164"/>
      <c r="C863" s="164"/>
      <c r="D863" s="164"/>
      <c r="E863" s="164"/>
      <c r="F863" s="164"/>
      <c r="G863" s="164"/>
      <c r="H863" s="164"/>
      <c r="I863" s="164"/>
      <c r="J863" s="164"/>
    </row>
    <row r="864" ht="22.5" customHeight="1">
      <c r="A864" s="164"/>
      <c r="B864" s="164"/>
      <c r="C864" s="164"/>
      <c r="D864" s="164"/>
      <c r="E864" s="164"/>
      <c r="F864" s="164"/>
      <c r="G864" s="164"/>
      <c r="H864" s="164"/>
      <c r="I864" s="164"/>
      <c r="J864" s="164"/>
    </row>
    <row r="865" ht="22.5" customHeight="1">
      <c r="A865" s="164"/>
      <c r="B865" s="164"/>
      <c r="C865" s="164"/>
      <c r="D865" s="164"/>
      <c r="E865" s="164"/>
      <c r="F865" s="164"/>
      <c r="G865" s="164"/>
      <c r="H865" s="164"/>
      <c r="I865" s="164"/>
      <c r="J865" s="164"/>
    </row>
    <row r="866" ht="22.5" customHeight="1">
      <c r="A866" s="164"/>
      <c r="B866" s="164"/>
      <c r="C866" s="164"/>
      <c r="D866" s="164"/>
      <c r="E866" s="164"/>
      <c r="F866" s="164"/>
      <c r="G866" s="164"/>
      <c r="H866" s="164"/>
      <c r="I866" s="164"/>
      <c r="J866" s="164"/>
    </row>
    <row r="867" ht="22.5" customHeight="1">
      <c r="A867" s="164"/>
      <c r="B867" s="164"/>
      <c r="C867" s="164"/>
      <c r="D867" s="164"/>
      <c r="E867" s="164"/>
      <c r="F867" s="164"/>
      <c r="G867" s="164"/>
      <c r="H867" s="164"/>
      <c r="I867" s="164"/>
      <c r="J867" s="164"/>
    </row>
    <row r="868" ht="22.5" customHeight="1">
      <c r="A868" s="164"/>
      <c r="B868" s="164"/>
      <c r="C868" s="164"/>
      <c r="D868" s="164"/>
      <c r="E868" s="164"/>
      <c r="F868" s="164"/>
      <c r="G868" s="164"/>
      <c r="H868" s="164"/>
      <c r="I868" s="164"/>
      <c r="J868" s="164"/>
    </row>
    <row r="869" ht="22.5" customHeight="1">
      <c r="A869" s="164"/>
      <c r="B869" s="164"/>
      <c r="C869" s="164"/>
      <c r="D869" s="164"/>
      <c r="E869" s="164"/>
      <c r="F869" s="164"/>
      <c r="G869" s="164"/>
      <c r="H869" s="164"/>
      <c r="I869" s="164"/>
      <c r="J869" s="164"/>
    </row>
    <row r="870" ht="22.5" customHeight="1">
      <c r="A870" s="164"/>
      <c r="B870" s="164"/>
      <c r="C870" s="164"/>
      <c r="D870" s="164"/>
      <c r="E870" s="164"/>
      <c r="F870" s="164"/>
      <c r="G870" s="164"/>
      <c r="H870" s="164"/>
      <c r="I870" s="164"/>
      <c r="J870" s="164"/>
    </row>
    <row r="871" ht="22.5" customHeight="1">
      <c r="A871" s="164"/>
      <c r="B871" s="164"/>
      <c r="C871" s="164"/>
      <c r="D871" s="164"/>
      <c r="E871" s="164"/>
      <c r="F871" s="164"/>
      <c r="G871" s="164"/>
      <c r="H871" s="164"/>
      <c r="I871" s="164"/>
      <c r="J871" s="164"/>
    </row>
    <row r="872" ht="22.5" customHeight="1">
      <c r="A872" s="164"/>
      <c r="B872" s="164"/>
      <c r="C872" s="164"/>
      <c r="D872" s="164"/>
      <c r="E872" s="164"/>
      <c r="F872" s="164"/>
      <c r="G872" s="164"/>
      <c r="H872" s="164"/>
      <c r="I872" s="164"/>
      <c r="J872" s="164"/>
    </row>
    <row r="873" ht="22.5" customHeight="1">
      <c r="A873" s="164"/>
      <c r="B873" s="164"/>
      <c r="C873" s="164"/>
      <c r="D873" s="164"/>
      <c r="E873" s="164"/>
      <c r="F873" s="164"/>
      <c r="G873" s="164"/>
      <c r="H873" s="164"/>
      <c r="I873" s="164"/>
      <c r="J873" s="164"/>
    </row>
    <row r="874" ht="22.5" customHeight="1">
      <c r="A874" s="164"/>
      <c r="B874" s="164"/>
      <c r="C874" s="164"/>
      <c r="D874" s="164"/>
      <c r="E874" s="164"/>
      <c r="F874" s="164"/>
      <c r="G874" s="164"/>
      <c r="H874" s="164"/>
      <c r="I874" s="164"/>
      <c r="J874" s="164"/>
    </row>
    <row r="875" ht="22.5" customHeight="1">
      <c r="A875" s="164"/>
      <c r="B875" s="164"/>
      <c r="C875" s="164"/>
      <c r="D875" s="164"/>
      <c r="E875" s="164"/>
      <c r="F875" s="164"/>
      <c r="G875" s="164"/>
      <c r="H875" s="164"/>
      <c r="I875" s="164"/>
      <c r="J875" s="164"/>
    </row>
    <row r="876" ht="22.5" customHeight="1">
      <c r="A876" s="164"/>
      <c r="B876" s="164"/>
      <c r="C876" s="164"/>
      <c r="D876" s="164"/>
      <c r="E876" s="164"/>
      <c r="F876" s="164"/>
      <c r="G876" s="164"/>
      <c r="H876" s="164"/>
      <c r="I876" s="164"/>
      <c r="J876" s="164"/>
    </row>
    <row r="877" ht="22.5" customHeight="1">
      <c r="A877" s="164"/>
      <c r="B877" s="164"/>
      <c r="C877" s="164"/>
      <c r="D877" s="164"/>
      <c r="E877" s="164"/>
      <c r="F877" s="164"/>
      <c r="G877" s="164"/>
      <c r="H877" s="164"/>
      <c r="I877" s="164"/>
      <c r="J877" s="164"/>
    </row>
    <row r="878" ht="22.5" customHeight="1">
      <c r="A878" s="164"/>
      <c r="B878" s="164"/>
      <c r="C878" s="164"/>
      <c r="D878" s="164"/>
      <c r="E878" s="164"/>
      <c r="F878" s="164"/>
      <c r="G878" s="164"/>
      <c r="H878" s="164"/>
      <c r="I878" s="164"/>
      <c r="J878" s="164"/>
    </row>
    <row r="879" ht="22.5" customHeight="1">
      <c r="A879" s="164"/>
      <c r="B879" s="164"/>
      <c r="C879" s="164"/>
      <c r="D879" s="164"/>
      <c r="E879" s="164"/>
      <c r="F879" s="164"/>
      <c r="G879" s="164"/>
      <c r="H879" s="164"/>
      <c r="I879" s="164"/>
      <c r="J879" s="164"/>
    </row>
    <row r="880" ht="22.5" customHeight="1">
      <c r="A880" s="164"/>
      <c r="B880" s="164"/>
      <c r="C880" s="164"/>
      <c r="D880" s="164"/>
      <c r="E880" s="164"/>
      <c r="F880" s="164"/>
      <c r="G880" s="164"/>
      <c r="H880" s="164"/>
      <c r="I880" s="164"/>
      <c r="J880" s="164"/>
    </row>
    <row r="881" ht="22.5" customHeight="1">
      <c r="A881" s="164"/>
      <c r="B881" s="164"/>
      <c r="C881" s="164"/>
      <c r="D881" s="164"/>
      <c r="E881" s="164"/>
      <c r="F881" s="164"/>
      <c r="G881" s="164"/>
      <c r="H881" s="164"/>
      <c r="I881" s="164"/>
      <c r="J881" s="164"/>
    </row>
    <row r="882" ht="22.5" customHeight="1">
      <c r="A882" s="164"/>
      <c r="B882" s="164"/>
      <c r="C882" s="164"/>
      <c r="D882" s="164"/>
      <c r="E882" s="164"/>
      <c r="F882" s="164"/>
      <c r="G882" s="164"/>
      <c r="H882" s="164"/>
      <c r="I882" s="164"/>
      <c r="J882" s="164"/>
    </row>
    <row r="883" ht="22.5" customHeight="1">
      <c r="A883" s="164"/>
      <c r="B883" s="164"/>
      <c r="C883" s="164"/>
      <c r="D883" s="164"/>
      <c r="E883" s="164"/>
      <c r="F883" s="164"/>
      <c r="G883" s="164"/>
      <c r="H883" s="164"/>
      <c r="I883" s="164"/>
      <c r="J883" s="164"/>
    </row>
    <row r="884" ht="22.5" customHeight="1">
      <c r="A884" s="164"/>
      <c r="B884" s="164"/>
      <c r="C884" s="164"/>
      <c r="D884" s="164"/>
      <c r="E884" s="164"/>
      <c r="F884" s="164"/>
      <c r="G884" s="164"/>
      <c r="H884" s="164"/>
      <c r="I884" s="164"/>
      <c r="J884" s="164"/>
    </row>
    <row r="885" ht="22.5" customHeight="1">
      <c r="A885" s="164"/>
      <c r="B885" s="164"/>
      <c r="C885" s="164"/>
      <c r="D885" s="164"/>
      <c r="E885" s="164"/>
      <c r="F885" s="164"/>
      <c r="G885" s="164"/>
      <c r="H885" s="164"/>
      <c r="I885" s="164"/>
      <c r="J885" s="164"/>
    </row>
    <row r="886" ht="22.5" customHeight="1">
      <c r="A886" s="164"/>
      <c r="B886" s="164"/>
      <c r="C886" s="164"/>
      <c r="D886" s="164"/>
      <c r="E886" s="164"/>
      <c r="F886" s="164"/>
      <c r="G886" s="164"/>
      <c r="H886" s="164"/>
      <c r="I886" s="164"/>
      <c r="J886" s="164"/>
    </row>
    <row r="887" ht="22.5" customHeight="1">
      <c r="A887" s="164"/>
      <c r="B887" s="164"/>
      <c r="C887" s="164"/>
      <c r="D887" s="164"/>
      <c r="E887" s="164"/>
      <c r="F887" s="164"/>
      <c r="G887" s="164"/>
      <c r="H887" s="164"/>
      <c r="I887" s="164"/>
      <c r="J887" s="164"/>
    </row>
    <row r="888" ht="22.5" customHeight="1">
      <c r="A888" s="164"/>
      <c r="B888" s="164"/>
      <c r="C888" s="164"/>
      <c r="D888" s="164"/>
      <c r="E888" s="164"/>
      <c r="F888" s="164"/>
      <c r="G888" s="164"/>
      <c r="H888" s="164"/>
      <c r="I888" s="164"/>
      <c r="J888" s="164"/>
    </row>
    <row r="889" ht="22.5" customHeight="1">
      <c r="A889" s="164"/>
      <c r="B889" s="164"/>
      <c r="C889" s="164"/>
      <c r="D889" s="164"/>
      <c r="E889" s="164"/>
      <c r="F889" s="164"/>
      <c r="G889" s="164"/>
      <c r="H889" s="164"/>
      <c r="I889" s="164"/>
      <c r="J889" s="164"/>
    </row>
    <row r="890" ht="22.5" customHeight="1">
      <c r="A890" s="164"/>
      <c r="B890" s="164"/>
      <c r="C890" s="164"/>
      <c r="D890" s="164"/>
      <c r="E890" s="164"/>
      <c r="F890" s="164"/>
      <c r="G890" s="164"/>
      <c r="H890" s="164"/>
      <c r="I890" s="164"/>
      <c r="J890" s="164"/>
    </row>
    <row r="891" ht="22.5" customHeight="1">
      <c r="A891" s="164"/>
      <c r="B891" s="164"/>
      <c r="C891" s="164"/>
      <c r="D891" s="164"/>
      <c r="E891" s="164"/>
      <c r="F891" s="164"/>
      <c r="G891" s="164"/>
      <c r="H891" s="164"/>
      <c r="I891" s="164"/>
      <c r="J891" s="164"/>
    </row>
    <row r="892" ht="22.5" customHeight="1">
      <c r="A892" s="164"/>
      <c r="B892" s="164"/>
      <c r="C892" s="164"/>
      <c r="D892" s="164"/>
      <c r="E892" s="164"/>
      <c r="F892" s="164"/>
      <c r="G892" s="164"/>
      <c r="H892" s="164"/>
      <c r="I892" s="164"/>
      <c r="J892" s="164"/>
    </row>
    <row r="893" ht="22.5" customHeight="1">
      <c r="A893" s="164"/>
      <c r="B893" s="164"/>
      <c r="C893" s="164"/>
      <c r="D893" s="164"/>
      <c r="E893" s="164"/>
      <c r="F893" s="164"/>
      <c r="G893" s="164"/>
      <c r="H893" s="164"/>
      <c r="I893" s="164"/>
      <c r="J893" s="164"/>
    </row>
    <row r="894" ht="22.5" customHeight="1">
      <c r="A894" s="164"/>
      <c r="B894" s="164"/>
      <c r="C894" s="164"/>
      <c r="D894" s="164"/>
      <c r="E894" s="164"/>
      <c r="F894" s="164"/>
      <c r="G894" s="164"/>
      <c r="H894" s="164"/>
      <c r="I894" s="164"/>
      <c r="J894" s="164"/>
    </row>
    <row r="895" ht="22.5" customHeight="1">
      <c r="A895" s="164"/>
      <c r="B895" s="164"/>
      <c r="C895" s="164"/>
      <c r="D895" s="164"/>
      <c r="E895" s="164"/>
      <c r="F895" s="164"/>
      <c r="G895" s="164"/>
      <c r="H895" s="164"/>
      <c r="I895" s="164"/>
      <c r="J895" s="164"/>
    </row>
    <row r="896" ht="22.5" customHeight="1">
      <c r="A896" s="164"/>
      <c r="B896" s="164"/>
      <c r="C896" s="164"/>
      <c r="D896" s="164"/>
      <c r="E896" s="164"/>
      <c r="F896" s="164"/>
      <c r="G896" s="164"/>
      <c r="H896" s="164"/>
      <c r="I896" s="164"/>
      <c r="J896" s="164"/>
    </row>
    <row r="897" ht="22.5" customHeight="1">
      <c r="A897" s="164"/>
      <c r="B897" s="164"/>
      <c r="C897" s="164"/>
      <c r="D897" s="164"/>
      <c r="E897" s="164"/>
      <c r="F897" s="164"/>
      <c r="G897" s="164"/>
      <c r="H897" s="164"/>
      <c r="I897" s="164"/>
      <c r="J897" s="164"/>
    </row>
    <row r="898" ht="22.5" customHeight="1">
      <c r="A898" s="164"/>
      <c r="B898" s="164"/>
      <c r="C898" s="164"/>
      <c r="D898" s="164"/>
      <c r="E898" s="164"/>
      <c r="F898" s="164"/>
      <c r="G898" s="164"/>
      <c r="H898" s="164"/>
      <c r="I898" s="164"/>
      <c r="J898" s="164"/>
    </row>
    <row r="899" ht="22.5" customHeight="1">
      <c r="A899" s="164"/>
      <c r="B899" s="164"/>
      <c r="C899" s="164"/>
      <c r="D899" s="164"/>
      <c r="E899" s="164"/>
      <c r="F899" s="164"/>
      <c r="G899" s="164"/>
      <c r="H899" s="164"/>
      <c r="I899" s="164"/>
      <c r="J899" s="164"/>
    </row>
    <row r="900" ht="22.5" customHeight="1">
      <c r="A900" s="164"/>
      <c r="B900" s="164"/>
      <c r="C900" s="164"/>
      <c r="D900" s="164"/>
      <c r="E900" s="164"/>
      <c r="F900" s="164"/>
      <c r="G900" s="164"/>
      <c r="H900" s="164"/>
      <c r="I900" s="164"/>
      <c r="J900" s="164"/>
    </row>
    <row r="901" ht="22.5" customHeight="1">
      <c r="A901" s="164"/>
      <c r="B901" s="164"/>
      <c r="C901" s="164"/>
      <c r="D901" s="164"/>
      <c r="E901" s="164"/>
      <c r="F901" s="164"/>
      <c r="G901" s="164"/>
      <c r="H901" s="164"/>
      <c r="I901" s="164"/>
      <c r="J901" s="164"/>
    </row>
    <row r="902" ht="22.5" customHeight="1">
      <c r="A902" s="164"/>
      <c r="B902" s="164"/>
      <c r="C902" s="164"/>
      <c r="D902" s="164"/>
      <c r="E902" s="164"/>
      <c r="F902" s="164"/>
      <c r="G902" s="164"/>
      <c r="H902" s="164"/>
      <c r="I902" s="164"/>
      <c r="J902" s="164"/>
    </row>
    <row r="903" ht="22.5" customHeight="1">
      <c r="A903" s="164"/>
      <c r="B903" s="164"/>
      <c r="C903" s="164"/>
      <c r="D903" s="164"/>
      <c r="E903" s="164"/>
      <c r="F903" s="164"/>
      <c r="G903" s="164"/>
      <c r="H903" s="164"/>
      <c r="I903" s="164"/>
      <c r="J903" s="164"/>
    </row>
    <row r="904" ht="22.5" customHeight="1">
      <c r="A904" s="164"/>
      <c r="B904" s="164"/>
      <c r="C904" s="164"/>
      <c r="D904" s="164"/>
      <c r="E904" s="164"/>
      <c r="F904" s="164"/>
      <c r="G904" s="164"/>
      <c r="H904" s="164"/>
      <c r="I904" s="164"/>
      <c r="J904" s="164"/>
    </row>
    <row r="905" ht="22.5" customHeight="1">
      <c r="A905" s="164"/>
      <c r="B905" s="164"/>
      <c r="C905" s="164"/>
      <c r="D905" s="164"/>
      <c r="E905" s="164"/>
      <c r="F905" s="164"/>
      <c r="G905" s="164"/>
      <c r="H905" s="164"/>
      <c r="I905" s="164"/>
      <c r="J905" s="164"/>
    </row>
    <row r="906" ht="22.5" customHeight="1">
      <c r="A906" s="164"/>
      <c r="B906" s="164"/>
      <c r="C906" s="164"/>
      <c r="D906" s="164"/>
      <c r="E906" s="164"/>
      <c r="F906" s="164"/>
      <c r="G906" s="164"/>
      <c r="H906" s="164"/>
      <c r="I906" s="164"/>
      <c r="J906" s="164"/>
    </row>
    <row r="907" ht="22.5" customHeight="1">
      <c r="A907" s="164"/>
      <c r="B907" s="164"/>
      <c r="C907" s="164"/>
      <c r="D907" s="164"/>
      <c r="E907" s="164"/>
      <c r="F907" s="164"/>
      <c r="G907" s="164"/>
      <c r="H907" s="164"/>
      <c r="I907" s="164"/>
      <c r="J907" s="164"/>
    </row>
    <row r="908" ht="22.5" customHeight="1">
      <c r="A908" s="164"/>
      <c r="B908" s="164"/>
      <c r="C908" s="164"/>
      <c r="D908" s="164"/>
      <c r="E908" s="164"/>
      <c r="F908" s="164"/>
      <c r="G908" s="164"/>
      <c r="H908" s="164"/>
      <c r="I908" s="164"/>
      <c r="J908" s="164"/>
    </row>
    <row r="909" ht="22.5" customHeight="1">
      <c r="A909" s="164"/>
      <c r="B909" s="164"/>
      <c r="C909" s="164"/>
      <c r="D909" s="164"/>
      <c r="E909" s="164"/>
      <c r="F909" s="164"/>
      <c r="G909" s="164"/>
      <c r="H909" s="164"/>
      <c r="I909" s="164"/>
      <c r="J909" s="164"/>
    </row>
    <row r="910" ht="22.5" customHeight="1">
      <c r="A910" s="164"/>
      <c r="B910" s="164"/>
      <c r="C910" s="164"/>
      <c r="D910" s="164"/>
      <c r="E910" s="164"/>
      <c r="F910" s="164"/>
      <c r="G910" s="164"/>
      <c r="H910" s="164"/>
      <c r="I910" s="164"/>
      <c r="J910" s="164"/>
    </row>
    <row r="911" ht="22.5" customHeight="1">
      <c r="A911" s="164"/>
      <c r="B911" s="164"/>
      <c r="C911" s="164"/>
      <c r="D911" s="164"/>
      <c r="E911" s="164"/>
      <c r="F911" s="164"/>
      <c r="G911" s="164"/>
      <c r="H911" s="164"/>
      <c r="I911" s="164"/>
      <c r="J911" s="164"/>
    </row>
    <row r="912" ht="22.5" customHeight="1">
      <c r="A912" s="164"/>
      <c r="B912" s="164"/>
      <c r="C912" s="164"/>
      <c r="D912" s="164"/>
      <c r="E912" s="164"/>
      <c r="F912" s="164"/>
      <c r="G912" s="164"/>
      <c r="H912" s="164"/>
      <c r="I912" s="164"/>
      <c r="J912" s="164"/>
    </row>
    <row r="913" ht="22.5" customHeight="1">
      <c r="A913" s="164"/>
      <c r="B913" s="164"/>
      <c r="C913" s="164"/>
      <c r="D913" s="164"/>
      <c r="E913" s="164"/>
      <c r="F913" s="164"/>
      <c r="G913" s="164"/>
      <c r="H913" s="164"/>
      <c r="I913" s="164"/>
      <c r="J913" s="164"/>
    </row>
    <row r="914" ht="22.5" customHeight="1">
      <c r="A914" s="164"/>
      <c r="B914" s="164"/>
      <c r="C914" s="164"/>
      <c r="D914" s="164"/>
      <c r="E914" s="164"/>
      <c r="F914" s="164"/>
      <c r="G914" s="164"/>
      <c r="H914" s="164"/>
      <c r="I914" s="164"/>
      <c r="J914" s="164"/>
    </row>
    <row r="915" ht="22.5" customHeight="1">
      <c r="A915" s="164"/>
      <c r="B915" s="164"/>
      <c r="C915" s="164"/>
      <c r="D915" s="164"/>
      <c r="E915" s="164"/>
      <c r="F915" s="164"/>
      <c r="G915" s="164"/>
      <c r="H915" s="164"/>
      <c r="I915" s="164"/>
      <c r="J915" s="164"/>
    </row>
    <row r="916" ht="22.5" customHeight="1">
      <c r="A916" s="164"/>
      <c r="B916" s="164"/>
      <c r="C916" s="164"/>
      <c r="D916" s="164"/>
      <c r="E916" s="164"/>
      <c r="F916" s="164"/>
      <c r="G916" s="164"/>
      <c r="H916" s="164"/>
      <c r="I916" s="164"/>
      <c r="J916" s="164"/>
    </row>
    <row r="917" ht="22.5" customHeight="1">
      <c r="A917" s="164"/>
      <c r="B917" s="164"/>
      <c r="C917" s="164"/>
      <c r="D917" s="164"/>
      <c r="E917" s="164"/>
      <c r="F917" s="164"/>
      <c r="G917" s="164"/>
      <c r="H917" s="164"/>
      <c r="I917" s="164"/>
      <c r="J917" s="164"/>
    </row>
    <row r="918" ht="22.5" customHeight="1">
      <c r="A918" s="164"/>
      <c r="B918" s="164"/>
      <c r="C918" s="164"/>
      <c r="D918" s="164"/>
      <c r="E918" s="164"/>
      <c r="F918" s="164"/>
      <c r="G918" s="164"/>
      <c r="H918" s="164"/>
      <c r="I918" s="164"/>
      <c r="J918" s="164"/>
    </row>
    <row r="919" ht="22.5" customHeight="1">
      <c r="A919" s="164"/>
      <c r="B919" s="164"/>
      <c r="C919" s="164"/>
      <c r="D919" s="164"/>
      <c r="E919" s="164"/>
      <c r="F919" s="164"/>
      <c r="G919" s="164"/>
      <c r="H919" s="164"/>
      <c r="I919" s="164"/>
      <c r="J919" s="164"/>
    </row>
    <row r="920" ht="22.5" customHeight="1">
      <c r="A920" s="164"/>
      <c r="B920" s="164"/>
      <c r="C920" s="164"/>
      <c r="D920" s="164"/>
      <c r="E920" s="164"/>
      <c r="F920" s="164"/>
      <c r="G920" s="164"/>
      <c r="H920" s="164"/>
      <c r="I920" s="164"/>
      <c r="J920" s="164"/>
    </row>
    <row r="921" ht="22.5" customHeight="1">
      <c r="A921" s="164"/>
      <c r="B921" s="164"/>
      <c r="C921" s="164"/>
      <c r="D921" s="164"/>
      <c r="E921" s="164"/>
      <c r="F921" s="164"/>
      <c r="G921" s="164"/>
      <c r="H921" s="164"/>
      <c r="I921" s="164"/>
      <c r="J921" s="164"/>
    </row>
    <row r="922" ht="22.5" customHeight="1">
      <c r="A922" s="164"/>
      <c r="B922" s="164"/>
      <c r="C922" s="164"/>
      <c r="D922" s="164"/>
      <c r="E922" s="164"/>
      <c r="F922" s="164"/>
      <c r="G922" s="164"/>
      <c r="H922" s="164"/>
      <c r="I922" s="164"/>
      <c r="J922" s="164"/>
    </row>
    <row r="923" ht="22.5" customHeight="1">
      <c r="A923" s="164"/>
      <c r="B923" s="164"/>
      <c r="C923" s="164"/>
      <c r="D923" s="164"/>
      <c r="E923" s="164"/>
      <c r="F923" s="164"/>
      <c r="G923" s="164"/>
      <c r="H923" s="164"/>
      <c r="I923" s="164"/>
      <c r="J923" s="164"/>
    </row>
    <row r="924" ht="22.5" customHeight="1">
      <c r="A924" s="164"/>
      <c r="B924" s="164"/>
      <c r="C924" s="164"/>
      <c r="D924" s="164"/>
      <c r="E924" s="164"/>
      <c r="F924" s="164"/>
      <c r="G924" s="164"/>
      <c r="H924" s="164"/>
      <c r="I924" s="164"/>
      <c r="J924" s="164"/>
    </row>
    <row r="925" ht="22.5" customHeight="1">
      <c r="A925" s="164"/>
      <c r="B925" s="164"/>
      <c r="C925" s="164"/>
      <c r="D925" s="164"/>
      <c r="E925" s="164"/>
      <c r="F925" s="164"/>
      <c r="G925" s="164"/>
      <c r="H925" s="164"/>
      <c r="I925" s="164"/>
      <c r="J925" s="164"/>
    </row>
    <row r="926" ht="22.5" customHeight="1">
      <c r="A926" s="164"/>
      <c r="B926" s="164"/>
      <c r="C926" s="164"/>
      <c r="D926" s="164"/>
      <c r="E926" s="164"/>
      <c r="F926" s="164"/>
      <c r="G926" s="164"/>
      <c r="H926" s="164"/>
      <c r="I926" s="164"/>
      <c r="J926" s="164"/>
    </row>
    <row r="927" ht="22.5" customHeight="1">
      <c r="A927" s="164"/>
      <c r="B927" s="164"/>
      <c r="C927" s="164"/>
      <c r="D927" s="164"/>
      <c r="E927" s="164"/>
      <c r="F927" s="164"/>
      <c r="G927" s="164"/>
      <c r="H927" s="164"/>
      <c r="I927" s="164"/>
      <c r="J927" s="164"/>
    </row>
    <row r="928" ht="22.5" customHeight="1">
      <c r="A928" s="164"/>
      <c r="B928" s="164"/>
      <c r="C928" s="164"/>
      <c r="D928" s="164"/>
      <c r="E928" s="164"/>
      <c r="F928" s="164"/>
      <c r="G928" s="164"/>
      <c r="H928" s="164"/>
      <c r="I928" s="164"/>
      <c r="J928" s="164"/>
    </row>
    <row r="929" ht="22.5" customHeight="1">
      <c r="A929" s="164"/>
      <c r="B929" s="164"/>
      <c r="C929" s="164"/>
      <c r="D929" s="164"/>
      <c r="E929" s="164"/>
      <c r="F929" s="164"/>
      <c r="G929" s="164"/>
      <c r="H929" s="164"/>
      <c r="I929" s="164"/>
      <c r="J929" s="164"/>
    </row>
    <row r="930" ht="22.5" customHeight="1">
      <c r="A930" s="164"/>
      <c r="B930" s="164"/>
      <c r="C930" s="164"/>
      <c r="D930" s="164"/>
      <c r="E930" s="164"/>
      <c r="F930" s="164"/>
      <c r="G930" s="164"/>
      <c r="H930" s="164"/>
      <c r="I930" s="164"/>
      <c r="J930" s="164"/>
    </row>
    <row r="931" ht="22.5" customHeight="1">
      <c r="A931" s="164"/>
      <c r="B931" s="164"/>
      <c r="C931" s="164"/>
      <c r="D931" s="164"/>
      <c r="E931" s="164"/>
      <c r="F931" s="164"/>
      <c r="G931" s="164"/>
      <c r="H931" s="164"/>
      <c r="I931" s="164"/>
      <c r="J931" s="164"/>
    </row>
    <row r="932" ht="22.5" customHeight="1">
      <c r="A932" s="164"/>
      <c r="B932" s="164"/>
      <c r="C932" s="164"/>
      <c r="D932" s="164"/>
      <c r="E932" s="164"/>
      <c r="F932" s="164"/>
      <c r="G932" s="164"/>
      <c r="H932" s="164"/>
      <c r="I932" s="164"/>
      <c r="J932" s="164"/>
    </row>
    <row r="933" ht="22.5" customHeight="1">
      <c r="A933" s="164"/>
      <c r="B933" s="164"/>
      <c r="C933" s="164"/>
      <c r="D933" s="164"/>
      <c r="E933" s="164"/>
      <c r="F933" s="164"/>
      <c r="G933" s="164"/>
      <c r="H933" s="164"/>
      <c r="I933" s="164"/>
      <c r="J933" s="164"/>
    </row>
    <row r="934" ht="22.5" customHeight="1">
      <c r="A934" s="164"/>
      <c r="B934" s="164"/>
      <c r="C934" s="164"/>
      <c r="D934" s="164"/>
      <c r="E934" s="164"/>
      <c r="F934" s="164"/>
      <c r="G934" s="164"/>
      <c r="H934" s="164"/>
      <c r="I934" s="164"/>
      <c r="J934" s="164"/>
    </row>
    <row r="935" ht="22.5" customHeight="1">
      <c r="A935" s="164"/>
      <c r="B935" s="164"/>
      <c r="C935" s="164"/>
      <c r="D935" s="164"/>
      <c r="E935" s="164"/>
      <c r="F935" s="164"/>
      <c r="G935" s="164"/>
      <c r="H935" s="164"/>
      <c r="I935" s="164"/>
      <c r="J935" s="164"/>
    </row>
    <row r="936" ht="22.5" customHeight="1">
      <c r="A936" s="164"/>
      <c r="B936" s="164"/>
      <c r="C936" s="164"/>
      <c r="D936" s="164"/>
      <c r="E936" s="164"/>
      <c r="F936" s="164"/>
      <c r="G936" s="164"/>
      <c r="H936" s="164"/>
      <c r="I936" s="164"/>
      <c r="J936" s="164"/>
    </row>
    <row r="937" ht="22.5" customHeight="1">
      <c r="A937" s="164"/>
      <c r="B937" s="164"/>
      <c r="C937" s="164"/>
      <c r="D937" s="164"/>
      <c r="E937" s="164"/>
      <c r="F937" s="164"/>
      <c r="G937" s="164"/>
      <c r="H937" s="164"/>
      <c r="I937" s="164"/>
      <c r="J937" s="164"/>
    </row>
    <row r="938" ht="22.5" customHeight="1">
      <c r="A938" s="164"/>
      <c r="B938" s="164"/>
      <c r="C938" s="164"/>
      <c r="D938" s="164"/>
      <c r="E938" s="164"/>
      <c r="F938" s="164"/>
      <c r="G938" s="164"/>
      <c r="H938" s="164"/>
      <c r="I938" s="164"/>
      <c r="J938" s="164"/>
    </row>
    <row r="939" ht="22.5" customHeight="1">
      <c r="A939" s="164"/>
      <c r="B939" s="164"/>
      <c r="C939" s="164"/>
      <c r="D939" s="164"/>
      <c r="E939" s="164"/>
      <c r="F939" s="164"/>
      <c r="G939" s="164"/>
      <c r="H939" s="164"/>
      <c r="I939" s="164"/>
      <c r="J939" s="164"/>
    </row>
    <row r="940" ht="22.5" customHeight="1">
      <c r="A940" s="164"/>
      <c r="B940" s="164"/>
      <c r="C940" s="164"/>
      <c r="D940" s="164"/>
      <c r="E940" s="164"/>
      <c r="F940" s="164"/>
      <c r="G940" s="164"/>
      <c r="H940" s="164"/>
      <c r="I940" s="164"/>
      <c r="J940" s="164"/>
    </row>
    <row r="941" ht="22.5" customHeight="1">
      <c r="A941" s="164"/>
      <c r="B941" s="164"/>
      <c r="C941" s="164"/>
      <c r="D941" s="164"/>
      <c r="E941" s="164"/>
      <c r="F941" s="164"/>
      <c r="G941" s="164"/>
      <c r="H941" s="164"/>
      <c r="I941" s="164"/>
      <c r="J941" s="164"/>
    </row>
    <row r="942" ht="22.5" customHeight="1">
      <c r="A942" s="164"/>
      <c r="B942" s="164"/>
      <c r="C942" s="164"/>
      <c r="D942" s="164"/>
      <c r="E942" s="164"/>
      <c r="F942" s="164"/>
      <c r="G942" s="164"/>
      <c r="H942" s="164"/>
      <c r="I942" s="164"/>
      <c r="J942" s="164"/>
    </row>
    <row r="943" ht="22.5" customHeight="1">
      <c r="A943" s="164"/>
      <c r="B943" s="164"/>
      <c r="C943" s="164"/>
      <c r="D943" s="164"/>
      <c r="E943" s="164"/>
      <c r="F943" s="164"/>
      <c r="G943" s="164"/>
      <c r="H943" s="164"/>
      <c r="I943" s="164"/>
      <c r="J943" s="164"/>
    </row>
    <row r="944" ht="22.5" customHeight="1">
      <c r="A944" s="164"/>
      <c r="B944" s="164"/>
      <c r="C944" s="164"/>
      <c r="D944" s="164"/>
      <c r="E944" s="164"/>
      <c r="F944" s="164"/>
      <c r="G944" s="164"/>
      <c r="H944" s="164"/>
      <c r="I944" s="164"/>
      <c r="J944" s="164"/>
    </row>
    <row r="945" ht="22.5" customHeight="1">
      <c r="A945" s="164"/>
      <c r="B945" s="164"/>
      <c r="C945" s="164"/>
      <c r="D945" s="164"/>
      <c r="E945" s="164"/>
      <c r="F945" s="164"/>
      <c r="G945" s="164"/>
      <c r="H945" s="164"/>
      <c r="I945" s="164"/>
      <c r="J945" s="164"/>
    </row>
    <row r="946" ht="22.5" customHeight="1">
      <c r="A946" s="164"/>
      <c r="B946" s="164"/>
      <c r="C946" s="164"/>
      <c r="D946" s="164"/>
      <c r="E946" s="164"/>
      <c r="F946" s="164"/>
      <c r="G946" s="164"/>
      <c r="H946" s="164"/>
      <c r="I946" s="164"/>
      <c r="J946" s="164"/>
    </row>
    <row r="947" ht="22.5" customHeight="1">
      <c r="A947" s="164"/>
      <c r="B947" s="164"/>
      <c r="C947" s="164"/>
      <c r="D947" s="164"/>
      <c r="E947" s="164"/>
      <c r="F947" s="164"/>
      <c r="G947" s="164"/>
      <c r="H947" s="164"/>
      <c r="I947" s="164"/>
      <c r="J947" s="164"/>
    </row>
    <row r="948" ht="22.5" customHeight="1">
      <c r="A948" s="164"/>
      <c r="B948" s="164"/>
      <c r="C948" s="164"/>
      <c r="D948" s="164"/>
      <c r="E948" s="164"/>
      <c r="F948" s="164"/>
      <c r="G948" s="164"/>
      <c r="H948" s="164"/>
      <c r="I948" s="164"/>
      <c r="J948" s="164"/>
    </row>
    <row r="949" ht="22.5" customHeight="1">
      <c r="A949" s="164"/>
      <c r="B949" s="164"/>
      <c r="C949" s="164"/>
      <c r="D949" s="164"/>
      <c r="E949" s="164"/>
      <c r="F949" s="164"/>
      <c r="G949" s="164"/>
      <c r="H949" s="164"/>
      <c r="I949" s="164"/>
      <c r="J949" s="164"/>
    </row>
    <row r="950" ht="22.5" customHeight="1">
      <c r="A950" s="164"/>
      <c r="B950" s="164"/>
      <c r="C950" s="164"/>
      <c r="D950" s="164"/>
      <c r="E950" s="164"/>
      <c r="F950" s="164"/>
      <c r="G950" s="164"/>
      <c r="H950" s="164"/>
      <c r="I950" s="164"/>
      <c r="J950" s="164"/>
    </row>
    <row r="951" ht="22.5" customHeight="1">
      <c r="A951" s="164"/>
      <c r="B951" s="164"/>
      <c r="C951" s="164"/>
      <c r="D951" s="164"/>
      <c r="E951" s="164"/>
      <c r="F951" s="164"/>
      <c r="G951" s="164"/>
      <c r="H951" s="164"/>
      <c r="I951" s="164"/>
      <c r="J951" s="164"/>
    </row>
    <row r="952" ht="22.5" customHeight="1">
      <c r="A952" s="164"/>
      <c r="B952" s="164"/>
      <c r="C952" s="164"/>
      <c r="D952" s="164"/>
      <c r="E952" s="164"/>
      <c r="F952" s="164"/>
      <c r="G952" s="164"/>
      <c r="H952" s="164"/>
      <c r="I952" s="164"/>
      <c r="J952" s="164"/>
    </row>
    <row r="953" ht="22.5" customHeight="1">
      <c r="A953" s="164"/>
      <c r="B953" s="164"/>
      <c r="C953" s="164"/>
      <c r="D953" s="164"/>
      <c r="E953" s="164"/>
      <c r="F953" s="164"/>
      <c r="G953" s="164"/>
      <c r="H953" s="164"/>
      <c r="I953" s="164"/>
      <c r="J953" s="164"/>
    </row>
    <row r="954" ht="22.5" customHeight="1">
      <c r="A954" s="164"/>
      <c r="B954" s="164"/>
      <c r="C954" s="164"/>
      <c r="D954" s="164"/>
      <c r="E954" s="164"/>
      <c r="F954" s="164"/>
      <c r="G954" s="164"/>
      <c r="H954" s="164"/>
      <c r="I954" s="164"/>
      <c r="J954" s="164"/>
    </row>
    <row r="955" ht="22.5" customHeight="1">
      <c r="A955" s="164"/>
      <c r="B955" s="164"/>
      <c r="C955" s="164"/>
      <c r="D955" s="164"/>
      <c r="E955" s="164"/>
      <c r="F955" s="164"/>
      <c r="G955" s="164"/>
      <c r="H955" s="164"/>
      <c r="I955" s="164"/>
      <c r="J955" s="164"/>
    </row>
    <row r="956" ht="22.5" customHeight="1">
      <c r="A956" s="164"/>
      <c r="B956" s="164"/>
      <c r="C956" s="164"/>
      <c r="D956" s="164"/>
      <c r="E956" s="164"/>
      <c r="F956" s="164"/>
      <c r="G956" s="164"/>
      <c r="H956" s="164"/>
      <c r="I956" s="164"/>
      <c r="J956" s="164"/>
    </row>
    <row r="957" ht="22.5" customHeight="1">
      <c r="A957" s="164"/>
      <c r="B957" s="164"/>
      <c r="C957" s="164"/>
      <c r="D957" s="164"/>
      <c r="E957" s="164"/>
      <c r="F957" s="164"/>
      <c r="G957" s="164"/>
      <c r="H957" s="164"/>
      <c r="I957" s="164"/>
      <c r="J957" s="164"/>
    </row>
    <row r="958" ht="22.5" customHeight="1">
      <c r="A958" s="164"/>
      <c r="B958" s="164"/>
      <c r="C958" s="164"/>
      <c r="D958" s="164"/>
      <c r="E958" s="164"/>
      <c r="F958" s="164"/>
      <c r="G958" s="164"/>
      <c r="H958" s="164"/>
      <c r="I958" s="164"/>
      <c r="J958" s="164"/>
    </row>
    <row r="959" ht="22.5" customHeight="1">
      <c r="A959" s="164"/>
      <c r="B959" s="164"/>
      <c r="C959" s="164"/>
      <c r="D959" s="164"/>
      <c r="E959" s="164"/>
      <c r="F959" s="164"/>
      <c r="G959" s="164"/>
      <c r="H959" s="164"/>
      <c r="I959" s="164"/>
      <c r="J959" s="164"/>
    </row>
    <row r="960" ht="22.5" customHeight="1">
      <c r="A960" s="164"/>
      <c r="B960" s="164"/>
      <c r="C960" s="164"/>
      <c r="D960" s="164"/>
      <c r="E960" s="164"/>
      <c r="F960" s="164"/>
      <c r="G960" s="164"/>
      <c r="H960" s="164"/>
      <c r="I960" s="164"/>
      <c r="J960" s="164"/>
    </row>
    <row r="961" ht="22.5" customHeight="1">
      <c r="A961" s="164"/>
      <c r="B961" s="164"/>
      <c r="C961" s="164"/>
      <c r="D961" s="164"/>
      <c r="E961" s="164"/>
      <c r="F961" s="164"/>
      <c r="G961" s="164"/>
      <c r="H961" s="164"/>
      <c r="I961" s="164"/>
      <c r="J961" s="164"/>
    </row>
    <row r="962" ht="22.5" customHeight="1">
      <c r="A962" s="164"/>
      <c r="B962" s="164"/>
      <c r="C962" s="164"/>
      <c r="D962" s="164"/>
      <c r="E962" s="164"/>
      <c r="F962" s="164"/>
      <c r="G962" s="164"/>
      <c r="H962" s="164"/>
      <c r="I962" s="164"/>
      <c r="J962" s="164"/>
    </row>
    <row r="963" ht="22.5" customHeight="1">
      <c r="A963" s="164"/>
      <c r="B963" s="164"/>
      <c r="C963" s="164"/>
      <c r="D963" s="164"/>
      <c r="E963" s="164"/>
      <c r="F963" s="164"/>
      <c r="G963" s="164"/>
      <c r="H963" s="164"/>
      <c r="I963" s="164"/>
      <c r="J963" s="164"/>
    </row>
    <row r="964" ht="22.5" customHeight="1">
      <c r="A964" s="164"/>
      <c r="B964" s="164"/>
      <c r="C964" s="164"/>
      <c r="D964" s="164"/>
      <c r="E964" s="164"/>
      <c r="F964" s="164"/>
      <c r="G964" s="164"/>
      <c r="H964" s="164"/>
      <c r="I964" s="164"/>
      <c r="J964" s="164"/>
    </row>
    <row r="965" ht="22.5" customHeight="1">
      <c r="A965" s="164"/>
      <c r="B965" s="164"/>
      <c r="C965" s="164"/>
      <c r="D965" s="164"/>
      <c r="E965" s="164"/>
      <c r="F965" s="164"/>
      <c r="G965" s="164"/>
      <c r="H965" s="164"/>
      <c r="I965" s="164"/>
      <c r="J965" s="164"/>
    </row>
    <row r="966" ht="22.5" customHeight="1">
      <c r="A966" s="164"/>
      <c r="B966" s="164"/>
      <c r="C966" s="164"/>
      <c r="D966" s="164"/>
      <c r="E966" s="164"/>
      <c r="F966" s="164"/>
      <c r="G966" s="164"/>
      <c r="H966" s="164"/>
      <c r="I966" s="164"/>
      <c r="J966" s="164"/>
    </row>
    <row r="967" ht="22.5" customHeight="1">
      <c r="A967" s="164"/>
      <c r="B967" s="164"/>
      <c r="C967" s="164"/>
      <c r="D967" s="164"/>
      <c r="E967" s="164"/>
      <c r="F967" s="164"/>
      <c r="G967" s="164"/>
      <c r="H967" s="164"/>
      <c r="I967" s="164"/>
      <c r="J967" s="164"/>
    </row>
    <row r="968" ht="22.5" customHeight="1">
      <c r="A968" s="164"/>
      <c r="B968" s="164"/>
      <c r="C968" s="164"/>
      <c r="D968" s="164"/>
      <c r="E968" s="164"/>
      <c r="F968" s="164"/>
      <c r="G968" s="164"/>
      <c r="H968" s="164"/>
      <c r="I968" s="164"/>
      <c r="J968" s="164"/>
    </row>
    <row r="969" ht="22.5" customHeight="1">
      <c r="A969" s="164"/>
      <c r="B969" s="164"/>
      <c r="C969" s="164"/>
      <c r="D969" s="164"/>
      <c r="E969" s="164"/>
      <c r="F969" s="164"/>
      <c r="G969" s="164"/>
      <c r="H969" s="164"/>
      <c r="I969" s="164"/>
      <c r="J969" s="164"/>
    </row>
    <row r="970" ht="22.5" customHeight="1">
      <c r="A970" s="164"/>
      <c r="B970" s="164"/>
      <c r="C970" s="164"/>
      <c r="D970" s="164"/>
      <c r="E970" s="164"/>
      <c r="F970" s="164"/>
      <c r="G970" s="164"/>
      <c r="H970" s="164"/>
      <c r="I970" s="164"/>
      <c r="J970" s="164"/>
    </row>
    <row r="971" ht="22.5" customHeight="1">
      <c r="A971" s="164"/>
      <c r="B971" s="164"/>
      <c r="C971" s="164"/>
      <c r="D971" s="164"/>
      <c r="E971" s="164"/>
      <c r="F971" s="164"/>
      <c r="G971" s="164"/>
      <c r="H971" s="164"/>
      <c r="I971" s="164"/>
      <c r="J971" s="164"/>
    </row>
    <row r="972" ht="22.5" customHeight="1">
      <c r="A972" s="164"/>
      <c r="B972" s="164"/>
      <c r="C972" s="164"/>
      <c r="D972" s="164"/>
      <c r="E972" s="164"/>
      <c r="F972" s="164"/>
      <c r="G972" s="164"/>
      <c r="H972" s="164"/>
      <c r="I972" s="164"/>
      <c r="J972" s="164"/>
    </row>
    <row r="973" ht="22.5" customHeight="1">
      <c r="A973" s="164"/>
      <c r="B973" s="164"/>
      <c r="C973" s="164"/>
      <c r="D973" s="164"/>
      <c r="E973" s="164"/>
      <c r="F973" s="164"/>
      <c r="G973" s="164"/>
      <c r="H973" s="164"/>
      <c r="I973" s="164"/>
      <c r="J973" s="164"/>
    </row>
    <row r="974" ht="22.5" customHeight="1">
      <c r="A974" s="164"/>
      <c r="B974" s="164"/>
      <c r="C974" s="164"/>
      <c r="D974" s="164"/>
      <c r="E974" s="164"/>
      <c r="F974" s="164"/>
      <c r="G974" s="164"/>
      <c r="H974" s="164"/>
      <c r="I974" s="164"/>
      <c r="J974" s="164"/>
    </row>
    <row r="975" ht="22.5" customHeight="1">
      <c r="A975" s="164"/>
      <c r="B975" s="164"/>
      <c r="C975" s="164"/>
      <c r="D975" s="164"/>
      <c r="E975" s="164"/>
      <c r="F975" s="164"/>
      <c r="G975" s="164"/>
      <c r="H975" s="164"/>
      <c r="I975" s="164"/>
      <c r="J975" s="164"/>
    </row>
    <row r="976" ht="22.5" customHeight="1">
      <c r="A976" s="164"/>
      <c r="B976" s="164"/>
      <c r="C976" s="164"/>
      <c r="D976" s="164"/>
      <c r="E976" s="164"/>
      <c r="F976" s="164"/>
      <c r="G976" s="164"/>
      <c r="H976" s="164"/>
      <c r="I976" s="164"/>
      <c r="J976" s="164"/>
    </row>
    <row r="977" ht="22.5" customHeight="1">
      <c r="A977" s="164"/>
      <c r="B977" s="164"/>
      <c r="C977" s="164"/>
      <c r="D977" s="164"/>
      <c r="E977" s="164"/>
      <c r="F977" s="164"/>
      <c r="G977" s="164"/>
      <c r="H977" s="164"/>
      <c r="I977" s="164"/>
      <c r="J977" s="164"/>
    </row>
    <row r="978" ht="22.5" customHeight="1">
      <c r="A978" s="164"/>
      <c r="B978" s="164"/>
      <c r="C978" s="164"/>
      <c r="D978" s="164"/>
      <c r="E978" s="164"/>
      <c r="F978" s="164"/>
      <c r="G978" s="164"/>
      <c r="H978" s="164"/>
      <c r="I978" s="164"/>
      <c r="J978" s="164"/>
    </row>
    <row r="979" ht="22.5" customHeight="1">
      <c r="A979" s="164"/>
      <c r="B979" s="164"/>
      <c r="C979" s="164"/>
      <c r="D979" s="164"/>
      <c r="E979" s="164"/>
      <c r="F979" s="164"/>
      <c r="G979" s="164"/>
      <c r="H979" s="164"/>
      <c r="I979" s="164"/>
      <c r="J979" s="164"/>
    </row>
    <row r="980" ht="22.5" customHeight="1">
      <c r="A980" s="164"/>
      <c r="B980" s="164"/>
      <c r="C980" s="164"/>
      <c r="D980" s="164"/>
      <c r="E980" s="164"/>
      <c r="F980" s="164"/>
      <c r="G980" s="164"/>
      <c r="H980" s="164"/>
      <c r="I980" s="164"/>
      <c r="J980" s="164"/>
    </row>
    <row r="981" ht="22.5" customHeight="1">
      <c r="A981" s="164"/>
      <c r="B981" s="164"/>
      <c r="C981" s="164"/>
      <c r="D981" s="164"/>
      <c r="E981" s="164"/>
      <c r="F981" s="164"/>
      <c r="G981" s="164"/>
      <c r="H981" s="164"/>
      <c r="I981" s="164"/>
      <c r="J981" s="164"/>
    </row>
    <row r="982" ht="22.5" customHeight="1">
      <c r="A982" s="164"/>
      <c r="B982" s="164"/>
      <c r="C982" s="164"/>
      <c r="D982" s="164"/>
      <c r="E982" s="164"/>
      <c r="F982" s="164"/>
      <c r="G982" s="164"/>
      <c r="H982" s="164"/>
      <c r="I982" s="164"/>
      <c r="J982" s="164"/>
    </row>
    <row r="983" ht="22.5" customHeight="1">
      <c r="A983" s="164"/>
      <c r="B983" s="164"/>
      <c r="C983" s="164"/>
      <c r="D983" s="164"/>
      <c r="E983" s="164"/>
      <c r="F983" s="164"/>
      <c r="G983" s="164"/>
      <c r="H983" s="164"/>
      <c r="I983" s="164"/>
      <c r="J983" s="164"/>
    </row>
    <row r="984" ht="22.5" customHeight="1">
      <c r="A984" s="164"/>
      <c r="B984" s="164"/>
      <c r="C984" s="164"/>
      <c r="D984" s="164"/>
      <c r="E984" s="164"/>
      <c r="F984" s="164"/>
      <c r="G984" s="164"/>
      <c r="H984" s="164"/>
      <c r="I984" s="164"/>
      <c r="J984" s="164"/>
    </row>
    <row r="985" ht="22.5" customHeight="1">
      <c r="A985" s="164"/>
      <c r="B985" s="164"/>
      <c r="C985" s="164"/>
      <c r="D985" s="164"/>
      <c r="E985" s="164"/>
      <c r="F985" s="164"/>
      <c r="G985" s="164"/>
      <c r="H985" s="164"/>
      <c r="I985" s="164"/>
      <c r="J985" s="164"/>
    </row>
    <row r="986" ht="22.5" customHeight="1">
      <c r="A986" s="164"/>
      <c r="B986" s="164"/>
      <c r="C986" s="164"/>
      <c r="D986" s="164"/>
      <c r="E986" s="164"/>
      <c r="F986" s="164"/>
      <c r="G986" s="164"/>
      <c r="H986" s="164"/>
      <c r="I986" s="164"/>
      <c r="J986" s="164"/>
    </row>
    <row r="987" ht="22.5" customHeight="1">
      <c r="A987" s="164"/>
      <c r="B987" s="164"/>
      <c r="C987" s="164"/>
      <c r="D987" s="164"/>
      <c r="E987" s="164"/>
      <c r="F987" s="164"/>
      <c r="G987" s="164"/>
      <c r="H987" s="164"/>
      <c r="I987" s="164"/>
      <c r="J987" s="164"/>
    </row>
    <row r="988" ht="22.5" customHeight="1">
      <c r="A988" s="164"/>
      <c r="B988" s="164"/>
      <c r="C988" s="164"/>
      <c r="D988" s="164"/>
      <c r="E988" s="164"/>
      <c r="F988" s="164"/>
      <c r="G988" s="164"/>
      <c r="H988" s="164"/>
      <c r="I988" s="164"/>
      <c r="J988" s="164"/>
    </row>
    <row r="989" ht="22.5" customHeight="1">
      <c r="A989" s="164"/>
      <c r="B989" s="164"/>
      <c r="C989" s="164"/>
      <c r="D989" s="164"/>
      <c r="E989" s="164"/>
      <c r="F989" s="164"/>
      <c r="G989" s="164"/>
      <c r="H989" s="164"/>
      <c r="I989" s="164"/>
      <c r="J989" s="164"/>
    </row>
    <row r="990" ht="22.5" customHeight="1">
      <c r="A990" s="164"/>
      <c r="B990" s="164"/>
      <c r="C990" s="164"/>
      <c r="D990" s="164"/>
      <c r="E990" s="164"/>
      <c r="F990" s="164"/>
      <c r="G990" s="164"/>
      <c r="H990" s="164"/>
      <c r="I990" s="164"/>
      <c r="J990" s="164"/>
    </row>
    <row r="991" ht="22.5" customHeight="1">
      <c r="A991" s="164"/>
      <c r="B991" s="164"/>
      <c r="C991" s="164"/>
      <c r="D991" s="164"/>
      <c r="E991" s="164"/>
      <c r="F991" s="164"/>
      <c r="G991" s="164"/>
      <c r="H991" s="164"/>
      <c r="I991" s="164"/>
      <c r="J991" s="164"/>
    </row>
    <row r="992" ht="22.5" customHeight="1">
      <c r="A992" s="164"/>
      <c r="B992" s="164"/>
      <c r="C992" s="164"/>
      <c r="D992" s="164"/>
      <c r="E992" s="164"/>
      <c r="F992" s="164"/>
      <c r="G992" s="164"/>
      <c r="H992" s="164"/>
      <c r="I992" s="164"/>
      <c r="J992" s="164"/>
    </row>
    <row r="993" ht="22.5" customHeight="1">
      <c r="A993" s="164"/>
      <c r="B993" s="164"/>
      <c r="C993" s="164"/>
      <c r="D993" s="164"/>
      <c r="E993" s="164"/>
      <c r="F993" s="164"/>
      <c r="G993" s="164"/>
      <c r="H993" s="164"/>
      <c r="I993" s="164"/>
      <c r="J993" s="164"/>
    </row>
    <row r="994" ht="22.5" customHeight="1">
      <c r="A994" s="164"/>
      <c r="B994" s="164"/>
      <c r="C994" s="164"/>
      <c r="D994" s="164"/>
      <c r="E994" s="164"/>
      <c r="F994" s="164"/>
      <c r="G994" s="164"/>
      <c r="H994" s="164"/>
      <c r="I994" s="164"/>
      <c r="J994" s="164"/>
    </row>
    <row r="995" ht="22.5" customHeight="1">
      <c r="A995" s="164"/>
      <c r="B995" s="164"/>
      <c r="C995" s="164"/>
      <c r="D995" s="164"/>
      <c r="E995" s="164"/>
      <c r="F995" s="164"/>
      <c r="G995" s="164"/>
      <c r="H995" s="164"/>
      <c r="I995" s="164"/>
      <c r="J995" s="164"/>
    </row>
    <row r="996" ht="22.5" customHeight="1">
      <c r="A996" s="164"/>
      <c r="B996" s="164"/>
      <c r="C996" s="164"/>
      <c r="D996" s="164"/>
      <c r="E996" s="164"/>
      <c r="F996" s="164"/>
      <c r="G996" s="164"/>
      <c r="H996" s="164"/>
      <c r="I996" s="164"/>
      <c r="J996" s="164"/>
    </row>
    <row r="997" ht="22.5" customHeight="1">
      <c r="A997" s="164"/>
      <c r="B997" s="164"/>
      <c r="C997" s="164"/>
      <c r="D997" s="164"/>
      <c r="E997" s="164"/>
      <c r="F997" s="164"/>
      <c r="G997" s="164"/>
      <c r="H997" s="164"/>
      <c r="I997" s="164"/>
      <c r="J997" s="164"/>
    </row>
    <row r="998" ht="22.5" customHeight="1">
      <c r="A998" s="164"/>
      <c r="B998" s="164"/>
      <c r="C998" s="164"/>
      <c r="D998" s="164"/>
      <c r="E998" s="164"/>
      <c r="F998" s="164"/>
      <c r="G998" s="164"/>
      <c r="H998" s="164"/>
      <c r="I998" s="164"/>
      <c r="J998" s="164"/>
    </row>
    <row r="999" ht="22.5" customHeight="1">
      <c r="A999" s="164"/>
      <c r="B999" s="164"/>
      <c r="C999" s="164"/>
      <c r="D999" s="164"/>
      <c r="E999" s="164"/>
      <c r="F999" s="164"/>
      <c r="G999" s="164"/>
      <c r="H999" s="164"/>
      <c r="I999" s="164"/>
      <c r="J999" s="164"/>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7" width="24.25"/>
  </cols>
  <sheetData>
    <row r="1" ht="22.5" customHeight="1">
      <c r="A1" s="27" t="s">
        <v>4846</v>
      </c>
      <c r="B1" s="27" t="s">
        <v>4847</v>
      </c>
      <c r="C1" s="27" t="s">
        <v>4848</v>
      </c>
      <c r="D1" s="27" t="s">
        <v>4849</v>
      </c>
      <c r="E1" s="27" t="s">
        <v>4850</v>
      </c>
      <c r="F1" s="27" t="s">
        <v>4851</v>
      </c>
      <c r="G1" s="27" t="s">
        <v>4852</v>
      </c>
    </row>
    <row r="2" ht="22.5" customHeight="1">
      <c r="A2" s="32" t="s">
        <v>4853</v>
      </c>
      <c r="B2" s="32" t="s">
        <v>4854</v>
      </c>
      <c r="C2" s="32" t="s">
        <v>4855</v>
      </c>
      <c r="D2" s="32" t="s">
        <v>4856</v>
      </c>
      <c r="E2" s="32" t="s">
        <v>4857</v>
      </c>
      <c r="F2" s="32" t="s">
        <v>4858</v>
      </c>
      <c r="G2" s="32" t="s">
        <v>4859</v>
      </c>
    </row>
    <row r="3" ht="22.5" customHeight="1">
      <c r="A3" s="164"/>
      <c r="B3" s="164"/>
      <c r="C3" s="164"/>
      <c r="D3" s="164"/>
      <c r="E3" s="164"/>
      <c r="F3" s="164"/>
      <c r="G3" s="164"/>
    </row>
    <row r="4" ht="22.5" customHeight="1">
      <c r="A4" s="164"/>
      <c r="B4" s="164"/>
      <c r="C4" s="164"/>
      <c r="D4" s="164"/>
      <c r="E4" s="164"/>
      <c r="F4" s="164"/>
      <c r="G4" s="164"/>
    </row>
    <row r="5" ht="22.5" customHeight="1">
      <c r="A5" s="164"/>
      <c r="B5" s="164"/>
      <c r="C5" s="164"/>
      <c r="D5" s="164"/>
      <c r="E5" s="164"/>
      <c r="F5" s="164"/>
      <c r="G5" s="164"/>
    </row>
    <row r="6" ht="22.5" customHeight="1">
      <c r="A6" s="164"/>
      <c r="B6" s="164"/>
      <c r="C6" s="164"/>
      <c r="D6" s="164"/>
      <c r="E6" s="164"/>
      <c r="F6" s="164"/>
      <c r="G6" s="164"/>
    </row>
    <row r="7" ht="22.5" customHeight="1">
      <c r="A7" s="164"/>
      <c r="B7" s="164"/>
      <c r="C7" s="164"/>
      <c r="D7" s="164"/>
      <c r="E7" s="164"/>
      <c r="F7" s="164"/>
      <c r="G7" s="164"/>
    </row>
    <row r="8" ht="22.5" customHeight="1">
      <c r="A8" s="164"/>
      <c r="B8" s="164"/>
      <c r="C8" s="164"/>
      <c r="D8" s="164"/>
      <c r="E8" s="164"/>
      <c r="F8" s="164"/>
      <c r="G8" s="164"/>
    </row>
    <row r="9" ht="22.5" customHeight="1">
      <c r="A9" s="164"/>
      <c r="B9" s="164"/>
      <c r="C9" s="164"/>
      <c r="D9" s="164"/>
      <c r="E9" s="164"/>
      <c r="F9" s="164"/>
      <c r="G9" s="164"/>
    </row>
    <row r="10" ht="22.5" customHeight="1">
      <c r="A10" s="164"/>
      <c r="B10" s="164"/>
      <c r="C10" s="164"/>
      <c r="D10" s="164"/>
      <c r="E10" s="164"/>
      <c r="F10" s="164"/>
      <c r="G10" s="164"/>
    </row>
    <row r="11" ht="22.5" customHeight="1">
      <c r="A11" s="164"/>
      <c r="B11" s="164"/>
      <c r="C11" s="164"/>
      <c r="D11" s="164"/>
      <c r="E11" s="164"/>
      <c r="F11" s="164"/>
      <c r="G11" s="164"/>
    </row>
    <row r="12" ht="22.5" customHeight="1">
      <c r="A12" s="164"/>
      <c r="B12" s="164"/>
      <c r="C12" s="164"/>
      <c r="D12" s="164"/>
      <c r="E12" s="164"/>
      <c r="F12" s="164"/>
      <c r="G12" s="164"/>
    </row>
    <row r="13" ht="22.5" customHeight="1">
      <c r="A13" s="164"/>
      <c r="B13" s="164"/>
      <c r="C13" s="164"/>
      <c r="D13" s="164"/>
      <c r="E13" s="164"/>
      <c r="F13" s="164"/>
      <c r="G13" s="164"/>
    </row>
    <row r="14" ht="22.5" customHeight="1">
      <c r="A14" s="164"/>
      <c r="B14" s="164"/>
      <c r="C14" s="164"/>
      <c r="D14" s="164"/>
      <c r="E14" s="164"/>
      <c r="F14" s="164"/>
      <c r="G14" s="164"/>
    </row>
    <row r="15" ht="22.5" customHeight="1">
      <c r="A15" s="164"/>
      <c r="B15" s="164"/>
      <c r="C15" s="164"/>
      <c r="D15" s="164"/>
      <c r="E15" s="164"/>
      <c r="F15" s="164"/>
      <c r="G15" s="164"/>
    </row>
    <row r="16" ht="22.5" customHeight="1">
      <c r="A16" s="164"/>
      <c r="B16" s="164"/>
      <c r="C16" s="164"/>
      <c r="D16" s="164"/>
      <c r="E16" s="164"/>
      <c r="F16" s="164"/>
      <c r="G16" s="164"/>
    </row>
    <row r="17" ht="22.5" customHeight="1">
      <c r="A17" s="164"/>
      <c r="B17" s="164"/>
      <c r="C17" s="164"/>
      <c r="D17" s="164"/>
      <c r="E17" s="164"/>
      <c r="F17" s="164"/>
      <c r="G17" s="164"/>
    </row>
    <row r="18" ht="22.5" customHeight="1">
      <c r="A18" s="164"/>
      <c r="B18" s="164"/>
      <c r="C18" s="164"/>
      <c r="D18" s="164"/>
      <c r="E18" s="164"/>
      <c r="F18" s="164"/>
      <c r="G18" s="164"/>
    </row>
    <row r="19" ht="22.5" customHeight="1">
      <c r="A19" s="164"/>
      <c r="B19" s="164"/>
      <c r="C19" s="164"/>
      <c r="D19" s="164"/>
      <c r="E19" s="164"/>
      <c r="F19" s="164"/>
      <c r="G19" s="164"/>
    </row>
    <row r="20" ht="22.5" customHeight="1">
      <c r="A20" s="164"/>
      <c r="B20" s="164"/>
      <c r="C20" s="164"/>
      <c r="D20" s="164"/>
      <c r="E20" s="164"/>
      <c r="F20" s="164"/>
      <c r="G20" s="164"/>
    </row>
    <row r="21" ht="22.5" customHeight="1">
      <c r="A21" s="164"/>
      <c r="B21" s="164"/>
      <c r="C21" s="164"/>
      <c r="D21" s="164"/>
      <c r="E21" s="164"/>
      <c r="F21" s="164"/>
      <c r="G21" s="164"/>
    </row>
    <row r="22" ht="22.5" customHeight="1">
      <c r="A22" s="164"/>
      <c r="B22" s="164"/>
      <c r="C22" s="164"/>
      <c r="D22" s="164"/>
      <c r="E22" s="164"/>
      <c r="F22" s="164"/>
      <c r="G22" s="164"/>
    </row>
    <row r="23" ht="22.5" customHeight="1">
      <c r="A23" s="164"/>
      <c r="B23" s="164"/>
      <c r="C23" s="164"/>
      <c r="D23" s="164"/>
      <c r="E23" s="164"/>
      <c r="F23" s="164"/>
      <c r="G23" s="164"/>
    </row>
    <row r="24" ht="22.5" customHeight="1">
      <c r="A24" s="164"/>
      <c r="B24" s="164"/>
      <c r="C24" s="164"/>
      <c r="D24" s="164"/>
      <c r="E24" s="164"/>
      <c r="F24" s="164"/>
      <c r="G24" s="164"/>
    </row>
    <row r="25" ht="22.5" customHeight="1">
      <c r="A25" s="164"/>
      <c r="B25" s="164"/>
      <c r="C25" s="164"/>
      <c r="D25" s="164"/>
      <c r="E25" s="164"/>
      <c r="F25" s="164"/>
      <c r="G25" s="164"/>
    </row>
    <row r="26" ht="22.5" customHeight="1">
      <c r="A26" s="164"/>
      <c r="B26" s="164"/>
      <c r="C26" s="164"/>
      <c r="D26" s="164"/>
      <c r="E26" s="164"/>
      <c r="F26" s="164"/>
      <c r="G26" s="164"/>
    </row>
    <row r="27" ht="22.5" customHeight="1">
      <c r="A27" s="164"/>
      <c r="B27" s="164"/>
      <c r="C27" s="164"/>
      <c r="D27" s="164"/>
      <c r="E27" s="164"/>
      <c r="F27" s="164"/>
      <c r="G27" s="164"/>
    </row>
    <row r="28" ht="22.5" customHeight="1">
      <c r="A28" s="164"/>
      <c r="B28" s="164"/>
      <c r="C28" s="164"/>
      <c r="D28" s="164"/>
      <c r="E28" s="164"/>
      <c r="F28" s="164"/>
      <c r="G28" s="164"/>
    </row>
    <row r="29" ht="22.5" customHeight="1">
      <c r="A29" s="164"/>
      <c r="B29" s="164"/>
      <c r="C29" s="164"/>
      <c r="D29" s="164"/>
      <c r="E29" s="164"/>
      <c r="F29" s="164"/>
      <c r="G29" s="164"/>
    </row>
    <row r="30" ht="22.5" customHeight="1">
      <c r="A30" s="164"/>
      <c r="B30" s="164"/>
      <c r="C30" s="164"/>
      <c r="D30" s="164"/>
      <c r="E30" s="164"/>
      <c r="F30" s="164"/>
      <c r="G30" s="164"/>
    </row>
    <row r="31" ht="22.5" customHeight="1">
      <c r="A31" s="164"/>
      <c r="B31" s="164"/>
      <c r="C31" s="164"/>
      <c r="D31" s="164"/>
      <c r="E31" s="164"/>
      <c r="F31" s="164"/>
      <c r="G31" s="164"/>
    </row>
    <row r="32" ht="22.5" customHeight="1">
      <c r="A32" s="164"/>
      <c r="B32" s="164"/>
      <c r="C32" s="164"/>
      <c r="D32" s="164"/>
      <c r="E32" s="164"/>
      <c r="F32" s="164"/>
      <c r="G32" s="164"/>
    </row>
    <row r="33" ht="22.5" customHeight="1">
      <c r="A33" s="164"/>
      <c r="B33" s="164"/>
      <c r="C33" s="164"/>
      <c r="D33" s="164"/>
      <c r="E33" s="164"/>
      <c r="F33" s="164"/>
      <c r="G33" s="164"/>
    </row>
    <row r="34" ht="22.5" customHeight="1">
      <c r="A34" s="164"/>
      <c r="B34" s="164"/>
      <c r="C34" s="164"/>
      <c r="D34" s="164"/>
      <c r="E34" s="164"/>
      <c r="F34" s="164"/>
      <c r="G34" s="164"/>
    </row>
    <row r="35" ht="22.5" customHeight="1">
      <c r="A35" s="164"/>
      <c r="B35" s="164"/>
      <c r="C35" s="164"/>
      <c r="D35" s="164"/>
      <c r="E35" s="164"/>
      <c r="F35" s="164"/>
      <c r="G35" s="164"/>
    </row>
    <row r="36" ht="22.5" customHeight="1">
      <c r="A36" s="164"/>
      <c r="B36" s="164"/>
      <c r="C36" s="164"/>
      <c r="D36" s="164"/>
      <c r="E36" s="164"/>
      <c r="F36" s="164"/>
      <c r="G36" s="164"/>
    </row>
    <row r="37" ht="22.5" customHeight="1">
      <c r="A37" s="164"/>
      <c r="B37" s="164"/>
      <c r="C37" s="164"/>
      <c r="D37" s="164"/>
      <c r="E37" s="164"/>
      <c r="F37" s="164"/>
      <c r="G37" s="164"/>
    </row>
    <row r="38" ht="22.5" customHeight="1">
      <c r="A38" s="164"/>
      <c r="B38" s="164"/>
      <c r="C38" s="164"/>
      <c r="D38" s="164"/>
      <c r="E38" s="164"/>
      <c r="F38" s="164"/>
      <c r="G38" s="164"/>
    </row>
    <row r="39" ht="22.5" customHeight="1">
      <c r="A39" s="164"/>
      <c r="B39" s="164"/>
      <c r="C39" s="164"/>
      <c r="D39" s="164"/>
      <c r="E39" s="164"/>
      <c r="F39" s="164"/>
      <c r="G39" s="164"/>
    </row>
    <row r="40" ht="22.5" customHeight="1">
      <c r="A40" s="164"/>
      <c r="B40" s="164"/>
      <c r="C40" s="164"/>
      <c r="D40" s="164"/>
      <c r="E40" s="164"/>
      <c r="F40" s="164"/>
      <c r="G40" s="164"/>
    </row>
    <row r="41" ht="22.5" customHeight="1">
      <c r="A41" s="164"/>
      <c r="B41" s="164"/>
      <c r="C41" s="164"/>
      <c r="D41" s="164"/>
      <c r="E41" s="164"/>
      <c r="F41" s="164"/>
      <c r="G41" s="164"/>
    </row>
    <row r="42" ht="22.5" customHeight="1">
      <c r="A42" s="164"/>
      <c r="B42" s="164"/>
      <c r="C42" s="164"/>
      <c r="D42" s="164"/>
      <c r="E42" s="164"/>
      <c r="F42" s="164"/>
      <c r="G42" s="164"/>
    </row>
    <row r="43" ht="22.5" customHeight="1">
      <c r="A43" s="164"/>
      <c r="B43" s="164"/>
      <c r="C43" s="164"/>
      <c r="D43" s="164"/>
      <c r="E43" s="164"/>
      <c r="F43" s="164"/>
      <c r="G43" s="164"/>
    </row>
    <row r="44" ht="22.5" customHeight="1">
      <c r="A44" s="164"/>
      <c r="B44" s="164"/>
      <c r="C44" s="164"/>
      <c r="D44" s="164"/>
      <c r="E44" s="164"/>
      <c r="F44" s="164"/>
      <c r="G44" s="164"/>
    </row>
    <row r="45" ht="22.5" customHeight="1">
      <c r="A45" s="164"/>
      <c r="B45" s="164"/>
      <c r="C45" s="164"/>
      <c r="D45" s="164"/>
      <c r="E45" s="164"/>
      <c r="F45" s="164"/>
      <c r="G45" s="164"/>
    </row>
    <row r="46" ht="22.5" customHeight="1">
      <c r="A46" s="164"/>
      <c r="B46" s="164"/>
      <c r="C46" s="164"/>
      <c r="D46" s="164"/>
      <c r="E46" s="164"/>
      <c r="F46" s="164"/>
      <c r="G46" s="164"/>
    </row>
    <row r="47" ht="22.5" customHeight="1">
      <c r="A47" s="164"/>
      <c r="B47" s="164"/>
      <c r="C47" s="164"/>
      <c r="D47" s="164"/>
      <c r="E47" s="164"/>
      <c r="F47" s="164"/>
      <c r="G47" s="164"/>
    </row>
    <row r="48" ht="22.5" customHeight="1">
      <c r="A48" s="164"/>
      <c r="B48" s="164"/>
      <c r="C48" s="164"/>
      <c r="D48" s="164"/>
      <c r="E48" s="164"/>
      <c r="F48" s="164"/>
      <c r="G48" s="164"/>
    </row>
    <row r="49" ht="22.5" customHeight="1">
      <c r="A49" s="164"/>
      <c r="B49" s="164"/>
      <c r="C49" s="164"/>
      <c r="D49" s="164"/>
      <c r="E49" s="164"/>
      <c r="F49" s="164"/>
      <c r="G49" s="164"/>
    </row>
    <row r="50" ht="22.5" customHeight="1">
      <c r="A50" s="164"/>
      <c r="B50" s="164"/>
      <c r="C50" s="164"/>
      <c r="D50" s="164"/>
      <c r="E50" s="164"/>
      <c r="F50" s="164"/>
      <c r="G50" s="164"/>
    </row>
    <row r="51" ht="22.5" customHeight="1">
      <c r="A51" s="164"/>
      <c r="B51" s="164"/>
      <c r="C51" s="164"/>
      <c r="D51" s="164"/>
      <c r="E51" s="164"/>
      <c r="F51" s="164"/>
      <c r="G51" s="164"/>
    </row>
    <row r="52" ht="22.5" customHeight="1">
      <c r="A52" s="164"/>
      <c r="B52" s="164"/>
      <c r="C52" s="164"/>
      <c r="D52" s="164"/>
      <c r="E52" s="164"/>
      <c r="F52" s="164"/>
      <c r="G52" s="164"/>
    </row>
    <row r="53" ht="22.5" customHeight="1">
      <c r="A53" s="164"/>
      <c r="B53" s="164"/>
      <c r="C53" s="164"/>
      <c r="D53" s="164"/>
      <c r="E53" s="164"/>
      <c r="F53" s="164"/>
      <c r="G53" s="164"/>
    </row>
    <row r="54" ht="22.5" customHeight="1">
      <c r="A54" s="164"/>
      <c r="B54" s="164"/>
      <c r="C54" s="164"/>
      <c r="D54" s="164"/>
      <c r="E54" s="164"/>
      <c r="F54" s="164"/>
      <c r="G54" s="164"/>
    </row>
    <row r="55" ht="22.5" customHeight="1">
      <c r="A55" s="164"/>
      <c r="B55" s="164"/>
      <c r="C55" s="164"/>
      <c r="D55" s="164"/>
      <c r="E55" s="164"/>
      <c r="F55" s="164"/>
      <c r="G55" s="164"/>
    </row>
    <row r="56" ht="22.5" customHeight="1">
      <c r="A56" s="164"/>
      <c r="B56" s="164"/>
      <c r="C56" s="164"/>
      <c r="D56" s="164"/>
      <c r="E56" s="164"/>
      <c r="F56" s="164"/>
      <c r="G56" s="164"/>
    </row>
    <row r="57" ht="22.5" customHeight="1">
      <c r="A57" s="164"/>
      <c r="B57" s="164"/>
      <c r="C57" s="164"/>
      <c r="D57" s="164"/>
      <c r="E57" s="164"/>
      <c r="F57" s="164"/>
      <c r="G57" s="164"/>
    </row>
    <row r="58" ht="22.5" customHeight="1">
      <c r="A58" s="164"/>
      <c r="B58" s="164"/>
      <c r="C58" s="164"/>
      <c r="D58" s="164"/>
      <c r="E58" s="164"/>
      <c r="F58" s="164"/>
      <c r="G58" s="164"/>
    </row>
    <row r="59" ht="22.5" customHeight="1">
      <c r="A59" s="164"/>
      <c r="B59" s="164"/>
      <c r="C59" s="164"/>
      <c r="D59" s="164"/>
      <c r="E59" s="164"/>
      <c r="F59" s="164"/>
      <c r="G59" s="164"/>
    </row>
    <row r="60" ht="22.5" customHeight="1">
      <c r="A60" s="164"/>
      <c r="B60" s="164"/>
      <c r="C60" s="164"/>
      <c r="D60" s="164"/>
      <c r="E60" s="164"/>
      <c r="F60" s="164"/>
      <c r="G60" s="164"/>
    </row>
    <row r="61" ht="22.5" customHeight="1">
      <c r="A61" s="164"/>
      <c r="B61" s="164"/>
      <c r="C61" s="164"/>
      <c r="D61" s="164"/>
      <c r="E61" s="164"/>
      <c r="F61" s="164"/>
      <c r="G61" s="164"/>
    </row>
    <row r="62" ht="22.5" customHeight="1">
      <c r="A62" s="164"/>
      <c r="B62" s="164"/>
      <c r="C62" s="164"/>
      <c r="D62" s="164"/>
      <c r="E62" s="164"/>
      <c r="F62" s="164"/>
      <c r="G62" s="164"/>
    </row>
    <row r="63" ht="22.5" customHeight="1">
      <c r="A63" s="164"/>
      <c r="B63" s="164"/>
      <c r="C63" s="164"/>
      <c r="D63" s="164"/>
      <c r="E63" s="164"/>
      <c r="F63" s="164"/>
      <c r="G63" s="164"/>
    </row>
    <row r="64" ht="22.5" customHeight="1">
      <c r="A64" s="164"/>
      <c r="B64" s="164"/>
      <c r="C64" s="164"/>
      <c r="D64" s="164"/>
      <c r="E64" s="164"/>
      <c r="F64" s="164"/>
      <c r="G64" s="164"/>
    </row>
    <row r="65" ht="22.5" customHeight="1">
      <c r="A65" s="164"/>
      <c r="B65" s="164"/>
      <c r="C65" s="164"/>
      <c r="D65" s="164"/>
      <c r="E65" s="164"/>
      <c r="F65" s="164"/>
      <c r="G65" s="164"/>
    </row>
    <row r="66" ht="22.5" customHeight="1">
      <c r="A66" s="164"/>
      <c r="B66" s="164"/>
      <c r="C66" s="164"/>
      <c r="D66" s="164"/>
      <c r="E66" s="164"/>
      <c r="F66" s="164"/>
      <c r="G66" s="164"/>
    </row>
    <row r="67" ht="22.5" customHeight="1">
      <c r="A67" s="164"/>
      <c r="B67" s="164"/>
      <c r="C67" s="164"/>
      <c r="D67" s="164"/>
      <c r="E67" s="164"/>
      <c r="F67" s="164"/>
      <c r="G67" s="164"/>
    </row>
    <row r="68" ht="22.5" customHeight="1">
      <c r="A68" s="164"/>
      <c r="B68" s="164"/>
      <c r="C68" s="164"/>
      <c r="D68" s="164"/>
      <c r="E68" s="164"/>
      <c r="F68" s="164"/>
      <c r="G68" s="164"/>
    </row>
    <row r="69" ht="22.5" customHeight="1">
      <c r="A69" s="164"/>
      <c r="B69" s="164"/>
      <c r="C69" s="164"/>
      <c r="D69" s="164"/>
      <c r="E69" s="164"/>
      <c r="F69" s="164"/>
      <c r="G69" s="164"/>
    </row>
    <row r="70" ht="22.5" customHeight="1">
      <c r="A70" s="164"/>
      <c r="B70" s="164"/>
      <c r="C70" s="164"/>
      <c r="D70" s="164"/>
      <c r="E70" s="164"/>
      <c r="F70" s="164"/>
      <c r="G70" s="164"/>
    </row>
    <row r="71" ht="22.5" customHeight="1">
      <c r="A71" s="164"/>
      <c r="B71" s="164"/>
      <c r="C71" s="164"/>
      <c r="D71" s="164"/>
      <c r="E71" s="164"/>
      <c r="F71" s="164"/>
      <c r="G71" s="164"/>
    </row>
    <row r="72" ht="22.5" customHeight="1">
      <c r="A72" s="164"/>
      <c r="B72" s="164"/>
      <c r="C72" s="164"/>
      <c r="D72" s="164"/>
      <c r="E72" s="164"/>
      <c r="F72" s="164"/>
      <c r="G72" s="164"/>
    </row>
    <row r="73" ht="22.5" customHeight="1">
      <c r="A73" s="164"/>
      <c r="B73" s="164"/>
      <c r="C73" s="164"/>
      <c r="D73" s="164"/>
      <c r="E73" s="164"/>
      <c r="F73" s="164"/>
      <c r="G73" s="164"/>
    </row>
    <row r="74" ht="22.5" customHeight="1">
      <c r="A74" s="164"/>
      <c r="B74" s="164"/>
      <c r="C74" s="164"/>
      <c r="D74" s="164"/>
      <c r="E74" s="164"/>
      <c r="F74" s="164"/>
      <c r="G74" s="164"/>
    </row>
    <row r="75" ht="22.5" customHeight="1">
      <c r="A75" s="164"/>
      <c r="B75" s="164"/>
      <c r="C75" s="164"/>
      <c r="D75" s="164"/>
      <c r="E75" s="164"/>
      <c r="F75" s="164"/>
      <c r="G75" s="164"/>
    </row>
    <row r="76" ht="22.5" customHeight="1">
      <c r="A76" s="164"/>
      <c r="B76" s="164"/>
      <c r="C76" s="164"/>
      <c r="D76" s="164"/>
      <c r="E76" s="164"/>
      <c r="F76" s="164"/>
      <c r="G76" s="164"/>
    </row>
    <row r="77" ht="22.5" customHeight="1">
      <c r="A77" s="164"/>
      <c r="B77" s="164"/>
      <c r="C77" s="164"/>
      <c r="D77" s="164"/>
      <c r="E77" s="164"/>
      <c r="F77" s="164"/>
      <c r="G77" s="164"/>
    </row>
    <row r="78" ht="22.5" customHeight="1">
      <c r="A78" s="164"/>
      <c r="B78" s="164"/>
      <c r="C78" s="164"/>
      <c r="D78" s="164"/>
      <c r="E78" s="164"/>
      <c r="F78" s="164"/>
      <c r="G78" s="164"/>
    </row>
    <row r="79" ht="22.5" customHeight="1">
      <c r="A79" s="164"/>
      <c r="B79" s="164"/>
      <c r="C79" s="164"/>
      <c r="D79" s="164"/>
      <c r="E79" s="164"/>
      <c r="F79" s="164"/>
      <c r="G79" s="164"/>
    </row>
    <row r="80" ht="22.5" customHeight="1">
      <c r="A80" s="164"/>
      <c r="B80" s="164"/>
      <c r="C80" s="164"/>
      <c r="D80" s="164"/>
      <c r="E80" s="164"/>
      <c r="F80" s="164"/>
      <c r="G80" s="164"/>
    </row>
    <row r="81" ht="22.5" customHeight="1">
      <c r="A81" s="164"/>
      <c r="B81" s="164"/>
      <c r="C81" s="164"/>
      <c r="D81" s="164"/>
      <c r="E81" s="164"/>
      <c r="F81" s="164"/>
      <c r="G81" s="164"/>
    </row>
    <row r="82" ht="22.5" customHeight="1">
      <c r="A82" s="164"/>
      <c r="B82" s="164"/>
      <c r="C82" s="164"/>
      <c r="D82" s="164"/>
      <c r="E82" s="164"/>
      <c r="F82" s="164"/>
      <c r="G82" s="164"/>
    </row>
    <row r="83" ht="22.5" customHeight="1">
      <c r="A83" s="164"/>
      <c r="B83" s="164"/>
      <c r="C83" s="164"/>
      <c r="D83" s="164"/>
      <c r="E83" s="164"/>
      <c r="F83" s="164"/>
      <c r="G83" s="164"/>
    </row>
    <row r="84" ht="22.5" customHeight="1">
      <c r="A84" s="164"/>
      <c r="B84" s="164"/>
      <c r="C84" s="164"/>
      <c r="D84" s="164"/>
      <c r="E84" s="164"/>
      <c r="F84" s="164"/>
      <c r="G84" s="164"/>
    </row>
    <row r="85" ht="22.5" customHeight="1">
      <c r="A85" s="164"/>
      <c r="B85" s="164"/>
      <c r="C85" s="164"/>
      <c r="D85" s="164"/>
      <c r="E85" s="164"/>
      <c r="F85" s="164"/>
      <c r="G85" s="164"/>
    </row>
    <row r="86" ht="22.5" customHeight="1">
      <c r="A86" s="164"/>
      <c r="B86" s="164"/>
      <c r="C86" s="164"/>
      <c r="D86" s="164"/>
      <c r="E86" s="164"/>
      <c r="F86" s="164"/>
      <c r="G86" s="164"/>
    </row>
    <row r="87" ht="22.5" customHeight="1">
      <c r="A87" s="164"/>
      <c r="B87" s="164"/>
      <c r="C87" s="164"/>
      <c r="D87" s="164"/>
      <c r="E87" s="164"/>
      <c r="F87" s="164"/>
      <c r="G87" s="164"/>
    </row>
    <row r="88" ht="22.5" customHeight="1">
      <c r="A88" s="164"/>
      <c r="B88" s="164"/>
      <c r="C88" s="164"/>
      <c r="D88" s="164"/>
      <c r="E88" s="164"/>
      <c r="F88" s="164"/>
      <c r="G88" s="164"/>
    </row>
    <row r="89" ht="22.5" customHeight="1">
      <c r="A89" s="164"/>
      <c r="B89" s="164"/>
      <c r="C89" s="164"/>
      <c r="D89" s="164"/>
      <c r="E89" s="164"/>
      <c r="F89" s="164"/>
      <c r="G89" s="164"/>
    </row>
    <row r="90" ht="22.5" customHeight="1">
      <c r="A90" s="164"/>
      <c r="B90" s="164"/>
      <c r="C90" s="164"/>
      <c r="D90" s="164"/>
      <c r="E90" s="164"/>
      <c r="F90" s="164"/>
      <c r="G90" s="164"/>
    </row>
    <row r="91" ht="22.5" customHeight="1">
      <c r="A91" s="164"/>
      <c r="B91" s="164"/>
      <c r="C91" s="164"/>
      <c r="D91" s="164"/>
      <c r="E91" s="164"/>
      <c r="F91" s="164"/>
      <c r="G91" s="164"/>
    </row>
    <row r="92" ht="22.5" customHeight="1">
      <c r="A92" s="164"/>
      <c r="B92" s="164"/>
      <c r="C92" s="164"/>
      <c r="D92" s="164"/>
      <c r="E92" s="164"/>
      <c r="F92" s="164"/>
      <c r="G92" s="164"/>
    </row>
    <row r="93" ht="22.5" customHeight="1">
      <c r="A93" s="164"/>
      <c r="B93" s="164"/>
      <c r="C93" s="164"/>
      <c r="D93" s="164"/>
      <c r="E93" s="164"/>
      <c r="F93" s="164"/>
      <c r="G93" s="164"/>
    </row>
    <row r="94" ht="22.5" customHeight="1">
      <c r="A94" s="164"/>
      <c r="B94" s="164"/>
      <c r="C94" s="164"/>
      <c r="D94" s="164"/>
      <c r="E94" s="164"/>
      <c r="F94" s="164"/>
      <c r="G94" s="164"/>
    </row>
    <row r="95" ht="22.5" customHeight="1">
      <c r="A95" s="164"/>
      <c r="B95" s="164"/>
      <c r="C95" s="164"/>
      <c r="D95" s="164"/>
      <c r="E95" s="164"/>
      <c r="F95" s="164"/>
      <c r="G95" s="164"/>
    </row>
    <row r="96" ht="22.5" customHeight="1">
      <c r="A96" s="164"/>
      <c r="B96" s="164"/>
      <c r="C96" s="164"/>
      <c r="D96" s="164"/>
      <c r="E96" s="164"/>
      <c r="F96" s="164"/>
      <c r="G96" s="164"/>
    </row>
    <row r="97" ht="22.5" customHeight="1">
      <c r="A97" s="164"/>
      <c r="B97" s="164"/>
      <c r="C97" s="164"/>
      <c r="D97" s="164"/>
      <c r="E97" s="164"/>
      <c r="F97" s="164"/>
      <c r="G97" s="164"/>
    </row>
    <row r="98" ht="22.5" customHeight="1">
      <c r="A98" s="164"/>
      <c r="B98" s="164"/>
      <c r="C98" s="164"/>
      <c r="D98" s="164"/>
      <c r="E98" s="164"/>
      <c r="F98" s="164"/>
      <c r="G98" s="164"/>
    </row>
    <row r="99" ht="22.5" customHeight="1">
      <c r="A99" s="164"/>
      <c r="B99" s="164"/>
      <c r="C99" s="164"/>
      <c r="D99" s="164"/>
      <c r="E99" s="164"/>
      <c r="F99" s="164"/>
      <c r="G99" s="164"/>
    </row>
    <row r="100" ht="22.5" customHeight="1">
      <c r="A100" s="164"/>
      <c r="B100" s="164"/>
      <c r="C100" s="164"/>
      <c r="D100" s="164"/>
      <c r="E100" s="164"/>
      <c r="F100" s="164"/>
      <c r="G100" s="164"/>
    </row>
    <row r="101" ht="22.5" customHeight="1">
      <c r="A101" s="164"/>
      <c r="B101" s="164"/>
      <c r="C101" s="164"/>
      <c r="D101" s="164"/>
      <c r="E101" s="164"/>
      <c r="F101" s="164"/>
      <c r="G101" s="164"/>
    </row>
    <row r="102" ht="22.5" customHeight="1">
      <c r="A102" s="164"/>
      <c r="B102" s="164"/>
      <c r="C102" s="164"/>
      <c r="D102" s="164"/>
      <c r="E102" s="164"/>
      <c r="F102" s="164"/>
      <c r="G102" s="164"/>
    </row>
    <row r="103" ht="22.5" customHeight="1">
      <c r="A103" s="164"/>
      <c r="B103" s="164"/>
      <c r="C103" s="164"/>
      <c r="D103" s="164"/>
      <c r="E103" s="164"/>
      <c r="F103" s="164"/>
      <c r="G103" s="164"/>
    </row>
    <row r="104" ht="22.5" customHeight="1">
      <c r="A104" s="164"/>
      <c r="B104" s="164"/>
      <c r="C104" s="164"/>
      <c r="D104" s="164"/>
      <c r="E104" s="164"/>
      <c r="F104" s="164"/>
      <c r="G104" s="164"/>
    </row>
    <row r="105" ht="22.5" customHeight="1">
      <c r="A105" s="164"/>
      <c r="B105" s="164"/>
      <c r="C105" s="164"/>
      <c r="D105" s="164"/>
      <c r="E105" s="164"/>
      <c r="F105" s="164"/>
      <c r="G105" s="164"/>
    </row>
    <row r="106" ht="22.5" customHeight="1">
      <c r="A106" s="164"/>
      <c r="B106" s="164"/>
      <c r="C106" s="164"/>
      <c r="D106" s="164"/>
      <c r="E106" s="164"/>
      <c r="F106" s="164"/>
      <c r="G106" s="164"/>
    </row>
    <row r="107" ht="22.5" customHeight="1">
      <c r="A107" s="164"/>
      <c r="B107" s="164"/>
      <c r="C107" s="164"/>
      <c r="D107" s="164"/>
      <c r="E107" s="164"/>
      <c r="F107" s="164"/>
      <c r="G107" s="164"/>
    </row>
    <row r="108" ht="22.5" customHeight="1">
      <c r="A108" s="164"/>
      <c r="B108" s="164"/>
      <c r="C108" s="164"/>
      <c r="D108" s="164"/>
      <c r="E108" s="164"/>
      <c r="F108" s="164"/>
      <c r="G108" s="164"/>
    </row>
    <row r="109" ht="22.5" customHeight="1">
      <c r="A109" s="164"/>
      <c r="B109" s="164"/>
      <c r="C109" s="164"/>
      <c r="D109" s="164"/>
      <c r="E109" s="164"/>
      <c r="F109" s="164"/>
      <c r="G109" s="164"/>
    </row>
    <row r="110" ht="22.5" customHeight="1">
      <c r="A110" s="164"/>
      <c r="B110" s="164"/>
      <c r="C110" s="164"/>
      <c r="D110" s="164"/>
      <c r="E110" s="164"/>
      <c r="F110" s="164"/>
      <c r="G110" s="164"/>
    </row>
    <row r="111" ht="22.5" customHeight="1">
      <c r="A111" s="164"/>
      <c r="B111" s="164"/>
      <c r="C111" s="164"/>
      <c r="D111" s="164"/>
      <c r="E111" s="164"/>
      <c r="F111" s="164"/>
      <c r="G111" s="164"/>
    </row>
    <row r="112" ht="22.5" customHeight="1">
      <c r="A112" s="164"/>
      <c r="B112" s="164"/>
      <c r="C112" s="164"/>
      <c r="D112" s="164"/>
      <c r="E112" s="164"/>
      <c r="F112" s="164"/>
      <c r="G112" s="164"/>
    </row>
    <row r="113" ht="22.5" customHeight="1">
      <c r="A113" s="164"/>
      <c r="B113" s="164"/>
      <c r="C113" s="164"/>
      <c r="D113" s="164"/>
      <c r="E113" s="164"/>
      <c r="F113" s="164"/>
      <c r="G113" s="164"/>
    </row>
    <row r="114" ht="22.5" customHeight="1">
      <c r="A114" s="164"/>
      <c r="B114" s="164"/>
      <c r="C114" s="164"/>
      <c r="D114" s="164"/>
      <c r="E114" s="164"/>
      <c r="F114" s="164"/>
      <c r="G114" s="164"/>
    </row>
    <row r="115" ht="22.5" customHeight="1">
      <c r="A115" s="164"/>
      <c r="B115" s="164"/>
      <c r="C115" s="164"/>
      <c r="D115" s="164"/>
      <c r="E115" s="164"/>
      <c r="F115" s="164"/>
      <c r="G115" s="164"/>
    </row>
    <row r="116" ht="22.5" customHeight="1">
      <c r="A116" s="164"/>
      <c r="B116" s="164"/>
      <c r="C116" s="164"/>
      <c r="D116" s="164"/>
      <c r="E116" s="164"/>
      <c r="F116" s="164"/>
      <c r="G116" s="164"/>
    </row>
    <row r="117" ht="22.5" customHeight="1">
      <c r="A117" s="164"/>
      <c r="B117" s="164"/>
      <c r="C117" s="164"/>
      <c r="D117" s="164"/>
      <c r="E117" s="164"/>
      <c r="F117" s="164"/>
      <c r="G117" s="164"/>
    </row>
    <row r="118" ht="22.5" customHeight="1">
      <c r="A118" s="164"/>
      <c r="B118" s="164"/>
      <c r="C118" s="164"/>
      <c r="D118" s="164"/>
      <c r="E118" s="164"/>
      <c r="F118" s="164"/>
      <c r="G118" s="164"/>
    </row>
    <row r="119" ht="22.5" customHeight="1">
      <c r="A119" s="164"/>
      <c r="B119" s="164"/>
      <c r="C119" s="164"/>
      <c r="D119" s="164"/>
      <c r="E119" s="164"/>
      <c r="F119" s="164"/>
      <c r="G119" s="164"/>
    </row>
    <row r="120" ht="22.5" customHeight="1">
      <c r="A120" s="164"/>
      <c r="B120" s="164"/>
      <c r="C120" s="164"/>
      <c r="D120" s="164"/>
      <c r="E120" s="164"/>
      <c r="F120" s="164"/>
      <c r="G120" s="164"/>
    </row>
    <row r="121" ht="22.5" customHeight="1">
      <c r="A121" s="164"/>
      <c r="B121" s="164"/>
      <c r="C121" s="164"/>
      <c r="D121" s="164"/>
      <c r="E121" s="164"/>
      <c r="F121" s="164"/>
      <c r="G121" s="164"/>
    </row>
    <row r="122" ht="22.5" customHeight="1">
      <c r="A122" s="164"/>
      <c r="B122" s="164"/>
      <c r="C122" s="164"/>
      <c r="D122" s="164"/>
      <c r="E122" s="164"/>
      <c r="F122" s="164"/>
      <c r="G122" s="164"/>
    </row>
    <row r="123" ht="22.5" customHeight="1">
      <c r="A123" s="164"/>
      <c r="B123" s="164"/>
      <c r="C123" s="164"/>
      <c r="D123" s="164"/>
      <c r="E123" s="164"/>
      <c r="F123" s="164"/>
      <c r="G123" s="164"/>
    </row>
    <row r="124" ht="22.5" customHeight="1">
      <c r="A124" s="164"/>
      <c r="B124" s="164"/>
      <c r="C124" s="164"/>
      <c r="D124" s="164"/>
      <c r="E124" s="164"/>
      <c r="F124" s="164"/>
      <c r="G124" s="164"/>
    </row>
    <row r="125" ht="22.5" customHeight="1">
      <c r="A125" s="164"/>
      <c r="B125" s="164"/>
      <c r="C125" s="164"/>
      <c r="D125" s="164"/>
      <c r="E125" s="164"/>
      <c r="F125" s="164"/>
      <c r="G125" s="164"/>
    </row>
    <row r="126" ht="22.5" customHeight="1">
      <c r="A126" s="164"/>
      <c r="B126" s="164"/>
      <c r="C126" s="164"/>
      <c r="D126" s="164"/>
      <c r="E126" s="164"/>
      <c r="F126" s="164"/>
      <c r="G126" s="164"/>
    </row>
    <row r="127" ht="22.5" customHeight="1">
      <c r="A127" s="164"/>
      <c r="B127" s="164"/>
      <c r="C127" s="164"/>
      <c r="D127" s="164"/>
      <c r="E127" s="164"/>
      <c r="F127" s="164"/>
      <c r="G127" s="164"/>
    </row>
    <row r="128" ht="22.5" customHeight="1">
      <c r="A128" s="164"/>
      <c r="B128" s="164"/>
      <c r="C128" s="164"/>
      <c r="D128" s="164"/>
      <c r="E128" s="164"/>
      <c r="F128" s="164"/>
      <c r="G128" s="164"/>
    </row>
    <row r="129" ht="22.5" customHeight="1">
      <c r="A129" s="164"/>
      <c r="B129" s="164"/>
      <c r="C129" s="164"/>
      <c r="D129" s="164"/>
      <c r="E129" s="164"/>
      <c r="F129" s="164"/>
      <c r="G129" s="164"/>
    </row>
    <row r="130" ht="22.5" customHeight="1">
      <c r="A130" s="164"/>
      <c r="B130" s="164"/>
      <c r="C130" s="164"/>
      <c r="D130" s="164"/>
      <c r="E130" s="164"/>
      <c r="F130" s="164"/>
      <c r="G130" s="164"/>
    </row>
    <row r="131" ht="22.5" customHeight="1">
      <c r="A131" s="164"/>
      <c r="B131" s="164"/>
      <c r="C131" s="164"/>
      <c r="D131" s="164"/>
      <c r="E131" s="164"/>
      <c r="F131" s="164"/>
      <c r="G131" s="164"/>
    </row>
    <row r="132" ht="22.5" customHeight="1">
      <c r="A132" s="164"/>
      <c r="B132" s="164"/>
      <c r="C132" s="164"/>
      <c r="D132" s="164"/>
      <c r="E132" s="164"/>
      <c r="F132" s="164"/>
      <c r="G132" s="164"/>
    </row>
    <row r="133" ht="22.5" customHeight="1">
      <c r="A133" s="164"/>
      <c r="B133" s="164"/>
      <c r="C133" s="164"/>
      <c r="D133" s="164"/>
      <c r="E133" s="164"/>
      <c r="F133" s="164"/>
      <c r="G133" s="164"/>
    </row>
    <row r="134" ht="22.5" customHeight="1">
      <c r="A134" s="164"/>
      <c r="B134" s="164"/>
      <c r="C134" s="164"/>
      <c r="D134" s="164"/>
      <c r="E134" s="164"/>
      <c r="F134" s="164"/>
      <c r="G134" s="164"/>
    </row>
    <row r="135" ht="22.5" customHeight="1">
      <c r="A135" s="164"/>
      <c r="B135" s="164"/>
      <c r="C135" s="164"/>
      <c r="D135" s="164"/>
      <c r="E135" s="164"/>
      <c r="F135" s="164"/>
      <c r="G135" s="164"/>
    </row>
    <row r="136" ht="22.5" customHeight="1">
      <c r="A136" s="164"/>
      <c r="B136" s="164"/>
      <c r="C136" s="164"/>
      <c r="D136" s="164"/>
      <c r="E136" s="164"/>
      <c r="F136" s="164"/>
      <c r="G136" s="164"/>
    </row>
    <row r="137" ht="22.5" customHeight="1">
      <c r="A137" s="164"/>
      <c r="B137" s="164"/>
      <c r="C137" s="164"/>
      <c r="D137" s="164"/>
      <c r="E137" s="164"/>
      <c r="F137" s="164"/>
      <c r="G137" s="164"/>
    </row>
    <row r="138" ht="22.5" customHeight="1">
      <c r="A138" s="164"/>
      <c r="B138" s="164"/>
      <c r="C138" s="164"/>
      <c r="D138" s="164"/>
      <c r="E138" s="164"/>
      <c r="F138" s="164"/>
      <c r="G138" s="164"/>
    </row>
    <row r="139" ht="22.5" customHeight="1">
      <c r="A139" s="164"/>
      <c r="B139" s="164"/>
      <c r="C139" s="164"/>
      <c r="D139" s="164"/>
      <c r="E139" s="164"/>
      <c r="F139" s="164"/>
      <c r="G139" s="164"/>
    </row>
    <row r="140" ht="22.5" customHeight="1">
      <c r="A140" s="164"/>
      <c r="B140" s="164"/>
      <c r="C140" s="164"/>
      <c r="D140" s="164"/>
      <c r="E140" s="164"/>
      <c r="F140" s="164"/>
      <c r="G140" s="164"/>
    </row>
    <row r="141" ht="22.5" customHeight="1">
      <c r="A141" s="164"/>
      <c r="B141" s="164"/>
      <c r="C141" s="164"/>
      <c r="D141" s="164"/>
      <c r="E141" s="164"/>
      <c r="F141" s="164"/>
      <c r="G141" s="164"/>
    </row>
    <row r="142" ht="22.5" customHeight="1">
      <c r="A142" s="164"/>
      <c r="B142" s="164"/>
      <c r="C142" s="164"/>
      <c r="D142" s="164"/>
      <c r="E142" s="164"/>
      <c r="F142" s="164"/>
      <c r="G142" s="164"/>
    </row>
    <row r="143" ht="22.5" customHeight="1">
      <c r="A143" s="164"/>
      <c r="B143" s="164"/>
      <c r="C143" s="164"/>
      <c r="D143" s="164"/>
      <c r="E143" s="164"/>
      <c r="F143" s="164"/>
      <c r="G143" s="164"/>
    </row>
    <row r="144" ht="22.5" customHeight="1">
      <c r="A144" s="164"/>
      <c r="B144" s="164"/>
      <c r="C144" s="164"/>
      <c r="D144" s="164"/>
      <c r="E144" s="164"/>
      <c r="F144" s="164"/>
      <c r="G144" s="164"/>
    </row>
    <row r="145" ht="22.5" customHeight="1">
      <c r="A145" s="164"/>
      <c r="B145" s="164"/>
      <c r="C145" s="164"/>
      <c r="D145" s="164"/>
      <c r="E145" s="164"/>
      <c r="F145" s="164"/>
      <c r="G145" s="164"/>
    </row>
    <row r="146" ht="22.5" customHeight="1">
      <c r="A146" s="164"/>
      <c r="B146" s="164"/>
      <c r="C146" s="164"/>
      <c r="D146" s="164"/>
      <c r="E146" s="164"/>
      <c r="F146" s="164"/>
      <c r="G146" s="164"/>
    </row>
    <row r="147" ht="22.5" customHeight="1">
      <c r="A147" s="164"/>
      <c r="B147" s="164"/>
      <c r="C147" s="164"/>
      <c r="D147" s="164"/>
      <c r="E147" s="164"/>
      <c r="F147" s="164"/>
      <c r="G147" s="164"/>
    </row>
    <row r="148" ht="22.5" customHeight="1">
      <c r="A148" s="164"/>
      <c r="B148" s="164"/>
      <c r="C148" s="164"/>
      <c r="D148" s="164"/>
      <c r="E148" s="164"/>
      <c r="F148" s="164"/>
      <c r="G148" s="164"/>
    </row>
    <row r="149" ht="22.5" customHeight="1">
      <c r="A149" s="164"/>
      <c r="B149" s="164"/>
      <c r="C149" s="164"/>
      <c r="D149" s="164"/>
      <c r="E149" s="164"/>
      <c r="F149" s="164"/>
      <c r="G149" s="164"/>
    </row>
    <row r="150" ht="22.5" customHeight="1">
      <c r="A150" s="164"/>
      <c r="B150" s="164"/>
      <c r="C150" s="164"/>
      <c r="D150" s="164"/>
      <c r="E150" s="164"/>
      <c r="F150" s="164"/>
      <c r="G150" s="164"/>
    </row>
    <row r="151" ht="22.5" customHeight="1">
      <c r="A151" s="164"/>
      <c r="B151" s="164"/>
      <c r="C151" s="164"/>
      <c r="D151" s="164"/>
      <c r="E151" s="164"/>
      <c r="F151" s="164"/>
      <c r="G151" s="164"/>
    </row>
    <row r="152" ht="22.5" customHeight="1">
      <c r="A152" s="164"/>
      <c r="B152" s="164"/>
      <c r="C152" s="164"/>
      <c r="D152" s="164"/>
      <c r="E152" s="164"/>
      <c r="F152" s="164"/>
      <c r="G152" s="164"/>
    </row>
    <row r="153" ht="22.5" customHeight="1">
      <c r="A153" s="164"/>
      <c r="B153" s="164"/>
      <c r="C153" s="164"/>
      <c r="D153" s="164"/>
      <c r="E153" s="164"/>
      <c r="F153" s="164"/>
      <c r="G153" s="164"/>
    </row>
    <row r="154" ht="22.5" customHeight="1">
      <c r="A154" s="164"/>
      <c r="B154" s="164"/>
      <c r="C154" s="164"/>
      <c r="D154" s="164"/>
      <c r="E154" s="164"/>
      <c r="F154" s="164"/>
      <c r="G154" s="164"/>
    </row>
    <row r="155" ht="22.5" customHeight="1">
      <c r="A155" s="164"/>
      <c r="B155" s="164"/>
      <c r="C155" s="164"/>
      <c r="D155" s="164"/>
      <c r="E155" s="164"/>
      <c r="F155" s="164"/>
      <c r="G155" s="164"/>
    </row>
    <row r="156" ht="22.5" customHeight="1">
      <c r="A156" s="164"/>
      <c r="B156" s="164"/>
      <c r="C156" s="164"/>
      <c r="D156" s="164"/>
      <c r="E156" s="164"/>
      <c r="F156" s="164"/>
      <c r="G156" s="164"/>
    </row>
    <row r="157" ht="22.5" customHeight="1">
      <c r="A157" s="164"/>
      <c r="B157" s="164"/>
      <c r="C157" s="164"/>
      <c r="D157" s="164"/>
      <c r="E157" s="164"/>
      <c r="F157" s="164"/>
      <c r="G157" s="164"/>
    </row>
    <row r="158" ht="22.5" customHeight="1">
      <c r="A158" s="164"/>
      <c r="B158" s="164"/>
      <c r="C158" s="164"/>
      <c r="D158" s="164"/>
      <c r="E158" s="164"/>
      <c r="F158" s="164"/>
      <c r="G158" s="164"/>
    </row>
    <row r="159" ht="22.5" customHeight="1">
      <c r="A159" s="164"/>
      <c r="B159" s="164"/>
      <c r="C159" s="164"/>
      <c r="D159" s="164"/>
      <c r="E159" s="164"/>
      <c r="F159" s="164"/>
      <c r="G159" s="164"/>
    </row>
    <row r="160" ht="22.5" customHeight="1">
      <c r="A160" s="164"/>
      <c r="B160" s="164"/>
      <c r="C160" s="164"/>
      <c r="D160" s="164"/>
      <c r="E160" s="164"/>
      <c r="F160" s="164"/>
      <c r="G160" s="164"/>
    </row>
    <row r="161" ht="22.5" customHeight="1">
      <c r="A161" s="164"/>
      <c r="B161" s="164"/>
      <c r="C161" s="164"/>
      <c r="D161" s="164"/>
      <c r="E161" s="164"/>
      <c r="F161" s="164"/>
      <c r="G161" s="164"/>
    </row>
    <row r="162" ht="22.5" customHeight="1">
      <c r="A162" s="164"/>
      <c r="B162" s="164"/>
      <c r="C162" s="164"/>
      <c r="D162" s="164"/>
      <c r="E162" s="164"/>
      <c r="F162" s="164"/>
      <c r="G162" s="164"/>
    </row>
    <row r="163" ht="22.5" customHeight="1">
      <c r="A163" s="164"/>
      <c r="B163" s="164"/>
      <c r="C163" s="164"/>
      <c r="D163" s="164"/>
      <c r="E163" s="164"/>
      <c r="F163" s="164"/>
      <c r="G163" s="164"/>
    </row>
    <row r="164" ht="22.5" customHeight="1">
      <c r="A164" s="164"/>
      <c r="B164" s="164"/>
      <c r="C164" s="164"/>
      <c r="D164" s="164"/>
      <c r="E164" s="164"/>
      <c r="F164" s="164"/>
      <c r="G164" s="164"/>
    </row>
    <row r="165" ht="22.5" customHeight="1">
      <c r="A165" s="164"/>
      <c r="B165" s="164"/>
      <c r="C165" s="164"/>
      <c r="D165" s="164"/>
      <c r="E165" s="164"/>
      <c r="F165" s="164"/>
      <c r="G165" s="164"/>
    </row>
    <row r="166" ht="22.5" customHeight="1">
      <c r="A166" s="164"/>
      <c r="B166" s="164"/>
      <c r="C166" s="164"/>
      <c r="D166" s="164"/>
      <c r="E166" s="164"/>
      <c r="F166" s="164"/>
      <c r="G166" s="164"/>
    </row>
    <row r="167" ht="22.5" customHeight="1">
      <c r="A167" s="164"/>
      <c r="B167" s="164"/>
      <c r="C167" s="164"/>
      <c r="D167" s="164"/>
      <c r="E167" s="164"/>
      <c r="F167" s="164"/>
      <c r="G167" s="164"/>
    </row>
    <row r="168" ht="22.5" customHeight="1">
      <c r="A168" s="164"/>
      <c r="B168" s="164"/>
      <c r="C168" s="164"/>
      <c r="D168" s="164"/>
      <c r="E168" s="164"/>
      <c r="F168" s="164"/>
      <c r="G168" s="164"/>
    </row>
    <row r="169" ht="22.5" customHeight="1">
      <c r="A169" s="164"/>
      <c r="B169" s="164"/>
      <c r="C169" s="164"/>
      <c r="D169" s="164"/>
      <c r="E169" s="164"/>
      <c r="F169" s="164"/>
      <c r="G169" s="164"/>
    </row>
    <row r="170" ht="22.5" customHeight="1">
      <c r="A170" s="164"/>
      <c r="B170" s="164"/>
      <c r="C170" s="164"/>
      <c r="D170" s="164"/>
      <c r="E170" s="164"/>
      <c r="F170" s="164"/>
      <c r="G170" s="164"/>
    </row>
    <row r="171" ht="22.5" customHeight="1">
      <c r="A171" s="164"/>
      <c r="B171" s="164"/>
      <c r="C171" s="164"/>
      <c r="D171" s="164"/>
      <c r="E171" s="164"/>
      <c r="F171" s="164"/>
      <c r="G171" s="164"/>
    </row>
    <row r="172" ht="22.5" customHeight="1">
      <c r="A172" s="164"/>
      <c r="B172" s="164"/>
      <c r="C172" s="164"/>
      <c r="D172" s="164"/>
      <c r="E172" s="164"/>
      <c r="F172" s="164"/>
      <c r="G172" s="164"/>
    </row>
    <row r="173" ht="22.5" customHeight="1">
      <c r="A173" s="164"/>
      <c r="B173" s="164"/>
      <c r="C173" s="164"/>
      <c r="D173" s="164"/>
      <c r="E173" s="164"/>
      <c r="F173" s="164"/>
      <c r="G173" s="164"/>
    </row>
    <row r="174" ht="22.5" customHeight="1">
      <c r="A174" s="164"/>
      <c r="B174" s="164"/>
      <c r="C174" s="164"/>
      <c r="D174" s="164"/>
      <c r="E174" s="164"/>
      <c r="F174" s="164"/>
      <c r="G174" s="164"/>
    </row>
    <row r="175" ht="22.5" customHeight="1">
      <c r="A175" s="164"/>
      <c r="B175" s="164"/>
      <c r="C175" s="164"/>
      <c r="D175" s="164"/>
      <c r="E175" s="164"/>
      <c r="F175" s="164"/>
      <c r="G175" s="164"/>
    </row>
    <row r="176" ht="22.5" customHeight="1">
      <c r="A176" s="164"/>
      <c r="B176" s="164"/>
      <c r="C176" s="164"/>
      <c r="D176" s="164"/>
      <c r="E176" s="164"/>
      <c r="F176" s="164"/>
      <c r="G176" s="164"/>
    </row>
    <row r="177" ht="22.5" customHeight="1">
      <c r="A177" s="164"/>
      <c r="B177" s="164"/>
      <c r="C177" s="164"/>
      <c r="D177" s="164"/>
      <c r="E177" s="164"/>
      <c r="F177" s="164"/>
      <c r="G177" s="164"/>
    </row>
    <row r="178" ht="22.5" customHeight="1">
      <c r="A178" s="164"/>
      <c r="B178" s="164"/>
      <c r="C178" s="164"/>
      <c r="D178" s="164"/>
      <c r="E178" s="164"/>
      <c r="F178" s="164"/>
      <c r="G178" s="164"/>
    </row>
    <row r="179" ht="22.5" customHeight="1">
      <c r="A179" s="164"/>
      <c r="B179" s="164"/>
      <c r="C179" s="164"/>
      <c r="D179" s="164"/>
      <c r="E179" s="164"/>
      <c r="F179" s="164"/>
      <c r="G179" s="164"/>
    </row>
    <row r="180" ht="22.5" customHeight="1">
      <c r="A180" s="164"/>
      <c r="B180" s="164"/>
      <c r="C180" s="164"/>
      <c r="D180" s="164"/>
      <c r="E180" s="164"/>
      <c r="F180" s="164"/>
      <c r="G180" s="164"/>
    </row>
    <row r="181" ht="22.5" customHeight="1">
      <c r="A181" s="164"/>
      <c r="B181" s="164"/>
      <c r="C181" s="164"/>
      <c r="D181" s="164"/>
      <c r="E181" s="164"/>
      <c r="F181" s="164"/>
      <c r="G181" s="164"/>
    </row>
    <row r="182" ht="22.5" customHeight="1">
      <c r="A182" s="164"/>
      <c r="B182" s="164"/>
      <c r="C182" s="164"/>
      <c r="D182" s="164"/>
      <c r="E182" s="164"/>
      <c r="F182" s="164"/>
      <c r="G182" s="164"/>
    </row>
    <row r="183" ht="22.5" customHeight="1">
      <c r="A183" s="164"/>
      <c r="B183" s="164"/>
      <c r="C183" s="164"/>
      <c r="D183" s="164"/>
      <c r="E183" s="164"/>
      <c r="F183" s="164"/>
      <c r="G183" s="164"/>
    </row>
    <row r="184" ht="22.5" customHeight="1">
      <c r="A184" s="164"/>
      <c r="B184" s="164"/>
      <c r="C184" s="164"/>
      <c r="D184" s="164"/>
      <c r="E184" s="164"/>
      <c r="F184" s="164"/>
      <c r="G184" s="164"/>
    </row>
    <row r="185" ht="22.5" customHeight="1">
      <c r="A185" s="164"/>
      <c r="B185" s="164"/>
      <c r="C185" s="164"/>
      <c r="D185" s="164"/>
      <c r="E185" s="164"/>
      <c r="F185" s="164"/>
      <c r="G185" s="164"/>
    </row>
    <row r="186" ht="22.5" customHeight="1">
      <c r="A186" s="164"/>
      <c r="B186" s="164"/>
      <c r="C186" s="164"/>
      <c r="D186" s="164"/>
      <c r="E186" s="164"/>
      <c r="F186" s="164"/>
      <c r="G186" s="164"/>
    </row>
    <row r="187" ht="22.5" customHeight="1">
      <c r="A187" s="164"/>
      <c r="B187" s="164"/>
      <c r="C187" s="164"/>
      <c r="D187" s="164"/>
      <c r="E187" s="164"/>
      <c r="F187" s="164"/>
      <c r="G187" s="164"/>
    </row>
    <row r="188" ht="22.5" customHeight="1">
      <c r="A188" s="164"/>
      <c r="B188" s="164"/>
      <c r="C188" s="164"/>
      <c r="D188" s="164"/>
      <c r="E188" s="164"/>
      <c r="F188" s="164"/>
      <c r="G188" s="164"/>
    </row>
    <row r="189" ht="22.5" customHeight="1">
      <c r="A189" s="164"/>
      <c r="B189" s="164"/>
      <c r="C189" s="164"/>
      <c r="D189" s="164"/>
      <c r="E189" s="164"/>
      <c r="F189" s="164"/>
      <c r="G189" s="164"/>
    </row>
    <row r="190" ht="22.5" customHeight="1">
      <c r="A190" s="164"/>
      <c r="B190" s="164"/>
      <c r="C190" s="164"/>
      <c r="D190" s="164"/>
      <c r="E190" s="164"/>
      <c r="F190" s="164"/>
      <c r="G190" s="164"/>
    </row>
    <row r="191" ht="22.5" customHeight="1">
      <c r="A191" s="164"/>
      <c r="B191" s="164"/>
      <c r="C191" s="164"/>
      <c r="D191" s="164"/>
      <c r="E191" s="164"/>
      <c r="F191" s="164"/>
      <c r="G191" s="164"/>
    </row>
    <row r="192" ht="22.5" customHeight="1">
      <c r="A192" s="164"/>
      <c r="B192" s="164"/>
      <c r="C192" s="164"/>
      <c r="D192" s="164"/>
      <c r="E192" s="164"/>
      <c r="F192" s="164"/>
      <c r="G192" s="164"/>
    </row>
    <row r="193" ht="22.5" customHeight="1">
      <c r="A193" s="164"/>
      <c r="B193" s="164"/>
      <c r="C193" s="164"/>
      <c r="D193" s="164"/>
      <c r="E193" s="164"/>
      <c r="F193" s="164"/>
      <c r="G193" s="164"/>
    </row>
    <row r="194" ht="22.5" customHeight="1">
      <c r="A194" s="164"/>
      <c r="B194" s="164"/>
      <c r="C194" s="164"/>
      <c r="D194" s="164"/>
      <c r="E194" s="164"/>
      <c r="F194" s="164"/>
      <c r="G194" s="164"/>
    </row>
    <row r="195" ht="22.5" customHeight="1">
      <c r="A195" s="164"/>
      <c r="B195" s="164"/>
      <c r="C195" s="164"/>
      <c r="D195" s="164"/>
      <c r="E195" s="164"/>
      <c r="F195" s="164"/>
      <c r="G195" s="164"/>
    </row>
    <row r="196" ht="22.5" customHeight="1">
      <c r="A196" s="164"/>
      <c r="B196" s="164"/>
      <c r="C196" s="164"/>
      <c r="D196" s="164"/>
      <c r="E196" s="164"/>
      <c r="F196" s="164"/>
      <c r="G196" s="164"/>
    </row>
    <row r="197" ht="22.5" customHeight="1">
      <c r="A197" s="164"/>
      <c r="B197" s="164"/>
      <c r="C197" s="164"/>
      <c r="D197" s="164"/>
      <c r="E197" s="164"/>
      <c r="F197" s="164"/>
      <c r="G197" s="164"/>
    </row>
    <row r="198" ht="22.5" customHeight="1">
      <c r="A198" s="164"/>
      <c r="B198" s="164"/>
      <c r="C198" s="164"/>
      <c r="D198" s="164"/>
      <c r="E198" s="164"/>
      <c r="F198" s="164"/>
      <c r="G198" s="164"/>
    </row>
    <row r="199" ht="22.5" customHeight="1">
      <c r="A199" s="164"/>
      <c r="B199" s="164"/>
      <c r="C199" s="164"/>
      <c r="D199" s="164"/>
      <c r="E199" s="164"/>
      <c r="F199" s="164"/>
      <c r="G199" s="164"/>
    </row>
    <row r="200" ht="22.5" customHeight="1">
      <c r="A200" s="164"/>
      <c r="B200" s="164"/>
      <c r="C200" s="164"/>
      <c r="D200" s="164"/>
      <c r="E200" s="164"/>
      <c r="F200" s="164"/>
      <c r="G200" s="164"/>
    </row>
    <row r="201" ht="22.5" customHeight="1">
      <c r="A201" s="164"/>
      <c r="B201" s="164"/>
      <c r="C201" s="164"/>
      <c r="D201" s="164"/>
      <c r="E201" s="164"/>
      <c r="F201" s="164"/>
      <c r="G201" s="164"/>
    </row>
    <row r="202" ht="22.5" customHeight="1">
      <c r="A202" s="164"/>
      <c r="B202" s="164"/>
      <c r="C202" s="164"/>
      <c r="D202" s="164"/>
      <c r="E202" s="164"/>
      <c r="F202" s="164"/>
      <c r="G202" s="164"/>
    </row>
    <row r="203" ht="22.5" customHeight="1">
      <c r="A203" s="164"/>
      <c r="B203" s="164"/>
      <c r="C203" s="164"/>
      <c r="D203" s="164"/>
      <c r="E203" s="164"/>
      <c r="F203" s="164"/>
      <c r="G203" s="164"/>
    </row>
    <row r="204" ht="22.5" customHeight="1">
      <c r="A204" s="164"/>
      <c r="B204" s="164"/>
      <c r="C204" s="164"/>
      <c r="D204" s="164"/>
      <c r="E204" s="164"/>
      <c r="F204" s="164"/>
      <c r="G204" s="164"/>
    </row>
    <row r="205" ht="22.5" customHeight="1">
      <c r="A205" s="164"/>
      <c r="B205" s="164"/>
      <c r="C205" s="164"/>
      <c r="D205" s="164"/>
      <c r="E205" s="164"/>
      <c r="F205" s="164"/>
      <c r="G205" s="164"/>
    </row>
    <row r="206" ht="22.5" customHeight="1">
      <c r="A206" s="164"/>
      <c r="B206" s="164"/>
      <c r="C206" s="164"/>
      <c r="D206" s="164"/>
      <c r="E206" s="164"/>
      <c r="F206" s="164"/>
      <c r="G206" s="164"/>
    </row>
    <row r="207" ht="22.5" customHeight="1">
      <c r="A207" s="164"/>
      <c r="B207" s="164"/>
      <c r="C207" s="164"/>
      <c r="D207" s="164"/>
      <c r="E207" s="164"/>
      <c r="F207" s="164"/>
      <c r="G207" s="164"/>
    </row>
    <row r="208" ht="22.5" customHeight="1">
      <c r="A208" s="164"/>
      <c r="B208" s="164"/>
      <c r="C208" s="164"/>
      <c r="D208" s="164"/>
      <c r="E208" s="164"/>
      <c r="F208" s="164"/>
      <c r="G208" s="164"/>
    </row>
    <row r="209" ht="22.5" customHeight="1">
      <c r="A209" s="164"/>
      <c r="B209" s="164"/>
      <c r="C209" s="164"/>
      <c r="D209" s="164"/>
      <c r="E209" s="164"/>
      <c r="F209" s="164"/>
      <c r="G209" s="164"/>
    </row>
    <row r="210" ht="22.5" customHeight="1">
      <c r="A210" s="164"/>
      <c r="B210" s="164"/>
      <c r="C210" s="164"/>
      <c r="D210" s="164"/>
      <c r="E210" s="164"/>
      <c r="F210" s="164"/>
      <c r="G210" s="164"/>
    </row>
    <row r="211" ht="22.5" customHeight="1">
      <c r="A211" s="164"/>
      <c r="B211" s="164"/>
      <c r="C211" s="164"/>
      <c r="D211" s="164"/>
      <c r="E211" s="164"/>
      <c r="F211" s="164"/>
      <c r="G211" s="164"/>
    </row>
    <row r="212" ht="22.5" customHeight="1">
      <c r="A212" s="164"/>
      <c r="B212" s="164"/>
      <c r="C212" s="164"/>
      <c r="D212" s="164"/>
      <c r="E212" s="164"/>
      <c r="F212" s="164"/>
      <c r="G212" s="164"/>
    </row>
    <row r="213" ht="22.5" customHeight="1">
      <c r="A213" s="164"/>
      <c r="B213" s="164"/>
      <c r="C213" s="164"/>
      <c r="D213" s="164"/>
      <c r="E213" s="164"/>
      <c r="F213" s="164"/>
      <c r="G213" s="164"/>
    </row>
    <row r="214" ht="22.5" customHeight="1">
      <c r="A214" s="164"/>
      <c r="B214" s="164"/>
      <c r="C214" s="164"/>
      <c r="D214" s="164"/>
      <c r="E214" s="164"/>
      <c r="F214" s="164"/>
      <c r="G214" s="164"/>
    </row>
    <row r="215" ht="22.5" customHeight="1">
      <c r="A215" s="164"/>
      <c r="B215" s="164"/>
      <c r="C215" s="164"/>
      <c r="D215" s="164"/>
      <c r="E215" s="164"/>
      <c r="F215" s="164"/>
      <c r="G215" s="164"/>
    </row>
    <row r="216" ht="22.5" customHeight="1">
      <c r="A216" s="164"/>
      <c r="B216" s="164"/>
      <c r="C216" s="164"/>
      <c r="D216" s="164"/>
      <c r="E216" s="164"/>
      <c r="F216" s="164"/>
      <c r="G216" s="164"/>
    </row>
    <row r="217" ht="22.5" customHeight="1">
      <c r="A217" s="164"/>
      <c r="B217" s="164"/>
      <c r="C217" s="164"/>
      <c r="D217" s="164"/>
      <c r="E217" s="164"/>
      <c r="F217" s="164"/>
      <c r="G217" s="164"/>
    </row>
    <row r="218" ht="22.5" customHeight="1">
      <c r="A218" s="164"/>
      <c r="B218" s="164"/>
      <c r="C218" s="164"/>
      <c r="D218" s="164"/>
      <c r="E218" s="164"/>
      <c r="F218" s="164"/>
      <c r="G218" s="164"/>
    </row>
    <row r="219" ht="22.5" customHeight="1">
      <c r="A219" s="164"/>
      <c r="B219" s="164"/>
      <c r="C219" s="164"/>
      <c r="D219" s="164"/>
      <c r="E219" s="164"/>
      <c r="F219" s="164"/>
      <c r="G219" s="164"/>
    </row>
    <row r="220" ht="22.5" customHeight="1">
      <c r="A220" s="164"/>
      <c r="B220" s="164"/>
      <c r="C220" s="164"/>
      <c r="D220" s="164"/>
      <c r="E220" s="164"/>
      <c r="F220" s="164"/>
      <c r="G220" s="164"/>
    </row>
    <row r="221" ht="22.5" customHeight="1">
      <c r="A221" s="164"/>
      <c r="B221" s="164"/>
      <c r="C221" s="164"/>
      <c r="D221" s="164"/>
      <c r="E221" s="164"/>
      <c r="F221" s="164"/>
      <c r="G221" s="164"/>
    </row>
    <row r="222" ht="22.5" customHeight="1">
      <c r="A222" s="164"/>
      <c r="B222" s="164"/>
      <c r="C222" s="164"/>
      <c r="D222" s="164"/>
      <c r="E222" s="164"/>
      <c r="F222" s="164"/>
      <c r="G222" s="164"/>
    </row>
    <row r="223" ht="22.5" customHeight="1">
      <c r="A223" s="164"/>
      <c r="B223" s="164"/>
      <c r="C223" s="164"/>
      <c r="D223" s="164"/>
      <c r="E223" s="164"/>
      <c r="F223" s="164"/>
      <c r="G223" s="164"/>
    </row>
    <row r="224" ht="22.5" customHeight="1">
      <c r="A224" s="164"/>
      <c r="B224" s="164"/>
      <c r="C224" s="164"/>
      <c r="D224" s="164"/>
      <c r="E224" s="164"/>
      <c r="F224" s="164"/>
      <c r="G224" s="164"/>
    </row>
    <row r="225" ht="22.5" customHeight="1">
      <c r="A225" s="164"/>
      <c r="B225" s="164"/>
      <c r="C225" s="164"/>
      <c r="D225" s="164"/>
      <c r="E225" s="164"/>
      <c r="F225" s="164"/>
      <c r="G225" s="164"/>
    </row>
    <row r="226" ht="22.5" customHeight="1">
      <c r="A226" s="164"/>
      <c r="B226" s="164"/>
      <c r="C226" s="164"/>
      <c r="D226" s="164"/>
      <c r="E226" s="164"/>
      <c r="F226" s="164"/>
      <c r="G226" s="164"/>
    </row>
    <row r="227" ht="22.5" customHeight="1">
      <c r="A227" s="164"/>
      <c r="B227" s="164"/>
      <c r="C227" s="164"/>
      <c r="D227" s="164"/>
      <c r="E227" s="164"/>
      <c r="F227" s="164"/>
      <c r="G227" s="164"/>
    </row>
    <row r="228" ht="22.5" customHeight="1">
      <c r="A228" s="164"/>
      <c r="B228" s="164"/>
      <c r="C228" s="164"/>
      <c r="D228" s="164"/>
      <c r="E228" s="164"/>
      <c r="F228" s="164"/>
      <c r="G228" s="164"/>
    </row>
    <row r="229" ht="22.5" customHeight="1">
      <c r="A229" s="164"/>
      <c r="B229" s="164"/>
      <c r="C229" s="164"/>
      <c r="D229" s="164"/>
      <c r="E229" s="164"/>
      <c r="F229" s="164"/>
      <c r="G229" s="164"/>
    </row>
    <row r="230" ht="22.5" customHeight="1">
      <c r="A230" s="164"/>
      <c r="B230" s="164"/>
      <c r="C230" s="164"/>
      <c r="D230" s="164"/>
      <c r="E230" s="164"/>
      <c r="F230" s="164"/>
      <c r="G230" s="164"/>
    </row>
    <row r="231" ht="22.5" customHeight="1">
      <c r="A231" s="164"/>
      <c r="B231" s="164"/>
      <c r="C231" s="164"/>
      <c r="D231" s="164"/>
      <c r="E231" s="164"/>
      <c r="F231" s="164"/>
      <c r="G231" s="164"/>
    </row>
    <row r="232" ht="22.5" customHeight="1">
      <c r="A232" s="164"/>
      <c r="B232" s="164"/>
      <c r="C232" s="164"/>
      <c r="D232" s="164"/>
      <c r="E232" s="164"/>
      <c r="F232" s="164"/>
      <c r="G232" s="164"/>
    </row>
    <row r="233" ht="22.5" customHeight="1">
      <c r="A233" s="164"/>
      <c r="B233" s="164"/>
      <c r="C233" s="164"/>
      <c r="D233" s="164"/>
      <c r="E233" s="164"/>
      <c r="F233" s="164"/>
      <c r="G233" s="164"/>
    </row>
    <row r="234" ht="22.5" customHeight="1">
      <c r="A234" s="164"/>
      <c r="B234" s="164"/>
      <c r="C234" s="164"/>
      <c r="D234" s="164"/>
      <c r="E234" s="164"/>
      <c r="F234" s="164"/>
      <c r="G234" s="164"/>
    </row>
    <row r="235" ht="22.5" customHeight="1">
      <c r="A235" s="164"/>
      <c r="B235" s="164"/>
      <c r="C235" s="164"/>
      <c r="D235" s="164"/>
      <c r="E235" s="164"/>
      <c r="F235" s="164"/>
      <c r="G235" s="164"/>
    </row>
    <row r="236" ht="22.5" customHeight="1">
      <c r="A236" s="164"/>
      <c r="B236" s="164"/>
      <c r="C236" s="164"/>
      <c r="D236" s="164"/>
      <c r="E236" s="164"/>
      <c r="F236" s="164"/>
      <c r="G236" s="164"/>
    </row>
    <row r="237" ht="22.5" customHeight="1">
      <c r="A237" s="164"/>
      <c r="B237" s="164"/>
      <c r="C237" s="164"/>
      <c r="D237" s="164"/>
      <c r="E237" s="164"/>
      <c r="F237" s="164"/>
      <c r="G237" s="164"/>
    </row>
    <row r="238" ht="22.5" customHeight="1">
      <c r="A238" s="164"/>
      <c r="B238" s="164"/>
      <c r="C238" s="164"/>
      <c r="D238" s="164"/>
      <c r="E238" s="164"/>
      <c r="F238" s="164"/>
      <c r="G238" s="164"/>
    </row>
    <row r="239" ht="22.5" customHeight="1">
      <c r="A239" s="164"/>
      <c r="B239" s="164"/>
      <c r="C239" s="164"/>
      <c r="D239" s="164"/>
      <c r="E239" s="164"/>
      <c r="F239" s="164"/>
      <c r="G239" s="164"/>
    </row>
    <row r="240" ht="22.5" customHeight="1">
      <c r="A240" s="164"/>
      <c r="B240" s="164"/>
      <c r="C240" s="164"/>
      <c r="D240" s="164"/>
      <c r="E240" s="164"/>
      <c r="F240" s="164"/>
      <c r="G240" s="164"/>
    </row>
    <row r="241" ht="22.5" customHeight="1">
      <c r="A241" s="164"/>
      <c r="B241" s="164"/>
      <c r="C241" s="164"/>
      <c r="D241" s="164"/>
      <c r="E241" s="164"/>
      <c r="F241" s="164"/>
      <c r="G241" s="164"/>
    </row>
    <row r="242" ht="22.5" customHeight="1">
      <c r="A242" s="164"/>
      <c r="B242" s="164"/>
      <c r="C242" s="164"/>
      <c r="D242" s="164"/>
      <c r="E242" s="164"/>
      <c r="F242" s="164"/>
      <c r="G242" s="164"/>
    </row>
    <row r="243" ht="22.5" customHeight="1">
      <c r="A243" s="164"/>
      <c r="B243" s="164"/>
      <c r="C243" s="164"/>
      <c r="D243" s="164"/>
      <c r="E243" s="164"/>
      <c r="F243" s="164"/>
      <c r="G243" s="164"/>
    </row>
    <row r="244" ht="22.5" customHeight="1">
      <c r="A244" s="164"/>
      <c r="B244" s="164"/>
      <c r="C244" s="164"/>
      <c r="D244" s="164"/>
      <c r="E244" s="164"/>
      <c r="F244" s="164"/>
      <c r="G244" s="164"/>
    </row>
    <row r="245" ht="22.5" customHeight="1">
      <c r="A245" s="164"/>
      <c r="B245" s="164"/>
      <c r="C245" s="164"/>
      <c r="D245" s="164"/>
      <c r="E245" s="164"/>
      <c r="F245" s="164"/>
      <c r="G245" s="164"/>
    </row>
    <row r="246" ht="22.5" customHeight="1">
      <c r="A246" s="164"/>
      <c r="B246" s="164"/>
      <c r="C246" s="164"/>
      <c r="D246" s="164"/>
      <c r="E246" s="164"/>
      <c r="F246" s="164"/>
      <c r="G246" s="164"/>
    </row>
    <row r="247" ht="22.5" customHeight="1">
      <c r="A247" s="164"/>
      <c r="B247" s="164"/>
      <c r="C247" s="164"/>
      <c r="D247" s="164"/>
      <c r="E247" s="164"/>
      <c r="F247" s="164"/>
      <c r="G247" s="164"/>
    </row>
    <row r="248" ht="22.5" customHeight="1">
      <c r="A248" s="164"/>
      <c r="B248" s="164"/>
      <c r="C248" s="164"/>
      <c r="D248" s="164"/>
      <c r="E248" s="164"/>
      <c r="F248" s="164"/>
      <c r="G248" s="164"/>
    </row>
    <row r="249" ht="22.5" customHeight="1">
      <c r="A249" s="164"/>
      <c r="B249" s="164"/>
      <c r="C249" s="164"/>
      <c r="D249" s="164"/>
      <c r="E249" s="164"/>
      <c r="F249" s="164"/>
      <c r="G249" s="164"/>
    </row>
    <row r="250" ht="22.5" customHeight="1">
      <c r="A250" s="164"/>
      <c r="B250" s="164"/>
      <c r="C250" s="164"/>
      <c r="D250" s="164"/>
      <c r="E250" s="164"/>
      <c r="F250" s="164"/>
      <c r="G250" s="164"/>
    </row>
    <row r="251" ht="22.5" customHeight="1">
      <c r="A251" s="164"/>
      <c r="B251" s="164"/>
      <c r="C251" s="164"/>
      <c r="D251" s="164"/>
      <c r="E251" s="164"/>
      <c r="F251" s="164"/>
      <c r="G251" s="164"/>
    </row>
    <row r="252" ht="22.5" customHeight="1">
      <c r="A252" s="164"/>
      <c r="B252" s="164"/>
      <c r="C252" s="164"/>
      <c r="D252" s="164"/>
      <c r="E252" s="164"/>
      <c r="F252" s="164"/>
      <c r="G252" s="164"/>
    </row>
    <row r="253" ht="22.5" customHeight="1">
      <c r="A253" s="164"/>
      <c r="B253" s="164"/>
      <c r="C253" s="164"/>
      <c r="D253" s="164"/>
      <c r="E253" s="164"/>
      <c r="F253" s="164"/>
      <c r="G253" s="164"/>
    </row>
    <row r="254" ht="22.5" customHeight="1">
      <c r="A254" s="164"/>
      <c r="B254" s="164"/>
      <c r="C254" s="164"/>
      <c r="D254" s="164"/>
      <c r="E254" s="164"/>
      <c r="F254" s="164"/>
      <c r="G254" s="164"/>
    </row>
    <row r="255" ht="22.5" customHeight="1">
      <c r="A255" s="164"/>
      <c r="B255" s="164"/>
      <c r="C255" s="164"/>
      <c r="D255" s="164"/>
      <c r="E255" s="164"/>
      <c r="F255" s="164"/>
      <c r="G255" s="164"/>
    </row>
    <row r="256" ht="22.5" customHeight="1">
      <c r="A256" s="164"/>
      <c r="B256" s="164"/>
      <c r="C256" s="164"/>
      <c r="D256" s="164"/>
      <c r="E256" s="164"/>
      <c r="F256" s="164"/>
      <c r="G256" s="164"/>
    </row>
    <row r="257" ht="22.5" customHeight="1">
      <c r="A257" s="164"/>
      <c r="B257" s="164"/>
      <c r="C257" s="164"/>
      <c r="D257" s="164"/>
      <c r="E257" s="164"/>
      <c r="F257" s="164"/>
      <c r="G257" s="164"/>
    </row>
    <row r="258" ht="22.5" customHeight="1">
      <c r="A258" s="164"/>
      <c r="B258" s="164"/>
      <c r="C258" s="164"/>
      <c r="D258" s="164"/>
      <c r="E258" s="164"/>
      <c r="F258" s="164"/>
      <c r="G258" s="164"/>
    </row>
    <row r="259" ht="22.5" customHeight="1">
      <c r="A259" s="164"/>
      <c r="B259" s="164"/>
      <c r="C259" s="164"/>
      <c r="D259" s="164"/>
      <c r="E259" s="164"/>
      <c r="F259" s="164"/>
      <c r="G259" s="164"/>
    </row>
    <row r="260" ht="22.5" customHeight="1">
      <c r="A260" s="164"/>
      <c r="B260" s="164"/>
      <c r="C260" s="164"/>
      <c r="D260" s="164"/>
      <c r="E260" s="164"/>
      <c r="F260" s="164"/>
      <c r="G260" s="164"/>
    </row>
    <row r="261" ht="22.5" customHeight="1">
      <c r="A261" s="164"/>
      <c r="B261" s="164"/>
      <c r="C261" s="164"/>
      <c r="D261" s="164"/>
      <c r="E261" s="164"/>
      <c r="F261" s="164"/>
      <c r="G261" s="164"/>
    </row>
    <row r="262" ht="22.5" customHeight="1">
      <c r="A262" s="164"/>
      <c r="B262" s="164"/>
      <c r="C262" s="164"/>
      <c r="D262" s="164"/>
      <c r="E262" s="164"/>
      <c r="F262" s="164"/>
      <c r="G262" s="164"/>
    </row>
    <row r="263" ht="22.5" customHeight="1">
      <c r="A263" s="164"/>
      <c r="B263" s="164"/>
      <c r="C263" s="164"/>
      <c r="D263" s="164"/>
      <c r="E263" s="164"/>
      <c r="F263" s="164"/>
      <c r="G263" s="164"/>
    </row>
    <row r="264" ht="22.5" customHeight="1">
      <c r="A264" s="164"/>
      <c r="B264" s="164"/>
      <c r="C264" s="164"/>
      <c r="D264" s="164"/>
      <c r="E264" s="164"/>
      <c r="F264" s="164"/>
      <c r="G264" s="164"/>
    </row>
    <row r="265" ht="22.5" customHeight="1">
      <c r="A265" s="164"/>
      <c r="B265" s="164"/>
      <c r="C265" s="164"/>
      <c r="D265" s="164"/>
      <c r="E265" s="164"/>
      <c r="F265" s="164"/>
      <c r="G265" s="164"/>
    </row>
    <row r="266" ht="22.5" customHeight="1">
      <c r="A266" s="164"/>
      <c r="B266" s="164"/>
      <c r="C266" s="164"/>
      <c r="D266" s="164"/>
      <c r="E266" s="164"/>
      <c r="F266" s="164"/>
      <c r="G266" s="164"/>
    </row>
    <row r="267" ht="22.5" customHeight="1">
      <c r="A267" s="164"/>
      <c r="B267" s="164"/>
      <c r="C267" s="164"/>
      <c r="D267" s="164"/>
      <c r="E267" s="164"/>
      <c r="F267" s="164"/>
      <c r="G267" s="164"/>
    </row>
    <row r="268" ht="22.5" customHeight="1">
      <c r="A268" s="164"/>
      <c r="B268" s="164"/>
      <c r="C268" s="164"/>
      <c r="D268" s="164"/>
      <c r="E268" s="164"/>
      <c r="F268" s="164"/>
      <c r="G268" s="164"/>
    </row>
    <row r="269" ht="22.5" customHeight="1">
      <c r="A269" s="164"/>
      <c r="B269" s="164"/>
      <c r="C269" s="164"/>
      <c r="D269" s="164"/>
      <c r="E269" s="164"/>
      <c r="F269" s="164"/>
      <c r="G269" s="164"/>
    </row>
    <row r="270" ht="22.5" customHeight="1">
      <c r="A270" s="164"/>
      <c r="B270" s="164"/>
      <c r="C270" s="164"/>
      <c r="D270" s="164"/>
      <c r="E270" s="164"/>
      <c r="F270" s="164"/>
      <c r="G270" s="164"/>
    </row>
    <row r="271" ht="22.5" customHeight="1">
      <c r="A271" s="164"/>
      <c r="B271" s="164"/>
      <c r="C271" s="164"/>
      <c r="D271" s="164"/>
      <c r="E271" s="164"/>
      <c r="F271" s="164"/>
      <c r="G271" s="164"/>
    </row>
    <row r="272" ht="22.5" customHeight="1">
      <c r="A272" s="164"/>
      <c r="B272" s="164"/>
      <c r="C272" s="164"/>
      <c r="D272" s="164"/>
      <c r="E272" s="164"/>
      <c r="F272" s="164"/>
      <c r="G272" s="164"/>
    </row>
    <row r="273" ht="22.5" customHeight="1">
      <c r="A273" s="164"/>
      <c r="B273" s="164"/>
      <c r="C273" s="164"/>
      <c r="D273" s="164"/>
      <c r="E273" s="164"/>
      <c r="F273" s="164"/>
      <c r="G273" s="164"/>
    </row>
    <row r="274" ht="22.5" customHeight="1">
      <c r="A274" s="164"/>
      <c r="B274" s="164"/>
      <c r="C274" s="164"/>
      <c r="D274" s="164"/>
      <c r="E274" s="164"/>
      <c r="F274" s="164"/>
      <c r="G274" s="164"/>
    </row>
    <row r="275" ht="22.5" customHeight="1">
      <c r="A275" s="164"/>
      <c r="B275" s="164"/>
      <c r="C275" s="164"/>
      <c r="D275" s="164"/>
      <c r="E275" s="164"/>
      <c r="F275" s="164"/>
      <c r="G275" s="164"/>
    </row>
    <row r="276" ht="22.5" customHeight="1">
      <c r="A276" s="164"/>
      <c r="B276" s="164"/>
      <c r="C276" s="164"/>
      <c r="D276" s="164"/>
      <c r="E276" s="164"/>
      <c r="F276" s="164"/>
      <c r="G276" s="164"/>
    </row>
    <row r="277" ht="22.5" customHeight="1">
      <c r="A277" s="164"/>
      <c r="B277" s="164"/>
      <c r="C277" s="164"/>
      <c r="D277" s="164"/>
      <c r="E277" s="164"/>
      <c r="F277" s="164"/>
      <c r="G277" s="164"/>
    </row>
    <row r="278" ht="22.5" customHeight="1">
      <c r="A278" s="164"/>
      <c r="B278" s="164"/>
      <c r="C278" s="164"/>
      <c r="D278" s="164"/>
      <c r="E278" s="164"/>
      <c r="F278" s="164"/>
      <c r="G278" s="164"/>
    </row>
    <row r="279" ht="22.5" customHeight="1">
      <c r="A279" s="164"/>
      <c r="B279" s="164"/>
      <c r="C279" s="164"/>
      <c r="D279" s="164"/>
      <c r="E279" s="164"/>
      <c r="F279" s="164"/>
      <c r="G279" s="164"/>
    </row>
    <row r="280" ht="22.5" customHeight="1">
      <c r="A280" s="164"/>
      <c r="B280" s="164"/>
      <c r="C280" s="164"/>
      <c r="D280" s="164"/>
      <c r="E280" s="164"/>
      <c r="F280" s="164"/>
      <c r="G280" s="164"/>
    </row>
    <row r="281" ht="22.5" customHeight="1">
      <c r="A281" s="164"/>
      <c r="B281" s="164"/>
      <c r="C281" s="164"/>
      <c r="D281" s="164"/>
      <c r="E281" s="164"/>
      <c r="F281" s="164"/>
      <c r="G281" s="164"/>
    </row>
    <row r="282" ht="22.5" customHeight="1">
      <c r="A282" s="164"/>
      <c r="B282" s="164"/>
      <c r="C282" s="164"/>
      <c r="D282" s="164"/>
      <c r="E282" s="164"/>
      <c r="F282" s="164"/>
      <c r="G282" s="164"/>
    </row>
    <row r="283" ht="22.5" customHeight="1">
      <c r="A283" s="164"/>
      <c r="B283" s="164"/>
      <c r="C283" s="164"/>
      <c r="D283" s="164"/>
      <c r="E283" s="164"/>
      <c r="F283" s="164"/>
      <c r="G283" s="164"/>
    </row>
    <row r="284" ht="22.5" customHeight="1">
      <c r="A284" s="164"/>
      <c r="B284" s="164"/>
      <c r="C284" s="164"/>
      <c r="D284" s="164"/>
      <c r="E284" s="164"/>
      <c r="F284" s="164"/>
      <c r="G284" s="164"/>
    </row>
    <row r="285" ht="22.5" customHeight="1">
      <c r="A285" s="164"/>
      <c r="B285" s="164"/>
      <c r="C285" s="164"/>
      <c r="D285" s="164"/>
      <c r="E285" s="164"/>
      <c r="F285" s="164"/>
      <c r="G285" s="164"/>
    </row>
    <row r="286" ht="22.5" customHeight="1">
      <c r="A286" s="164"/>
      <c r="B286" s="164"/>
      <c r="C286" s="164"/>
      <c r="D286" s="164"/>
      <c r="E286" s="164"/>
      <c r="F286" s="164"/>
      <c r="G286" s="164"/>
    </row>
    <row r="287" ht="22.5" customHeight="1">
      <c r="A287" s="164"/>
      <c r="B287" s="164"/>
      <c r="C287" s="164"/>
      <c r="D287" s="164"/>
      <c r="E287" s="164"/>
      <c r="F287" s="164"/>
      <c r="G287" s="164"/>
    </row>
    <row r="288" ht="22.5" customHeight="1">
      <c r="A288" s="164"/>
      <c r="B288" s="164"/>
      <c r="C288" s="164"/>
      <c r="D288" s="164"/>
      <c r="E288" s="164"/>
      <c r="F288" s="164"/>
      <c r="G288" s="164"/>
    </row>
    <row r="289" ht="22.5" customHeight="1">
      <c r="A289" s="164"/>
      <c r="B289" s="164"/>
      <c r="C289" s="164"/>
      <c r="D289" s="164"/>
      <c r="E289" s="164"/>
      <c r="F289" s="164"/>
      <c r="G289" s="164"/>
    </row>
    <row r="290" ht="22.5" customHeight="1">
      <c r="A290" s="164"/>
      <c r="B290" s="164"/>
      <c r="C290" s="164"/>
      <c r="D290" s="164"/>
      <c r="E290" s="164"/>
      <c r="F290" s="164"/>
      <c r="G290" s="164"/>
    </row>
    <row r="291" ht="22.5" customHeight="1">
      <c r="A291" s="164"/>
      <c r="B291" s="164"/>
      <c r="C291" s="164"/>
      <c r="D291" s="164"/>
      <c r="E291" s="164"/>
      <c r="F291" s="164"/>
      <c r="G291" s="164"/>
    </row>
    <row r="292" ht="22.5" customHeight="1">
      <c r="A292" s="164"/>
      <c r="B292" s="164"/>
      <c r="C292" s="164"/>
      <c r="D292" s="164"/>
      <c r="E292" s="164"/>
      <c r="F292" s="164"/>
      <c r="G292" s="164"/>
    </row>
    <row r="293" ht="22.5" customHeight="1">
      <c r="A293" s="164"/>
      <c r="B293" s="164"/>
      <c r="C293" s="164"/>
      <c r="D293" s="164"/>
      <c r="E293" s="164"/>
      <c r="F293" s="164"/>
      <c r="G293" s="164"/>
    </row>
    <row r="294" ht="22.5" customHeight="1">
      <c r="A294" s="164"/>
      <c r="B294" s="164"/>
      <c r="C294" s="164"/>
      <c r="D294" s="164"/>
      <c r="E294" s="164"/>
      <c r="F294" s="164"/>
      <c r="G294" s="164"/>
    </row>
    <row r="295" ht="22.5" customHeight="1">
      <c r="A295" s="164"/>
      <c r="B295" s="164"/>
      <c r="C295" s="164"/>
      <c r="D295" s="164"/>
      <c r="E295" s="164"/>
      <c r="F295" s="164"/>
      <c r="G295" s="164"/>
    </row>
    <row r="296" ht="22.5" customHeight="1">
      <c r="A296" s="164"/>
      <c r="B296" s="164"/>
      <c r="C296" s="164"/>
      <c r="D296" s="164"/>
      <c r="E296" s="164"/>
      <c r="F296" s="164"/>
      <c r="G296" s="164"/>
    </row>
    <row r="297" ht="22.5" customHeight="1">
      <c r="A297" s="164"/>
      <c r="B297" s="164"/>
      <c r="C297" s="164"/>
      <c r="D297" s="164"/>
      <c r="E297" s="164"/>
      <c r="F297" s="164"/>
      <c r="G297" s="164"/>
    </row>
    <row r="298" ht="22.5" customHeight="1">
      <c r="A298" s="164"/>
      <c r="B298" s="164"/>
      <c r="C298" s="164"/>
      <c r="D298" s="164"/>
      <c r="E298" s="164"/>
      <c r="F298" s="164"/>
      <c r="G298" s="164"/>
    </row>
    <row r="299" ht="22.5" customHeight="1">
      <c r="A299" s="164"/>
      <c r="B299" s="164"/>
      <c r="C299" s="164"/>
      <c r="D299" s="164"/>
      <c r="E299" s="164"/>
      <c r="F299" s="164"/>
      <c r="G299" s="164"/>
    </row>
    <row r="300" ht="22.5" customHeight="1">
      <c r="A300" s="164"/>
      <c r="B300" s="164"/>
      <c r="C300" s="164"/>
      <c r="D300" s="164"/>
      <c r="E300" s="164"/>
      <c r="F300" s="164"/>
      <c r="G300" s="164"/>
    </row>
    <row r="301" ht="22.5" customHeight="1">
      <c r="A301" s="164"/>
      <c r="B301" s="164"/>
      <c r="C301" s="164"/>
      <c r="D301" s="164"/>
      <c r="E301" s="164"/>
      <c r="F301" s="164"/>
      <c r="G301" s="164"/>
    </row>
    <row r="302" ht="22.5" customHeight="1">
      <c r="A302" s="164"/>
      <c r="B302" s="164"/>
      <c r="C302" s="164"/>
      <c r="D302" s="164"/>
      <c r="E302" s="164"/>
      <c r="F302" s="164"/>
      <c r="G302" s="164"/>
    </row>
    <row r="303" ht="22.5" customHeight="1">
      <c r="A303" s="164"/>
      <c r="B303" s="164"/>
      <c r="C303" s="164"/>
      <c r="D303" s="164"/>
      <c r="E303" s="164"/>
      <c r="F303" s="164"/>
      <c r="G303" s="164"/>
    </row>
    <row r="304" ht="22.5" customHeight="1">
      <c r="A304" s="164"/>
      <c r="B304" s="164"/>
      <c r="C304" s="164"/>
      <c r="D304" s="164"/>
      <c r="E304" s="164"/>
      <c r="F304" s="164"/>
      <c r="G304" s="164"/>
    </row>
    <row r="305" ht="22.5" customHeight="1">
      <c r="A305" s="164"/>
      <c r="B305" s="164"/>
      <c r="C305" s="164"/>
      <c r="D305" s="164"/>
      <c r="E305" s="164"/>
      <c r="F305" s="164"/>
      <c r="G305" s="164"/>
    </row>
    <row r="306" ht="22.5" customHeight="1">
      <c r="A306" s="164"/>
      <c r="B306" s="164"/>
      <c r="C306" s="164"/>
      <c r="D306" s="164"/>
      <c r="E306" s="164"/>
      <c r="F306" s="164"/>
      <c r="G306" s="164"/>
    </row>
    <row r="307" ht="22.5" customHeight="1">
      <c r="A307" s="164"/>
      <c r="B307" s="164"/>
      <c r="C307" s="164"/>
      <c r="D307" s="164"/>
      <c r="E307" s="164"/>
      <c r="F307" s="164"/>
      <c r="G307" s="164"/>
    </row>
    <row r="308" ht="22.5" customHeight="1">
      <c r="A308" s="164"/>
      <c r="B308" s="164"/>
      <c r="C308" s="164"/>
      <c r="D308" s="164"/>
      <c r="E308" s="164"/>
      <c r="F308" s="164"/>
      <c r="G308" s="164"/>
    </row>
    <row r="309" ht="22.5" customHeight="1">
      <c r="A309" s="164"/>
      <c r="B309" s="164"/>
      <c r="C309" s="164"/>
      <c r="D309" s="164"/>
      <c r="E309" s="164"/>
      <c r="F309" s="164"/>
      <c r="G309" s="164"/>
    </row>
    <row r="310" ht="22.5" customHeight="1">
      <c r="A310" s="164"/>
      <c r="B310" s="164"/>
      <c r="C310" s="164"/>
      <c r="D310" s="164"/>
      <c r="E310" s="164"/>
      <c r="F310" s="164"/>
      <c r="G310" s="164"/>
    </row>
    <row r="311" ht="22.5" customHeight="1">
      <c r="A311" s="164"/>
      <c r="B311" s="164"/>
      <c r="C311" s="164"/>
      <c r="D311" s="164"/>
      <c r="E311" s="164"/>
      <c r="F311" s="164"/>
      <c r="G311" s="164"/>
    </row>
    <row r="312" ht="22.5" customHeight="1">
      <c r="A312" s="164"/>
      <c r="B312" s="164"/>
      <c r="C312" s="164"/>
      <c r="D312" s="164"/>
      <c r="E312" s="164"/>
      <c r="F312" s="164"/>
      <c r="G312" s="164"/>
    </row>
    <row r="313" ht="22.5" customHeight="1">
      <c r="A313" s="164"/>
      <c r="B313" s="164"/>
      <c r="C313" s="164"/>
      <c r="D313" s="164"/>
      <c r="E313" s="164"/>
      <c r="F313" s="164"/>
      <c r="G313" s="164"/>
    </row>
    <row r="314" ht="22.5" customHeight="1">
      <c r="A314" s="164"/>
      <c r="B314" s="164"/>
      <c r="C314" s="164"/>
      <c r="D314" s="164"/>
      <c r="E314" s="164"/>
      <c r="F314" s="164"/>
      <c r="G314" s="164"/>
    </row>
    <row r="315" ht="22.5" customHeight="1">
      <c r="A315" s="164"/>
      <c r="B315" s="164"/>
      <c r="C315" s="164"/>
      <c r="D315" s="164"/>
      <c r="E315" s="164"/>
      <c r="F315" s="164"/>
      <c r="G315" s="164"/>
    </row>
    <row r="316" ht="22.5" customHeight="1">
      <c r="A316" s="164"/>
      <c r="B316" s="164"/>
      <c r="C316" s="164"/>
      <c r="D316" s="164"/>
      <c r="E316" s="164"/>
      <c r="F316" s="164"/>
      <c r="G316" s="164"/>
    </row>
    <row r="317" ht="22.5" customHeight="1">
      <c r="A317" s="164"/>
      <c r="B317" s="164"/>
      <c r="C317" s="164"/>
      <c r="D317" s="164"/>
      <c r="E317" s="164"/>
      <c r="F317" s="164"/>
      <c r="G317" s="164"/>
    </row>
    <row r="318" ht="22.5" customHeight="1">
      <c r="A318" s="164"/>
      <c r="B318" s="164"/>
      <c r="C318" s="164"/>
      <c r="D318" s="164"/>
      <c r="E318" s="164"/>
      <c r="F318" s="164"/>
      <c r="G318" s="164"/>
    </row>
    <row r="319" ht="22.5" customHeight="1">
      <c r="A319" s="164"/>
      <c r="B319" s="164"/>
      <c r="C319" s="164"/>
      <c r="D319" s="164"/>
      <c r="E319" s="164"/>
      <c r="F319" s="164"/>
      <c r="G319" s="164"/>
    </row>
    <row r="320" ht="22.5" customHeight="1">
      <c r="A320" s="164"/>
      <c r="B320" s="164"/>
      <c r="C320" s="164"/>
      <c r="D320" s="164"/>
      <c r="E320" s="164"/>
      <c r="F320" s="164"/>
      <c r="G320" s="164"/>
    </row>
    <row r="321" ht="22.5" customHeight="1">
      <c r="A321" s="164"/>
      <c r="B321" s="164"/>
      <c r="C321" s="164"/>
      <c r="D321" s="164"/>
      <c r="E321" s="164"/>
      <c r="F321" s="164"/>
      <c r="G321" s="164"/>
    </row>
    <row r="322" ht="22.5" customHeight="1">
      <c r="A322" s="164"/>
      <c r="B322" s="164"/>
      <c r="C322" s="164"/>
      <c r="D322" s="164"/>
      <c r="E322" s="164"/>
      <c r="F322" s="164"/>
      <c r="G322" s="164"/>
    </row>
    <row r="323" ht="22.5" customHeight="1">
      <c r="A323" s="164"/>
      <c r="B323" s="164"/>
      <c r="C323" s="164"/>
      <c r="D323" s="164"/>
      <c r="E323" s="164"/>
      <c r="F323" s="164"/>
      <c r="G323" s="164"/>
    </row>
    <row r="324" ht="22.5" customHeight="1">
      <c r="A324" s="164"/>
      <c r="B324" s="164"/>
      <c r="C324" s="164"/>
      <c r="D324" s="164"/>
      <c r="E324" s="164"/>
      <c r="F324" s="164"/>
      <c r="G324" s="164"/>
    </row>
    <row r="325" ht="22.5" customHeight="1">
      <c r="A325" s="164"/>
      <c r="B325" s="164"/>
      <c r="C325" s="164"/>
      <c r="D325" s="164"/>
      <c r="E325" s="164"/>
      <c r="F325" s="164"/>
      <c r="G325" s="164"/>
    </row>
    <row r="326" ht="22.5" customHeight="1">
      <c r="A326" s="164"/>
      <c r="B326" s="164"/>
      <c r="C326" s="164"/>
      <c r="D326" s="164"/>
      <c r="E326" s="164"/>
      <c r="F326" s="164"/>
      <c r="G326" s="164"/>
    </row>
    <row r="327" ht="22.5" customHeight="1">
      <c r="A327" s="164"/>
      <c r="B327" s="164"/>
      <c r="C327" s="164"/>
      <c r="D327" s="164"/>
      <c r="E327" s="164"/>
      <c r="F327" s="164"/>
      <c r="G327" s="164"/>
    </row>
    <row r="328" ht="22.5" customHeight="1">
      <c r="A328" s="164"/>
      <c r="B328" s="164"/>
      <c r="C328" s="164"/>
      <c r="D328" s="164"/>
      <c r="E328" s="164"/>
      <c r="F328" s="164"/>
      <c r="G328" s="164"/>
    </row>
    <row r="329" ht="22.5" customHeight="1">
      <c r="A329" s="164"/>
      <c r="B329" s="164"/>
      <c r="C329" s="164"/>
      <c r="D329" s="164"/>
      <c r="E329" s="164"/>
      <c r="F329" s="164"/>
      <c r="G329" s="164"/>
    </row>
    <row r="330" ht="22.5" customHeight="1">
      <c r="A330" s="164"/>
      <c r="B330" s="164"/>
      <c r="C330" s="164"/>
      <c r="D330" s="164"/>
      <c r="E330" s="164"/>
      <c r="F330" s="164"/>
      <c r="G330" s="164"/>
    </row>
    <row r="331" ht="22.5" customHeight="1">
      <c r="A331" s="164"/>
      <c r="B331" s="164"/>
      <c r="C331" s="164"/>
      <c r="D331" s="164"/>
      <c r="E331" s="164"/>
      <c r="F331" s="164"/>
      <c r="G331" s="164"/>
    </row>
    <row r="332" ht="22.5" customHeight="1">
      <c r="A332" s="164"/>
      <c r="B332" s="164"/>
      <c r="C332" s="164"/>
      <c r="D332" s="164"/>
      <c r="E332" s="164"/>
      <c r="F332" s="164"/>
      <c r="G332" s="164"/>
    </row>
    <row r="333" ht="22.5" customHeight="1">
      <c r="A333" s="164"/>
      <c r="B333" s="164"/>
      <c r="C333" s="164"/>
      <c r="D333" s="164"/>
      <c r="E333" s="164"/>
      <c r="F333" s="164"/>
      <c r="G333" s="164"/>
    </row>
    <row r="334" ht="22.5" customHeight="1">
      <c r="A334" s="164"/>
      <c r="B334" s="164"/>
      <c r="C334" s="164"/>
      <c r="D334" s="164"/>
      <c r="E334" s="164"/>
      <c r="F334" s="164"/>
      <c r="G334" s="164"/>
    </row>
    <row r="335" ht="22.5" customHeight="1">
      <c r="A335" s="164"/>
      <c r="B335" s="164"/>
      <c r="C335" s="164"/>
      <c r="D335" s="164"/>
      <c r="E335" s="164"/>
      <c r="F335" s="164"/>
      <c r="G335" s="164"/>
    </row>
    <row r="336" ht="22.5" customHeight="1">
      <c r="A336" s="164"/>
      <c r="B336" s="164"/>
      <c r="C336" s="164"/>
      <c r="D336" s="164"/>
      <c r="E336" s="164"/>
      <c r="F336" s="164"/>
      <c r="G336" s="164"/>
    </row>
    <row r="337" ht="22.5" customHeight="1">
      <c r="A337" s="164"/>
      <c r="B337" s="164"/>
      <c r="C337" s="164"/>
      <c r="D337" s="164"/>
      <c r="E337" s="164"/>
      <c r="F337" s="164"/>
      <c r="G337" s="164"/>
    </row>
    <row r="338" ht="22.5" customHeight="1">
      <c r="A338" s="164"/>
      <c r="B338" s="164"/>
      <c r="C338" s="164"/>
      <c r="D338" s="164"/>
      <c r="E338" s="164"/>
      <c r="F338" s="164"/>
      <c r="G338" s="164"/>
    </row>
    <row r="339" ht="22.5" customHeight="1">
      <c r="A339" s="164"/>
      <c r="B339" s="164"/>
      <c r="C339" s="164"/>
      <c r="D339" s="164"/>
      <c r="E339" s="164"/>
      <c r="F339" s="164"/>
      <c r="G339" s="164"/>
    </row>
    <row r="340" ht="22.5" customHeight="1">
      <c r="A340" s="164"/>
      <c r="B340" s="164"/>
      <c r="C340" s="164"/>
      <c r="D340" s="164"/>
      <c r="E340" s="164"/>
      <c r="F340" s="164"/>
      <c r="G340" s="164"/>
    </row>
    <row r="341" ht="22.5" customHeight="1">
      <c r="A341" s="164"/>
      <c r="B341" s="164"/>
      <c r="C341" s="164"/>
      <c r="D341" s="164"/>
      <c r="E341" s="164"/>
      <c r="F341" s="164"/>
      <c r="G341" s="164"/>
    </row>
    <row r="342" ht="22.5" customHeight="1">
      <c r="A342" s="164"/>
      <c r="B342" s="164"/>
      <c r="C342" s="164"/>
      <c r="D342" s="164"/>
      <c r="E342" s="164"/>
      <c r="F342" s="164"/>
      <c r="G342" s="164"/>
    </row>
    <row r="343" ht="22.5" customHeight="1">
      <c r="A343" s="164"/>
      <c r="B343" s="164"/>
      <c r="C343" s="164"/>
      <c r="D343" s="164"/>
      <c r="E343" s="164"/>
      <c r="F343" s="164"/>
      <c r="G343" s="164"/>
    </row>
    <row r="344" ht="22.5" customHeight="1">
      <c r="A344" s="164"/>
      <c r="B344" s="164"/>
      <c r="C344" s="164"/>
      <c r="D344" s="164"/>
      <c r="E344" s="164"/>
      <c r="F344" s="164"/>
      <c r="G344" s="164"/>
    </row>
    <row r="345" ht="22.5" customHeight="1">
      <c r="A345" s="164"/>
      <c r="B345" s="164"/>
      <c r="C345" s="164"/>
      <c r="D345" s="164"/>
      <c r="E345" s="164"/>
      <c r="F345" s="164"/>
      <c r="G345" s="164"/>
    </row>
    <row r="346" ht="22.5" customHeight="1">
      <c r="A346" s="164"/>
      <c r="B346" s="164"/>
      <c r="C346" s="164"/>
      <c r="D346" s="164"/>
      <c r="E346" s="164"/>
      <c r="F346" s="164"/>
      <c r="G346" s="164"/>
    </row>
    <row r="347" ht="22.5" customHeight="1">
      <c r="A347" s="164"/>
      <c r="B347" s="164"/>
      <c r="C347" s="164"/>
      <c r="D347" s="164"/>
      <c r="E347" s="164"/>
      <c r="F347" s="164"/>
      <c r="G347" s="164"/>
    </row>
    <row r="348" ht="22.5" customHeight="1">
      <c r="A348" s="164"/>
      <c r="B348" s="164"/>
      <c r="C348" s="164"/>
      <c r="D348" s="164"/>
      <c r="E348" s="164"/>
      <c r="F348" s="164"/>
      <c r="G348" s="164"/>
    </row>
    <row r="349" ht="22.5" customHeight="1">
      <c r="A349" s="164"/>
      <c r="B349" s="164"/>
      <c r="C349" s="164"/>
      <c r="D349" s="164"/>
      <c r="E349" s="164"/>
      <c r="F349" s="164"/>
      <c r="G349" s="164"/>
    </row>
    <row r="350" ht="22.5" customHeight="1">
      <c r="A350" s="164"/>
      <c r="B350" s="164"/>
      <c r="C350" s="164"/>
      <c r="D350" s="164"/>
      <c r="E350" s="164"/>
      <c r="F350" s="164"/>
      <c r="G350" s="164"/>
    </row>
    <row r="351" ht="22.5" customHeight="1">
      <c r="A351" s="164"/>
      <c r="B351" s="164"/>
      <c r="C351" s="164"/>
      <c r="D351" s="164"/>
      <c r="E351" s="164"/>
      <c r="F351" s="164"/>
      <c r="G351" s="164"/>
    </row>
    <row r="352" ht="22.5" customHeight="1">
      <c r="A352" s="164"/>
      <c r="B352" s="164"/>
      <c r="C352" s="164"/>
      <c r="D352" s="164"/>
      <c r="E352" s="164"/>
      <c r="F352" s="164"/>
      <c r="G352" s="164"/>
    </row>
    <row r="353" ht="22.5" customHeight="1">
      <c r="A353" s="164"/>
      <c r="B353" s="164"/>
      <c r="C353" s="164"/>
      <c r="D353" s="164"/>
      <c r="E353" s="164"/>
      <c r="F353" s="164"/>
      <c r="G353" s="164"/>
    </row>
    <row r="354" ht="22.5" customHeight="1">
      <c r="A354" s="164"/>
      <c r="B354" s="164"/>
      <c r="C354" s="164"/>
      <c r="D354" s="164"/>
      <c r="E354" s="164"/>
      <c r="F354" s="164"/>
      <c r="G354" s="164"/>
    </row>
    <row r="355" ht="22.5" customHeight="1">
      <c r="A355" s="164"/>
      <c r="B355" s="164"/>
      <c r="C355" s="164"/>
      <c r="D355" s="164"/>
      <c r="E355" s="164"/>
      <c r="F355" s="164"/>
      <c r="G355" s="164"/>
    </row>
    <row r="356" ht="22.5" customHeight="1">
      <c r="A356" s="164"/>
      <c r="B356" s="164"/>
      <c r="C356" s="164"/>
      <c r="D356" s="164"/>
      <c r="E356" s="164"/>
      <c r="F356" s="164"/>
      <c r="G356" s="164"/>
    </row>
    <row r="357" ht="22.5" customHeight="1">
      <c r="A357" s="164"/>
      <c r="B357" s="164"/>
      <c r="C357" s="164"/>
      <c r="D357" s="164"/>
      <c r="E357" s="164"/>
      <c r="F357" s="164"/>
      <c r="G357" s="164"/>
    </row>
    <row r="358" ht="22.5" customHeight="1">
      <c r="A358" s="164"/>
      <c r="B358" s="164"/>
      <c r="C358" s="164"/>
      <c r="D358" s="164"/>
      <c r="E358" s="164"/>
      <c r="F358" s="164"/>
      <c r="G358" s="164"/>
    </row>
    <row r="359" ht="22.5" customHeight="1">
      <c r="A359" s="164"/>
      <c r="B359" s="164"/>
      <c r="C359" s="164"/>
      <c r="D359" s="164"/>
      <c r="E359" s="164"/>
      <c r="F359" s="164"/>
      <c r="G359" s="164"/>
    </row>
    <row r="360" ht="22.5" customHeight="1">
      <c r="A360" s="164"/>
      <c r="B360" s="164"/>
      <c r="C360" s="164"/>
      <c r="D360" s="164"/>
      <c r="E360" s="164"/>
      <c r="F360" s="164"/>
      <c r="G360" s="164"/>
    </row>
    <row r="361" ht="22.5" customHeight="1">
      <c r="A361" s="164"/>
      <c r="B361" s="164"/>
      <c r="C361" s="164"/>
      <c r="D361" s="164"/>
      <c r="E361" s="164"/>
      <c r="F361" s="164"/>
      <c r="G361" s="164"/>
    </row>
    <row r="362" ht="22.5" customHeight="1">
      <c r="A362" s="164"/>
      <c r="B362" s="164"/>
      <c r="C362" s="164"/>
      <c r="D362" s="164"/>
      <c r="E362" s="164"/>
      <c r="F362" s="164"/>
      <c r="G362" s="164"/>
    </row>
    <row r="363" ht="22.5" customHeight="1">
      <c r="A363" s="164"/>
      <c r="B363" s="164"/>
      <c r="C363" s="164"/>
      <c r="D363" s="164"/>
      <c r="E363" s="164"/>
      <c r="F363" s="164"/>
      <c r="G363" s="164"/>
    </row>
    <row r="364" ht="22.5" customHeight="1">
      <c r="A364" s="164"/>
      <c r="B364" s="164"/>
      <c r="C364" s="164"/>
      <c r="D364" s="164"/>
      <c r="E364" s="164"/>
      <c r="F364" s="164"/>
      <c r="G364" s="164"/>
    </row>
    <row r="365" ht="22.5" customHeight="1">
      <c r="A365" s="164"/>
      <c r="B365" s="164"/>
      <c r="C365" s="164"/>
      <c r="D365" s="164"/>
      <c r="E365" s="164"/>
      <c r="F365" s="164"/>
      <c r="G365" s="164"/>
    </row>
    <row r="366" ht="22.5" customHeight="1">
      <c r="A366" s="164"/>
      <c r="B366" s="164"/>
      <c r="C366" s="164"/>
      <c r="D366" s="164"/>
      <c r="E366" s="164"/>
      <c r="F366" s="164"/>
      <c r="G366" s="164"/>
    </row>
    <row r="367" ht="22.5" customHeight="1">
      <c r="A367" s="164"/>
      <c r="B367" s="164"/>
      <c r="C367" s="164"/>
      <c r="D367" s="164"/>
      <c r="E367" s="164"/>
      <c r="F367" s="164"/>
      <c r="G367" s="164"/>
    </row>
    <row r="368" ht="22.5" customHeight="1">
      <c r="A368" s="164"/>
      <c r="B368" s="164"/>
      <c r="C368" s="164"/>
      <c r="D368" s="164"/>
      <c r="E368" s="164"/>
      <c r="F368" s="164"/>
      <c r="G368" s="164"/>
    </row>
    <row r="369" ht="22.5" customHeight="1">
      <c r="A369" s="164"/>
      <c r="B369" s="164"/>
      <c r="C369" s="164"/>
      <c r="D369" s="164"/>
      <c r="E369" s="164"/>
      <c r="F369" s="164"/>
      <c r="G369" s="164"/>
    </row>
    <row r="370" ht="22.5" customHeight="1">
      <c r="A370" s="164"/>
      <c r="B370" s="164"/>
      <c r="C370" s="164"/>
      <c r="D370" s="164"/>
      <c r="E370" s="164"/>
      <c r="F370" s="164"/>
      <c r="G370" s="164"/>
    </row>
    <row r="371" ht="22.5" customHeight="1">
      <c r="A371" s="164"/>
      <c r="B371" s="164"/>
      <c r="C371" s="164"/>
      <c r="D371" s="164"/>
      <c r="E371" s="164"/>
      <c r="F371" s="164"/>
      <c r="G371" s="164"/>
    </row>
    <row r="372" ht="22.5" customHeight="1">
      <c r="A372" s="164"/>
      <c r="B372" s="164"/>
      <c r="C372" s="164"/>
      <c r="D372" s="164"/>
      <c r="E372" s="164"/>
      <c r="F372" s="164"/>
      <c r="G372" s="164"/>
    </row>
    <row r="373" ht="22.5" customHeight="1">
      <c r="A373" s="164"/>
      <c r="B373" s="164"/>
      <c r="C373" s="164"/>
      <c r="D373" s="164"/>
      <c r="E373" s="164"/>
      <c r="F373" s="164"/>
      <c r="G373" s="164"/>
    </row>
    <row r="374" ht="22.5" customHeight="1">
      <c r="A374" s="164"/>
      <c r="B374" s="164"/>
      <c r="C374" s="164"/>
      <c r="D374" s="164"/>
      <c r="E374" s="164"/>
      <c r="F374" s="164"/>
      <c r="G374" s="164"/>
    </row>
    <row r="375" ht="22.5" customHeight="1">
      <c r="A375" s="164"/>
      <c r="B375" s="164"/>
      <c r="C375" s="164"/>
      <c r="D375" s="164"/>
      <c r="E375" s="164"/>
      <c r="F375" s="164"/>
      <c r="G375" s="164"/>
    </row>
    <row r="376" ht="22.5" customHeight="1">
      <c r="A376" s="164"/>
      <c r="B376" s="164"/>
      <c r="C376" s="164"/>
      <c r="D376" s="164"/>
      <c r="E376" s="164"/>
      <c r="F376" s="164"/>
      <c r="G376" s="164"/>
    </row>
    <row r="377" ht="22.5" customHeight="1">
      <c r="A377" s="164"/>
      <c r="B377" s="164"/>
      <c r="C377" s="164"/>
      <c r="D377" s="164"/>
      <c r="E377" s="164"/>
      <c r="F377" s="164"/>
      <c r="G377" s="164"/>
    </row>
    <row r="378" ht="22.5" customHeight="1">
      <c r="A378" s="164"/>
      <c r="B378" s="164"/>
      <c r="C378" s="164"/>
      <c r="D378" s="164"/>
      <c r="E378" s="164"/>
      <c r="F378" s="164"/>
      <c r="G378" s="164"/>
    </row>
    <row r="379" ht="22.5" customHeight="1">
      <c r="A379" s="164"/>
      <c r="B379" s="164"/>
      <c r="C379" s="164"/>
      <c r="D379" s="164"/>
      <c r="E379" s="164"/>
      <c r="F379" s="164"/>
      <c r="G379" s="164"/>
    </row>
    <row r="380" ht="22.5" customHeight="1">
      <c r="A380" s="164"/>
      <c r="B380" s="164"/>
      <c r="C380" s="164"/>
      <c r="D380" s="164"/>
      <c r="E380" s="164"/>
      <c r="F380" s="164"/>
      <c r="G380" s="164"/>
    </row>
    <row r="381" ht="22.5" customHeight="1">
      <c r="A381" s="164"/>
      <c r="B381" s="164"/>
      <c r="C381" s="164"/>
      <c r="D381" s="164"/>
      <c r="E381" s="164"/>
      <c r="F381" s="164"/>
      <c r="G381" s="164"/>
    </row>
    <row r="382" ht="22.5" customHeight="1">
      <c r="A382" s="164"/>
      <c r="B382" s="164"/>
      <c r="C382" s="164"/>
      <c r="D382" s="164"/>
      <c r="E382" s="164"/>
      <c r="F382" s="164"/>
      <c r="G382" s="164"/>
    </row>
    <row r="383" ht="22.5" customHeight="1">
      <c r="A383" s="164"/>
      <c r="B383" s="164"/>
      <c r="C383" s="164"/>
      <c r="D383" s="164"/>
      <c r="E383" s="164"/>
      <c r="F383" s="164"/>
      <c r="G383" s="164"/>
    </row>
    <row r="384" ht="22.5" customHeight="1">
      <c r="A384" s="164"/>
      <c r="B384" s="164"/>
      <c r="C384" s="164"/>
      <c r="D384" s="164"/>
      <c r="E384" s="164"/>
      <c r="F384" s="164"/>
      <c r="G384" s="164"/>
    </row>
    <row r="385" ht="22.5" customHeight="1">
      <c r="A385" s="164"/>
      <c r="B385" s="164"/>
      <c r="C385" s="164"/>
      <c r="D385" s="164"/>
      <c r="E385" s="164"/>
      <c r="F385" s="164"/>
      <c r="G385" s="164"/>
    </row>
    <row r="386" ht="22.5" customHeight="1">
      <c r="A386" s="164"/>
      <c r="B386" s="164"/>
      <c r="C386" s="164"/>
      <c r="D386" s="164"/>
      <c r="E386" s="164"/>
      <c r="F386" s="164"/>
      <c r="G386" s="164"/>
    </row>
    <row r="387" ht="22.5" customHeight="1">
      <c r="A387" s="164"/>
      <c r="B387" s="164"/>
      <c r="C387" s="164"/>
      <c r="D387" s="164"/>
      <c r="E387" s="164"/>
      <c r="F387" s="164"/>
      <c r="G387" s="164"/>
    </row>
    <row r="388" ht="22.5" customHeight="1">
      <c r="A388" s="164"/>
      <c r="B388" s="164"/>
      <c r="C388" s="164"/>
      <c r="D388" s="164"/>
      <c r="E388" s="164"/>
      <c r="F388" s="164"/>
      <c r="G388" s="164"/>
    </row>
    <row r="389" ht="22.5" customHeight="1">
      <c r="A389" s="164"/>
      <c r="B389" s="164"/>
      <c r="C389" s="164"/>
      <c r="D389" s="164"/>
      <c r="E389" s="164"/>
      <c r="F389" s="164"/>
      <c r="G389" s="164"/>
    </row>
    <row r="390" ht="22.5" customHeight="1">
      <c r="A390" s="164"/>
      <c r="B390" s="164"/>
      <c r="C390" s="164"/>
      <c r="D390" s="164"/>
      <c r="E390" s="164"/>
      <c r="F390" s="164"/>
      <c r="G390" s="164"/>
    </row>
    <row r="391" ht="22.5" customHeight="1">
      <c r="A391" s="164"/>
      <c r="B391" s="164"/>
      <c r="C391" s="164"/>
      <c r="D391" s="164"/>
      <c r="E391" s="164"/>
      <c r="F391" s="164"/>
      <c r="G391" s="164"/>
    </row>
    <row r="392" ht="22.5" customHeight="1">
      <c r="A392" s="164"/>
      <c r="B392" s="164"/>
      <c r="C392" s="164"/>
      <c r="D392" s="164"/>
      <c r="E392" s="164"/>
      <c r="F392" s="164"/>
      <c r="G392" s="164"/>
    </row>
    <row r="393" ht="22.5" customHeight="1">
      <c r="A393" s="164"/>
      <c r="B393" s="164"/>
      <c r="C393" s="164"/>
      <c r="D393" s="164"/>
      <c r="E393" s="164"/>
      <c r="F393" s="164"/>
      <c r="G393" s="164"/>
    </row>
    <row r="394" ht="22.5" customHeight="1">
      <c r="A394" s="164"/>
      <c r="B394" s="164"/>
      <c r="C394" s="164"/>
      <c r="D394" s="164"/>
      <c r="E394" s="164"/>
      <c r="F394" s="164"/>
      <c r="G394" s="164"/>
    </row>
    <row r="395" ht="22.5" customHeight="1">
      <c r="A395" s="164"/>
      <c r="B395" s="164"/>
      <c r="C395" s="164"/>
      <c r="D395" s="164"/>
      <c r="E395" s="164"/>
      <c r="F395" s="164"/>
      <c r="G395" s="164"/>
    </row>
    <row r="396" ht="22.5" customHeight="1">
      <c r="A396" s="164"/>
      <c r="B396" s="164"/>
      <c r="C396" s="164"/>
      <c r="D396" s="164"/>
      <c r="E396" s="164"/>
      <c r="F396" s="164"/>
      <c r="G396" s="164"/>
    </row>
    <row r="397" ht="22.5" customHeight="1">
      <c r="A397" s="164"/>
      <c r="B397" s="164"/>
      <c r="C397" s="164"/>
      <c r="D397" s="164"/>
      <c r="E397" s="164"/>
      <c r="F397" s="164"/>
      <c r="G397" s="164"/>
    </row>
    <row r="398" ht="22.5" customHeight="1">
      <c r="A398" s="164"/>
      <c r="B398" s="164"/>
      <c r="C398" s="164"/>
      <c r="D398" s="164"/>
      <c r="E398" s="164"/>
      <c r="F398" s="164"/>
      <c r="G398" s="164"/>
    </row>
    <row r="399" ht="22.5" customHeight="1">
      <c r="A399" s="164"/>
      <c r="B399" s="164"/>
      <c r="C399" s="164"/>
      <c r="D399" s="164"/>
      <c r="E399" s="164"/>
      <c r="F399" s="164"/>
      <c r="G399" s="164"/>
    </row>
    <row r="400" ht="22.5" customHeight="1">
      <c r="A400" s="164"/>
      <c r="B400" s="164"/>
      <c r="C400" s="164"/>
      <c r="D400" s="164"/>
      <c r="E400" s="164"/>
      <c r="F400" s="164"/>
      <c r="G400" s="164"/>
    </row>
    <row r="401" ht="22.5" customHeight="1">
      <c r="A401" s="164"/>
      <c r="B401" s="164"/>
      <c r="C401" s="164"/>
      <c r="D401" s="164"/>
      <c r="E401" s="164"/>
      <c r="F401" s="164"/>
      <c r="G401" s="164"/>
    </row>
    <row r="402" ht="22.5" customHeight="1">
      <c r="A402" s="164"/>
      <c r="B402" s="164"/>
      <c r="C402" s="164"/>
      <c r="D402" s="164"/>
      <c r="E402" s="164"/>
      <c r="F402" s="164"/>
      <c r="G402" s="164"/>
    </row>
    <row r="403" ht="22.5" customHeight="1">
      <c r="A403" s="164"/>
      <c r="B403" s="164"/>
      <c r="C403" s="164"/>
      <c r="D403" s="164"/>
      <c r="E403" s="164"/>
      <c r="F403" s="164"/>
      <c r="G403" s="164"/>
    </row>
    <row r="404" ht="22.5" customHeight="1">
      <c r="A404" s="164"/>
      <c r="B404" s="164"/>
      <c r="C404" s="164"/>
      <c r="D404" s="164"/>
      <c r="E404" s="164"/>
      <c r="F404" s="164"/>
      <c r="G404" s="164"/>
    </row>
    <row r="405" ht="22.5" customHeight="1">
      <c r="A405" s="164"/>
      <c r="B405" s="164"/>
      <c r="C405" s="164"/>
      <c r="D405" s="164"/>
      <c r="E405" s="164"/>
      <c r="F405" s="164"/>
      <c r="G405" s="164"/>
    </row>
    <row r="406" ht="22.5" customHeight="1">
      <c r="A406" s="164"/>
      <c r="B406" s="164"/>
      <c r="C406" s="164"/>
      <c r="D406" s="164"/>
      <c r="E406" s="164"/>
      <c r="F406" s="164"/>
      <c r="G406" s="164"/>
    </row>
    <row r="407" ht="22.5" customHeight="1">
      <c r="A407" s="164"/>
      <c r="B407" s="164"/>
      <c r="C407" s="164"/>
      <c r="D407" s="164"/>
      <c r="E407" s="164"/>
      <c r="F407" s="164"/>
      <c r="G407" s="164"/>
    </row>
    <row r="408" ht="22.5" customHeight="1">
      <c r="A408" s="164"/>
      <c r="B408" s="164"/>
      <c r="C408" s="164"/>
      <c r="D408" s="164"/>
      <c r="E408" s="164"/>
      <c r="F408" s="164"/>
      <c r="G408" s="164"/>
    </row>
    <row r="409" ht="22.5" customHeight="1">
      <c r="A409" s="164"/>
      <c r="B409" s="164"/>
      <c r="C409" s="164"/>
      <c r="D409" s="164"/>
      <c r="E409" s="164"/>
      <c r="F409" s="164"/>
      <c r="G409" s="164"/>
    </row>
    <row r="410" ht="22.5" customHeight="1">
      <c r="A410" s="164"/>
      <c r="B410" s="164"/>
      <c r="C410" s="164"/>
      <c r="D410" s="164"/>
      <c r="E410" s="164"/>
      <c r="F410" s="164"/>
      <c r="G410" s="164"/>
    </row>
    <row r="411" ht="22.5" customHeight="1">
      <c r="A411" s="164"/>
      <c r="B411" s="164"/>
      <c r="C411" s="164"/>
      <c r="D411" s="164"/>
      <c r="E411" s="164"/>
      <c r="F411" s="164"/>
      <c r="G411" s="164"/>
    </row>
    <row r="412" ht="22.5" customHeight="1">
      <c r="A412" s="164"/>
      <c r="B412" s="164"/>
      <c r="C412" s="164"/>
      <c r="D412" s="164"/>
      <c r="E412" s="164"/>
      <c r="F412" s="164"/>
      <c r="G412" s="164"/>
    </row>
    <row r="413" ht="22.5" customHeight="1">
      <c r="A413" s="164"/>
      <c r="B413" s="164"/>
      <c r="C413" s="164"/>
      <c r="D413" s="164"/>
      <c r="E413" s="164"/>
      <c r="F413" s="164"/>
      <c r="G413" s="164"/>
    </row>
    <row r="414" ht="22.5" customHeight="1">
      <c r="A414" s="164"/>
      <c r="B414" s="164"/>
      <c r="C414" s="164"/>
      <c r="D414" s="164"/>
      <c r="E414" s="164"/>
      <c r="F414" s="164"/>
      <c r="G414" s="164"/>
    </row>
    <row r="415" ht="22.5" customHeight="1">
      <c r="A415" s="164"/>
      <c r="B415" s="164"/>
      <c r="C415" s="164"/>
      <c r="D415" s="164"/>
      <c r="E415" s="164"/>
      <c r="F415" s="164"/>
      <c r="G415" s="164"/>
    </row>
    <row r="416" ht="22.5" customHeight="1">
      <c r="A416" s="164"/>
      <c r="B416" s="164"/>
      <c r="C416" s="164"/>
      <c r="D416" s="164"/>
      <c r="E416" s="164"/>
      <c r="F416" s="164"/>
      <c r="G416" s="164"/>
    </row>
    <row r="417" ht="22.5" customHeight="1">
      <c r="A417" s="164"/>
      <c r="B417" s="164"/>
      <c r="C417" s="164"/>
      <c r="D417" s="164"/>
      <c r="E417" s="164"/>
      <c r="F417" s="164"/>
      <c r="G417" s="164"/>
    </row>
    <row r="418" ht="22.5" customHeight="1">
      <c r="A418" s="164"/>
      <c r="B418" s="164"/>
      <c r="C418" s="164"/>
      <c r="D418" s="164"/>
      <c r="E418" s="164"/>
      <c r="F418" s="164"/>
      <c r="G418" s="164"/>
    </row>
    <row r="419" ht="22.5" customHeight="1">
      <c r="A419" s="164"/>
      <c r="B419" s="164"/>
      <c r="C419" s="164"/>
      <c r="D419" s="164"/>
      <c r="E419" s="164"/>
      <c r="F419" s="164"/>
      <c r="G419" s="164"/>
    </row>
    <row r="420" ht="22.5" customHeight="1">
      <c r="A420" s="164"/>
      <c r="B420" s="164"/>
      <c r="C420" s="164"/>
      <c r="D420" s="164"/>
      <c r="E420" s="164"/>
      <c r="F420" s="164"/>
      <c r="G420" s="164"/>
    </row>
    <row r="421" ht="22.5" customHeight="1">
      <c r="A421" s="164"/>
      <c r="B421" s="164"/>
      <c r="C421" s="164"/>
      <c r="D421" s="164"/>
      <c r="E421" s="164"/>
      <c r="F421" s="164"/>
      <c r="G421" s="164"/>
    </row>
    <row r="422" ht="22.5" customHeight="1">
      <c r="A422" s="164"/>
      <c r="B422" s="164"/>
      <c r="C422" s="164"/>
      <c r="D422" s="164"/>
      <c r="E422" s="164"/>
      <c r="F422" s="164"/>
      <c r="G422" s="164"/>
    </row>
    <row r="423" ht="22.5" customHeight="1">
      <c r="A423" s="164"/>
      <c r="B423" s="164"/>
      <c r="C423" s="164"/>
      <c r="D423" s="164"/>
      <c r="E423" s="164"/>
      <c r="F423" s="164"/>
      <c r="G423" s="164"/>
    </row>
    <row r="424" ht="22.5" customHeight="1">
      <c r="A424" s="164"/>
      <c r="B424" s="164"/>
      <c r="C424" s="164"/>
      <c r="D424" s="164"/>
      <c r="E424" s="164"/>
      <c r="F424" s="164"/>
      <c r="G424" s="164"/>
    </row>
    <row r="425" ht="22.5" customHeight="1">
      <c r="A425" s="164"/>
      <c r="B425" s="164"/>
      <c r="C425" s="164"/>
      <c r="D425" s="164"/>
      <c r="E425" s="164"/>
      <c r="F425" s="164"/>
      <c r="G425" s="164"/>
    </row>
    <row r="426" ht="22.5" customHeight="1">
      <c r="A426" s="164"/>
      <c r="B426" s="164"/>
      <c r="C426" s="164"/>
      <c r="D426" s="164"/>
      <c r="E426" s="164"/>
      <c r="F426" s="164"/>
      <c r="G426" s="164"/>
    </row>
    <row r="427" ht="22.5" customHeight="1">
      <c r="A427" s="164"/>
      <c r="B427" s="164"/>
      <c r="C427" s="164"/>
      <c r="D427" s="164"/>
      <c r="E427" s="164"/>
      <c r="F427" s="164"/>
      <c r="G427" s="164"/>
    </row>
    <row r="428" ht="22.5" customHeight="1">
      <c r="A428" s="164"/>
      <c r="B428" s="164"/>
      <c r="C428" s="164"/>
      <c r="D428" s="164"/>
      <c r="E428" s="164"/>
      <c r="F428" s="164"/>
      <c r="G428" s="164"/>
    </row>
    <row r="429" ht="22.5" customHeight="1">
      <c r="A429" s="164"/>
      <c r="B429" s="164"/>
      <c r="C429" s="164"/>
      <c r="D429" s="164"/>
      <c r="E429" s="164"/>
      <c r="F429" s="164"/>
      <c r="G429" s="164"/>
    </row>
    <row r="430" ht="22.5" customHeight="1">
      <c r="A430" s="164"/>
      <c r="B430" s="164"/>
      <c r="C430" s="164"/>
      <c r="D430" s="164"/>
      <c r="E430" s="164"/>
      <c r="F430" s="164"/>
      <c r="G430" s="164"/>
    </row>
    <row r="431" ht="22.5" customHeight="1">
      <c r="A431" s="164"/>
      <c r="B431" s="164"/>
      <c r="C431" s="164"/>
      <c r="D431" s="164"/>
      <c r="E431" s="164"/>
      <c r="F431" s="164"/>
      <c r="G431" s="164"/>
    </row>
    <row r="432" ht="22.5" customHeight="1">
      <c r="A432" s="164"/>
      <c r="B432" s="164"/>
      <c r="C432" s="164"/>
      <c r="D432" s="164"/>
      <c r="E432" s="164"/>
      <c r="F432" s="164"/>
      <c r="G432" s="164"/>
    </row>
    <row r="433" ht="22.5" customHeight="1">
      <c r="A433" s="164"/>
      <c r="B433" s="164"/>
      <c r="C433" s="164"/>
      <c r="D433" s="164"/>
      <c r="E433" s="164"/>
      <c r="F433" s="164"/>
      <c r="G433" s="164"/>
    </row>
    <row r="434" ht="22.5" customHeight="1">
      <c r="A434" s="164"/>
      <c r="B434" s="164"/>
      <c r="C434" s="164"/>
      <c r="D434" s="164"/>
      <c r="E434" s="164"/>
      <c r="F434" s="164"/>
      <c r="G434" s="164"/>
    </row>
    <row r="435" ht="22.5" customHeight="1">
      <c r="A435" s="164"/>
      <c r="B435" s="164"/>
      <c r="C435" s="164"/>
      <c r="D435" s="164"/>
      <c r="E435" s="164"/>
      <c r="F435" s="164"/>
      <c r="G435" s="164"/>
    </row>
    <row r="436" ht="22.5" customHeight="1">
      <c r="A436" s="164"/>
      <c r="B436" s="164"/>
      <c r="C436" s="164"/>
      <c r="D436" s="164"/>
      <c r="E436" s="164"/>
      <c r="F436" s="164"/>
      <c r="G436" s="164"/>
    </row>
    <row r="437" ht="22.5" customHeight="1">
      <c r="A437" s="164"/>
      <c r="B437" s="164"/>
      <c r="C437" s="164"/>
      <c r="D437" s="164"/>
      <c r="E437" s="164"/>
      <c r="F437" s="164"/>
      <c r="G437" s="164"/>
    </row>
    <row r="438" ht="22.5" customHeight="1">
      <c r="A438" s="164"/>
      <c r="B438" s="164"/>
      <c r="C438" s="164"/>
      <c r="D438" s="164"/>
      <c r="E438" s="164"/>
      <c r="F438" s="164"/>
      <c r="G438" s="164"/>
    </row>
    <row r="439" ht="22.5" customHeight="1">
      <c r="A439" s="164"/>
      <c r="B439" s="164"/>
      <c r="C439" s="164"/>
      <c r="D439" s="164"/>
      <c r="E439" s="164"/>
      <c r="F439" s="164"/>
      <c r="G439" s="164"/>
    </row>
    <row r="440" ht="22.5" customHeight="1">
      <c r="A440" s="164"/>
      <c r="B440" s="164"/>
      <c r="C440" s="164"/>
      <c r="D440" s="164"/>
      <c r="E440" s="164"/>
      <c r="F440" s="164"/>
      <c r="G440" s="164"/>
    </row>
    <row r="441" ht="22.5" customHeight="1">
      <c r="A441" s="164"/>
      <c r="B441" s="164"/>
      <c r="C441" s="164"/>
      <c r="D441" s="164"/>
      <c r="E441" s="164"/>
      <c r="F441" s="164"/>
      <c r="G441" s="164"/>
    </row>
    <row r="442" ht="22.5" customHeight="1">
      <c r="A442" s="164"/>
      <c r="B442" s="164"/>
      <c r="C442" s="164"/>
      <c r="D442" s="164"/>
      <c r="E442" s="164"/>
      <c r="F442" s="164"/>
      <c r="G442" s="164"/>
    </row>
    <row r="443" ht="22.5" customHeight="1">
      <c r="A443" s="164"/>
      <c r="B443" s="164"/>
      <c r="C443" s="164"/>
      <c r="D443" s="164"/>
      <c r="E443" s="164"/>
      <c r="F443" s="164"/>
      <c r="G443" s="164"/>
    </row>
    <row r="444" ht="22.5" customHeight="1">
      <c r="A444" s="164"/>
      <c r="B444" s="164"/>
      <c r="C444" s="164"/>
      <c r="D444" s="164"/>
      <c r="E444" s="164"/>
      <c r="F444" s="164"/>
      <c r="G444" s="164"/>
    </row>
    <row r="445" ht="22.5" customHeight="1">
      <c r="A445" s="164"/>
      <c r="B445" s="164"/>
      <c r="C445" s="164"/>
      <c r="D445" s="164"/>
      <c r="E445" s="164"/>
      <c r="F445" s="164"/>
      <c r="G445" s="164"/>
    </row>
    <row r="446" ht="22.5" customHeight="1">
      <c r="A446" s="164"/>
      <c r="B446" s="164"/>
      <c r="C446" s="164"/>
      <c r="D446" s="164"/>
      <c r="E446" s="164"/>
      <c r="F446" s="164"/>
      <c r="G446" s="164"/>
    </row>
    <row r="447" ht="22.5" customHeight="1">
      <c r="A447" s="164"/>
      <c r="B447" s="164"/>
      <c r="C447" s="164"/>
      <c r="D447" s="164"/>
      <c r="E447" s="164"/>
      <c r="F447" s="164"/>
      <c r="G447" s="164"/>
    </row>
    <row r="448" ht="22.5" customHeight="1">
      <c r="A448" s="164"/>
      <c r="B448" s="164"/>
      <c r="C448" s="164"/>
      <c r="D448" s="164"/>
      <c r="E448" s="164"/>
      <c r="F448" s="164"/>
      <c r="G448" s="164"/>
    </row>
    <row r="449" ht="22.5" customHeight="1">
      <c r="A449" s="164"/>
      <c r="B449" s="164"/>
      <c r="C449" s="164"/>
      <c r="D449" s="164"/>
      <c r="E449" s="164"/>
      <c r="F449" s="164"/>
      <c r="G449" s="164"/>
    </row>
    <row r="450" ht="22.5" customHeight="1">
      <c r="A450" s="164"/>
      <c r="B450" s="164"/>
      <c r="C450" s="164"/>
      <c r="D450" s="164"/>
      <c r="E450" s="164"/>
      <c r="F450" s="164"/>
      <c r="G450" s="164"/>
    </row>
    <row r="451" ht="22.5" customHeight="1">
      <c r="A451" s="164"/>
      <c r="B451" s="164"/>
      <c r="C451" s="164"/>
      <c r="D451" s="164"/>
      <c r="E451" s="164"/>
      <c r="F451" s="164"/>
      <c r="G451" s="164"/>
    </row>
    <row r="452" ht="22.5" customHeight="1">
      <c r="A452" s="164"/>
      <c r="B452" s="164"/>
      <c r="C452" s="164"/>
      <c r="D452" s="164"/>
      <c r="E452" s="164"/>
      <c r="F452" s="164"/>
      <c r="G452" s="164"/>
    </row>
    <row r="453" ht="22.5" customHeight="1">
      <c r="A453" s="164"/>
      <c r="B453" s="164"/>
      <c r="C453" s="164"/>
      <c r="D453" s="164"/>
      <c r="E453" s="164"/>
      <c r="F453" s="164"/>
      <c r="G453" s="164"/>
    </row>
    <row r="454" ht="22.5" customHeight="1">
      <c r="A454" s="164"/>
      <c r="B454" s="164"/>
      <c r="C454" s="164"/>
      <c r="D454" s="164"/>
      <c r="E454" s="164"/>
      <c r="F454" s="164"/>
      <c r="G454" s="164"/>
    </row>
    <row r="455" ht="22.5" customHeight="1">
      <c r="A455" s="164"/>
      <c r="B455" s="164"/>
      <c r="C455" s="164"/>
      <c r="D455" s="164"/>
      <c r="E455" s="164"/>
      <c r="F455" s="164"/>
      <c r="G455" s="164"/>
    </row>
    <row r="456" ht="22.5" customHeight="1">
      <c r="A456" s="164"/>
      <c r="B456" s="164"/>
      <c r="C456" s="164"/>
      <c r="D456" s="164"/>
      <c r="E456" s="164"/>
      <c r="F456" s="164"/>
      <c r="G456" s="164"/>
    </row>
    <row r="457" ht="22.5" customHeight="1">
      <c r="A457" s="164"/>
      <c r="B457" s="164"/>
      <c r="C457" s="164"/>
      <c r="D457" s="164"/>
      <c r="E457" s="164"/>
      <c r="F457" s="164"/>
      <c r="G457" s="164"/>
    </row>
    <row r="458" ht="22.5" customHeight="1">
      <c r="A458" s="164"/>
      <c r="B458" s="164"/>
      <c r="C458" s="164"/>
      <c r="D458" s="164"/>
      <c r="E458" s="164"/>
      <c r="F458" s="164"/>
      <c r="G458" s="164"/>
    </row>
    <row r="459" ht="22.5" customHeight="1">
      <c r="A459" s="164"/>
      <c r="B459" s="164"/>
      <c r="C459" s="164"/>
      <c r="D459" s="164"/>
      <c r="E459" s="164"/>
      <c r="F459" s="164"/>
      <c r="G459" s="164"/>
    </row>
    <row r="460" ht="22.5" customHeight="1">
      <c r="A460" s="164"/>
      <c r="B460" s="164"/>
      <c r="C460" s="164"/>
      <c r="D460" s="164"/>
      <c r="E460" s="164"/>
      <c r="F460" s="164"/>
      <c r="G460" s="164"/>
    </row>
    <row r="461" ht="22.5" customHeight="1">
      <c r="A461" s="164"/>
      <c r="B461" s="164"/>
      <c r="C461" s="164"/>
      <c r="D461" s="164"/>
      <c r="E461" s="164"/>
      <c r="F461" s="164"/>
      <c r="G461" s="164"/>
    </row>
    <row r="462" ht="22.5" customHeight="1">
      <c r="A462" s="164"/>
      <c r="B462" s="164"/>
      <c r="C462" s="164"/>
      <c r="D462" s="164"/>
      <c r="E462" s="164"/>
      <c r="F462" s="164"/>
      <c r="G462" s="164"/>
    </row>
    <row r="463" ht="22.5" customHeight="1">
      <c r="A463" s="164"/>
      <c r="B463" s="164"/>
      <c r="C463" s="164"/>
      <c r="D463" s="164"/>
      <c r="E463" s="164"/>
      <c r="F463" s="164"/>
      <c r="G463" s="164"/>
    </row>
    <row r="464" ht="22.5" customHeight="1">
      <c r="A464" s="164"/>
      <c r="B464" s="164"/>
      <c r="C464" s="164"/>
      <c r="D464" s="164"/>
      <c r="E464" s="164"/>
      <c r="F464" s="164"/>
      <c r="G464" s="164"/>
    </row>
    <row r="465" ht="22.5" customHeight="1">
      <c r="A465" s="164"/>
      <c r="B465" s="164"/>
      <c r="C465" s="164"/>
      <c r="D465" s="164"/>
      <c r="E465" s="164"/>
      <c r="F465" s="164"/>
      <c r="G465" s="164"/>
    </row>
    <row r="466" ht="22.5" customHeight="1">
      <c r="A466" s="164"/>
      <c r="B466" s="164"/>
      <c r="C466" s="164"/>
      <c r="D466" s="164"/>
      <c r="E466" s="164"/>
      <c r="F466" s="164"/>
      <c r="G466" s="164"/>
    </row>
    <row r="467" ht="22.5" customHeight="1">
      <c r="A467" s="164"/>
      <c r="B467" s="164"/>
      <c r="C467" s="164"/>
      <c r="D467" s="164"/>
      <c r="E467" s="164"/>
      <c r="F467" s="164"/>
      <c r="G467" s="164"/>
    </row>
    <row r="468" ht="22.5" customHeight="1">
      <c r="A468" s="164"/>
      <c r="B468" s="164"/>
      <c r="C468" s="164"/>
      <c r="D468" s="164"/>
      <c r="E468" s="164"/>
      <c r="F468" s="164"/>
      <c r="G468" s="164"/>
    </row>
    <row r="469" ht="22.5" customHeight="1">
      <c r="A469" s="164"/>
      <c r="B469" s="164"/>
      <c r="C469" s="164"/>
      <c r="D469" s="164"/>
      <c r="E469" s="164"/>
      <c r="F469" s="164"/>
      <c r="G469" s="164"/>
    </row>
    <row r="470" ht="22.5" customHeight="1">
      <c r="A470" s="164"/>
      <c r="B470" s="164"/>
      <c r="C470" s="164"/>
      <c r="D470" s="164"/>
      <c r="E470" s="164"/>
      <c r="F470" s="164"/>
      <c r="G470" s="164"/>
    </row>
    <row r="471" ht="22.5" customHeight="1">
      <c r="A471" s="164"/>
      <c r="B471" s="164"/>
      <c r="C471" s="164"/>
      <c r="D471" s="164"/>
      <c r="E471" s="164"/>
      <c r="F471" s="164"/>
      <c r="G471" s="164"/>
    </row>
    <row r="472" ht="22.5" customHeight="1">
      <c r="A472" s="164"/>
      <c r="B472" s="164"/>
      <c r="C472" s="164"/>
      <c r="D472" s="164"/>
      <c r="E472" s="164"/>
      <c r="F472" s="164"/>
      <c r="G472" s="164"/>
    </row>
    <row r="473" ht="22.5" customHeight="1">
      <c r="A473" s="164"/>
      <c r="B473" s="164"/>
      <c r="C473" s="164"/>
      <c r="D473" s="164"/>
      <c r="E473" s="164"/>
      <c r="F473" s="164"/>
      <c r="G473" s="164"/>
    </row>
    <row r="474" ht="22.5" customHeight="1">
      <c r="A474" s="164"/>
      <c r="B474" s="164"/>
      <c r="C474" s="164"/>
      <c r="D474" s="164"/>
      <c r="E474" s="164"/>
      <c r="F474" s="164"/>
      <c r="G474" s="164"/>
    </row>
    <row r="475" ht="22.5" customHeight="1">
      <c r="A475" s="164"/>
      <c r="B475" s="164"/>
      <c r="C475" s="164"/>
      <c r="D475" s="164"/>
      <c r="E475" s="164"/>
      <c r="F475" s="164"/>
      <c r="G475" s="164"/>
    </row>
    <row r="476" ht="22.5" customHeight="1">
      <c r="A476" s="164"/>
      <c r="B476" s="164"/>
      <c r="C476" s="164"/>
      <c r="D476" s="164"/>
      <c r="E476" s="164"/>
      <c r="F476" s="164"/>
      <c r="G476" s="164"/>
    </row>
    <row r="477" ht="22.5" customHeight="1">
      <c r="A477" s="164"/>
      <c r="B477" s="164"/>
      <c r="C477" s="164"/>
      <c r="D477" s="164"/>
      <c r="E477" s="164"/>
      <c r="F477" s="164"/>
      <c r="G477" s="164"/>
    </row>
    <row r="478" ht="22.5" customHeight="1">
      <c r="A478" s="164"/>
      <c r="B478" s="164"/>
      <c r="C478" s="164"/>
      <c r="D478" s="164"/>
      <c r="E478" s="164"/>
      <c r="F478" s="164"/>
      <c r="G478" s="164"/>
    </row>
    <row r="479" ht="22.5" customHeight="1">
      <c r="A479" s="164"/>
      <c r="B479" s="164"/>
      <c r="C479" s="164"/>
      <c r="D479" s="164"/>
      <c r="E479" s="164"/>
      <c r="F479" s="164"/>
      <c r="G479" s="164"/>
    </row>
    <row r="480" ht="22.5" customHeight="1">
      <c r="A480" s="164"/>
      <c r="B480" s="164"/>
      <c r="C480" s="164"/>
      <c r="D480" s="164"/>
      <c r="E480" s="164"/>
      <c r="F480" s="164"/>
      <c r="G480" s="164"/>
    </row>
    <row r="481" ht="22.5" customHeight="1">
      <c r="A481" s="164"/>
      <c r="B481" s="164"/>
      <c r="C481" s="164"/>
      <c r="D481" s="164"/>
      <c r="E481" s="164"/>
      <c r="F481" s="164"/>
      <c r="G481" s="164"/>
    </row>
    <row r="482" ht="22.5" customHeight="1">
      <c r="A482" s="164"/>
      <c r="B482" s="164"/>
      <c r="C482" s="164"/>
      <c r="D482" s="164"/>
      <c r="E482" s="164"/>
      <c r="F482" s="164"/>
      <c r="G482" s="164"/>
    </row>
    <row r="483" ht="22.5" customHeight="1">
      <c r="A483" s="164"/>
      <c r="B483" s="164"/>
      <c r="C483" s="164"/>
      <c r="D483" s="164"/>
      <c r="E483" s="164"/>
      <c r="F483" s="164"/>
      <c r="G483" s="164"/>
    </row>
    <row r="484" ht="22.5" customHeight="1">
      <c r="A484" s="164"/>
      <c r="B484" s="164"/>
      <c r="C484" s="164"/>
      <c r="D484" s="164"/>
      <c r="E484" s="164"/>
      <c r="F484" s="164"/>
      <c r="G484" s="164"/>
    </row>
    <row r="485" ht="22.5" customHeight="1">
      <c r="A485" s="164"/>
      <c r="B485" s="164"/>
      <c r="C485" s="164"/>
      <c r="D485" s="164"/>
      <c r="E485" s="164"/>
      <c r="F485" s="164"/>
      <c r="G485" s="164"/>
    </row>
    <row r="486" ht="22.5" customHeight="1">
      <c r="A486" s="164"/>
      <c r="B486" s="164"/>
      <c r="C486" s="164"/>
      <c r="D486" s="164"/>
      <c r="E486" s="164"/>
      <c r="F486" s="164"/>
      <c r="G486" s="164"/>
    </row>
    <row r="487" ht="22.5" customHeight="1">
      <c r="A487" s="164"/>
      <c r="B487" s="164"/>
      <c r="C487" s="164"/>
      <c r="D487" s="164"/>
      <c r="E487" s="164"/>
      <c r="F487" s="164"/>
      <c r="G487" s="164"/>
    </row>
    <row r="488" ht="22.5" customHeight="1">
      <c r="A488" s="164"/>
      <c r="B488" s="164"/>
      <c r="C488" s="164"/>
      <c r="D488" s="164"/>
      <c r="E488" s="164"/>
      <c r="F488" s="164"/>
      <c r="G488" s="164"/>
    </row>
    <row r="489" ht="22.5" customHeight="1">
      <c r="A489" s="164"/>
      <c r="B489" s="164"/>
      <c r="C489" s="164"/>
      <c r="D489" s="164"/>
      <c r="E489" s="164"/>
      <c r="F489" s="164"/>
      <c r="G489" s="164"/>
    </row>
    <row r="490" ht="22.5" customHeight="1">
      <c r="A490" s="164"/>
      <c r="B490" s="164"/>
      <c r="C490" s="164"/>
      <c r="D490" s="164"/>
      <c r="E490" s="164"/>
      <c r="F490" s="164"/>
      <c r="G490" s="164"/>
    </row>
    <row r="491" ht="22.5" customHeight="1">
      <c r="A491" s="164"/>
      <c r="B491" s="164"/>
      <c r="C491" s="164"/>
      <c r="D491" s="164"/>
      <c r="E491" s="164"/>
      <c r="F491" s="164"/>
      <c r="G491" s="164"/>
    </row>
    <row r="492" ht="22.5" customHeight="1">
      <c r="A492" s="164"/>
      <c r="B492" s="164"/>
      <c r="C492" s="164"/>
      <c r="D492" s="164"/>
      <c r="E492" s="164"/>
      <c r="F492" s="164"/>
      <c r="G492" s="164"/>
    </row>
    <row r="493" ht="22.5" customHeight="1">
      <c r="A493" s="164"/>
      <c r="B493" s="164"/>
      <c r="C493" s="164"/>
      <c r="D493" s="164"/>
      <c r="E493" s="164"/>
      <c r="F493" s="164"/>
      <c r="G493" s="164"/>
    </row>
    <row r="494" ht="22.5" customHeight="1">
      <c r="A494" s="164"/>
      <c r="B494" s="164"/>
      <c r="C494" s="164"/>
      <c r="D494" s="164"/>
      <c r="E494" s="164"/>
      <c r="F494" s="164"/>
      <c r="G494" s="164"/>
    </row>
    <row r="495" ht="22.5" customHeight="1">
      <c r="A495" s="164"/>
      <c r="B495" s="164"/>
      <c r="C495" s="164"/>
      <c r="D495" s="164"/>
      <c r="E495" s="164"/>
      <c r="F495" s="164"/>
      <c r="G495" s="164"/>
    </row>
    <row r="496" ht="22.5" customHeight="1">
      <c r="A496" s="164"/>
      <c r="B496" s="164"/>
      <c r="C496" s="164"/>
      <c r="D496" s="164"/>
      <c r="E496" s="164"/>
      <c r="F496" s="164"/>
      <c r="G496" s="164"/>
    </row>
    <row r="497" ht="22.5" customHeight="1">
      <c r="A497" s="164"/>
      <c r="B497" s="164"/>
      <c r="C497" s="164"/>
      <c r="D497" s="164"/>
      <c r="E497" s="164"/>
      <c r="F497" s="164"/>
      <c r="G497" s="164"/>
    </row>
    <row r="498" ht="22.5" customHeight="1">
      <c r="A498" s="164"/>
      <c r="B498" s="164"/>
      <c r="C498" s="164"/>
      <c r="D498" s="164"/>
      <c r="E498" s="164"/>
      <c r="F498" s="164"/>
      <c r="G498" s="164"/>
    </row>
    <row r="499" ht="22.5" customHeight="1">
      <c r="A499" s="164"/>
      <c r="B499" s="164"/>
      <c r="C499" s="164"/>
      <c r="D499" s="164"/>
      <c r="E499" s="164"/>
      <c r="F499" s="164"/>
      <c r="G499" s="164"/>
    </row>
    <row r="500" ht="22.5" customHeight="1">
      <c r="A500" s="164"/>
      <c r="B500" s="164"/>
      <c r="C500" s="164"/>
      <c r="D500" s="164"/>
      <c r="E500" s="164"/>
      <c r="F500" s="164"/>
      <c r="G500" s="164"/>
    </row>
    <row r="501" ht="22.5" customHeight="1">
      <c r="A501" s="164"/>
      <c r="B501" s="164"/>
      <c r="C501" s="164"/>
      <c r="D501" s="164"/>
      <c r="E501" s="164"/>
      <c r="F501" s="164"/>
      <c r="G501" s="164"/>
    </row>
    <row r="502" ht="22.5" customHeight="1">
      <c r="A502" s="164"/>
      <c r="B502" s="164"/>
      <c r="C502" s="164"/>
      <c r="D502" s="164"/>
      <c r="E502" s="164"/>
      <c r="F502" s="164"/>
      <c r="G502" s="164"/>
    </row>
    <row r="503" ht="22.5" customHeight="1">
      <c r="A503" s="164"/>
      <c r="B503" s="164"/>
      <c r="C503" s="164"/>
      <c r="D503" s="164"/>
      <c r="E503" s="164"/>
      <c r="F503" s="164"/>
      <c r="G503" s="164"/>
    </row>
    <row r="504" ht="22.5" customHeight="1">
      <c r="A504" s="164"/>
      <c r="B504" s="164"/>
      <c r="C504" s="164"/>
      <c r="D504" s="164"/>
      <c r="E504" s="164"/>
      <c r="F504" s="164"/>
      <c r="G504" s="164"/>
    </row>
    <row r="505" ht="22.5" customHeight="1">
      <c r="A505" s="164"/>
      <c r="B505" s="164"/>
      <c r="C505" s="164"/>
      <c r="D505" s="164"/>
      <c r="E505" s="164"/>
      <c r="F505" s="164"/>
      <c r="G505" s="164"/>
    </row>
    <row r="506" ht="22.5" customHeight="1">
      <c r="A506" s="164"/>
      <c r="B506" s="164"/>
      <c r="C506" s="164"/>
      <c r="D506" s="164"/>
      <c r="E506" s="164"/>
      <c r="F506" s="164"/>
      <c r="G506" s="164"/>
    </row>
    <row r="507" ht="22.5" customHeight="1">
      <c r="A507" s="164"/>
      <c r="B507" s="164"/>
      <c r="C507" s="164"/>
      <c r="D507" s="164"/>
      <c r="E507" s="164"/>
      <c r="F507" s="164"/>
      <c r="G507" s="164"/>
    </row>
    <row r="508" ht="22.5" customHeight="1">
      <c r="A508" s="164"/>
      <c r="B508" s="164"/>
      <c r="C508" s="164"/>
      <c r="D508" s="164"/>
      <c r="E508" s="164"/>
      <c r="F508" s="164"/>
      <c r="G508" s="164"/>
    </row>
    <row r="509" ht="22.5" customHeight="1">
      <c r="A509" s="164"/>
      <c r="B509" s="164"/>
      <c r="C509" s="164"/>
      <c r="D509" s="164"/>
      <c r="E509" s="164"/>
      <c r="F509" s="164"/>
      <c r="G509" s="164"/>
    </row>
    <row r="510" ht="22.5" customHeight="1">
      <c r="A510" s="164"/>
      <c r="B510" s="164"/>
      <c r="C510" s="164"/>
      <c r="D510" s="164"/>
      <c r="E510" s="164"/>
      <c r="F510" s="164"/>
      <c r="G510" s="164"/>
    </row>
    <row r="511" ht="22.5" customHeight="1">
      <c r="A511" s="164"/>
      <c r="B511" s="164"/>
      <c r="C511" s="164"/>
      <c r="D511" s="164"/>
      <c r="E511" s="164"/>
      <c r="F511" s="164"/>
      <c r="G511" s="164"/>
    </row>
    <row r="512" ht="22.5" customHeight="1">
      <c r="A512" s="164"/>
      <c r="B512" s="164"/>
      <c r="C512" s="164"/>
      <c r="D512" s="164"/>
      <c r="E512" s="164"/>
      <c r="F512" s="164"/>
      <c r="G512" s="164"/>
    </row>
    <row r="513" ht="22.5" customHeight="1">
      <c r="A513" s="164"/>
      <c r="B513" s="164"/>
      <c r="C513" s="164"/>
      <c r="D513" s="164"/>
      <c r="E513" s="164"/>
      <c r="F513" s="164"/>
      <c r="G513" s="164"/>
    </row>
    <row r="514" ht="22.5" customHeight="1">
      <c r="A514" s="164"/>
      <c r="B514" s="164"/>
      <c r="C514" s="164"/>
      <c r="D514" s="164"/>
      <c r="E514" s="164"/>
      <c r="F514" s="164"/>
      <c r="G514" s="164"/>
    </row>
    <row r="515" ht="22.5" customHeight="1">
      <c r="A515" s="164"/>
      <c r="B515" s="164"/>
      <c r="C515" s="164"/>
      <c r="D515" s="164"/>
      <c r="E515" s="164"/>
      <c r="F515" s="164"/>
      <c r="G515" s="164"/>
    </row>
    <row r="516" ht="22.5" customHeight="1">
      <c r="A516" s="164"/>
      <c r="B516" s="164"/>
      <c r="C516" s="164"/>
      <c r="D516" s="164"/>
      <c r="E516" s="164"/>
      <c r="F516" s="164"/>
      <c r="G516" s="164"/>
    </row>
    <row r="517" ht="22.5" customHeight="1">
      <c r="A517" s="164"/>
      <c r="B517" s="164"/>
      <c r="C517" s="164"/>
      <c r="D517" s="164"/>
      <c r="E517" s="164"/>
      <c r="F517" s="164"/>
      <c r="G517" s="164"/>
    </row>
    <row r="518" ht="22.5" customHeight="1">
      <c r="A518" s="164"/>
      <c r="B518" s="164"/>
      <c r="C518" s="164"/>
      <c r="D518" s="164"/>
      <c r="E518" s="164"/>
      <c r="F518" s="164"/>
      <c r="G518" s="164"/>
    </row>
    <row r="519" ht="22.5" customHeight="1">
      <c r="A519" s="164"/>
      <c r="B519" s="164"/>
      <c r="C519" s="164"/>
      <c r="D519" s="164"/>
      <c r="E519" s="164"/>
      <c r="F519" s="164"/>
      <c r="G519" s="164"/>
    </row>
    <row r="520" ht="22.5" customHeight="1">
      <c r="A520" s="164"/>
      <c r="B520" s="164"/>
      <c r="C520" s="164"/>
      <c r="D520" s="164"/>
      <c r="E520" s="164"/>
      <c r="F520" s="164"/>
      <c r="G520" s="164"/>
    </row>
    <row r="521" ht="22.5" customHeight="1">
      <c r="A521" s="164"/>
      <c r="B521" s="164"/>
      <c r="C521" s="164"/>
      <c r="D521" s="164"/>
      <c r="E521" s="164"/>
      <c r="F521" s="164"/>
      <c r="G521" s="164"/>
    </row>
    <row r="522" ht="22.5" customHeight="1">
      <c r="A522" s="164"/>
      <c r="B522" s="164"/>
      <c r="C522" s="164"/>
      <c r="D522" s="164"/>
      <c r="E522" s="164"/>
      <c r="F522" s="164"/>
      <c r="G522" s="164"/>
    </row>
    <row r="523" ht="22.5" customHeight="1">
      <c r="A523" s="164"/>
      <c r="B523" s="164"/>
      <c r="C523" s="164"/>
      <c r="D523" s="164"/>
      <c r="E523" s="164"/>
      <c r="F523" s="164"/>
      <c r="G523" s="164"/>
    </row>
    <row r="524" ht="22.5" customHeight="1">
      <c r="A524" s="164"/>
      <c r="B524" s="164"/>
      <c r="C524" s="164"/>
      <c r="D524" s="164"/>
      <c r="E524" s="164"/>
      <c r="F524" s="164"/>
      <c r="G524" s="164"/>
    </row>
    <row r="525" ht="22.5" customHeight="1">
      <c r="A525" s="164"/>
      <c r="B525" s="164"/>
      <c r="C525" s="164"/>
      <c r="D525" s="164"/>
      <c r="E525" s="164"/>
      <c r="F525" s="164"/>
      <c r="G525" s="164"/>
    </row>
    <row r="526" ht="22.5" customHeight="1">
      <c r="A526" s="164"/>
      <c r="B526" s="164"/>
      <c r="C526" s="164"/>
      <c r="D526" s="164"/>
      <c r="E526" s="164"/>
      <c r="F526" s="164"/>
      <c r="G526" s="164"/>
    </row>
    <row r="527" ht="22.5" customHeight="1">
      <c r="A527" s="164"/>
      <c r="B527" s="164"/>
      <c r="C527" s="164"/>
      <c r="D527" s="164"/>
      <c r="E527" s="164"/>
      <c r="F527" s="164"/>
      <c r="G527" s="164"/>
    </row>
    <row r="528" ht="22.5" customHeight="1">
      <c r="A528" s="164"/>
      <c r="B528" s="164"/>
      <c r="C528" s="164"/>
      <c r="D528" s="164"/>
      <c r="E528" s="164"/>
      <c r="F528" s="164"/>
      <c r="G528" s="164"/>
    </row>
    <row r="529" ht="22.5" customHeight="1">
      <c r="A529" s="164"/>
      <c r="B529" s="164"/>
      <c r="C529" s="164"/>
      <c r="D529" s="164"/>
      <c r="E529" s="164"/>
      <c r="F529" s="164"/>
      <c r="G529" s="164"/>
    </row>
    <row r="530" ht="22.5" customHeight="1">
      <c r="A530" s="164"/>
      <c r="B530" s="164"/>
      <c r="C530" s="164"/>
      <c r="D530" s="164"/>
      <c r="E530" s="164"/>
      <c r="F530" s="164"/>
      <c r="G530" s="164"/>
    </row>
    <row r="531" ht="22.5" customHeight="1">
      <c r="A531" s="164"/>
      <c r="B531" s="164"/>
      <c r="C531" s="164"/>
      <c r="D531" s="164"/>
      <c r="E531" s="164"/>
      <c r="F531" s="164"/>
      <c r="G531" s="164"/>
    </row>
    <row r="532" ht="22.5" customHeight="1">
      <c r="A532" s="164"/>
      <c r="B532" s="164"/>
      <c r="C532" s="164"/>
      <c r="D532" s="164"/>
      <c r="E532" s="164"/>
      <c r="F532" s="164"/>
      <c r="G532" s="164"/>
    </row>
    <row r="533" ht="22.5" customHeight="1">
      <c r="A533" s="164"/>
      <c r="B533" s="164"/>
      <c r="C533" s="164"/>
      <c r="D533" s="164"/>
      <c r="E533" s="164"/>
      <c r="F533" s="164"/>
      <c r="G533" s="164"/>
    </row>
    <row r="534" ht="22.5" customHeight="1">
      <c r="A534" s="164"/>
      <c r="B534" s="164"/>
      <c r="C534" s="164"/>
      <c r="D534" s="164"/>
      <c r="E534" s="164"/>
      <c r="F534" s="164"/>
      <c r="G534" s="164"/>
    </row>
    <row r="535" ht="22.5" customHeight="1">
      <c r="A535" s="164"/>
      <c r="B535" s="164"/>
      <c r="C535" s="164"/>
      <c r="D535" s="164"/>
      <c r="E535" s="164"/>
      <c r="F535" s="164"/>
      <c r="G535" s="164"/>
    </row>
    <row r="536" ht="22.5" customHeight="1">
      <c r="A536" s="164"/>
      <c r="B536" s="164"/>
      <c r="C536" s="164"/>
      <c r="D536" s="164"/>
      <c r="E536" s="164"/>
      <c r="F536" s="164"/>
      <c r="G536" s="164"/>
    </row>
    <row r="537" ht="22.5" customHeight="1">
      <c r="A537" s="164"/>
      <c r="B537" s="164"/>
      <c r="C537" s="164"/>
      <c r="D537" s="164"/>
      <c r="E537" s="164"/>
      <c r="F537" s="164"/>
      <c r="G537" s="164"/>
    </row>
    <row r="538" ht="22.5" customHeight="1">
      <c r="A538" s="164"/>
      <c r="B538" s="164"/>
      <c r="C538" s="164"/>
      <c r="D538" s="164"/>
      <c r="E538" s="164"/>
      <c r="F538" s="164"/>
      <c r="G538" s="164"/>
    </row>
    <row r="539" ht="22.5" customHeight="1">
      <c r="A539" s="164"/>
      <c r="B539" s="164"/>
      <c r="C539" s="164"/>
      <c r="D539" s="164"/>
      <c r="E539" s="164"/>
      <c r="F539" s="164"/>
      <c r="G539" s="164"/>
    </row>
    <row r="540" ht="22.5" customHeight="1">
      <c r="A540" s="164"/>
      <c r="B540" s="164"/>
      <c r="C540" s="164"/>
      <c r="D540" s="164"/>
      <c r="E540" s="164"/>
      <c r="F540" s="164"/>
      <c r="G540" s="164"/>
    </row>
    <row r="541" ht="22.5" customHeight="1">
      <c r="A541" s="164"/>
      <c r="B541" s="164"/>
      <c r="C541" s="164"/>
      <c r="D541" s="164"/>
      <c r="E541" s="164"/>
      <c r="F541" s="164"/>
      <c r="G541" s="164"/>
    </row>
    <row r="542" ht="22.5" customHeight="1">
      <c r="A542" s="164"/>
      <c r="B542" s="164"/>
      <c r="C542" s="164"/>
      <c r="D542" s="164"/>
      <c r="E542" s="164"/>
      <c r="F542" s="164"/>
      <c r="G542" s="164"/>
    </row>
    <row r="543" ht="22.5" customHeight="1">
      <c r="A543" s="164"/>
      <c r="B543" s="164"/>
      <c r="C543" s="164"/>
      <c r="D543" s="164"/>
      <c r="E543" s="164"/>
      <c r="F543" s="164"/>
      <c r="G543" s="164"/>
    </row>
    <row r="544" ht="22.5" customHeight="1">
      <c r="A544" s="164"/>
      <c r="B544" s="164"/>
      <c r="C544" s="164"/>
      <c r="D544" s="164"/>
      <c r="E544" s="164"/>
      <c r="F544" s="164"/>
      <c r="G544" s="164"/>
    </row>
    <row r="545" ht="22.5" customHeight="1">
      <c r="A545" s="164"/>
      <c r="B545" s="164"/>
      <c r="C545" s="164"/>
      <c r="D545" s="164"/>
      <c r="E545" s="164"/>
      <c r="F545" s="164"/>
      <c r="G545" s="164"/>
    </row>
    <row r="546" ht="22.5" customHeight="1">
      <c r="A546" s="164"/>
      <c r="B546" s="164"/>
      <c r="C546" s="164"/>
      <c r="D546" s="164"/>
      <c r="E546" s="164"/>
      <c r="F546" s="164"/>
      <c r="G546" s="164"/>
    </row>
    <row r="547" ht="22.5" customHeight="1">
      <c r="A547" s="164"/>
      <c r="B547" s="164"/>
      <c r="C547" s="164"/>
      <c r="D547" s="164"/>
      <c r="E547" s="164"/>
      <c r="F547" s="164"/>
      <c r="G547" s="164"/>
    </row>
    <row r="548" ht="22.5" customHeight="1">
      <c r="A548" s="164"/>
      <c r="B548" s="164"/>
      <c r="C548" s="164"/>
      <c r="D548" s="164"/>
      <c r="E548" s="164"/>
      <c r="F548" s="164"/>
      <c r="G548" s="164"/>
    </row>
    <row r="549" ht="22.5" customHeight="1">
      <c r="A549" s="164"/>
      <c r="B549" s="164"/>
      <c r="C549" s="164"/>
      <c r="D549" s="164"/>
      <c r="E549" s="164"/>
      <c r="F549" s="164"/>
      <c r="G549" s="164"/>
    </row>
    <row r="550" ht="22.5" customHeight="1">
      <c r="A550" s="164"/>
      <c r="B550" s="164"/>
      <c r="C550" s="164"/>
      <c r="D550" s="164"/>
      <c r="E550" s="164"/>
      <c r="F550" s="164"/>
      <c r="G550" s="164"/>
    </row>
    <row r="551" ht="22.5" customHeight="1">
      <c r="A551" s="164"/>
      <c r="B551" s="164"/>
      <c r="C551" s="164"/>
      <c r="D551" s="164"/>
      <c r="E551" s="164"/>
      <c r="F551" s="164"/>
      <c r="G551" s="164"/>
    </row>
    <row r="552" ht="22.5" customHeight="1">
      <c r="A552" s="164"/>
      <c r="B552" s="164"/>
      <c r="C552" s="164"/>
      <c r="D552" s="164"/>
      <c r="E552" s="164"/>
      <c r="F552" s="164"/>
      <c r="G552" s="164"/>
    </row>
    <row r="553" ht="22.5" customHeight="1">
      <c r="A553" s="164"/>
      <c r="B553" s="164"/>
      <c r="C553" s="164"/>
      <c r="D553" s="164"/>
      <c r="E553" s="164"/>
      <c r="F553" s="164"/>
      <c r="G553" s="164"/>
    </row>
    <row r="554" ht="22.5" customHeight="1">
      <c r="A554" s="164"/>
      <c r="B554" s="164"/>
      <c r="C554" s="164"/>
      <c r="D554" s="164"/>
      <c r="E554" s="164"/>
      <c r="F554" s="164"/>
      <c r="G554" s="164"/>
    </row>
    <row r="555" ht="22.5" customHeight="1">
      <c r="A555" s="164"/>
      <c r="B555" s="164"/>
      <c r="C555" s="164"/>
      <c r="D555" s="164"/>
      <c r="E555" s="164"/>
      <c r="F555" s="164"/>
      <c r="G555" s="164"/>
    </row>
    <row r="556" ht="22.5" customHeight="1">
      <c r="A556" s="164"/>
      <c r="B556" s="164"/>
      <c r="C556" s="164"/>
      <c r="D556" s="164"/>
      <c r="E556" s="164"/>
      <c r="F556" s="164"/>
      <c r="G556" s="164"/>
    </row>
    <row r="557" ht="22.5" customHeight="1">
      <c r="A557" s="164"/>
      <c r="B557" s="164"/>
      <c r="C557" s="164"/>
      <c r="D557" s="164"/>
      <c r="E557" s="164"/>
      <c r="F557" s="164"/>
      <c r="G557" s="164"/>
    </row>
    <row r="558" ht="22.5" customHeight="1">
      <c r="A558" s="164"/>
      <c r="B558" s="164"/>
      <c r="C558" s="164"/>
      <c r="D558" s="164"/>
      <c r="E558" s="164"/>
      <c r="F558" s="164"/>
      <c r="G558" s="164"/>
    </row>
    <row r="559" ht="22.5" customHeight="1">
      <c r="A559" s="164"/>
      <c r="B559" s="164"/>
      <c r="C559" s="164"/>
      <c r="D559" s="164"/>
      <c r="E559" s="164"/>
      <c r="F559" s="164"/>
      <c r="G559" s="164"/>
    </row>
    <row r="560" ht="22.5" customHeight="1">
      <c r="A560" s="164"/>
      <c r="B560" s="164"/>
      <c r="C560" s="164"/>
      <c r="D560" s="164"/>
      <c r="E560" s="164"/>
      <c r="F560" s="164"/>
      <c r="G560" s="164"/>
    </row>
    <row r="561" ht="22.5" customHeight="1">
      <c r="A561" s="164"/>
      <c r="B561" s="164"/>
      <c r="C561" s="164"/>
      <c r="D561" s="164"/>
      <c r="E561" s="164"/>
      <c r="F561" s="164"/>
      <c r="G561" s="164"/>
    </row>
    <row r="562" ht="22.5" customHeight="1">
      <c r="A562" s="164"/>
      <c r="B562" s="164"/>
      <c r="C562" s="164"/>
      <c r="D562" s="164"/>
      <c r="E562" s="164"/>
      <c r="F562" s="164"/>
      <c r="G562" s="164"/>
    </row>
    <row r="563" ht="22.5" customHeight="1">
      <c r="A563" s="164"/>
      <c r="B563" s="164"/>
      <c r="C563" s="164"/>
      <c r="D563" s="164"/>
      <c r="E563" s="164"/>
      <c r="F563" s="164"/>
      <c r="G563" s="164"/>
    </row>
    <row r="564" ht="22.5" customHeight="1">
      <c r="A564" s="164"/>
      <c r="B564" s="164"/>
      <c r="C564" s="164"/>
      <c r="D564" s="164"/>
      <c r="E564" s="164"/>
      <c r="F564" s="164"/>
      <c r="G564" s="164"/>
    </row>
    <row r="565" ht="22.5" customHeight="1">
      <c r="A565" s="164"/>
      <c r="B565" s="164"/>
      <c r="C565" s="164"/>
      <c r="D565" s="164"/>
      <c r="E565" s="164"/>
      <c r="F565" s="164"/>
      <c r="G565" s="164"/>
    </row>
    <row r="566" ht="22.5" customHeight="1">
      <c r="A566" s="164"/>
      <c r="B566" s="164"/>
      <c r="C566" s="164"/>
      <c r="D566" s="164"/>
      <c r="E566" s="164"/>
      <c r="F566" s="164"/>
      <c r="G566" s="164"/>
    </row>
    <row r="567" ht="22.5" customHeight="1">
      <c r="A567" s="164"/>
      <c r="B567" s="164"/>
      <c r="C567" s="164"/>
      <c r="D567" s="164"/>
      <c r="E567" s="164"/>
      <c r="F567" s="164"/>
      <c r="G567" s="164"/>
    </row>
    <row r="568" ht="22.5" customHeight="1">
      <c r="A568" s="164"/>
      <c r="B568" s="164"/>
      <c r="C568" s="164"/>
      <c r="D568" s="164"/>
      <c r="E568" s="164"/>
      <c r="F568" s="164"/>
      <c r="G568" s="164"/>
    </row>
    <row r="569" ht="22.5" customHeight="1">
      <c r="A569" s="164"/>
      <c r="B569" s="164"/>
      <c r="C569" s="164"/>
      <c r="D569" s="164"/>
      <c r="E569" s="164"/>
      <c r="F569" s="164"/>
      <c r="G569" s="164"/>
    </row>
    <row r="570" ht="22.5" customHeight="1">
      <c r="A570" s="164"/>
      <c r="B570" s="164"/>
      <c r="C570" s="164"/>
      <c r="D570" s="164"/>
      <c r="E570" s="164"/>
      <c r="F570" s="164"/>
      <c r="G570" s="164"/>
    </row>
    <row r="571" ht="22.5" customHeight="1">
      <c r="A571" s="164"/>
      <c r="B571" s="164"/>
      <c r="C571" s="164"/>
      <c r="D571" s="164"/>
      <c r="E571" s="164"/>
      <c r="F571" s="164"/>
      <c r="G571" s="164"/>
    </row>
    <row r="572" ht="22.5" customHeight="1">
      <c r="A572" s="164"/>
      <c r="B572" s="164"/>
      <c r="C572" s="164"/>
      <c r="D572" s="164"/>
      <c r="E572" s="164"/>
      <c r="F572" s="164"/>
      <c r="G572" s="164"/>
    </row>
    <row r="573" ht="22.5" customHeight="1">
      <c r="A573" s="164"/>
      <c r="B573" s="164"/>
      <c r="C573" s="164"/>
      <c r="D573" s="164"/>
      <c r="E573" s="164"/>
      <c r="F573" s="164"/>
      <c r="G573" s="164"/>
    </row>
    <row r="574" ht="22.5" customHeight="1">
      <c r="A574" s="164"/>
      <c r="B574" s="164"/>
      <c r="C574" s="164"/>
      <c r="D574" s="164"/>
      <c r="E574" s="164"/>
      <c r="F574" s="164"/>
      <c r="G574" s="164"/>
    </row>
    <row r="575" ht="22.5" customHeight="1">
      <c r="A575" s="164"/>
      <c r="B575" s="164"/>
      <c r="C575" s="164"/>
      <c r="D575" s="164"/>
      <c r="E575" s="164"/>
      <c r="F575" s="164"/>
      <c r="G575" s="164"/>
    </row>
    <row r="576" ht="22.5" customHeight="1">
      <c r="A576" s="164"/>
      <c r="B576" s="164"/>
      <c r="C576" s="164"/>
      <c r="D576" s="164"/>
      <c r="E576" s="164"/>
      <c r="F576" s="164"/>
      <c r="G576" s="164"/>
    </row>
    <row r="577" ht="22.5" customHeight="1">
      <c r="A577" s="164"/>
      <c r="B577" s="164"/>
      <c r="C577" s="164"/>
      <c r="D577" s="164"/>
      <c r="E577" s="164"/>
      <c r="F577" s="164"/>
      <c r="G577" s="164"/>
    </row>
    <row r="578" ht="22.5" customHeight="1">
      <c r="A578" s="164"/>
      <c r="B578" s="164"/>
      <c r="C578" s="164"/>
      <c r="D578" s="164"/>
      <c r="E578" s="164"/>
      <c r="F578" s="164"/>
      <c r="G578" s="164"/>
    </row>
    <row r="579" ht="22.5" customHeight="1">
      <c r="A579" s="164"/>
      <c r="B579" s="164"/>
      <c r="C579" s="164"/>
      <c r="D579" s="164"/>
      <c r="E579" s="164"/>
      <c r="F579" s="164"/>
      <c r="G579" s="164"/>
    </row>
    <row r="580" ht="22.5" customHeight="1">
      <c r="A580" s="164"/>
      <c r="B580" s="164"/>
      <c r="C580" s="164"/>
      <c r="D580" s="164"/>
      <c r="E580" s="164"/>
      <c r="F580" s="164"/>
      <c r="G580" s="164"/>
    </row>
    <row r="581" ht="22.5" customHeight="1">
      <c r="A581" s="164"/>
      <c r="B581" s="164"/>
      <c r="C581" s="164"/>
      <c r="D581" s="164"/>
      <c r="E581" s="164"/>
      <c r="F581" s="164"/>
      <c r="G581" s="164"/>
    </row>
    <row r="582" ht="22.5" customHeight="1">
      <c r="A582" s="164"/>
      <c r="B582" s="164"/>
      <c r="C582" s="164"/>
      <c r="D582" s="164"/>
      <c r="E582" s="164"/>
      <c r="F582" s="164"/>
      <c r="G582" s="164"/>
    </row>
    <row r="583" ht="22.5" customHeight="1">
      <c r="A583" s="164"/>
      <c r="B583" s="164"/>
      <c r="C583" s="164"/>
      <c r="D583" s="164"/>
      <c r="E583" s="164"/>
      <c r="F583" s="164"/>
      <c r="G583" s="164"/>
    </row>
    <row r="584" ht="22.5" customHeight="1">
      <c r="A584" s="164"/>
      <c r="B584" s="164"/>
      <c r="C584" s="164"/>
      <c r="D584" s="164"/>
      <c r="E584" s="164"/>
      <c r="F584" s="164"/>
      <c r="G584" s="164"/>
    </row>
    <row r="585" ht="22.5" customHeight="1">
      <c r="A585" s="164"/>
      <c r="B585" s="164"/>
      <c r="C585" s="164"/>
      <c r="D585" s="164"/>
      <c r="E585" s="164"/>
      <c r="F585" s="164"/>
      <c r="G585" s="164"/>
    </row>
    <row r="586" ht="22.5" customHeight="1">
      <c r="A586" s="164"/>
      <c r="B586" s="164"/>
      <c r="C586" s="164"/>
      <c r="D586" s="164"/>
      <c r="E586" s="164"/>
      <c r="F586" s="164"/>
      <c r="G586" s="164"/>
    </row>
    <row r="587" ht="22.5" customHeight="1">
      <c r="A587" s="164"/>
      <c r="B587" s="164"/>
      <c r="C587" s="164"/>
      <c r="D587" s="164"/>
      <c r="E587" s="164"/>
      <c r="F587" s="164"/>
      <c r="G587" s="164"/>
    </row>
    <row r="588" ht="22.5" customHeight="1">
      <c r="A588" s="164"/>
      <c r="B588" s="164"/>
      <c r="C588" s="164"/>
      <c r="D588" s="164"/>
      <c r="E588" s="164"/>
      <c r="F588" s="164"/>
      <c r="G588" s="164"/>
    </row>
    <row r="589" ht="22.5" customHeight="1">
      <c r="A589" s="164"/>
      <c r="B589" s="164"/>
      <c r="C589" s="164"/>
      <c r="D589" s="164"/>
      <c r="E589" s="164"/>
      <c r="F589" s="164"/>
      <c r="G589" s="164"/>
    </row>
    <row r="590" ht="22.5" customHeight="1">
      <c r="A590" s="164"/>
      <c r="B590" s="164"/>
      <c r="C590" s="164"/>
      <c r="D590" s="164"/>
      <c r="E590" s="164"/>
      <c r="F590" s="164"/>
      <c r="G590" s="164"/>
    </row>
    <row r="591" ht="22.5" customHeight="1">
      <c r="A591" s="164"/>
      <c r="B591" s="164"/>
      <c r="C591" s="164"/>
      <c r="D591" s="164"/>
      <c r="E591" s="164"/>
      <c r="F591" s="164"/>
      <c r="G591" s="164"/>
    </row>
    <row r="592" ht="22.5" customHeight="1">
      <c r="A592" s="164"/>
      <c r="B592" s="164"/>
      <c r="C592" s="164"/>
      <c r="D592" s="164"/>
      <c r="E592" s="164"/>
      <c r="F592" s="164"/>
      <c r="G592" s="164"/>
    </row>
    <row r="593" ht="22.5" customHeight="1">
      <c r="A593" s="164"/>
      <c r="B593" s="164"/>
      <c r="C593" s="164"/>
      <c r="D593" s="164"/>
      <c r="E593" s="164"/>
      <c r="F593" s="164"/>
      <c r="G593" s="164"/>
    </row>
    <row r="594" ht="22.5" customHeight="1">
      <c r="A594" s="164"/>
      <c r="B594" s="164"/>
      <c r="C594" s="164"/>
      <c r="D594" s="164"/>
      <c r="E594" s="164"/>
      <c r="F594" s="164"/>
      <c r="G594" s="164"/>
    </row>
    <row r="595" ht="22.5" customHeight="1">
      <c r="A595" s="164"/>
      <c r="B595" s="164"/>
      <c r="C595" s="164"/>
      <c r="D595" s="164"/>
      <c r="E595" s="164"/>
      <c r="F595" s="164"/>
      <c r="G595" s="164"/>
    </row>
    <row r="596" ht="22.5" customHeight="1">
      <c r="A596" s="164"/>
      <c r="B596" s="164"/>
      <c r="C596" s="164"/>
      <c r="D596" s="164"/>
      <c r="E596" s="164"/>
      <c r="F596" s="164"/>
      <c r="G596" s="164"/>
    </row>
    <row r="597" ht="22.5" customHeight="1">
      <c r="A597" s="164"/>
      <c r="B597" s="164"/>
      <c r="C597" s="164"/>
      <c r="D597" s="164"/>
      <c r="E597" s="164"/>
      <c r="F597" s="164"/>
      <c r="G597" s="164"/>
    </row>
    <row r="598" ht="22.5" customHeight="1">
      <c r="A598" s="164"/>
      <c r="B598" s="164"/>
      <c r="C598" s="164"/>
      <c r="D598" s="164"/>
      <c r="E598" s="164"/>
      <c r="F598" s="164"/>
      <c r="G598" s="164"/>
    </row>
    <row r="599" ht="22.5" customHeight="1">
      <c r="A599" s="164"/>
      <c r="B599" s="164"/>
      <c r="C599" s="164"/>
      <c r="D599" s="164"/>
      <c r="E599" s="164"/>
      <c r="F599" s="164"/>
      <c r="G599" s="164"/>
    </row>
    <row r="600" ht="22.5" customHeight="1">
      <c r="A600" s="164"/>
      <c r="B600" s="164"/>
      <c r="C600" s="164"/>
      <c r="D600" s="164"/>
      <c r="E600" s="164"/>
      <c r="F600" s="164"/>
      <c r="G600" s="164"/>
    </row>
    <row r="601" ht="22.5" customHeight="1">
      <c r="A601" s="164"/>
      <c r="B601" s="164"/>
      <c r="C601" s="164"/>
      <c r="D601" s="164"/>
      <c r="E601" s="164"/>
      <c r="F601" s="164"/>
      <c r="G601" s="164"/>
    </row>
    <row r="602" ht="22.5" customHeight="1">
      <c r="A602" s="164"/>
      <c r="B602" s="164"/>
      <c r="C602" s="164"/>
      <c r="D602" s="164"/>
      <c r="E602" s="164"/>
      <c r="F602" s="164"/>
      <c r="G602" s="164"/>
    </row>
    <row r="603" ht="22.5" customHeight="1">
      <c r="A603" s="164"/>
      <c r="B603" s="164"/>
      <c r="C603" s="164"/>
      <c r="D603" s="164"/>
      <c r="E603" s="164"/>
      <c r="F603" s="164"/>
      <c r="G603" s="164"/>
    </row>
    <row r="604" ht="22.5" customHeight="1">
      <c r="A604" s="164"/>
      <c r="B604" s="164"/>
      <c r="C604" s="164"/>
      <c r="D604" s="164"/>
      <c r="E604" s="164"/>
      <c r="F604" s="164"/>
      <c r="G604" s="164"/>
    </row>
    <row r="605" ht="22.5" customHeight="1">
      <c r="A605" s="164"/>
      <c r="B605" s="164"/>
      <c r="C605" s="164"/>
      <c r="D605" s="164"/>
      <c r="E605" s="164"/>
      <c r="F605" s="164"/>
      <c r="G605" s="164"/>
    </row>
    <row r="606" ht="22.5" customHeight="1">
      <c r="A606" s="164"/>
      <c r="B606" s="164"/>
      <c r="C606" s="164"/>
      <c r="D606" s="164"/>
      <c r="E606" s="164"/>
      <c r="F606" s="164"/>
      <c r="G606" s="164"/>
    </row>
    <row r="607" ht="22.5" customHeight="1">
      <c r="A607" s="164"/>
      <c r="B607" s="164"/>
      <c r="C607" s="164"/>
      <c r="D607" s="164"/>
      <c r="E607" s="164"/>
      <c r="F607" s="164"/>
      <c r="G607" s="164"/>
    </row>
    <row r="608" ht="22.5" customHeight="1">
      <c r="A608" s="164"/>
      <c r="B608" s="164"/>
      <c r="C608" s="164"/>
      <c r="D608" s="164"/>
      <c r="E608" s="164"/>
      <c r="F608" s="164"/>
      <c r="G608" s="164"/>
    </row>
    <row r="609" ht="22.5" customHeight="1">
      <c r="A609" s="164"/>
      <c r="B609" s="164"/>
      <c r="C609" s="164"/>
      <c r="D609" s="164"/>
      <c r="E609" s="164"/>
      <c r="F609" s="164"/>
      <c r="G609" s="164"/>
    </row>
    <row r="610" ht="22.5" customHeight="1">
      <c r="A610" s="164"/>
      <c r="B610" s="164"/>
      <c r="C610" s="164"/>
      <c r="D610" s="164"/>
      <c r="E610" s="164"/>
      <c r="F610" s="164"/>
      <c r="G610" s="164"/>
    </row>
    <row r="611" ht="22.5" customHeight="1">
      <c r="A611" s="164"/>
      <c r="B611" s="164"/>
      <c r="C611" s="164"/>
      <c r="D611" s="164"/>
      <c r="E611" s="164"/>
      <c r="F611" s="164"/>
      <c r="G611" s="164"/>
    </row>
    <row r="612" ht="22.5" customHeight="1">
      <c r="A612" s="164"/>
      <c r="B612" s="164"/>
      <c r="C612" s="164"/>
      <c r="D612" s="164"/>
      <c r="E612" s="164"/>
      <c r="F612" s="164"/>
      <c r="G612" s="164"/>
    </row>
    <row r="613" ht="22.5" customHeight="1">
      <c r="A613" s="164"/>
      <c r="B613" s="164"/>
      <c r="C613" s="164"/>
      <c r="D613" s="164"/>
      <c r="E613" s="164"/>
      <c r="F613" s="164"/>
      <c r="G613" s="164"/>
    </row>
    <row r="614" ht="22.5" customHeight="1">
      <c r="A614" s="164"/>
      <c r="B614" s="164"/>
      <c r="C614" s="164"/>
      <c r="D614" s="164"/>
      <c r="E614" s="164"/>
      <c r="F614" s="164"/>
      <c r="G614" s="164"/>
    </row>
    <row r="615" ht="22.5" customHeight="1">
      <c r="A615" s="164"/>
      <c r="B615" s="164"/>
      <c r="C615" s="164"/>
      <c r="D615" s="164"/>
      <c r="E615" s="164"/>
      <c r="F615" s="164"/>
      <c r="G615" s="164"/>
    </row>
    <row r="616" ht="22.5" customHeight="1">
      <c r="A616" s="164"/>
      <c r="B616" s="164"/>
      <c r="C616" s="164"/>
      <c r="D616" s="164"/>
      <c r="E616" s="164"/>
      <c r="F616" s="164"/>
      <c r="G616" s="164"/>
    </row>
    <row r="617" ht="22.5" customHeight="1">
      <c r="A617" s="164"/>
      <c r="B617" s="164"/>
      <c r="C617" s="164"/>
      <c r="D617" s="164"/>
      <c r="E617" s="164"/>
      <c r="F617" s="164"/>
      <c r="G617" s="164"/>
    </row>
    <row r="618" ht="22.5" customHeight="1">
      <c r="A618" s="164"/>
      <c r="B618" s="164"/>
      <c r="C618" s="164"/>
      <c r="D618" s="164"/>
      <c r="E618" s="164"/>
      <c r="F618" s="164"/>
      <c r="G618" s="164"/>
    </row>
    <row r="619" ht="22.5" customHeight="1">
      <c r="A619" s="164"/>
      <c r="B619" s="164"/>
      <c r="C619" s="164"/>
      <c r="D619" s="164"/>
      <c r="E619" s="164"/>
      <c r="F619" s="164"/>
      <c r="G619" s="164"/>
    </row>
    <row r="620" ht="22.5" customHeight="1">
      <c r="A620" s="164"/>
      <c r="B620" s="164"/>
      <c r="C620" s="164"/>
      <c r="D620" s="164"/>
      <c r="E620" s="164"/>
      <c r="F620" s="164"/>
      <c r="G620" s="164"/>
    </row>
    <row r="621" ht="22.5" customHeight="1">
      <c r="A621" s="164"/>
      <c r="B621" s="164"/>
      <c r="C621" s="164"/>
      <c r="D621" s="164"/>
      <c r="E621" s="164"/>
      <c r="F621" s="164"/>
      <c r="G621" s="164"/>
    </row>
    <row r="622" ht="22.5" customHeight="1">
      <c r="A622" s="164"/>
      <c r="B622" s="164"/>
      <c r="C622" s="164"/>
      <c r="D622" s="164"/>
      <c r="E622" s="164"/>
      <c r="F622" s="164"/>
      <c r="G622" s="164"/>
    </row>
    <row r="623" ht="22.5" customHeight="1">
      <c r="A623" s="164"/>
      <c r="B623" s="164"/>
      <c r="C623" s="164"/>
      <c r="D623" s="164"/>
      <c r="E623" s="164"/>
      <c r="F623" s="164"/>
      <c r="G623" s="164"/>
    </row>
    <row r="624" ht="22.5" customHeight="1">
      <c r="A624" s="164"/>
      <c r="B624" s="164"/>
      <c r="C624" s="164"/>
      <c r="D624" s="164"/>
      <c r="E624" s="164"/>
      <c r="F624" s="164"/>
      <c r="G624" s="164"/>
    </row>
    <row r="625" ht="22.5" customHeight="1">
      <c r="A625" s="164"/>
      <c r="B625" s="164"/>
      <c r="C625" s="164"/>
      <c r="D625" s="164"/>
      <c r="E625" s="164"/>
      <c r="F625" s="164"/>
      <c r="G625" s="164"/>
    </row>
    <row r="626" ht="22.5" customHeight="1">
      <c r="A626" s="164"/>
      <c r="B626" s="164"/>
      <c r="C626" s="164"/>
      <c r="D626" s="164"/>
      <c r="E626" s="164"/>
      <c r="F626" s="164"/>
      <c r="G626" s="164"/>
    </row>
    <row r="627" ht="22.5" customHeight="1">
      <c r="A627" s="164"/>
      <c r="B627" s="164"/>
      <c r="C627" s="164"/>
      <c r="D627" s="164"/>
      <c r="E627" s="164"/>
      <c r="F627" s="164"/>
      <c r="G627" s="164"/>
    </row>
    <row r="628" ht="22.5" customHeight="1">
      <c r="A628" s="164"/>
      <c r="B628" s="164"/>
      <c r="C628" s="164"/>
      <c r="D628" s="164"/>
      <c r="E628" s="164"/>
      <c r="F628" s="164"/>
      <c r="G628" s="164"/>
    </row>
    <row r="629" ht="22.5" customHeight="1">
      <c r="A629" s="164"/>
      <c r="B629" s="164"/>
      <c r="C629" s="164"/>
      <c r="D629" s="164"/>
      <c r="E629" s="164"/>
      <c r="F629" s="164"/>
      <c r="G629" s="164"/>
    </row>
    <row r="630" ht="22.5" customHeight="1">
      <c r="A630" s="164"/>
      <c r="B630" s="164"/>
      <c r="C630" s="164"/>
      <c r="D630" s="164"/>
      <c r="E630" s="164"/>
      <c r="F630" s="164"/>
      <c r="G630" s="164"/>
    </row>
    <row r="631" ht="22.5" customHeight="1">
      <c r="A631" s="164"/>
      <c r="B631" s="164"/>
      <c r="C631" s="164"/>
      <c r="D631" s="164"/>
      <c r="E631" s="164"/>
      <c r="F631" s="164"/>
      <c r="G631" s="164"/>
    </row>
    <row r="632" ht="22.5" customHeight="1">
      <c r="A632" s="164"/>
      <c r="B632" s="164"/>
      <c r="C632" s="164"/>
      <c r="D632" s="164"/>
      <c r="E632" s="164"/>
      <c r="F632" s="164"/>
      <c r="G632" s="164"/>
    </row>
    <row r="633" ht="22.5" customHeight="1">
      <c r="A633" s="164"/>
      <c r="B633" s="164"/>
      <c r="C633" s="164"/>
      <c r="D633" s="164"/>
      <c r="E633" s="164"/>
      <c r="F633" s="164"/>
      <c r="G633" s="164"/>
    </row>
    <row r="634" ht="22.5" customHeight="1">
      <c r="A634" s="164"/>
      <c r="B634" s="164"/>
      <c r="C634" s="164"/>
      <c r="D634" s="164"/>
      <c r="E634" s="164"/>
      <c r="F634" s="164"/>
      <c r="G634" s="164"/>
    </row>
    <row r="635" ht="22.5" customHeight="1">
      <c r="A635" s="164"/>
      <c r="B635" s="164"/>
      <c r="C635" s="164"/>
      <c r="D635" s="164"/>
      <c r="E635" s="164"/>
      <c r="F635" s="164"/>
      <c r="G635" s="164"/>
    </row>
    <row r="636" ht="22.5" customHeight="1">
      <c r="A636" s="164"/>
      <c r="B636" s="164"/>
      <c r="C636" s="164"/>
      <c r="D636" s="164"/>
      <c r="E636" s="164"/>
      <c r="F636" s="164"/>
      <c r="G636" s="164"/>
    </row>
    <row r="637" ht="22.5" customHeight="1">
      <c r="A637" s="164"/>
      <c r="B637" s="164"/>
      <c r="C637" s="164"/>
      <c r="D637" s="164"/>
      <c r="E637" s="164"/>
      <c r="F637" s="164"/>
      <c r="G637" s="164"/>
    </row>
    <row r="638" ht="22.5" customHeight="1">
      <c r="A638" s="164"/>
      <c r="B638" s="164"/>
      <c r="C638" s="164"/>
      <c r="D638" s="164"/>
      <c r="E638" s="164"/>
      <c r="F638" s="164"/>
      <c r="G638" s="164"/>
    </row>
    <row r="639" ht="22.5" customHeight="1">
      <c r="A639" s="164"/>
      <c r="B639" s="164"/>
      <c r="C639" s="164"/>
      <c r="D639" s="164"/>
      <c r="E639" s="164"/>
      <c r="F639" s="164"/>
      <c r="G639" s="164"/>
    </row>
    <row r="640" ht="22.5" customHeight="1">
      <c r="A640" s="164"/>
      <c r="B640" s="164"/>
      <c r="C640" s="164"/>
      <c r="D640" s="164"/>
      <c r="E640" s="164"/>
      <c r="F640" s="164"/>
      <c r="G640" s="164"/>
    </row>
    <row r="641" ht="22.5" customHeight="1">
      <c r="A641" s="164"/>
      <c r="B641" s="164"/>
      <c r="C641" s="164"/>
      <c r="D641" s="164"/>
      <c r="E641" s="164"/>
      <c r="F641" s="164"/>
      <c r="G641" s="164"/>
    </row>
    <row r="642" ht="22.5" customHeight="1">
      <c r="A642" s="164"/>
      <c r="B642" s="164"/>
      <c r="C642" s="164"/>
      <c r="D642" s="164"/>
      <c r="E642" s="164"/>
      <c r="F642" s="164"/>
      <c r="G642" s="164"/>
    </row>
    <row r="643" ht="22.5" customHeight="1">
      <c r="A643" s="164"/>
      <c r="B643" s="164"/>
      <c r="C643" s="164"/>
      <c r="D643" s="164"/>
      <c r="E643" s="164"/>
      <c r="F643" s="164"/>
      <c r="G643" s="164"/>
    </row>
    <row r="644" ht="22.5" customHeight="1">
      <c r="A644" s="164"/>
      <c r="B644" s="164"/>
      <c r="C644" s="164"/>
      <c r="D644" s="164"/>
      <c r="E644" s="164"/>
      <c r="F644" s="164"/>
      <c r="G644" s="164"/>
    </row>
    <row r="645" ht="22.5" customHeight="1">
      <c r="A645" s="164"/>
      <c r="B645" s="164"/>
      <c r="C645" s="164"/>
      <c r="D645" s="164"/>
      <c r="E645" s="164"/>
      <c r="F645" s="164"/>
      <c r="G645" s="164"/>
    </row>
    <row r="646" ht="22.5" customHeight="1">
      <c r="A646" s="164"/>
      <c r="B646" s="164"/>
      <c r="C646" s="164"/>
      <c r="D646" s="164"/>
      <c r="E646" s="164"/>
      <c r="F646" s="164"/>
      <c r="G646" s="164"/>
    </row>
    <row r="647" ht="22.5" customHeight="1">
      <c r="A647" s="164"/>
      <c r="B647" s="164"/>
      <c r="C647" s="164"/>
      <c r="D647" s="164"/>
      <c r="E647" s="164"/>
      <c r="F647" s="164"/>
      <c r="G647" s="164"/>
    </row>
    <row r="648" ht="22.5" customHeight="1">
      <c r="A648" s="164"/>
      <c r="B648" s="164"/>
      <c r="C648" s="164"/>
      <c r="D648" s="164"/>
      <c r="E648" s="164"/>
      <c r="F648" s="164"/>
      <c r="G648" s="164"/>
    </row>
    <row r="649" ht="22.5" customHeight="1">
      <c r="A649" s="164"/>
      <c r="B649" s="164"/>
      <c r="C649" s="164"/>
      <c r="D649" s="164"/>
      <c r="E649" s="164"/>
      <c r="F649" s="164"/>
      <c r="G649" s="164"/>
    </row>
    <row r="650" ht="22.5" customHeight="1">
      <c r="A650" s="164"/>
      <c r="B650" s="164"/>
      <c r="C650" s="164"/>
      <c r="D650" s="164"/>
      <c r="E650" s="164"/>
      <c r="F650" s="164"/>
      <c r="G650" s="164"/>
    </row>
    <row r="651" ht="22.5" customHeight="1">
      <c r="A651" s="164"/>
      <c r="B651" s="164"/>
      <c r="C651" s="164"/>
      <c r="D651" s="164"/>
      <c r="E651" s="164"/>
      <c r="F651" s="164"/>
      <c r="G651" s="164"/>
    </row>
    <row r="652" ht="22.5" customHeight="1">
      <c r="A652" s="164"/>
      <c r="B652" s="164"/>
      <c r="C652" s="164"/>
      <c r="D652" s="164"/>
      <c r="E652" s="164"/>
      <c r="F652" s="164"/>
      <c r="G652" s="164"/>
    </row>
    <row r="653" ht="22.5" customHeight="1">
      <c r="A653" s="164"/>
      <c r="B653" s="164"/>
      <c r="C653" s="164"/>
      <c r="D653" s="164"/>
      <c r="E653" s="164"/>
      <c r="F653" s="164"/>
      <c r="G653" s="164"/>
    </row>
    <row r="654" ht="22.5" customHeight="1">
      <c r="A654" s="164"/>
      <c r="B654" s="164"/>
      <c r="C654" s="164"/>
      <c r="D654" s="164"/>
      <c r="E654" s="164"/>
      <c r="F654" s="164"/>
      <c r="G654" s="164"/>
    </row>
    <row r="655" ht="22.5" customHeight="1">
      <c r="A655" s="164"/>
      <c r="B655" s="164"/>
      <c r="C655" s="164"/>
      <c r="D655" s="164"/>
      <c r="E655" s="164"/>
      <c r="F655" s="164"/>
      <c r="G655" s="164"/>
    </row>
    <row r="656" ht="22.5" customHeight="1">
      <c r="A656" s="164"/>
      <c r="B656" s="164"/>
      <c r="C656" s="164"/>
      <c r="D656" s="164"/>
      <c r="E656" s="164"/>
      <c r="F656" s="164"/>
      <c r="G656" s="164"/>
    </row>
    <row r="657" ht="22.5" customHeight="1">
      <c r="A657" s="164"/>
      <c r="B657" s="164"/>
      <c r="C657" s="164"/>
      <c r="D657" s="164"/>
      <c r="E657" s="164"/>
      <c r="F657" s="164"/>
      <c r="G657" s="164"/>
    </row>
    <row r="658" ht="22.5" customHeight="1">
      <c r="A658" s="164"/>
      <c r="B658" s="164"/>
      <c r="C658" s="164"/>
      <c r="D658" s="164"/>
      <c r="E658" s="164"/>
      <c r="F658" s="164"/>
      <c r="G658" s="164"/>
    </row>
    <row r="659" ht="22.5" customHeight="1">
      <c r="A659" s="164"/>
      <c r="B659" s="164"/>
      <c r="C659" s="164"/>
      <c r="D659" s="164"/>
      <c r="E659" s="164"/>
      <c r="F659" s="164"/>
      <c r="G659" s="164"/>
    </row>
    <row r="660" ht="22.5" customHeight="1">
      <c r="A660" s="164"/>
      <c r="B660" s="164"/>
      <c r="C660" s="164"/>
      <c r="D660" s="164"/>
      <c r="E660" s="164"/>
      <c r="F660" s="164"/>
      <c r="G660" s="164"/>
    </row>
    <row r="661" ht="22.5" customHeight="1">
      <c r="A661" s="164"/>
      <c r="B661" s="164"/>
      <c r="C661" s="164"/>
      <c r="D661" s="164"/>
      <c r="E661" s="164"/>
      <c r="F661" s="164"/>
      <c r="G661" s="164"/>
    </row>
    <row r="662" ht="22.5" customHeight="1">
      <c r="A662" s="164"/>
      <c r="B662" s="164"/>
      <c r="C662" s="164"/>
      <c r="D662" s="164"/>
      <c r="E662" s="164"/>
      <c r="F662" s="164"/>
      <c r="G662" s="164"/>
    </row>
    <row r="663" ht="22.5" customHeight="1">
      <c r="A663" s="164"/>
      <c r="B663" s="164"/>
      <c r="C663" s="164"/>
      <c r="D663" s="164"/>
      <c r="E663" s="164"/>
      <c r="F663" s="164"/>
      <c r="G663" s="164"/>
    </row>
    <row r="664" ht="22.5" customHeight="1">
      <c r="A664" s="164"/>
      <c r="B664" s="164"/>
      <c r="C664" s="164"/>
      <c r="D664" s="164"/>
      <c r="E664" s="164"/>
      <c r="F664" s="164"/>
      <c r="G664" s="164"/>
    </row>
    <row r="665" ht="22.5" customHeight="1">
      <c r="A665" s="164"/>
      <c r="B665" s="164"/>
      <c r="C665" s="164"/>
      <c r="D665" s="164"/>
      <c r="E665" s="164"/>
      <c r="F665" s="164"/>
      <c r="G665" s="164"/>
    </row>
    <row r="666" ht="22.5" customHeight="1">
      <c r="A666" s="164"/>
      <c r="B666" s="164"/>
      <c r="C666" s="164"/>
      <c r="D666" s="164"/>
      <c r="E666" s="164"/>
      <c r="F666" s="164"/>
      <c r="G666" s="164"/>
    </row>
    <row r="667" ht="22.5" customHeight="1">
      <c r="A667" s="164"/>
      <c r="B667" s="164"/>
      <c r="C667" s="164"/>
      <c r="D667" s="164"/>
      <c r="E667" s="164"/>
      <c r="F667" s="164"/>
      <c r="G667" s="164"/>
    </row>
    <row r="668" ht="22.5" customHeight="1">
      <c r="A668" s="164"/>
      <c r="B668" s="164"/>
      <c r="C668" s="164"/>
      <c r="D668" s="164"/>
      <c r="E668" s="164"/>
      <c r="F668" s="164"/>
      <c r="G668" s="164"/>
    </row>
    <row r="669" ht="22.5" customHeight="1">
      <c r="A669" s="164"/>
      <c r="B669" s="164"/>
      <c r="C669" s="164"/>
      <c r="D669" s="164"/>
      <c r="E669" s="164"/>
      <c r="F669" s="164"/>
      <c r="G669" s="164"/>
    </row>
    <row r="670" ht="22.5" customHeight="1">
      <c r="A670" s="164"/>
      <c r="B670" s="164"/>
      <c r="C670" s="164"/>
      <c r="D670" s="164"/>
      <c r="E670" s="164"/>
      <c r="F670" s="164"/>
      <c r="G670" s="164"/>
    </row>
    <row r="671" ht="22.5" customHeight="1">
      <c r="A671" s="164"/>
      <c r="B671" s="164"/>
      <c r="C671" s="164"/>
      <c r="D671" s="164"/>
      <c r="E671" s="164"/>
      <c r="F671" s="164"/>
      <c r="G671" s="164"/>
    </row>
    <row r="672" ht="22.5" customHeight="1">
      <c r="A672" s="164"/>
      <c r="B672" s="164"/>
      <c r="C672" s="164"/>
      <c r="D672" s="164"/>
      <c r="E672" s="164"/>
      <c r="F672" s="164"/>
      <c r="G672" s="164"/>
    </row>
    <row r="673" ht="22.5" customHeight="1">
      <c r="A673" s="164"/>
      <c r="B673" s="164"/>
      <c r="C673" s="164"/>
      <c r="D673" s="164"/>
      <c r="E673" s="164"/>
      <c r="F673" s="164"/>
      <c r="G673" s="164"/>
    </row>
    <row r="674" ht="22.5" customHeight="1">
      <c r="A674" s="164"/>
      <c r="B674" s="164"/>
      <c r="C674" s="164"/>
      <c r="D674" s="164"/>
      <c r="E674" s="164"/>
      <c r="F674" s="164"/>
      <c r="G674" s="164"/>
    </row>
    <row r="675" ht="22.5" customHeight="1">
      <c r="A675" s="164"/>
      <c r="B675" s="164"/>
      <c r="C675" s="164"/>
      <c r="D675" s="164"/>
      <c r="E675" s="164"/>
      <c r="F675" s="164"/>
      <c r="G675" s="164"/>
    </row>
    <row r="676" ht="22.5" customHeight="1">
      <c r="A676" s="164"/>
      <c r="B676" s="164"/>
      <c r="C676" s="164"/>
      <c r="D676" s="164"/>
      <c r="E676" s="164"/>
      <c r="F676" s="164"/>
      <c r="G676" s="164"/>
    </row>
    <row r="677" ht="22.5" customHeight="1">
      <c r="A677" s="164"/>
      <c r="B677" s="164"/>
      <c r="C677" s="164"/>
      <c r="D677" s="164"/>
      <c r="E677" s="164"/>
      <c r="F677" s="164"/>
      <c r="G677" s="164"/>
    </row>
    <row r="678" ht="22.5" customHeight="1">
      <c r="A678" s="164"/>
      <c r="B678" s="164"/>
      <c r="C678" s="164"/>
      <c r="D678" s="164"/>
      <c r="E678" s="164"/>
      <c r="F678" s="164"/>
      <c r="G678" s="164"/>
    </row>
    <row r="679" ht="22.5" customHeight="1">
      <c r="A679" s="164"/>
      <c r="B679" s="164"/>
      <c r="C679" s="164"/>
      <c r="D679" s="164"/>
      <c r="E679" s="164"/>
      <c r="F679" s="164"/>
      <c r="G679" s="164"/>
    </row>
    <row r="680" ht="22.5" customHeight="1">
      <c r="A680" s="164"/>
      <c r="B680" s="164"/>
      <c r="C680" s="164"/>
      <c r="D680" s="164"/>
      <c r="E680" s="164"/>
      <c r="F680" s="164"/>
      <c r="G680" s="164"/>
    </row>
    <row r="681" ht="22.5" customHeight="1">
      <c r="A681" s="164"/>
      <c r="B681" s="164"/>
      <c r="C681" s="164"/>
      <c r="D681" s="164"/>
      <c r="E681" s="164"/>
      <c r="F681" s="164"/>
      <c r="G681" s="164"/>
    </row>
    <row r="682" ht="22.5" customHeight="1">
      <c r="A682" s="164"/>
      <c r="B682" s="164"/>
      <c r="C682" s="164"/>
      <c r="D682" s="164"/>
      <c r="E682" s="164"/>
      <c r="F682" s="164"/>
      <c r="G682" s="164"/>
    </row>
    <row r="683" ht="22.5" customHeight="1">
      <c r="A683" s="164"/>
      <c r="B683" s="164"/>
      <c r="C683" s="164"/>
      <c r="D683" s="164"/>
      <c r="E683" s="164"/>
      <c r="F683" s="164"/>
      <c r="G683" s="164"/>
    </row>
    <row r="684" ht="22.5" customHeight="1">
      <c r="A684" s="164"/>
      <c r="B684" s="164"/>
      <c r="C684" s="164"/>
      <c r="D684" s="164"/>
      <c r="E684" s="164"/>
      <c r="F684" s="164"/>
      <c r="G684" s="164"/>
    </row>
    <row r="685" ht="22.5" customHeight="1">
      <c r="A685" s="164"/>
      <c r="B685" s="164"/>
      <c r="C685" s="164"/>
      <c r="D685" s="164"/>
      <c r="E685" s="164"/>
      <c r="F685" s="164"/>
      <c r="G685" s="164"/>
    </row>
    <row r="686" ht="22.5" customHeight="1">
      <c r="A686" s="164"/>
      <c r="B686" s="164"/>
      <c r="C686" s="164"/>
      <c r="D686" s="164"/>
      <c r="E686" s="164"/>
      <c r="F686" s="164"/>
      <c r="G686" s="164"/>
    </row>
    <row r="687" ht="22.5" customHeight="1">
      <c r="A687" s="164"/>
      <c r="B687" s="164"/>
      <c r="C687" s="164"/>
      <c r="D687" s="164"/>
      <c r="E687" s="164"/>
      <c r="F687" s="164"/>
      <c r="G687" s="164"/>
    </row>
    <row r="688" ht="22.5" customHeight="1">
      <c r="A688" s="164"/>
      <c r="B688" s="164"/>
      <c r="C688" s="164"/>
      <c r="D688" s="164"/>
      <c r="E688" s="164"/>
      <c r="F688" s="164"/>
      <c r="G688" s="164"/>
    </row>
    <row r="689" ht="22.5" customHeight="1">
      <c r="A689" s="164"/>
      <c r="B689" s="164"/>
      <c r="C689" s="164"/>
      <c r="D689" s="164"/>
      <c r="E689" s="164"/>
      <c r="F689" s="164"/>
      <c r="G689" s="164"/>
    </row>
    <row r="690" ht="22.5" customHeight="1">
      <c r="A690" s="164"/>
      <c r="B690" s="164"/>
      <c r="C690" s="164"/>
      <c r="D690" s="164"/>
      <c r="E690" s="164"/>
      <c r="F690" s="164"/>
      <c r="G690" s="164"/>
    </row>
    <row r="691" ht="22.5" customHeight="1">
      <c r="A691" s="164"/>
      <c r="B691" s="164"/>
      <c r="C691" s="164"/>
      <c r="D691" s="164"/>
      <c r="E691" s="164"/>
      <c r="F691" s="164"/>
      <c r="G691" s="164"/>
    </row>
    <row r="692" ht="22.5" customHeight="1">
      <c r="A692" s="164"/>
      <c r="B692" s="164"/>
      <c r="C692" s="164"/>
      <c r="D692" s="164"/>
      <c r="E692" s="164"/>
      <c r="F692" s="164"/>
      <c r="G692" s="164"/>
    </row>
    <row r="693" ht="22.5" customHeight="1">
      <c r="A693" s="164"/>
      <c r="B693" s="164"/>
      <c r="C693" s="164"/>
      <c r="D693" s="164"/>
      <c r="E693" s="164"/>
      <c r="F693" s="164"/>
      <c r="G693" s="164"/>
    </row>
    <row r="694" ht="22.5" customHeight="1">
      <c r="A694" s="164"/>
      <c r="B694" s="164"/>
      <c r="C694" s="164"/>
      <c r="D694" s="164"/>
      <c r="E694" s="164"/>
      <c r="F694" s="164"/>
      <c r="G694" s="164"/>
    </row>
    <row r="695" ht="22.5" customHeight="1">
      <c r="A695" s="164"/>
      <c r="B695" s="164"/>
      <c r="C695" s="164"/>
      <c r="D695" s="164"/>
      <c r="E695" s="164"/>
      <c r="F695" s="164"/>
      <c r="G695" s="164"/>
    </row>
    <row r="696" ht="22.5" customHeight="1">
      <c r="A696" s="164"/>
      <c r="B696" s="164"/>
      <c r="C696" s="164"/>
      <c r="D696" s="164"/>
      <c r="E696" s="164"/>
      <c r="F696" s="164"/>
      <c r="G696" s="164"/>
    </row>
    <row r="697" ht="22.5" customHeight="1">
      <c r="A697" s="164"/>
      <c r="B697" s="164"/>
      <c r="C697" s="164"/>
      <c r="D697" s="164"/>
      <c r="E697" s="164"/>
      <c r="F697" s="164"/>
      <c r="G697" s="164"/>
    </row>
    <row r="698" ht="22.5" customHeight="1">
      <c r="A698" s="164"/>
      <c r="B698" s="164"/>
      <c r="C698" s="164"/>
      <c r="D698" s="164"/>
      <c r="E698" s="164"/>
      <c r="F698" s="164"/>
      <c r="G698" s="164"/>
    </row>
    <row r="699" ht="22.5" customHeight="1">
      <c r="A699" s="164"/>
      <c r="B699" s="164"/>
      <c r="C699" s="164"/>
      <c r="D699" s="164"/>
      <c r="E699" s="164"/>
      <c r="F699" s="164"/>
      <c r="G699" s="164"/>
    </row>
    <row r="700" ht="22.5" customHeight="1">
      <c r="A700" s="164"/>
      <c r="B700" s="164"/>
      <c r="C700" s="164"/>
      <c r="D700" s="164"/>
      <c r="E700" s="164"/>
      <c r="F700" s="164"/>
      <c r="G700" s="164"/>
    </row>
    <row r="701" ht="22.5" customHeight="1">
      <c r="A701" s="164"/>
      <c r="B701" s="164"/>
      <c r="C701" s="164"/>
      <c r="D701" s="164"/>
      <c r="E701" s="164"/>
      <c r="F701" s="164"/>
      <c r="G701" s="164"/>
    </row>
    <row r="702" ht="22.5" customHeight="1">
      <c r="A702" s="164"/>
      <c r="B702" s="164"/>
      <c r="C702" s="164"/>
      <c r="D702" s="164"/>
      <c r="E702" s="164"/>
      <c r="F702" s="164"/>
      <c r="G702" s="164"/>
    </row>
    <row r="703" ht="22.5" customHeight="1">
      <c r="A703" s="164"/>
      <c r="B703" s="164"/>
      <c r="C703" s="164"/>
      <c r="D703" s="164"/>
      <c r="E703" s="164"/>
      <c r="F703" s="164"/>
      <c r="G703" s="164"/>
    </row>
    <row r="704" ht="22.5" customHeight="1">
      <c r="A704" s="164"/>
      <c r="B704" s="164"/>
      <c r="C704" s="164"/>
      <c r="D704" s="164"/>
      <c r="E704" s="164"/>
      <c r="F704" s="164"/>
      <c r="G704" s="164"/>
    </row>
    <row r="705" ht="22.5" customHeight="1">
      <c r="A705" s="164"/>
      <c r="B705" s="164"/>
      <c r="C705" s="164"/>
      <c r="D705" s="164"/>
      <c r="E705" s="164"/>
      <c r="F705" s="164"/>
      <c r="G705" s="164"/>
    </row>
    <row r="706" ht="22.5" customHeight="1">
      <c r="A706" s="164"/>
      <c r="B706" s="164"/>
      <c r="C706" s="164"/>
      <c r="D706" s="164"/>
      <c r="E706" s="164"/>
      <c r="F706" s="164"/>
      <c r="G706" s="164"/>
    </row>
    <row r="707" ht="22.5" customHeight="1">
      <c r="A707" s="164"/>
      <c r="B707" s="164"/>
      <c r="C707" s="164"/>
      <c r="D707" s="164"/>
      <c r="E707" s="164"/>
      <c r="F707" s="164"/>
      <c r="G707" s="164"/>
    </row>
    <row r="708" ht="22.5" customHeight="1">
      <c r="A708" s="164"/>
      <c r="B708" s="164"/>
      <c r="C708" s="164"/>
      <c r="D708" s="164"/>
      <c r="E708" s="164"/>
      <c r="F708" s="164"/>
      <c r="G708" s="164"/>
    </row>
    <row r="709" ht="22.5" customHeight="1">
      <c r="A709" s="164"/>
      <c r="B709" s="164"/>
      <c r="C709" s="164"/>
      <c r="D709" s="164"/>
      <c r="E709" s="164"/>
      <c r="F709" s="164"/>
      <c r="G709" s="164"/>
    </row>
    <row r="710" ht="22.5" customHeight="1">
      <c r="A710" s="164"/>
      <c r="B710" s="164"/>
      <c r="C710" s="164"/>
      <c r="D710" s="164"/>
      <c r="E710" s="164"/>
      <c r="F710" s="164"/>
      <c r="G710" s="164"/>
    </row>
    <row r="711" ht="22.5" customHeight="1">
      <c r="A711" s="164"/>
      <c r="B711" s="164"/>
      <c r="C711" s="164"/>
      <c r="D711" s="164"/>
      <c r="E711" s="164"/>
      <c r="F711" s="164"/>
      <c r="G711" s="164"/>
    </row>
    <row r="712" ht="22.5" customHeight="1">
      <c r="A712" s="164"/>
      <c r="B712" s="164"/>
      <c r="C712" s="164"/>
      <c r="D712" s="164"/>
      <c r="E712" s="164"/>
      <c r="F712" s="164"/>
      <c r="G712" s="164"/>
    </row>
    <row r="713" ht="22.5" customHeight="1">
      <c r="A713" s="164"/>
      <c r="B713" s="164"/>
      <c r="C713" s="164"/>
      <c r="D713" s="164"/>
      <c r="E713" s="164"/>
      <c r="F713" s="164"/>
      <c r="G713" s="164"/>
    </row>
    <row r="714" ht="22.5" customHeight="1">
      <c r="A714" s="164"/>
      <c r="B714" s="164"/>
      <c r="C714" s="164"/>
      <c r="D714" s="164"/>
      <c r="E714" s="164"/>
      <c r="F714" s="164"/>
      <c r="G714" s="164"/>
    </row>
    <row r="715" ht="22.5" customHeight="1">
      <c r="A715" s="164"/>
      <c r="B715" s="164"/>
      <c r="C715" s="164"/>
      <c r="D715" s="164"/>
      <c r="E715" s="164"/>
      <c r="F715" s="164"/>
      <c r="G715" s="164"/>
    </row>
    <row r="716" ht="22.5" customHeight="1">
      <c r="A716" s="164"/>
      <c r="B716" s="164"/>
      <c r="C716" s="164"/>
      <c r="D716" s="164"/>
      <c r="E716" s="164"/>
      <c r="F716" s="164"/>
      <c r="G716" s="164"/>
    </row>
    <row r="717" ht="22.5" customHeight="1">
      <c r="A717" s="164"/>
      <c r="B717" s="164"/>
      <c r="C717" s="164"/>
      <c r="D717" s="164"/>
      <c r="E717" s="164"/>
      <c r="F717" s="164"/>
      <c r="G717" s="164"/>
    </row>
    <row r="718" ht="22.5" customHeight="1">
      <c r="A718" s="164"/>
      <c r="B718" s="164"/>
      <c r="C718" s="164"/>
      <c r="D718" s="164"/>
      <c r="E718" s="164"/>
      <c r="F718" s="164"/>
      <c r="G718" s="164"/>
    </row>
    <row r="719" ht="22.5" customHeight="1">
      <c r="A719" s="164"/>
      <c r="B719" s="164"/>
      <c r="C719" s="164"/>
      <c r="D719" s="164"/>
      <c r="E719" s="164"/>
      <c r="F719" s="164"/>
      <c r="G719" s="164"/>
    </row>
    <row r="720" ht="22.5" customHeight="1">
      <c r="A720" s="164"/>
      <c r="B720" s="164"/>
      <c r="C720" s="164"/>
      <c r="D720" s="164"/>
      <c r="E720" s="164"/>
      <c r="F720" s="164"/>
      <c r="G720" s="164"/>
    </row>
    <row r="721" ht="22.5" customHeight="1">
      <c r="A721" s="164"/>
      <c r="B721" s="164"/>
      <c r="C721" s="164"/>
      <c r="D721" s="164"/>
      <c r="E721" s="164"/>
      <c r="F721" s="164"/>
      <c r="G721" s="164"/>
    </row>
    <row r="722" ht="22.5" customHeight="1">
      <c r="A722" s="164"/>
      <c r="B722" s="164"/>
      <c r="C722" s="164"/>
      <c r="D722" s="164"/>
      <c r="E722" s="164"/>
      <c r="F722" s="164"/>
      <c r="G722" s="164"/>
    </row>
    <row r="723" ht="22.5" customHeight="1">
      <c r="A723" s="164"/>
      <c r="B723" s="164"/>
      <c r="C723" s="164"/>
      <c r="D723" s="164"/>
      <c r="E723" s="164"/>
      <c r="F723" s="164"/>
      <c r="G723" s="164"/>
    </row>
    <row r="724" ht="22.5" customHeight="1">
      <c r="A724" s="164"/>
      <c r="B724" s="164"/>
      <c r="C724" s="164"/>
      <c r="D724" s="164"/>
      <c r="E724" s="164"/>
      <c r="F724" s="164"/>
      <c r="G724" s="164"/>
    </row>
    <row r="725" ht="22.5" customHeight="1">
      <c r="A725" s="164"/>
      <c r="B725" s="164"/>
      <c r="C725" s="164"/>
      <c r="D725" s="164"/>
      <c r="E725" s="164"/>
      <c r="F725" s="164"/>
      <c r="G725" s="164"/>
    </row>
    <row r="726" ht="22.5" customHeight="1">
      <c r="A726" s="164"/>
      <c r="B726" s="164"/>
      <c r="C726" s="164"/>
      <c r="D726" s="164"/>
      <c r="E726" s="164"/>
      <c r="F726" s="164"/>
      <c r="G726" s="164"/>
    </row>
    <row r="727" ht="22.5" customHeight="1">
      <c r="A727" s="164"/>
      <c r="B727" s="164"/>
      <c r="C727" s="164"/>
      <c r="D727" s="164"/>
      <c r="E727" s="164"/>
      <c r="F727" s="164"/>
      <c r="G727" s="164"/>
    </row>
    <row r="728" ht="22.5" customHeight="1">
      <c r="A728" s="164"/>
      <c r="B728" s="164"/>
      <c r="C728" s="164"/>
      <c r="D728" s="164"/>
      <c r="E728" s="164"/>
      <c r="F728" s="164"/>
      <c r="G728" s="164"/>
    </row>
    <row r="729" ht="22.5" customHeight="1">
      <c r="A729" s="164"/>
      <c r="B729" s="164"/>
      <c r="C729" s="164"/>
      <c r="D729" s="164"/>
      <c r="E729" s="164"/>
      <c r="F729" s="164"/>
      <c r="G729" s="164"/>
    </row>
    <row r="730" ht="22.5" customHeight="1">
      <c r="A730" s="164"/>
      <c r="B730" s="164"/>
      <c r="C730" s="164"/>
      <c r="D730" s="164"/>
      <c r="E730" s="164"/>
      <c r="F730" s="164"/>
      <c r="G730" s="164"/>
    </row>
    <row r="731" ht="22.5" customHeight="1">
      <c r="A731" s="164"/>
      <c r="B731" s="164"/>
      <c r="C731" s="164"/>
      <c r="D731" s="164"/>
      <c r="E731" s="164"/>
      <c r="F731" s="164"/>
      <c r="G731" s="164"/>
    </row>
    <row r="732" ht="22.5" customHeight="1">
      <c r="A732" s="164"/>
      <c r="B732" s="164"/>
      <c r="C732" s="164"/>
      <c r="D732" s="164"/>
      <c r="E732" s="164"/>
      <c r="F732" s="164"/>
      <c r="G732" s="164"/>
    </row>
    <row r="733" ht="22.5" customHeight="1">
      <c r="A733" s="164"/>
      <c r="B733" s="164"/>
      <c r="C733" s="164"/>
      <c r="D733" s="164"/>
      <c r="E733" s="164"/>
      <c r="F733" s="164"/>
      <c r="G733" s="164"/>
    </row>
    <row r="734" ht="22.5" customHeight="1">
      <c r="A734" s="164"/>
      <c r="B734" s="164"/>
      <c r="C734" s="164"/>
      <c r="D734" s="164"/>
      <c r="E734" s="164"/>
      <c r="F734" s="164"/>
      <c r="G734" s="164"/>
    </row>
    <row r="735" ht="22.5" customHeight="1">
      <c r="A735" s="164"/>
      <c r="B735" s="164"/>
      <c r="C735" s="164"/>
      <c r="D735" s="164"/>
      <c r="E735" s="164"/>
      <c r="F735" s="164"/>
      <c r="G735" s="164"/>
    </row>
    <row r="736" ht="22.5" customHeight="1">
      <c r="A736" s="164"/>
      <c r="B736" s="164"/>
      <c r="C736" s="164"/>
      <c r="D736" s="164"/>
      <c r="E736" s="164"/>
      <c r="F736" s="164"/>
      <c r="G736" s="164"/>
    </row>
    <row r="737" ht="22.5" customHeight="1">
      <c r="A737" s="164"/>
      <c r="B737" s="164"/>
      <c r="C737" s="164"/>
      <c r="D737" s="164"/>
      <c r="E737" s="164"/>
      <c r="F737" s="164"/>
      <c r="G737" s="164"/>
    </row>
    <row r="738" ht="22.5" customHeight="1">
      <c r="A738" s="164"/>
      <c r="B738" s="164"/>
      <c r="C738" s="164"/>
      <c r="D738" s="164"/>
      <c r="E738" s="164"/>
      <c r="F738" s="164"/>
      <c r="G738" s="164"/>
    </row>
    <row r="739" ht="22.5" customHeight="1">
      <c r="A739" s="164"/>
      <c r="B739" s="164"/>
      <c r="C739" s="164"/>
      <c r="D739" s="164"/>
      <c r="E739" s="164"/>
      <c r="F739" s="164"/>
      <c r="G739" s="164"/>
    </row>
    <row r="740" ht="22.5" customHeight="1">
      <c r="A740" s="164"/>
      <c r="B740" s="164"/>
      <c r="C740" s="164"/>
      <c r="D740" s="164"/>
      <c r="E740" s="164"/>
      <c r="F740" s="164"/>
      <c r="G740" s="164"/>
    </row>
    <row r="741" ht="22.5" customHeight="1">
      <c r="A741" s="164"/>
      <c r="B741" s="164"/>
      <c r="C741" s="164"/>
      <c r="D741" s="164"/>
      <c r="E741" s="164"/>
      <c r="F741" s="164"/>
      <c r="G741" s="164"/>
    </row>
    <row r="742" ht="22.5" customHeight="1">
      <c r="A742" s="164"/>
      <c r="B742" s="164"/>
      <c r="C742" s="164"/>
      <c r="D742" s="164"/>
      <c r="E742" s="164"/>
      <c r="F742" s="164"/>
      <c r="G742" s="164"/>
    </row>
    <row r="743" ht="22.5" customHeight="1">
      <c r="A743" s="164"/>
      <c r="B743" s="164"/>
      <c r="C743" s="164"/>
      <c r="D743" s="164"/>
      <c r="E743" s="164"/>
      <c r="F743" s="164"/>
      <c r="G743" s="164"/>
    </row>
    <row r="744" ht="22.5" customHeight="1">
      <c r="A744" s="164"/>
      <c r="B744" s="164"/>
      <c r="C744" s="164"/>
      <c r="D744" s="164"/>
      <c r="E744" s="164"/>
      <c r="F744" s="164"/>
      <c r="G744" s="164"/>
    </row>
    <row r="745" ht="22.5" customHeight="1">
      <c r="A745" s="164"/>
      <c r="B745" s="164"/>
      <c r="C745" s="164"/>
      <c r="D745" s="164"/>
      <c r="E745" s="164"/>
      <c r="F745" s="164"/>
      <c r="G745" s="164"/>
    </row>
    <row r="746" ht="22.5" customHeight="1">
      <c r="A746" s="164"/>
      <c r="B746" s="164"/>
      <c r="C746" s="164"/>
      <c r="D746" s="164"/>
      <c r="E746" s="164"/>
      <c r="F746" s="164"/>
      <c r="G746" s="164"/>
    </row>
    <row r="747" ht="22.5" customHeight="1">
      <c r="A747" s="164"/>
      <c r="B747" s="164"/>
      <c r="C747" s="164"/>
      <c r="D747" s="164"/>
      <c r="E747" s="164"/>
      <c r="F747" s="164"/>
      <c r="G747" s="164"/>
    </row>
    <row r="748" ht="22.5" customHeight="1">
      <c r="A748" s="164"/>
      <c r="B748" s="164"/>
      <c r="C748" s="164"/>
      <c r="D748" s="164"/>
      <c r="E748" s="164"/>
      <c r="F748" s="164"/>
      <c r="G748" s="164"/>
    </row>
    <row r="749" ht="22.5" customHeight="1">
      <c r="A749" s="164"/>
      <c r="B749" s="164"/>
      <c r="C749" s="164"/>
      <c r="D749" s="164"/>
      <c r="E749" s="164"/>
      <c r="F749" s="164"/>
      <c r="G749" s="164"/>
    </row>
    <row r="750" ht="22.5" customHeight="1">
      <c r="A750" s="164"/>
      <c r="B750" s="164"/>
      <c r="C750" s="164"/>
      <c r="D750" s="164"/>
      <c r="E750" s="164"/>
      <c r="F750" s="164"/>
      <c r="G750" s="164"/>
    </row>
    <row r="751" ht="22.5" customHeight="1">
      <c r="A751" s="164"/>
      <c r="B751" s="164"/>
      <c r="C751" s="164"/>
      <c r="D751" s="164"/>
      <c r="E751" s="164"/>
      <c r="F751" s="164"/>
      <c r="G751" s="164"/>
    </row>
    <row r="752" ht="22.5" customHeight="1">
      <c r="A752" s="164"/>
      <c r="B752" s="164"/>
      <c r="C752" s="164"/>
      <c r="D752" s="164"/>
      <c r="E752" s="164"/>
      <c r="F752" s="164"/>
      <c r="G752" s="164"/>
    </row>
    <row r="753" ht="22.5" customHeight="1">
      <c r="A753" s="164"/>
      <c r="B753" s="164"/>
      <c r="C753" s="164"/>
      <c r="D753" s="164"/>
      <c r="E753" s="164"/>
      <c r="F753" s="164"/>
      <c r="G753" s="164"/>
    </row>
    <row r="754" ht="22.5" customHeight="1">
      <c r="A754" s="164"/>
      <c r="B754" s="164"/>
      <c r="C754" s="164"/>
      <c r="D754" s="164"/>
      <c r="E754" s="164"/>
      <c r="F754" s="164"/>
      <c r="G754" s="164"/>
    </row>
    <row r="755" ht="22.5" customHeight="1">
      <c r="A755" s="164"/>
      <c r="B755" s="164"/>
      <c r="C755" s="164"/>
      <c r="D755" s="164"/>
      <c r="E755" s="164"/>
      <c r="F755" s="164"/>
      <c r="G755" s="164"/>
    </row>
    <row r="756" ht="22.5" customHeight="1">
      <c r="A756" s="164"/>
      <c r="B756" s="164"/>
      <c r="C756" s="164"/>
      <c r="D756" s="164"/>
      <c r="E756" s="164"/>
      <c r="F756" s="164"/>
      <c r="G756" s="164"/>
    </row>
    <row r="757" ht="22.5" customHeight="1">
      <c r="A757" s="164"/>
      <c r="B757" s="164"/>
      <c r="C757" s="164"/>
      <c r="D757" s="164"/>
      <c r="E757" s="164"/>
      <c r="F757" s="164"/>
      <c r="G757" s="164"/>
    </row>
    <row r="758" ht="22.5" customHeight="1">
      <c r="A758" s="164"/>
      <c r="B758" s="164"/>
      <c r="C758" s="164"/>
      <c r="D758" s="164"/>
      <c r="E758" s="164"/>
      <c r="F758" s="164"/>
      <c r="G758" s="164"/>
    </row>
    <row r="759" ht="22.5" customHeight="1">
      <c r="A759" s="164"/>
      <c r="B759" s="164"/>
      <c r="C759" s="164"/>
      <c r="D759" s="164"/>
      <c r="E759" s="164"/>
      <c r="F759" s="164"/>
      <c r="G759" s="164"/>
    </row>
    <row r="760" ht="22.5" customHeight="1">
      <c r="A760" s="164"/>
      <c r="B760" s="164"/>
      <c r="C760" s="164"/>
      <c r="D760" s="164"/>
      <c r="E760" s="164"/>
      <c r="F760" s="164"/>
      <c r="G760" s="164"/>
    </row>
    <row r="761" ht="22.5" customHeight="1">
      <c r="A761" s="164"/>
      <c r="B761" s="164"/>
      <c r="C761" s="164"/>
      <c r="D761" s="164"/>
      <c r="E761" s="164"/>
      <c r="F761" s="164"/>
      <c r="G761" s="164"/>
    </row>
    <row r="762" ht="22.5" customHeight="1">
      <c r="A762" s="164"/>
      <c r="B762" s="164"/>
      <c r="C762" s="164"/>
      <c r="D762" s="164"/>
      <c r="E762" s="164"/>
      <c r="F762" s="164"/>
      <c r="G762" s="164"/>
    </row>
    <row r="763" ht="22.5" customHeight="1">
      <c r="A763" s="164"/>
      <c r="B763" s="164"/>
      <c r="C763" s="164"/>
      <c r="D763" s="164"/>
      <c r="E763" s="164"/>
      <c r="F763" s="164"/>
      <c r="G763" s="164"/>
    </row>
    <row r="764" ht="22.5" customHeight="1">
      <c r="A764" s="164"/>
      <c r="B764" s="164"/>
      <c r="C764" s="164"/>
      <c r="D764" s="164"/>
      <c r="E764" s="164"/>
      <c r="F764" s="164"/>
      <c r="G764" s="164"/>
    </row>
    <row r="765" ht="22.5" customHeight="1">
      <c r="A765" s="164"/>
      <c r="B765" s="164"/>
      <c r="C765" s="164"/>
      <c r="D765" s="164"/>
      <c r="E765" s="164"/>
      <c r="F765" s="164"/>
      <c r="G765" s="164"/>
    </row>
    <row r="766" ht="22.5" customHeight="1">
      <c r="A766" s="164"/>
      <c r="B766" s="164"/>
      <c r="C766" s="164"/>
      <c r="D766" s="164"/>
      <c r="E766" s="164"/>
      <c r="F766" s="164"/>
      <c r="G766" s="164"/>
    </row>
    <row r="767" ht="22.5" customHeight="1">
      <c r="A767" s="164"/>
      <c r="B767" s="164"/>
      <c r="C767" s="164"/>
      <c r="D767" s="164"/>
      <c r="E767" s="164"/>
      <c r="F767" s="164"/>
      <c r="G767" s="164"/>
    </row>
    <row r="768" ht="22.5" customHeight="1">
      <c r="A768" s="164"/>
      <c r="B768" s="164"/>
      <c r="C768" s="164"/>
      <c r="D768" s="164"/>
      <c r="E768" s="164"/>
      <c r="F768" s="164"/>
      <c r="G768" s="164"/>
    </row>
    <row r="769" ht="22.5" customHeight="1">
      <c r="A769" s="164"/>
      <c r="B769" s="164"/>
      <c r="C769" s="164"/>
      <c r="D769" s="164"/>
      <c r="E769" s="164"/>
      <c r="F769" s="164"/>
      <c r="G769" s="164"/>
    </row>
    <row r="770" ht="22.5" customHeight="1">
      <c r="A770" s="164"/>
      <c r="B770" s="164"/>
      <c r="C770" s="164"/>
      <c r="D770" s="164"/>
      <c r="E770" s="164"/>
      <c r="F770" s="164"/>
      <c r="G770" s="164"/>
    </row>
    <row r="771" ht="22.5" customHeight="1">
      <c r="A771" s="164"/>
      <c r="B771" s="164"/>
      <c r="C771" s="164"/>
      <c r="D771" s="164"/>
      <c r="E771" s="164"/>
      <c r="F771" s="164"/>
      <c r="G771" s="164"/>
    </row>
    <row r="772" ht="22.5" customHeight="1">
      <c r="A772" s="164"/>
      <c r="B772" s="164"/>
      <c r="C772" s="164"/>
      <c r="D772" s="164"/>
      <c r="E772" s="164"/>
      <c r="F772" s="164"/>
      <c r="G772" s="164"/>
    </row>
    <row r="773" ht="22.5" customHeight="1">
      <c r="A773" s="164"/>
      <c r="B773" s="164"/>
      <c r="C773" s="164"/>
      <c r="D773" s="164"/>
      <c r="E773" s="164"/>
      <c r="F773" s="164"/>
      <c r="G773" s="164"/>
    </row>
    <row r="774" ht="22.5" customHeight="1">
      <c r="A774" s="164"/>
      <c r="B774" s="164"/>
      <c r="C774" s="164"/>
      <c r="D774" s="164"/>
      <c r="E774" s="164"/>
      <c r="F774" s="164"/>
      <c r="G774" s="164"/>
    </row>
    <row r="775" ht="22.5" customHeight="1">
      <c r="A775" s="164"/>
      <c r="B775" s="164"/>
      <c r="C775" s="164"/>
      <c r="D775" s="164"/>
      <c r="E775" s="164"/>
      <c r="F775" s="164"/>
      <c r="G775" s="164"/>
    </row>
    <row r="776" ht="22.5" customHeight="1">
      <c r="A776" s="164"/>
      <c r="B776" s="164"/>
      <c r="C776" s="164"/>
      <c r="D776" s="164"/>
      <c r="E776" s="164"/>
      <c r="F776" s="164"/>
      <c r="G776" s="164"/>
    </row>
    <row r="777" ht="22.5" customHeight="1">
      <c r="A777" s="164"/>
      <c r="B777" s="164"/>
      <c r="C777" s="164"/>
      <c r="D777" s="164"/>
      <c r="E777" s="164"/>
      <c r="F777" s="164"/>
      <c r="G777" s="164"/>
    </row>
    <row r="778" ht="22.5" customHeight="1">
      <c r="A778" s="164"/>
      <c r="B778" s="164"/>
      <c r="C778" s="164"/>
      <c r="D778" s="164"/>
      <c r="E778" s="164"/>
      <c r="F778" s="164"/>
      <c r="G778" s="164"/>
    </row>
    <row r="779" ht="22.5" customHeight="1">
      <c r="A779" s="164"/>
      <c r="B779" s="164"/>
      <c r="C779" s="164"/>
      <c r="D779" s="164"/>
      <c r="E779" s="164"/>
      <c r="F779" s="164"/>
      <c r="G779" s="164"/>
    </row>
    <row r="780" ht="22.5" customHeight="1">
      <c r="A780" s="164"/>
      <c r="B780" s="164"/>
      <c r="C780" s="164"/>
      <c r="D780" s="164"/>
      <c r="E780" s="164"/>
      <c r="F780" s="164"/>
      <c r="G780" s="164"/>
    </row>
    <row r="781" ht="22.5" customHeight="1">
      <c r="A781" s="164"/>
      <c r="B781" s="164"/>
      <c r="C781" s="164"/>
      <c r="D781" s="164"/>
      <c r="E781" s="164"/>
      <c r="F781" s="164"/>
      <c r="G781" s="164"/>
    </row>
    <row r="782" ht="22.5" customHeight="1">
      <c r="A782" s="164"/>
      <c r="B782" s="164"/>
      <c r="C782" s="164"/>
      <c r="D782" s="164"/>
      <c r="E782" s="164"/>
      <c r="F782" s="164"/>
      <c r="G782" s="164"/>
    </row>
    <row r="783" ht="22.5" customHeight="1">
      <c r="A783" s="164"/>
      <c r="B783" s="164"/>
      <c r="C783" s="164"/>
      <c r="D783" s="164"/>
      <c r="E783" s="164"/>
      <c r="F783" s="164"/>
      <c r="G783" s="164"/>
    </row>
    <row r="784" ht="22.5" customHeight="1">
      <c r="A784" s="164"/>
      <c r="B784" s="164"/>
      <c r="C784" s="164"/>
      <c r="D784" s="164"/>
      <c r="E784" s="164"/>
      <c r="F784" s="164"/>
      <c r="G784" s="164"/>
    </row>
    <row r="785" ht="22.5" customHeight="1">
      <c r="A785" s="164"/>
      <c r="B785" s="164"/>
      <c r="C785" s="164"/>
      <c r="D785" s="164"/>
      <c r="E785" s="164"/>
      <c r="F785" s="164"/>
      <c r="G785" s="164"/>
    </row>
    <row r="786" ht="22.5" customHeight="1">
      <c r="A786" s="164"/>
      <c r="B786" s="164"/>
      <c r="C786" s="164"/>
      <c r="D786" s="164"/>
      <c r="E786" s="164"/>
      <c r="F786" s="164"/>
      <c r="G786" s="164"/>
    </row>
    <row r="787" ht="22.5" customHeight="1">
      <c r="A787" s="164"/>
      <c r="B787" s="164"/>
      <c r="C787" s="164"/>
      <c r="D787" s="164"/>
      <c r="E787" s="164"/>
      <c r="F787" s="164"/>
      <c r="G787" s="164"/>
    </row>
    <row r="788" ht="22.5" customHeight="1">
      <c r="A788" s="164"/>
      <c r="B788" s="164"/>
      <c r="C788" s="164"/>
      <c r="D788" s="164"/>
      <c r="E788" s="164"/>
      <c r="F788" s="164"/>
      <c r="G788" s="164"/>
    </row>
    <row r="789" ht="22.5" customHeight="1">
      <c r="A789" s="164"/>
      <c r="B789" s="164"/>
      <c r="C789" s="164"/>
      <c r="D789" s="164"/>
      <c r="E789" s="164"/>
      <c r="F789" s="164"/>
      <c r="G789" s="164"/>
    </row>
    <row r="790" ht="22.5" customHeight="1">
      <c r="A790" s="164"/>
      <c r="B790" s="164"/>
      <c r="C790" s="164"/>
      <c r="D790" s="164"/>
      <c r="E790" s="164"/>
      <c r="F790" s="164"/>
      <c r="G790" s="164"/>
    </row>
    <row r="791" ht="22.5" customHeight="1">
      <c r="A791" s="164"/>
      <c r="B791" s="164"/>
      <c r="C791" s="164"/>
      <c r="D791" s="164"/>
      <c r="E791" s="164"/>
      <c r="F791" s="164"/>
      <c r="G791" s="164"/>
    </row>
    <row r="792" ht="22.5" customHeight="1">
      <c r="A792" s="164"/>
      <c r="B792" s="164"/>
      <c r="C792" s="164"/>
      <c r="D792" s="164"/>
      <c r="E792" s="164"/>
      <c r="F792" s="164"/>
      <c r="G792" s="164"/>
    </row>
    <row r="793" ht="22.5" customHeight="1">
      <c r="A793" s="164"/>
      <c r="B793" s="164"/>
      <c r="C793" s="164"/>
      <c r="D793" s="164"/>
      <c r="E793" s="164"/>
      <c r="F793" s="164"/>
      <c r="G793" s="164"/>
    </row>
    <row r="794" ht="22.5" customHeight="1">
      <c r="A794" s="164"/>
      <c r="B794" s="164"/>
      <c r="C794" s="164"/>
      <c r="D794" s="164"/>
      <c r="E794" s="164"/>
      <c r="F794" s="164"/>
      <c r="G794" s="164"/>
    </row>
    <row r="795" ht="22.5" customHeight="1">
      <c r="A795" s="164"/>
      <c r="B795" s="164"/>
      <c r="C795" s="164"/>
      <c r="D795" s="164"/>
      <c r="E795" s="164"/>
      <c r="F795" s="164"/>
      <c r="G795" s="164"/>
    </row>
    <row r="796" ht="22.5" customHeight="1">
      <c r="A796" s="164"/>
      <c r="B796" s="164"/>
      <c r="C796" s="164"/>
      <c r="D796" s="164"/>
      <c r="E796" s="164"/>
      <c r="F796" s="164"/>
      <c r="G796" s="164"/>
    </row>
    <row r="797" ht="22.5" customHeight="1">
      <c r="A797" s="164"/>
      <c r="B797" s="164"/>
      <c r="C797" s="164"/>
      <c r="D797" s="164"/>
      <c r="E797" s="164"/>
      <c r="F797" s="164"/>
      <c r="G797" s="164"/>
    </row>
    <row r="798" ht="22.5" customHeight="1">
      <c r="A798" s="164"/>
      <c r="B798" s="164"/>
      <c r="C798" s="164"/>
      <c r="D798" s="164"/>
      <c r="E798" s="164"/>
      <c r="F798" s="164"/>
      <c r="G798" s="164"/>
    </row>
    <row r="799" ht="22.5" customHeight="1">
      <c r="A799" s="164"/>
      <c r="B799" s="164"/>
      <c r="C799" s="164"/>
      <c r="D799" s="164"/>
      <c r="E799" s="164"/>
      <c r="F799" s="164"/>
      <c r="G799" s="164"/>
    </row>
    <row r="800" ht="22.5" customHeight="1">
      <c r="A800" s="164"/>
      <c r="B800" s="164"/>
      <c r="C800" s="164"/>
      <c r="D800" s="164"/>
      <c r="E800" s="164"/>
      <c r="F800" s="164"/>
      <c r="G800" s="164"/>
    </row>
    <row r="801" ht="22.5" customHeight="1">
      <c r="A801" s="164"/>
      <c r="B801" s="164"/>
      <c r="C801" s="164"/>
      <c r="D801" s="164"/>
      <c r="E801" s="164"/>
      <c r="F801" s="164"/>
      <c r="G801" s="164"/>
    </row>
    <row r="802" ht="22.5" customHeight="1">
      <c r="A802" s="164"/>
      <c r="B802" s="164"/>
      <c r="C802" s="164"/>
      <c r="D802" s="164"/>
      <c r="E802" s="164"/>
      <c r="F802" s="164"/>
      <c r="G802" s="164"/>
    </row>
    <row r="803" ht="22.5" customHeight="1">
      <c r="A803" s="164"/>
      <c r="B803" s="164"/>
      <c r="C803" s="164"/>
      <c r="D803" s="164"/>
      <c r="E803" s="164"/>
      <c r="F803" s="164"/>
      <c r="G803" s="164"/>
    </row>
    <row r="804" ht="22.5" customHeight="1">
      <c r="A804" s="164"/>
      <c r="B804" s="164"/>
      <c r="C804" s="164"/>
      <c r="D804" s="164"/>
      <c r="E804" s="164"/>
      <c r="F804" s="164"/>
      <c r="G804" s="164"/>
    </row>
    <row r="805" ht="22.5" customHeight="1">
      <c r="A805" s="164"/>
      <c r="B805" s="164"/>
      <c r="C805" s="164"/>
      <c r="D805" s="164"/>
      <c r="E805" s="164"/>
      <c r="F805" s="164"/>
      <c r="G805" s="164"/>
    </row>
    <row r="806" ht="22.5" customHeight="1">
      <c r="A806" s="164"/>
      <c r="B806" s="164"/>
      <c r="C806" s="164"/>
      <c r="D806" s="164"/>
      <c r="E806" s="164"/>
      <c r="F806" s="164"/>
      <c r="G806" s="164"/>
    </row>
    <row r="807" ht="22.5" customHeight="1">
      <c r="A807" s="164"/>
      <c r="B807" s="164"/>
      <c r="C807" s="164"/>
      <c r="D807" s="164"/>
      <c r="E807" s="164"/>
      <c r="F807" s="164"/>
      <c r="G807" s="164"/>
    </row>
    <row r="808" ht="22.5" customHeight="1">
      <c r="A808" s="164"/>
      <c r="B808" s="164"/>
      <c r="C808" s="164"/>
      <c r="D808" s="164"/>
      <c r="E808" s="164"/>
      <c r="F808" s="164"/>
      <c r="G808" s="164"/>
    </row>
    <row r="809" ht="22.5" customHeight="1">
      <c r="A809" s="164"/>
      <c r="B809" s="164"/>
      <c r="C809" s="164"/>
      <c r="D809" s="164"/>
      <c r="E809" s="164"/>
      <c r="F809" s="164"/>
      <c r="G809" s="164"/>
    </row>
    <row r="810" ht="22.5" customHeight="1">
      <c r="A810" s="164"/>
      <c r="B810" s="164"/>
      <c r="C810" s="164"/>
      <c r="D810" s="164"/>
      <c r="E810" s="164"/>
      <c r="F810" s="164"/>
      <c r="G810" s="164"/>
    </row>
    <row r="811" ht="22.5" customHeight="1">
      <c r="A811" s="164"/>
      <c r="B811" s="164"/>
      <c r="C811" s="164"/>
      <c r="D811" s="164"/>
      <c r="E811" s="164"/>
      <c r="F811" s="164"/>
      <c r="G811" s="164"/>
    </row>
    <row r="812" ht="22.5" customHeight="1">
      <c r="A812" s="164"/>
      <c r="B812" s="164"/>
      <c r="C812" s="164"/>
      <c r="D812" s="164"/>
      <c r="E812" s="164"/>
      <c r="F812" s="164"/>
      <c r="G812" s="164"/>
    </row>
    <row r="813" ht="22.5" customHeight="1">
      <c r="A813" s="164"/>
      <c r="B813" s="164"/>
      <c r="C813" s="164"/>
      <c r="D813" s="164"/>
      <c r="E813" s="164"/>
      <c r="F813" s="164"/>
      <c r="G813" s="164"/>
    </row>
    <row r="814" ht="22.5" customHeight="1">
      <c r="A814" s="164"/>
      <c r="B814" s="164"/>
      <c r="C814" s="164"/>
      <c r="D814" s="164"/>
      <c r="E814" s="164"/>
      <c r="F814" s="164"/>
      <c r="G814" s="164"/>
    </row>
    <row r="815" ht="22.5" customHeight="1">
      <c r="A815" s="164"/>
      <c r="B815" s="164"/>
      <c r="C815" s="164"/>
      <c r="D815" s="164"/>
      <c r="E815" s="164"/>
      <c r="F815" s="164"/>
      <c r="G815" s="164"/>
    </row>
    <row r="816" ht="22.5" customHeight="1">
      <c r="A816" s="164"/>
      <c r="B816" s="164"/>
      <c r="C816" s="164"/>
      <c r="D816" s="164"/>
      <c r="E816" s="164"/>
      <c r="F816" s="164"/>
      <c r="G816" s="164"/>
    </row>
    <row r="817" ht="22.5" customHeight="1">
      <c r="A817" s="164"/>
      <c r="B817" s="164"/>
      <c r="C817" s="164"/>
      <c r="D817" s="164"/>
      <c r="E817" s="164"/>
      <c r="F817" s="164"/>
      <c r="G817" s="164"/>
    </row>
    <row r="818" ht="22.5" customHeight="1">
      <c r="A818" s="164"/>
      <c r="B818" s="164"/>
      <c r="C818" s="164"/>
      <c r="D818" s="164"/>
      <c r="E818" s="164"/>
      <c r="F818" s="164"/>
      <c r="G818" s="164"/>
    </row>
    <row r="819" ht="22.5" customHeight="1">
      <c r="A819" s="164"/>
      <c r="B819" s="164"/>
      <c r="C819" s="164"/>
      <c r="D819" s="164"/>
      <c r="E819" s="164"/>
      <c r="F819" s="164"/>
      <c r="G819" s="164"/>
    </row>
    <row r="820" ht="22.5" customHeight="1">
      <c r="A820" s="164"/>
      <c r="B820" s="164"/>
      <c r="C820" s="164"/>
      <c r="D820" s="164"/>
      <c r="E820" s="164"/>
      <c r="F820" s="164"/>
      <c r="G820" s="164"/>
    </row>
    <row r="821" ht="22.5" customHeight="1">
      <c r="A821" s="164"/>
      <c r="B821" s="164"/>
      <c r="C821" s="164"/>
      <c r="D821" s="164"/>
      <c r="E821" s="164"/>
      <c r="F821" s="164"/>
      <c r="G821" s="164"/>
    </row>
    <row r="822" ht="22.5" customHeight="1">
      <c r="A822" s="164"/>
      <c r="B822" s="164"/>
      <c r="C822" s="164"/>
      <c r="D822" s="164"/>
      <c r="E822" s="164"/>
      <c r="F822" s="164"/>
      <c r="G822" s="164"/>
    </row>
    <row r="823" ht="22.5" customHeight="1">
      <c r="A823" s="164"/>
      <c r="B823" s="164"/>
      <c r="C823" s="164"/>
      <c r="D823" s="164"/>
      <c r="E823" s="164"/>
      <c r="F823" s="164"/>
      <c r="G823" s="164"/>
    </row>
    <row r="824" ht="22.5" customHeight="1">
      <c r="A824" s="164"/>
      <c r="B824" s="164"/>
      <c r="C824" s="164"/>
      <c r="D824" s="164"/>
      <c r="E824" s="164"/>
      <c r="F824" s="164"/>
      <c r="G824" s="164"/>
    </row>
    <row r="825" ht="22.5" customHeight="1">
      <c r="A825" s="164"/>
      <c r="B825" s="164"/>
      <c r="C825" s="164"/>
      <c r="D825" s="164"/>
      <c r="E825" s="164"/>
      <c r="F825" s="164"/>
      <c r="G825" s="164"/>
    </row>
    <row r="826" ht="22.5" customHeight="1">
      <c r="A826" s="164"/>
      <c r="B826" s="164"/>
      <c r="C826" s="164"/>
      <c r="D826" s="164"/>
      <c r="E826" s="164"/>
      <c r="F826" s="164"/>
      <c r="G826" s="164"/>
    </row>
    <row r="827" ht="22.5" customHeight="1">
      <c r="A827" s="164"/>
      <c r="B827" s="164"/>
      <c r="C827" s="164"/>
      <c r="D827" s="164"/>
      <c r="E827" s="164"/>
      <c r="F827" s="164"/>
      <c r="G827" s="164"/>
    </row>
    <row r="828" ht="22.5" customHeight="1">
      <c r="A828" s="164"/>
      <c r="B828" s="164"/>
      <c r="C828" s="164"/>
      <c r="D828" s="164"/>
      <c r="E828" s="164"/>
      <c r="F828" s="164"/>
      <c r="G828" s="164"/>
    </row>
    <row r="829" ht="22.5" customHeight="1">
      <c r="A829" s="164"/>
      <c r="B829" s="164"/>
      <c r="C829" s="164"/>
      <c r="D829" s="164"/>
      <c r="E829" s="164"/>
      <c r="F829" s="164"/>
      <c r="G829" s="164"/>
    </row>
    <row r="830" ht="22.5" customHeight="1">
      <c r="A830" s="164"/>
      <c r="B830" s="164"/>
      <c r="C830" s="164"/>
      <c r="D830" s="164"/>
      <c r="E830" s="164"/>
      <c r="F830" s="164"/>
      <c r="G830" s="164"/>
    </row>
    <row r="831" ht="22.5" customHeight="1">
      <c r="A831" s="164"/>
      <c r="B831" s="164"/>
      <c r="C831" s="164"/>
      <c r="D831" s="164"/>
      <c r="E831" s="164"/>
      <c r="F831" s="164"/>
      <c r="G831" s="164"/>
    </row>
    <row r="832" ht="22.5" customHeight="1">
      <c r="A832" s="164"/>
      <c r="B832" s="164"/>
      <c r="C832" s="164"/>
      <c r="D832" s="164"/>
      <c r="E832" s="164"/>
      <c r="F832" s="164"/>
      <c r="G832" s="164"/>
    </row>
    <row r="833" ht="22.5" customHeight="1">
      <c r="A833" s="164"/>
      <c r="B833" s="164"/>
      <c r="C833" s="164"/>
      <c r="D833" s="164"/>
      <c r="E833" s="164"/>
      <c r="F833" s="164"/>
      <c r="G833" s="164"/>
    </row>
    <row r="834" ht="22.5" customHeight="1">
      <c r="A834" s="164"/>
      <c r="B834" s="164"/>
      <c r="C834" s="164"/>
      <c r="D834" s="164"/>
      <c r="E834" s="164"/>
      <c r="F834" s="164"/>
      <c r="G834" s="164"/>
    </row>
    <row r="835" ht="22.5" customHeight="1">
      <c r="A835" s="164"/>
      <c r="B835" s="164"/>
      <c r="C835" s="164"/>
      <c r="D835" s="164"/>
      <c r="E835" s="164"/>
      <c r="F835" s="164"/>
      <c r="G835" s="164"/>
    </row>
    <row r="836" ht="22.5" customHeight="1">
      <c r="A836" s="164"/>
      <c r="B836" s="164"/>
      <c r="C836" s="164"/>
      <c r="D836" s="164"/>
      <c r="E836" s="164"/>
      <c r="F836" s="164"/>
      <c r="G836" s="164"/>
    </row>
    <row r="837" ht="22.5" customHeight="1">
      <c r="A837" s="164"/>
      <c r="B837" s="164"/>
      <c r="C837" s="164"/>
      <c r="D837" s="164"/>
      <c r="E837" s="164"/>
      <c r="F837" s="164"/>
      <c r="G837" s="164"/>
    </row>
    <row r="838" ht="22.5" customHeight="1">
      <c r="A838" s="164"/>
      <c r="B838" s="164"/>
      <c r="C838" s="164"/>
      <c r="D838" s="164"/>
      <c r="E838" s="164"/>
      <c r="F838" s="164"/>
      <c r="G838" s="164"/>
    </row>
    <row r="839" ht="22.5" customHeight="1">
      <c r="A839" s="164"/>
      <c r="B839" s="164"/>
      <c r="C839" s="164"/>
      <c r="D839" s="164"/>
      <c r="E839" s="164"/>
      <c r="F839" s="164"/>
      <c r="G839" s="164"/>
    </row>
    <row r="840" ht="22.5" customHeight="1">
      <c r="A840" s="164"/>
      <c r="B840" s="164"/>
      <c r="C840" s="164"/>
      <c r="D840" s="164"/>
      <c r="E840" s="164"/>
      <c r="F840" s="164"/>
      <c r="G840" s="164"/>
    </row>
    <row r="841" ht="22.5" customHeight="1">
      <c r="A841" s="164"/>
      <c r="B841" s="164"/>
      <c r="C841" s="164"/>
      <c r="D841" s="164"/>
      <c r="E841" s="164"/>
      <c r="F841" s="164"/>
      <c r="G841" s="164"/>
    </row>
    <row r="842" ht="22.5" customHeight="1">
      <c r="A842" s="164"/>
      <c r="B842" s="164"/>
      <c r="C842" s="164"/>
      <c r="D842" s="164"/>
      <c r="E842" s="164"/>
      <c r="F842" s="164"/>
      <c r="G842" s="164"/>
    </row>
    <row r="843" ht="22.5" customHeight="1">
      <c r="A843" s="164"/>
      <c r="B843" s="164"/>
      <c r="C843" s="164"/>
      <c r="D843" s="164"/>
      <c r="E843" s="164"/>
      <c r="F843" s="164"/>
      <c r="G843" s="164"/>
    </row>
    <row r="844" ht="22.5" customHeight="1">
      <c r="A844" s="164"/>
      <c r="B844" s="164"/>
      <c r="C844" s="164"/>
      <c r="D844" s="164"/>
      <c r="E844" s="164"/>
      <c r="F844" s="164"/>
      <c r="G844" s="164"/>
    </row>
    <row r="845" ht="22.5" customHeight="1">
      <c r="A845" s="164"/>
      <c r="B845" s="164"/>
      <c r="C845" s="164"/>
      <c r="D845" s="164"/>
      <c r="E845" s="164"/>
      <c r="F845" s="164"/>
      <c r="G845" s="164"/>
    </row>
    <row r="846" ht="22.5" customHeight="1">
      <c r="A846" s="164"/>
      <c r="B846" s="164"/>
      <c r="C846" s="164"/>
      <c r="D846" s="164"/>
      <c r="E846" s="164"/>
      <c r="F846" s="164"/>
      <c r="G846" s="164"/>
    </row>
    <row r="847" ht="22.5" customHeight="1">
      <c r="A847" s="164"/>
      <c r="B847" s="164"/>
      <c r="C847" s="164"/>
      <c r="D847" s="164"/>
      <c r="E847" s="164"/>
      <c r="F847" s="164"/>
      <c r="G847" s="164"/>
    </row>
    <row r="848" ht="22.5" customHeight="1">
      <c r="A848" s="164"/>
      <c r="B848" s="164"/>
      <c r="C848" s="164"/>
      <c r="D848" s="164"/>
      <c r="E848" s="164"/>
      <c r="F848" s="164"/>
      <c r="G848" s="164"/>
    </row>
    <row r="849" ht="22.5" customHeight="1">
      <c r="A849" s="164"/>
      <c r="B849" s="164"/>
      <c r="C849" s="164"/>
      <c r="D849" s="164"/>
      <c r="E849" s="164"/>
      <c r="F849" s="164"/>
      <c r="G849" s="164"/>
    </row>
    <row r="850" ht="22.5" customHeight="1">
      <c r="A850" s="164"/>
      <c r="B850" s="164"/>
      <c r="C850" s="164"/>
      <c r="D850" s="164"/>
      <c r="E850" s="164"/>
      <c r="F850" s="164"/>
      <c r="G850" s="164"/>
    </row>
    <row r="851" ht="22.5" customHeight="1">
      <c r="A851" s="164"/>
      <c r="B851" s="164"/>
      <c r="C851" s="164"/>
      <c r="D851" s="164"/>
      <c r="E851" s="164"/>
      <c r="F851" s="164"/>
      <c r="G851" s="164"/>
    </row>
    <row r="852" ht="22.5" customHeight="1">
      <c r="A852" s="164"/>
      <c r="B852" s="164"/>
      <c r="C852" s="164"/>
      <c r="D852" s="164"/>
      <c r="E852" s="164"/>
      <c r="F852" s="164"/>
      <c r="G852" s="164"/>
    </row>
    <row r="853" ht="22.5" customHeight="1">
      <c r="A853" s="164"/>
      <c r="B853" s="164"/>
      <c r="C853" s="164"/>
      <c r="D853" s="164"/>
      <c r="E853" s="164"/>
      <c r="F853" s="164"/>
      <c r="G853" s="164"/>
    </row>
    <row r="854" ht="22.5" customHeight="1">
      <c r="A854" s="164"/>
      <c r="B854" s="164"/>
      <c r="C854" s="164"/>
      <c r="D854" s="164"/>
      <c r="E854" s="164"/>
      <c r="F854" s="164"/>
      <c r="G854" s="164"/>
    </row>
    <row r="855" ht="22.5" customHeight="1">
      <c r="A855" s="164"/>
      <c r="B855" s="164"/>
      <c r="C855" s="164"/>
      <c r="D855" s="164"/>
      <c r="E855" s="164"/>
      <c r="F855" s="164"/>
      <c r="G855" s="164"/>
    </row>
    <row r="856" ht="22.5" customHeight="1">
      <c r="A856" s="164"/>
      <c r="B856" s="164"/>
      <c r="C856" s="164"/>
      <c r="D856" s="164"/>
      <c r="E856" s="164"/>
      <c r="F856" s="164"/>
      <c r="G856" s="164"/>
    </row>
    <row r="857" ht="22.5" customHeight="1">
      <c r="A857" s="164"/>
      <c r="B857" s="164"/>
      <c r="C857" s="164"/>
      <c r="D857" s="164"/>
      <c r="E857" s="164"/>
      <c r="F857" s="164"/>
      <c r="G857" s="164"/>
    </row>
    <row r="858" ht="22.5" customHeight="1">
      <c r="A858" s="164"/>
      <c r="B858" s="164"/>
      <c r="C858" s="164"/>
      <c r="D858" s="164"/>
      <c r="E858" s="164"/>
      <c r="F858" s="164"/>
      <c r="G858" s="164"/>
    </row>
    <row r="859" ht="22.5" customHeight="1">
      <c r="A859" s="164"/>
      <c r="B859" s="164"/>
      <c r="C859" s="164"/>
      <c r="D859" s="164"/>
      <c r="E859" s="164"/>
      <c r="F859" s="164"/>
      <c r="G859" s="164"/>
    </row>
    <row r="860" ht="22.5" customHeight="1">
      <c r="A860" s="164"/>
      <c r="B860" s="164"/>
      <c r="C860" s="164"/>
      <c r="D860" s="164"/>
      <c r="E860" s="164"/>
      <c r="F860" s="164"/>
      <c r="G860" s="164"/>
    </row>
    <row r="861" ht="22.5" customHeight="1">
      <c r="A861" s="164"/>
      <c r="B861" s="164"/>
      <c r="C861" s="164"/>
      <c r="D861" s="164"/>
      <c r="E861" s="164"/>
      <c r="F861" s="164"/>
      <c r="G861" s="164"/>
    </row>
    <row r="862" ht="22.5" customHeight="1">
      <c r="A862" s="164"/>
      <c r="B862" s="164"/>
      <c r="C862" s="164"/>
      <c r="D862" s="164"/>
      <c r="E862" s="164"/>
      <c r="F862" s="164"/>
      <c r="G862" s="164"/>
    </row>
    <row r="863" ht="22.5" customHeight="1">
      <c r="A863" s="164"/>
      <c r="B863" s="164"/>
      <c r="C863" s="164"/>
      <c r="D863" s="164"/>
      <c r="E863" s="164"/>
      <c r="F863" s="164"/>
      <c r="G863" s="164"/>
    </row>
    <row r="864" ht="22.5" customHeight="1">
      <c r="A864" s="164"/>
      <c r="B864" s="164"/>
      <c r="C864" s="164"/>
      <c r="D864" s="164"/>
      <c r="E864" s="164"/>
      <c r="F864" s="164"/>
      <c r="G864" s="164"/>
    </row>
    <row r="865" ht="22.5" customHeight="1">
      <c r="A865" s="164"/>
      <c r="B865" s="164"/>
      <c r="C865" s="164"/>
      <c r="D865" s="164"/>
      <c r="E865" s="164"/>
      <c r="F865" s="164"/>
      <c r="G865" s="164"/>
    </row>
    <row r="866" ht="22.5" customHeight="1">
      <c r="A866" s="164"/>
      <c r="B866" s="164"/>
      <c r="C866" s="164"/>
      <c r="D866" s="164"/>
      <c r="E866" s="164"/>
      <c r="F866" s="164"/>
      <c r="G866" s="164"/>
    </row>
    <row r="867" ht="22.5" customHeight="1">
      <c r="A867" s="164"/>
      <c r="B867" s="164"/>
      <c r="C867" s="164"/>
      <c r="D867" s="164"/>
      <c r="E867" s="164"/>
      <c r="F867" s="164"/>
      <c r="G867" s="164"/>
    </row>
    <row r="868" ht="22.5" customHeight="1">
      <c r="A868" s="164"/>
      <c r="B868" s="164"/>
      <c r="C868" s="164"/>
      <c r="D868" s="164"/>
      <c r="E868" s="164"/>
      <c r="F868" s="164"/>
      <c r="G868" s="164"/>
    </row>
    <row r="869" ht="22.5" customHeight="1">
      <c r="A869" s="164"/>
      <c r="B869" s="164"/>
      <c r="C869" s="164"/>
      <c r="D869" s="164"/>
      <c r="E869" s="164"/>
      <c r="F869" s="164"/>
      <c r="G869" s="164"/>
    </row>
    <row r="870" ht="22.5" customHeight="1">
      <c r="A870" s="164"/>
      <c r="B870" s="164"/>
      <c r="C870" s="164"/>
      <c r="D870" s="164"/>
      <c r="E870" s="164"/>
      <c r="F870" s="164"/>
      <c r="G870" s="164"/>
    </row>
    <row r="871" ht="22.5" customHeight="1">
      <c r="A871" s="164"/>
      <c r="B871" s="164"/>
      <c r="C871" s="164"/>
      <c r="D871" s="164"/>
      <c r="E871" s="164"/>
      <c r="F871" s="164"/>
      <c r="G871" s="164"/>
    </row>
    <row r="872" ht="22.5" customHeight="1">
      <c r="A872" s="164"/>
      <c r="B872" s="164"/>
      <c r="C872" s="164"/>
      <c r="D872" s="164"/>
      <c r="E872" s="164"/>
      <c r="F872" s="164"/>
      <c r="G872" s="164"/>
    </row>
    <row r="873" ht="22.5" customHeight="1">
      <c r="A873" s="164"/>
      <c r="B873" s="164"/>
      <c r="C873" s="164"/>
      <c r="D873" s="164"/>
      <c r="E873" s="164"/>
      <c r="F873" s="164"/>
      <c r="G873" s="164"/>
    </row>
    <row r="874" ht="22.5" customHeight="1">
      <c r="A874" s="164"/>
      <c r="B874" s="164"/>
      <c r="C874" s="164"/>
      <c r="D874" s="164"/>
      <c r="E874" s="164"/>
      <c r="F874" s="164"/>
      <c r="G874" s="164"/>
    </row>
    <row r="875" ht="22.5" customHeight="1">
      <c r="A875" s="164"/>
      <c r="B875" s="164"/>
      <c r="C875" s="164"/>
      <c r="D875" s="164"/>
      <c r="E875" s="164"/>
      <c r="F875" s="164"/>
      <c r="G875" s="164"/>
    </row>
    <row r="876" ht="22.5" customHeight="1">
      <c r="A876" s="164"/>
      <c r="B876" s="164"/>
      <c r="C876" s="164"/>
      <c r="D876" s="164"/>
      <c r="E876" s="164"/>
      <c r="F876" s="164"/>
      <c r="G876" s="164"/>
    </row>
    <row r="877" ht="22.5" customHeight="1">
      <c r="A877" s="164"/>
      <c r="B877" s="164"/>
      <c r="C877" s="164"/>
      <c r="D877" s="164"/>
      <c r="E877" s="164"/>
      <c r="F877" s="164"/>
      <c r="G877" s="164"/>
    </row>
    <row r="878" ht="22.5" customHeight="1">
      <c r="A878" s="164"/>
      <c r="B878" s="164"/>
      <c r="C878" s="164"/>
      <c r="D878" s="164"/>
      <c r="E878" s="164"/>
      <c r="F878" s="164"/>
      <c r="G878" s="164"/>
    </row>
    <row r="879" ht="22.5" customHeight="1">
      <c r="A879" s="164"/>
      <c r="B879" s="164"/>
      <c r="C879" s="164"/>
      <c r="D879" s="164"/>
      <c r="E879" s="164"/>
      <c r="F879" s="164"/>
      <c r="G879" s="164"/>
    </row>
    <row r="880" ht="22.5" customHeight="1">
      <c r="A880" s="164"/>
      <c r="B880" s="164"/>
      <c r="C880" s="164"/>
      <c r="D880" s="164"/>
      <c r="E880" s="164"/>
      <c r="F880" s="164"/>
      <c r="G880" s="164"/>
    </row>
    <row r="881" ht="22.5" customHeight="1">
      <c r="A881" s="164"/>
      <c r="B881" s="164"/>
      <c r="C881" s="164"/>
      <c r="D881" s="164"/>
      <c r="E881" s="164"/>
      <c r="F881" s="164"/>
      <c r="G881" s="164"/>
    </row>
    <row r="882" ht="22.5" customHeight="1">
      <c r="A882" s="164"/>
      <c r="B882" s="164"/>
      <c r="C882" s="164"/>
      <c r="D882" s="164"/>
      <c r="E882" s="164"/>
      <c r="F882" s="164"/>
      <c r="G882" s="164"/>
    </row>
    <row r="883" ht="22.5" customHeight="1">
      <c r="A883" s="164"/>
      <c r="B883" s="164"/>
      <c r="C883" s="164"/>
      <c r="D883" s="164"/>
      <c r="E883" s="164"/>
      <c r="F883" s="164"/>
      <c r="G883" s="164"/>
    </row>
    <row r="884" ht="22.5" customHeight="1">
      <c r="A884" s="164"/>
      <c r="B884" s="164"/>
      <c r="C884" s="164"/>
      <c r="D884" s="164"/>
      <c r="E884" s="164"/>
      <c r="F884" s="164"/>
      <c r="G884" s="164"/>
    </row>
    <row r="885" ht="22.5" customHeight="1">
      <c r="A885" s="164"/>
      <c r="B885" s="164"/>
      <c r="C885" s="164"/>
      <c r="D885" s="164"/>
      <c r="E885" s="164"/>
      <c r="F885" s="164"/>
      <c r="G885" s="164"/>
    </row>
    <row r="886" ht="22.5" customHeight="1">
      <c r="A886" s="164"/>
      <c r="B886" s="164"/>
      <c r="C886" s="164"/>
      <c r="D886" s="164"/>
      <c r="E886" s="164"/>
      <c r="F886" s="164"/>
      <c r="G886" s="164"/>
    </row>
    <row r="887" ht="22.5" customHeight="1">
      <c r="A887" s="164"/>
      <c r="B887" s="164"/>
      <c r="C887" s="164"/>
      <c r="D887" s="164"/>
      <c r="E887" s="164"/>
      <c r="F887" s="164"/>
      <c r="G887" s="164"/>
    </row>
    <row r="888" ht="22.5" customHeight="1">
      <c r="A888" s="164"/>
      <c r="B888" s="164"/>
      <c r="C888" s="164"/>
      <c r="D888" s="164"/>
      <c r="E888" s="164"/>
      <c r="F888" s="164"/>
      <c r="G888" s="164"/>
    </row>
    <row r="889" ht="22.5" customHeight="1">
      <c r="A889" s="164"/>
      <c r="B889" s="164"/>
      <c r="C889" s="164"/>
      <c r="D889" s="164"/>
      <c r="E889" s="164"/>
      <c r="F889" s="164"/>
      <c r="G889" s="164"/>
    </row>
    <row r="890" ht="22.5" customHeight="1">
      <c r="A890" s="164"/>
      <c r="B890" s="164"/>
      <c r="C890" s="164"/>
      <c r="D890" s="164"/>
      <c r="E890" s="164"/>
      <c r="F890" s="164"/>
      <c r="G890" s="164"/>
    </row>
    <row r="891" ht="22.5" customHeight="1">
      <c r="A891" s="164"/>
      <c r="B891" s="164"/>
      <c r="C891" s="164"/>
      <c r="D891" s="164"/>
      <c r="E891" s="164"/>
      <c r="F891" s="164"/>
      <c r="G891" s="164"/>
    </row>
    <row r="892" ht="22.5" customHeight="1">
      <c r="A892" s="164"/>
      <c r="B892" s="164"/>
      <c r="C892" s="164"/>
      <c r="D892" s="164"/>
      <c r="E892" s="164"/>
      <c r="F892" s="164"/>
      <c r="G892" s="164"/>
    </row>
    <row r="893" ht="22.5" customHeight="1">
      <c r="A893" s="164"/>
      <c r="B893" s="164"/>
      <c r="C893" s="164"/>
      <c r="D893" s="164"/>
      <c r="E893" s="164"/>
      <c r="F893" s="164"/>
      <c r="G893" s="164"/>
    </row>
    <row r="894" ht="22.5" customHeight="1">
      <c r="A894" s="164"/>
      <c r="B894" s="164"/>
      <c r="C894" s="164"/>
      <c r="D894" s="164"/>
      <c r="E894" s="164"/>
      <c r="F894" s="164"/>
      <c r="G894" s="164"/>
    </row>
    <row r="895" ht="22.5" customHeight="1">
      <c r="A895" s="164"/>
      <c r="B895" s="164"/>
      <c r="C895" s="164"/>
      <c r="D895" s="164"/>
      <c r="E895" s="164"/>
      <c r="F895" s="164"/>
      <c r="G895" s="164"/>
    </row>
    <row r="896" ht="22.5" customHeight="1">
      <c r="A896" s="164"/>
      <c r="B896" s="164"/>
      <c r="C896" s="164"/>
      <c r="D896" s="164"/>
      <c r="E896" s="164"/>
      <c r="F896" s="164"/>
      <c r="G896" s="164"/>
    </row>
    <row r="897" ht="22.5" customHeight="1">
      <c r="A897" s="164"/>
      <c r="B897" s="164"/>
      <c r="C897" s="164"/>
      <c r="D897" s="164"/>
      <c r="E897" s="164"/>
      <c r="F897" s="164"/>
      <c r="G897" s="164"/>
    </row>
    <row r="898" ht="22.5" customHeight="1">
      <c r="A898" s="164"/>
      <c r="B898" s="164"/>
      <c r="C898" s="164"/>
      <c r="D898" s="164"/>
      <c r="E898" s="164"/>
      <c r="F898" s="164"/>
      <c r="G898" s="164"/>
    </row>
    <row r="899" ht="22.5" customHeight="1">
      <c r="A899" s="164"/>
      <c r="B899" s="164"/>
      <c r="C899" s="164"/>
      <c r="D899" s="164"/>
      <c r="E899" s="164"/>
      <c r="F899" s="164"/>
      <c r="G899" s="164"/>
    </row>
    <row r="900" ht="22.5" customHeight="1">
      <c r="A900" s="164"/>
      <c r="B900" s="164"/>
      <c r="C900" s="164"/>
      <c r="D900" s="164"/>
      <c r="E900" s="164"/>
      <c r="F900" s="164"/>
      <c r="G900" s="164"/>
    </row>
    <row r="901" ht="22.5" customHeight="1">
      <c r="A901" s="164"/>
      <c r="B901" s="164"/>
      <c r="C901" s="164"/>
      <c r="D901" s="164"/>
      <c r="E901" s="164"/>
      <c r="F901" s="164"/>
      <c r="G901" s="164"/>
    </row>
    <row r="902" ht="22.5" customHeight="1">
      <c r="A902" s="164"/>
      <c r="B902" s="164"/>
      <c r="C902" s="164"/>
      <c r="D902" s="164"/>
      <c r="E902" s="164"/>
      <c r="F902" s="164"/>
      <c r="G902" s="164"/>
    </row>
    <row r="903" ht="22.5" customHeight="1">
      <c r="A903" s="164"/>
      <c r="B903" s="164"/>
      <c r="C903" s="164"/>
      <c r="D903" s="164"/>
      <c r="E903" s="164"/>
      <c r="F903" s="164"/>
      <c r="G903" s="164"/>
    </row>
    <row r="904" ht="22.5" customHeight="1">
      <c r="A904" s="164"/>
      <c r="B904" s="164"/>
      <c r="C904" s="164"/>
      <c r="D904" s="164"/>
      <c r="E904" s="164"/>
      <c r="F904" s="164"/>
      <c r="G904" s="164"/>
    </row>
    <row r="905" ht="22.5" customHeight="1">
      <c r="A905" s="164"/>
      <c r="B905" s="164"/>
      <c r="C905" s="164"/>
      <c r="D905" s="164"/>
      <c r="E905" s="164"/>
      <c r="F905" s="164"/>
      <c r="G905" s="164"/>
    </row>
    <row r="906" ht="22.5" customHeight="1">
      <c r="A906" s="164"/>
      <c r="B906" s="164"/>
      <c r="C906" s="164"/>
      <c r="D906" s="164"/>
      <c r="E906" s="164"/>
      <c r="F906" s="164"/>
      <c r="G906" s="164"/>
    </row>
    <row r="907" ht="22.5" customHeight="1">
      <c r="A907" s="164"/>
      <c r="B907" s="164"/>
      <c r="C907" s="164"/>
      <c r="D907" s="164"/>
      <c r="E907" s="164"/>
      <c r="F907" s="164"/>
      <c r="G907" s="164"/>
    </row>
    <row r="908" ht="22.5" customHeight="1">
      <c r="A908" s="164"/>
      <c r="B908" s="164"/>
      <c r="C908" s="164"/>
      <c r="D908" s="164"/>
      <c r="E908" s="164"/>
      <c r="F908" s="164"/>
      <c r="G908" s="164"/>
    </row>
    <row r="909" ht="22.5" customHeight="1">
      <c r="A909" s="164"/>
      <c r="B909" s="164"/>
      <c r="C909" s="164"/>
      <c r="D909" s="164"/>
      <c r="E909" s="164"/>
      <c r="F909" s="164"/>
      <c r="G909" s="164"/>
    </row>
    <row r="910" ht="22.5" customHeight="1">
      <c r="A910" s="164"/>
      <c r="B910" s="164"/>
      <c r="C910" s="164"/>
      <c r="D910" s="164"/>
      <c r="E910" s="164"/>
      <c r="F910" s="164"/>
      <c r="G910" s="164"/>
    </row>
    <row r="911" ht="22.5" customHeight="1">
      <c r="A911" s="164"/>
      <c r="B911" s="164"/>
      <c r="C911" s="164"/>
      <c r="D911" s="164"/>
      <c r="E911" s="164"/>
      <c r="F911" s="164"/>
      <c r="G911" s="164"/>
    </row>
    <row r="912" ht="22.5" customHeight="1">
      <c r="A912" s="164"/>
      <c r="B912" s="164"/>
      <c r="C912" s="164"/>
      <c r="D912" s="164"/>
      <c r="E912" s="164"/>
      <c r="F912" s="164"/>
      <c r="G912" s="164"/>
    </row>
    <row r="913" ht="22.5" customHeight="1">
      <c r="A913" s="164"/>
      <c r="B913" s="164"/>
      <c r="C913" s="164"/>
      <c r="D913" s="164"/>
      <c r="E913" s="164"/>
      <c r="F913" s="164"/>
      <c r="G913" s="164"/>
    </row>
    <row r="914" ht="22.5" customHeight="1">
      <c r="A914" s="164"/>
      <c r="B914" s="164"/>
      <c r="C914" s="164"/>
      <c r="D914" s="164"/>
      <c r="E914" s="164"/>
      <c r="F914" s="164"/>
      <c r="G914" s="164"/>
    </row>
    <row r="915" ht="22.5" customHeight="1">
      <c r="A915" s="164"/>
      <c r="B915" s="164"/>
      <c r="C915" s="164"/>
      <c r="D915" s="164"/>
      <c r="E915" s="164"/>
      <c r="F915" s="164"/>
      <c r="G915" s="164"/>
    </row>
    <row r="916" ht="22.5" customHeight="1">
      <c r="A916" s="164"/>
      <c r="B916" s="164"/>
      <c r="C916" s="164"/>
      <c r="D916" s="164"/>
      <c r="E916" s="164"/>
      <c r="F916" s="164"/>
      <c r="G916" s="164"/>
    </row>
    <row r="917" ht="22.5" customHeight="1">
      <c r="A917" s="164"/>
      <c r="B917" s="164"/>
      <c r="C917" s="164"/>
      <c r="D917" s="164"/>
      <c r="E917" s="164"/>
      <c r="F917" s="164"/>
      <c r="G917" s="164"/>
    </row>
    <row r="918" ht="22.5" customHeight="1">
      <c r="A918" s="164"/>
      <c r="B918" s="164"/>
      <c r="C918" s="164"/>
      <c r="D918" s="164"/>
      <c r="E918" s="164"/>
      <c r="F918" s="164"/>
      <c r="G918" s="164"/>
    </row>
    <row r="919" ht="22.5" customHeight="1">
      <c r="A919" s="164"/>
      <c r="B919" s="164"/>
      <c r="C919" s="164"/>
      <c r="D919" s="164"/>
      <c r="E919" s="164"/>
      <c r="F919" s="164"/>
      <c r="G919" s="164"/>
    </row>
    <row r="920" ht="22.5" customHeight="1">
      <c r="A920" s="164"/>
      <c r="B920" s="164"/>
      <c r="C920" s="164"/>
      <c r="D920" s="164"/>
      <c r="E920" s="164"/>
      <c r="F920" s="164"/>
      <c r="G920" s="164"/>
    </row>
    <row r="921" ht="22.5" customHeight="1">
      <c r="A921" s="164"/>
      <c r="B921" s="164"/>
      <c r="C921" s="164"/>
      <c r="D921" s="164"/>
      <c r="E921" s="164"/>
      <c r="F921" s="164"/>
      <c r="G921" s="164"/>
    </row>
    <row r="922" ht="22.5" customHeight="1">
      <c r="A922" s="164"/>
      <c r="B922" s="164"/>
      <c r="C922" s="164"/>
      <c r="D922" s="164"/>
      <c r="E922" s="164"/>
      <c r="F922" s="164"/>
      <c r="G922" s="164"/>
    </row>
    <row r="923" ht="22.5" customHeight="1">
      <c r="A923" s="164"/>
      <c r="B923" s="164"/>
      <c r="C923" s="164"/>
      <c r="D923" s="164"/>
      <c r="E923" s="164"/>
      <c r="F923" s="164"/>
      <c r="G923" s="164"/>
    </row>
    <row r="924" ht="22.5" customHeight="1">
      <c r="A924" s="164"/>
      <c r="B924" s="164"/>
      <c r="C924" s="164"/>
      <c r="D924" s="164"/>
      <c r="E924" s="164"/>
      <c r="F924" s="164"/>
      <c r="G924" s="164"/>
    </row>
    <row r="925" ht="22.5" customHeight="1">
      <c r="A925" s="164"/>
      <c r="B925" s="164"/>
      <c r="C925" s="164"/>
      <c r="D925" s="164"/>
      <c r="E925" s="164"/>
      <c r="F925" s="164"/>
      <c r="G925" s="164"/>
    </row>
    <row r="926" ht="22.5" customHeight="1">
      <c r="A926" s="164"/>
      <c r="B926" s="164"/>
      <c r="C926" s="164"/>
      <c r="D926" s="164"/>
      <c r="E926" s="164"/>
      <c r="F926" s="164"/>
      <c r="G926" s="164"/>
    </row>
    <row r="927" ht="22.5" customHeight="1">
      <c r="A927" s="164"/>
      <c r="B927" s="164"/>
      <c r="C927" s="164"/>
      <c r="D927" s="164"/>
      <c r="E927" s="164"/>
      <c r="F927" s="164"/>
      <c r="G927" s="164"/>
    </row>
    <row r="928" ht="22.5" customHeight="1">
      <c r="A928" s="164"/>
      <c r="B928" s="164"/>
      <c r="C928" s="164"/>
      <c r="D928" s="164"/>
      <c r="E928" s="164"/>
      <c r="F928" s="164"/>
      <c r="G928" s="164"/>
    </row>
    <row r="929" ht="22.5" customHeight="1">
      <c r="A929" s="164"/>
      <c r="B929" s="164"/>
      <c r="C929" s="164"/>
      <c r="D929" s="164"/>
      <c r="E929" s="164"/>
      <c r="F929" s="164"/>
      <c r="G929" s="164"/>
    </row>
    <row r="930" ht="22.5" customHeight="1">
      <c r="A930" s="164"/>
      <c r="B930" s="164"/>
      <c r="C930" s="164"/>
      <c r="D930" s="164"/>
      <c r="E930" s="164"/>
      <c r="F930" s="164"/>
      <c r="G930" s="164"/>
    </row>
    <row r="931" ht="22.5" customHeight="1">
      <c r="A931" s="164"/>
      <c r="B931" s="164"/>
      <c r="C931" s="164"/>
      <c r="D931" s="164"/>
      <c r="E931" s="164"/>
      <c r="F931" s="164"/>
      <c r="G931" s="164"/>
    </row>
    <row r="932" ht="22.5" customHeight="1">
      <c r="A932" s="164"/>
      <c r="B932" s="164"/>
      <c r="C932" s="164"/>
      <c r="D932" s="164"/>
      <c r="E932" s="164"/>
      <c r="F932" s="164"/>
      <c r="G932" s="164"/>
    </row>
    <row r="933" ht="22.5" customHeight="1">
      <c r="A933" s="164"/>
      <c r="B933" s="164"/>
      <c r="C933" s="164"/>
      <c r="D933" s="164"/>
      <c r="E933" s="164"/>
      <c r="F933" s="164"/>
      <c r="G933" s="164"/>
    </row>
    <row r="934" ht="22.5" customHeight="1">
      <c r="A934" s="164"/>
      <c r="B934" s="164"/>
      <c r="C934" s="164"/>
      <c r="D934" s="164"/>
      <c r="E934" s="164"/>
      <c r="F934" s="164"/>
      <c r="G934" s="164"/>
    </row>
    <row r="935" ht="22.5" customHeight="1">
      <c r="A935" s="164"/>
      <c r="B935" s="164"/>
      <c r="C935" s="164"/>
      <c r="D935" s="164"/>
      <c r="E935" s="164"/>
      <c r="F935" s="164"/>
      <c r="G935" s="164"/>
    </row>
    <row r="936" ht="22.5" customHeight="1">
      <c r="A936" s="164"/>
      <c r="B936" s="164"/>
      <c r="C936" s="164"/>
      <c r="D936" s="164"/>
      <c r="E936" s="164"/>
      <c r="F936" s="164"/>
      <c r="G936" s="164"/>
    </row>
    <row r="937" ht="22.5" customHeight="1">
      <c r="A937" s="164"/>
      <c r="B937" s="164"/>
      <c r="C937" s="164"/>
      <c r="D937" s="164"/>
      <c r="E937" s="164"/>
      <c r="F937" s="164"/>
      <c r="G937" s="164"/>
    </row>
    <row r="938" ht="22.5" customHeight="1">
      <c r="A938" s="164"/>
      <c r="B938" s="164"/>
      <c r="C938" s="164"/>
      <c r="D938" s="164"/>
      <c r="E938" s="164"/>
      <c r="F938" s="164"/>
      <c r="G938" s="164"/>
    </row>
    <row r="939" ht="22.5" customHeight="1">
      <c r="A939" s="164"/>
      <c r="B939" s="164"/>
      <c r="C939" s="164"/>
      <c r="D939" s="164"/>
      <c r="E939" s="164"/>
      <c r="F939" s="164"/>
      <c r="G939" s="164"/>
    </row>
    <row r="940" ht="22.5" customHeight="1">
      <c r="A940" s="164"/>
      <c r="B940" s="164"/>
      <c r="C940" s="164"/>
      <c r="D940" s="164"/>
      <c r="E940" s="164"/>
      <c r="F940" s="164"/>
      <c r="G940" s="164"/>
    </row>
    <row r="941" ht="22.5" customHeight="1">
      <c r="A941" s="164"/>
      <c r="B941" s="164"/>
      <c r="C941" s="164"/>
      <c r="D941" s="164"/>
      <c r="E941" s="164"/>
      <c r="F941" s="164"/>
      <c r="G941" s="164"/>
    </row>
    <row r="942" ht="22.5" customHeight="1">
      <c r="A942" s="164"/>
      <c r="B942" s="164"/>
      <c r="C942" s="164"/>
      <c r="D942" s="164"/>
      <c r="E942" s="164"/>
      <c r="F942" s="164"/>
      <c r="G942" s="164"/>
    </row>
    <row r="943" ht="22.5" customHeight="1">
      <c r="A943" s="164"/>
      <c r="B943" s="164"/>
      <c r="C943" s="164"/>
      <c r="D943" s="164"/>
      <c r="E943" s="164"/>
      <c r="F943" s="164"/>
      <c r="G943" s="164"/>
    </row>
    <row r="944" ht="22.5" customHeight="1">
      <c r="A944" s="164"/>
      <c r="B944" s="164"/>
      <c r="C944" s="164"/>
      <c r="D944" s="164"/>
      <c r="E944" s="164"/>
      <c r="F944" s="164"/>
      <c r="G944" s="164"/>
    </row>
    <row r="945" ht="22.5" customHeight="1">
      <c r="A945" s="164"/>
      <c r="B945" s="164"/>
      <c r="C945" s="164"/>
      <c r="D945" s="164"/>
      <c r="E945" s="164"/>
      <c r="F945" s="164"/>
      <c r="G945" s="164"/>
    </row>
    <row r="946" ht="22.5" customHeight="1">
      <c r="A946" s="164"/>
      <c r="B946" s="164"/>
      <c r="C946" s="164"/>
      <c r="D946" s="164"/>
      <c r="E946" s="164"/>
      <c r="F946" s="164"/>
      <c r="G946" s="164"/>
    </row>
    <row r="947" ht="22.5" customHeight="1">
      <c r="A947" s="164"/>
      <c r="B947" s="164"/>
      <c r="C947" s="164"/>
      <c r="D947" s="164"/>
      <c r="E947" s="164"/>
      <c r="F947" s="164"/>
      <c r="G947" s="164"/>
    </row>
    <row r="948" ht="22.5" customHeight="1">
      <c r="A948" s="164"/>
      <c r="B948" s="164"/>
      <c r="C948" s="164"/>
      <c r="D948" s="164"/>
      <c r="E948" s="164"/>
      <c r="F948" s="164"/>
      <c r="G948" s="164"/>
    </row>
    <row r="949" ht="22.5" customHeight="1">
      <c r="A949" s="164"/>
      <c r="B949" s="164"/>
      <c r="C949" s="164"/>
      <c r="D949" s="164"/>
      <c r="E949" s="164"/>
      <c r="F949" s="164"/>
      <c r="G949" s="164"/>
    </row>
    <row r="950" ht="22.5" customHeight="1">
      <c r="A950" s="164"/>
      <c r="B950" s="164"/>
      <c r="C950" s="164"/>
      <c r="D950" s="164"/>
      <c r="E950" s="164"/>
      <c r="F950" s="164"/>
      <c r="G950" s="164"/>
    </row>
    <row r="951" ht="22.5" customHeight="1">
      <c r="A951" s="164"/>
      <c r="B951" s="164"/>
      <c r="C951" s="164"/>
      <c r="D951" s="164"/>
      <c r="E951" s="164"/>
      <c r="F951" s="164"/>
      <c r="G951" s="164"/>
    </row>
    <row r="952" ht="22.5" customHeight="1">
      <c r="A952" s="164"/>
      <c r="B952" s="164"/>
      <c r="C952" s="164"/>
      <c r="D952" s="164"/>
      <c r="E952" s="164"/>
      <c r="F952" s="164"/>
      <c r="G952" s="164"/>
    </row>
    <row r="953" ht="22.5" customHeight="1">
      <c r="A953" s="164"/>
      <c r="B953" s="164"/>
      <c r="C953" s="164"/>
      <c r="D953" s="164"/>
      <c r="E953" s="164"/>
      <c r="F953" s="164"/>
      <c r="G953" s="164"/>
    </row>
    <row r="954" ht="22.5" customHeight="1">
      <c r="A954" s="164"/>
      <c r="B954" s="164"/>
      <c r="C954" s="164"/>
      <c r="D954" s="164"/>
      <c r="E954" s="164"/>
      <c r="F954" s="164"/>
      <c r="G954" s="164"/>
    </row>
    <row r="955" ht="22.5" customHeight="1">
      <c r="A955" s="164"/>
      <c r="B955" s="164"/>
      <c r="C955" s="164"/>
      <c r="D955" s="164"/>
      <c r="E955" s="164"/>
      <c r="F955" s="164"/>
      <c r="G955" s="164"/>
    </row>
    <row r="956" ht="22.5" customHeight="1">
      <c r="A956" s="164"/>
      <c r="B956" s="164"/>
      <c r="C956" s="164"/>
      <c r="D956" s="164"/>
      <c r="E956" s="164"/>
      <c r="F956" s="164"/>
      <c r="G956" s="164"/>
    </row>
    <row r="957" ht="22.5" customHeight="1">
      <c r="A957" s="164"/>
      <c r="B957" s="164"/>
      <c r="C957" s="164"/>
      <c r="D957" s="164"/>
      <c r="E957" s="164"/>
      <c r="F957" s="164"/>
      <c r="G957" s="164"/>
    </row>
    <row r="958" ht="22.5" customHeight="1">
      <c r="A958" s="164"/>
      <c r="B958" s="164"/>
      <c r="C958" s="164"/>
      <c r="D958" s="164"/>
      <c r="E958" s="164"/>
      <c r="F958" s="164"/>
      <c r="G958" s="164"/>
    </row>
    <row r="959" ht="22.5" customHeight="1">
      <c r="A959" s="164"/>
      <c r="B959" s="164"/>
      <c r="C959" s="164"/>
      <c r="D959" s="164"/>
      <c r="E959" s="164"/>
      <c r="F959" s="164"/>
      <c r="G959" s="164"/>
    </row>
    <row r="960" ht="22.5" customHeight="1">
      <c r="A960" s="164"/>
      <c r="B960" s="164"/>
      <c r="C960" s="164"/>
      <c r="D960" s="164"/>
      <c r="E960" s="164"/>
      <c r="F960" s="164"/>
      <c r="G960" s="164"/>
    </row>
    <row r="961" ht="22.5" customHeight="1">
      <c r="A961" s="164"/>
      <c r="B961" s="164"/>
      <c r="C961" s="164"/>
      <c r="D961" s="164"/>
      <c r="E961" s="164"/>
      <c r="F961" s="164"/>
      <c r="G961" s="164"/>
    </row>
    <row r="962" ht="22.5" customHeight="1">
      <c r="A962" s="164"/>
      <c r="B962" s="164"/>
      <c r="C962" s="164"/>
      <c r="D962" s="164"/>
      <c r="E962" s="164"/>
      <c r="F962" s="164"/>
      <c r="G962" s="164"/>
    </row>
    <row r="963" ht="22.5" customHeight="1">
      <c r="A963" s="164"/>
      <c r="B963" s="164"/>
      <c r="C963" s="164"/>
      <c r="D963" s="164"/>
      <c r="E963" s="164"/>
      <c r="F963" s="164"/>
      <c r="G963" s="164"/>
    </row>
    <row r="964" ht="22.5" customHeight="1">
      <c r="A964" s="164"/>
      <c r="B964" s="164"/>
      <c r="C964" s="164"/>
      <c r="D964" s="164"/>
      <c r="E964" s="164"/>
      <c r="F964" s="164"/>
      <c r="G964" s="164"/>
    </row>
    <row r="965" ht="22.5" customHeight="1">
      <c r="A965" s="164"/>
      <c r="B965" s="164"/>
      <c r="C965" s="164"/>
      <c r="D965" s="164"/>
      <c r="E965" s="164"/>
      <c r="F965" s="164"/>
      <c r="G965" s="164"/>
    </row>
    <row r="966" ht="22.5" customHeight="1">
      <c r="A966" s="164"/>
      <c r="B966" s="164"/>
      <c r="C966" s="164"/>
      <c r="D966" s="164"/>
      <c r="E966" s="164"/>
      <c r="F966" s="164"/>
      <c r="G966" s="164"/>
    </row>
    <row r="967" ht="22.5" customHeight="1">
      <c r="A967" s="164"/>
      <c r="B967" s="164"/>
      <c r="C967" s="164"/>
      <c r="D967" s="164"/>
      <c r="E967" s="164"/>
      <c r="F967" s="164"/>
      <c r="G967" s="164"/>
    </row>
    <row r="968" ht="22.5" customHeight="1">
      <c r="A968" s="164"/>
      <c r="B968" s="164"/>
      <c r="C968" s="164"/>
      <c r="D968" s="164"/>
      <c r="E968" s="164"/>
      <c r="F968" s="164"/>
      <c r="G968" s="164"/>
    </row>
    <row r="969" ht="22.5" customHeight="1">
      <c r="A969" s="164"/>
      <c r="B969" s="164"/>
      <c r="C969" s="164"/>
      <c r="D969" s="164"/>
      <c r="E969" s="164"/>
      <c r="F969" s="164"/>
      <c r="G969" s="164"/>
    </row>
    <row r="970" ht="22.5" customHeight="1">
      <c r="A970" s="164"/>
      <c r="B970" s="164"/>
      <c r="C970" s="164"/>
      <c r="D970" s="164"/>
      <c r="E970" s="164"/>
      <c r="F970" s="164"/>
      <c r="G970" s="164"/>
    </row>
    <row r="971" ht="22.5" customHeight="1">
      <c r="A971" s="164"/>
      <c r="B971" s="164"/>
      <c r="C971" s="164"/>
      <c r="D971" s="164"/>
      <c r="E971" s="164"/>
      <c r="F971" s="164"/>
      <c r="G971" s="164"/>
    </row>
    <row r="972" ht="22.5" customHeight="1">
      <c r="A972" s="164"/>
      <c r="B972" s="164"/>
      <c r="C972" s="164"/>
      <c r="D972" s="164"/>
      <c r="E972" s="164"/>
      <c r="F972" s="164"/>
      <c r="G972" s="164"/>
    </row>
    <row r="973" ht="22.5" customHeight="1">
      <c r="A973" s="164"/>
      <c r="B973" s="164"/>
      <c r="C973" s="164"/>
      <c r="D973" s="164"/>
      <c r="E973" s="164"/>
      <c r="F973" s="164"/>
      <c r="G973" s="164"/>
    </row>
    <row r="974" ht="22.5" customHeight="1">
      <c r="A974" s="164"/>
      <c r="B974" s="164"/>
      <c r="C974" s="164"/>
      <c r="D974" s="164"/>
      <c r="E974" s="164"/>
      <c r="F974" s="164"/>
      <c r="G974" s="164"/>
    </row>
    <row r="975" ht="22.5" customHeight="1">
      <c r="A975" s="164"/>
      <c r="B975" s="164"/>
      <c r="C975" s="164"/>
      <c r="D975" s="164"/>
      <c r="E975" s="164"/>
      <c r="F975" s="164"/>
      <c r="G975" s="164"/>
    </row>
    <row r="976" ht="22.5" customHeight="1">
      <c r="A976" s="164"/>
      <c r="B976" s="164"/>
      <c r="C976" s="164"/>
      <c r="D976" s="164"/>
      <c r="E976" s="164"/>
      <c r="F976" s="164"/>
      <c r="G976" s="164"/>
    </row>
    <row r="977" ht="22.5" customHeight="1">
      <c r="A977" s="164"/>
      <c r="B977" s="164"/>
      <c r="C977" s="164"/>
      <c r="D977" s="164"/>
      <c r="E977" s="164"/>
      <c r="F977" s="164"/>
      <c r="G977" s="164"/>
    </row>
    <row r="978" ht="22.5" customHeight="1">
      <c r="A978" s="164"/>
      <c r="B978" s="164"/>
      <c r="C978" s="164"/>
      <c r="D978" s="164"/>
      <c r="E978" s="164"/>
      <c r="F978" s="164"/>
      <c r="G978" s="164"/>
    </row>
    <row r="979" ht="22.5" customHeight="1">
      <c r="A979" s="164"/>
      <c r="B979" s="164"/>
      <c r="C979" s="164"/>
      <c r="D979" s="164"/>
      <c r="E979" s="164"/>
      <c r="F979" s="164"/>
      <c r="G979" s="164"/>
    </row>
    <row r="980" ht="22.5" customHeight="1">
      <c r="A980" s="164"/>
      <c r="B980" s="164"/>
      <c r="C980" s="164"/>
      <c r="D980" s="164"/>
      <c r="E980" s="164"/>
      <c r="F980" s="164"/>
      <c r="G980" s="164"/>
    </row>
    <row r="981" ht="22.5" customHeight="1">
      <c r="A981" s="164"/>
      <c r="B981" s="164"/>
      <c r="C981" s="164"/>
      <c r="D981" s="164"/>
      <c r="E981" s="164"/>
      <c r="F981" s="164"/>
      <c r="G981" s="164"/>
    </row>
    <row r="982" ht="22.5" customHeight="1">
      <c r="A982" s="164"/>
      <c r="B982" s="164"/>
      <c r="C982" s="164"/>
      <c r="D982" s="164"/>
      <c r="E982" s="164"/>
      <c r="F982" s="164"/>
      <c r="G982" s="164"/>
    </row>
    <row r="983" ht="22.5" customHeight="1">
      <c r="A983" s="164"/>
      <c r="B983" s="164"/>
      <c r="C983" s="164"/>
      <c r="D983" s="164"/>
      <c r="E983" s="164"/>
      <c r="F983" s="164"/>
      <c r="G983" s="164"/>
    </row>
    <row r="984" ht="22.5" customHeight="1">
      <c r="A984" s="164"/>
      <c r="B984" s="164"/>
      <c r="C984" s="164"/>
      <c r="D984" s="164"/>
      <c r="E984" s="164"/>
      <c r="F984" s="164"/>
      <c r="G984" s="164"/>
    </row>
    <row r="985" ht="22.5" customHeight="1">
      <c r="A985" s="164"/>
      <c r="B985" s="164"/>
      <c r="C985" s="164"/>
      <c r="D985" s="164"/>
      <c r="E985" s="164"/>
      <c r="F985" s="164"/>
      <c r="G985" s="164"/>
    </row>
    <row r="986" ht="22.5" customHeight="1">
      <c r="A986" s="164"/>
      <c r="B986" s="164"/>
      <c r="C986" s="164"/>
      <c r="D986" s="164"/>
      <c r="E986" s="164"/>
      <c r="F986" s="164"/>
      <c r="G986" s="164"/>
    </row>
    <row r="987" ht="22.5" customHeight="1">
      <c r="A987" s="164"/>
      <c r="B987" s="164"/>
      <c r="C987" s="164"/>
      <c r="D987" s="164"/>
      <c r="E987" s="164"/>
      <c r="F987" s="164"/>
      <c r="G987" s="164"/>
    </row>
    <row r="988" ht="22.5" customHeight="1">
      <c r="A988" s="164"/>
      <c r="B988" s="164"/>
      <c r="C988" s="164"/>
      <c r="D988" s="164"/>
      <c r="E988" s="164"/>
      <c r="F988" s="164"/>
      <c r="G988" s="164"/>
    </row>
    <row r="989" ht="22.5" customHeight="1">
      <c r="A989" s="164"/>
      <c r="B989" s="164"/>
      <c r="C989" s="164"/>
      <c r="D989" s="164"/>
      <c r="E989" s="164"/>
      <c r="F989" s="164"/>
      <c r="G989" s="164"/>
    </row>
    <row r="990" ht="22.5" customHeight="1">
      <c r="A990" s="164"/>
      <c r="B990" s="164"/>
      <c r="C990" s="164"/>
      <c r="D990" s="164"/>
      <c r="E990" s="164"/>
      <c r="F990" s="164"/>
      <c r="G990" s="164"/>
    </row>
    <row r="991" ht="22.5" customHeight="1">
      <c r="A991" s="164"/>
      <c r="B991" s="164"/>
      <c r="C991" s="164"/>
      <c r="D991" s="164"/>
      <c r="E991" s="164"/>
      <c r="F991" s="164"/>
      <c r="G991" s="164"/>
    </row>
    <row r="992" ht="22.5" customHeight="1">
      <c r="A992" s="164"/>
      <c r="B992" s="164"/>
      <c r="C992" s="164"/>
      <c r="D992" s="164"/>
      <c r="E992" s="164"/>
      <c r="F992" s="164"/>
      <c r="G992" s="164"/>
    </row>
    <row r="993" ht="22.5" customHeight="1">
      <c r="A993" s="164"/>
      <c r="B993" s="164"/>
      <c r="C993" s="164"/>
      <c r="D993" s="164"/>
      <c r="E993" s="164"/>
      <c r="F993" s="164"/>
      <c r="G993" s="164"/>
    </row>
    <row r="994" ht="22.5" customHeight="1">
      <c r="A994" s="164"/>
      <c r="B994" s="164"/>
      <c r="C994" s="164"/>
      <c r="D994" s="164"/>
      <c r="E994" s="164"/>
      <c r="F994" s="164"/>
      <c r="G994" s="164"/>
    </row>
    <row r="995" ht="22.5" customHeight="1">
      <c r="A995" s="164"/>
      <c r="B995" s="164"/>
      <c r="C995" s="164"/>
      <c r="D995" s="164"/>
      <c r="E995" s="164"/>
      <c r="F995" s="164"/>
      <c r="G995" s="164"/>
    </row>
    <row r="996" ht="22.5" customHeight="1">
      <c r="A996" s="164"/>
      <c r="B996" s="164"/>
      <c r="C996" s="164"/>
      <c r="D996" s="164"/>
      <c r="E996" s="164"/>
      <c r="F996" s="164"/>
      <c r="G996" s="164"/>
    </row>
    <row r="997" ht="22.5" customHeight="1">
      <c r="A997" s="164"/>
      <c r="B997" s="164"/>
      <c r="C997" s="164"/>
      <c r="D997" s="164"/>
      <c r="E997" s="164"/>
      <c r="F997" s="164"/>
      <c r="G997" s="164"/>
    </row>
    <row r="998" ht="22.5" customHeight="1">
      <c r="A998" s="164"/>
      <c r="B998" s="164"/>
      <c r="C998" s="164"/>
      <c r="D998" s="164"/>
      <c r="E998" s="164"/>
      <c r="F998" s="164"/>
      <c r="G998" s="164"/>
    </row>
    <row r="999" ht="22.5" customHeight="1">
      <c r="A999" s="164"/>
      <c r="B999" s="164"/>
      <c r="C999" s="164"/>
      <c r="D999" s="164"/>
      <c r="E999" s="164"/>
      <c r="F999" s="164"/>
      <c r="G999" s="164"/>
    </row>
  </sheetData>
  <drawing r:id="rId1"/>
  <tableParts count="1">
    <tablePart r:id="rId3"/>
  </tableParts>
</worksheet>
</file>